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hidePivotFieldList="1" defaultThemeVersion="166925"/>
  <xr:revisionPtr revIDLastSave="0" documentId="13_ncr:1_{C8C35214-8BDA-43B2-B0C6-9262E47A22DE}" xr6:coauthVersionLast="47" xr6:coauthVersionMax="47" xr10:uidLastSave="{00000000-0000-0000-0000-000000000000}"/>
  <bookViews>
    <workbookView visibility="hidden" xWindow="33720" yWindow="-7395" windowWidth="29040" windowHeight="15840" firstSheet="4" activeTab="5" autoFilterDateGrouping="0" xr2:uid="{00000000-000D-0000-FFFF-FFFF00000000}"/>
    <workbookView xWindow="33720" yWindow="-7395" windowWidth="29040" windowHeight="15840" tabRatio="793" firstSheet="2" activeTab="3" xr2:uid="{1B7F92BA-0A96-4255-90AF-DBE3A7825966}"/>
  </bookViews>
  <sheets>
    <sheet name="Summary" sheetId="12" state="hidden" r:id="rId1"/>
    <sheet name="GL Feb24" sheetId="16" state="hidden" r:id="rId2"/>
    <sheet name="01 Summary - AEY" sheetId="17" r:id="rId3"/>
    <sheet name="02 Summary - Prof. Fees" sheetId="18" r:id="rId4"/>
    <sheet name="Summary of Legal Fees - BJ" sheetId="1" r:id="rId5"/>
    <sheet name="03 Summary - Disb." sheetId="19" r:id="rId6"/>
    <sheet name="Bennett Jones Disb." sheetId="15" r:id="rId7"/>
    <sheet name="Summary of Concentric Advisors" sheetId="6" r:id="rId8"/>
    <sheet name="Concentric Advisors Disb." sheetId="10" r:id="rId9"/>
    <sheet name="Summary Concentric Energy" sheetId="7" r:id="rId10"/>
    <sheet name="AEY Disbursements" sheetId="11" r:id="rId11"/>
    <sheet name="YUB Scale of Costs" sheetId="2" state="hidden" r:id="rId12"/>
  </sheets>
  <definedNames>
    <definedName name="_xlnm.Print_Area" localSheetId="2">'01 Summary - AEY'!$A$1:$K$32</definedName>
    <definedName name="_xlnm.Print_Area" localSheetId="3">'02 Summary - Prof. Fees'!$A$1:$P$103</definedName>
    <definedName name="_xlnm.Print_Area" localSheetId="5">'03 Summary - Disb.'!$A$1:$G$64</definedName>
    <definedName name="_xlnm.Print_Area" localSheetId="9">'Summary Concentric Energy'!$A$1:$S$60</definedName>
    <definedName name="_xlnm.Print_Area" localSheetId="7">'Summary of Concentric Advisors'!$A$1:$R$68</definedName>
    <definedName name="_xlnm.Print_Area" localSheetId="4">'Summary of Legal Fees - BJ'!$B$1:$R$57</definedName>
    <definedName name="_xlnm.Print_Titles" localSheetId="10">'AEY Disbursements'!$1:$8</definedName>
    <definedName name="ServiceType">#REF!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" i="1" l="1"/>
  <c r="P43" i="1"/>
  <c r="R31" i="1"/>
  <c r="Q31" i="1"/>
  <c r="P31" i="1"/>
  <c r="O57" i="1"/>
  <c r="O31" i="1"/>
  <c r="L31" i="1"/>
  <c r="R30" i="1"/>
  <c r="J30" i="1"/>
  <c r="K30" i="1" s="1"/>
  <c r="H30" i="1"/>
  <c r="P29" i="1"/>
  <c r="J29" i="1"/>
  <c r="H29" i="1"/>
  <c r="P20" i="1"/>
  <c r="J20" i="1"/>
  <c r="H20" i="1"/>
  <c r="P19" i="1"/>
  <c r="J19" i="1"/>
  <c r="K19" i="1" s="1"/>
  <c r="H19" i="1"/>
  <c r="Q35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6" i="15"/>
  <c r="Q37" i="15"/>
  <c r="Q38" i="15"/>
  <c r="Q39" i="15"/>
  <c r="Q40" i="15"/>
  <c r="Q41" i="15"/>
  <c r="Q42" i="15"/>
  <c r="Q43" i="15"/>
  <c r="Q44" i="15"/>
  <c r="Q12" i="15"/>
  <c r="J44" i="15"/>
  <c r="P43" i="15"/>
  <c r="J43" i="15"/>
  <c r="K43" i="15" s="1"/>
  <c r="L43" i="15" s="1"/>
  <c r="O42" i="15"/>
  <c r="P42" i="15" s="1"/>
  <c r="J42" i="15"/>
  <c r="O74" i="11"/>
  <c r="O78" i="11"/>
  <c r="J61" i="11"/>
  <c r="J64" i="11"/>
  <c r="K64" i="11"/>
  <c r="P57" i="7"/>
  <c r="G9" i="17"/>
  <c r="C26" i="19"/>
  <c r="D26" i="19"/>
  <c r="G13" i="17" s="1"/>
  <c r="I13" i="17" s="1"/>
  <c r="E26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8" i="19"/>
  <c r="B26" i="19"/>
  <c r="G7" i="17" s="1"/>
  <c r="A68" i="18"/>
  <c r="A66" i="18"/>
  <c r="A64" i="18"/>
  <c r="A62" i="18"/>
  <c r="A39" i="18"/>
  <c r="A37" i="18"/>
  <c r="A35" i="18"/>
  <c r="A33" i="18"/>
  <c r="A31" i="18"/>
  <c r="A15" i="18"/>
  <c r="A13" i="18"/>
  <c r="A11" i="18"/>
  <c r="A9" i="18"/>
  <c r="N96" i="18"/>
  <c r="J96" i="18"/>
  <c r="H96" i="18"/>
  <c r="F96" i="18"/>
  <c r="L94" i="18"/>
  <c r="K94" i="18"/>
  <c r="I94" i="18"/>
  <c r="G94" i="18"/>
  <c r="L92" i="18"/>
  <c r="K92" i="18"/>
  <c r="I92" i="18"/>
  <c r="G92" i="18"/>
  <c r="L90" i="18"/>
  <c r="K90" i="18"/>
  <c r="I90" i="18"/>
  <c r="G90" i="18"/>
  <c r="L88" i="18"/>
  <c r="K88" i="18"/>
  <c r="I88" i="18"/>
  <c r="G88" i="18"/>
  <c r="L86" i="18"/>
  <c r="K86" i="18"/>
  <c r="I86" i="18"/>
  <c r="G86" i="18"/>
  <c r="L84" i="18"/>
  <c r="K84" i="18"/>
  <c r="I84" i="18"/>
  <c r="G84" i="18"/>
  <c r="L82" i="18"/>
  <c r="K82" i="18"/>
  <c r="I82" i="18"/>
  <c r="G82" i="18"/>
  <c r="N76" i="18"/>
  <c r="J76" i="18"/>
  <c r="H76" i="18"/>
  <c r="F76" i="18"/>
  <c r="L74" i="18"/>
  <c r="K74" i="18"/>
  <c r="I74" i="18"/>
  <c r="G74" i="18"/>
  <c r="L72" i="18"/>
  <c r="K72" i="18"/>
  <c r="I72" i="18"/>
  <c r="G72" i="18"/>
  <c r="L70" i="18"/>
  <c r="K70" i="18"/>
  <c r="I70" i="18"/>
  <c r="G70" i="18"/>
  <c r="L68" i="18"/>
  <c r="K68" i="18"/>
  <c r="I68" i="18"/>
  <c r="G68" i="18"/>
  <c r="L66" i="18"/>
  <c r="K66" i="18"/>
  <c r="I66" i="18"/>
  <c r="G66" i="18"/>
  <c r="L64" i="18"/>
  <c r="K64" i="18"/>
  <c r="I64" i="18"/>
  <c r="G64" i="18"/>
  <c r="L62" i="18"/>
  <c r="K62" i="18"/>
  <c r="I62" i="18"/>
  <c r="G62" i="18"/>
  <c r="N45" i="18"/>
  <c r="J45" i="18"/>
  <c r="H45" i="18"/>
  <c r="F45" i="18"/>
  <c r="L43" i="18"/>
  <c r="K43" i="18"/>
  <c r="I43" i="18"/>
  <c r="G43" i="18"/>
  <c r="L41" i="18"/>
  <c r="K41" i="18"/>
  <c r="I41" i="18"/>
  <c r="G41" i="18"/>
  <c r="L39" i="18"/>
  <c r="K39" i="18"/>
  <c r="I39" i="18"/>
  <c r="G39" i="18"/>
  <c r="L37" i="18"/>
  <c r="K37" i="18"/>
  <c r="I37" i="18"/>
  <c r="G37" i="18"/>
  <c r="L35" i="18"/>
  <c r="K35" i="18"/>
  <c r="I35" i="18"/>
  <c r="G35" i="18"/>
  <c r="L33" i="18"/>
  <c r="K33" i="18"/>
  <c r="I33" i="18"/>
  <c r="G33" i="18"/>
  <c r="L31" i="18"/>
  <c r="K31" i="18"/>
  <c r="I31" i="18"/>
  <c r="G31" i="18"/>
  <c r="N23" i="18"/>
  <c r="J23" i="18"/>
  <c r="H23" i="18"/>
  <c r="F23" i="18"/>
  <c r="L21" i="18"/>
  <c r="K21" i="18"/>
  <c r="I21" i="18"/>
  <c r="G21" i="18"/>
  <c r="L19" i="18"/>
  <c r="K19" i="18"/>
  <c r="I19" i="18"/>
  <c r="G19" i="18"/>
  <c r="L17" i="18"/>
  <c r="K17" i="18"/>
  <c r="I17" i="18"/>
  <c r="G17" i="18"/>
  <c r="L15" i="18"/>
  <c r="K15" i="18"/>
  <c r="I15" i="18"/>
  <c r="G15" i="18"/>
  <c r="L13" i="18"/>
  <c r="K13" i="18"/>
  <c r="I13" i="18"/>
  <c r="G13" i="18"/>
  <c r="L11" i="18"/>
  <c r="K11" i="18"/>
  <c r="I11" i="18"/>
  <c r="G11" i="18"/>
  <c r="L9" i="18"/>
  <c r="K9" i="18"/>
  <c r="I9" i="18"/>
  <c r="G9" i="18"/>
  <c r="H25" i="17"/>
  <c r="I23" i="17"/>
  <c r="I21" i="17"/>
  <c r="I19" i="17"/>
  <c r="I17" i="17"/>
  <c r="I15" i="17"/>
  <c r="P21" i="1" l="1"/>
  <c r="R20" i="1"/>
  <c r="R29" i="1"/>
  <c r="R32" i="1" s="1"/>
  <c r="O30" i="1"/>
  <c r="L30" i="1"/>
  <c r="Q30" i="1" s="1"/>
  <c r="K29" i="1"/>
  <c r="P30" i="1"/>
  <c r="P32" i="1" s="1"/>
  <c r="M31" i="1"/>
  <c r="R19" i="1"/>
  <c r="O19" i="1"/>
  <c r="L19" i="1"/>
  <c r="M19" i="1" s="1"/>
  <c r="K21" i="1"/>
  <c r="K20" i="1"/>
  <c r="Q45" i="15"/>
  <c r="K44" i="15"/>
  <c r="K42" i="15"/>
  <c r="L44" i="15"/>
  <c r="L42" i="15"/>
  <c r="P44" i="15"/>
  <c r="M37" i="18"/>
  <c r="O37" i="18" s="1"/>
  <c r="L96" i="18"/>
  <c r="M19" i="18"/>
  <c r="O19" i="18" s="1"/>
  <c r="M39" i="18"/>
  <c r="O39" i="18" s="1"/>
  <c r="M62" i="18"/>
  <c r="O62" i="18" s="1"/>
  <c r="M70" i="18"/>
  <c r="O70" i="18" s="1"/>
  <c r="M74" i="18"/>
  <c r="O74" i="18" s="1"/>
  <c r="M82" i="18"/>
  <c r="O82" i="18" s="1"/>
  <c r="O96" i="18" s="1"/>
  <c r="M90" i="18"/>
  <c r="O90" i="18" s="1"/>
  <c r="M94" i="18"/>
  <c r="O94" i="18" s="1"/>
  <c r="M21" i="18"/>
  <c r="O21" i="18" s="1"/>
  <c r="M35" i="18"/>
  <c r="O35" i="18" s="1"/>
  <c r="M43" i="18"/>
  <c r="O43" i="18" s="1"/>
  <c r="M66" i="18"/>
  <c r="O66" i="18" s="1"/>
  <c r="M86" i="18"/>
  <c r="O86" i="18" s="1"/>
  <c r="M68" i="18"/>
  <c r="O68" i="18" s="1"/>
  <c r="M72" i="18"/>
  <c r="O72" i="18" s="1"/>
  <c r="M84" i="18"/>
  <c r="O84" i="18" s="1"/>
  <c r="M88" i="18"/>
  <c r="O88" i="18" s="1"/>
  <c r="M92" i="18"/>
  <c r="O92" i="18" s="1"/>
  <c r="G25" i="17"/>
  <c r="F26" i="19"/>
  <c r="M41" i="18"/>
  <c r="O41" i="18" s="1"/>
  <c r="I96" i="18"/>
  <c r="K96" i="18"/>
  <c r="M64" i="18"/>
  <c r="O64" i="18" s="1"/>
  <c r="L76" i="18"/>
  <c r="I76" i="18"/>
  <c r="K76" i="18"/>
  <c r="M31" i="18"/>
  <c r="O31" i="18" s="1"/>
  <c r="L45" i="18"/>
  <c r="K45" i="18"/>
  <c r="I45" i="18"/>
  <c r="G45" i="18"/>
  <c r="M15" i="18"/>
  <c r="O15" i="18" s="1"/>
  <c r="M13" i="18"/>
  <c r="O13" i="18" s="1"/>
  <c r="L23" i="18"/>
  <c r="M17" i="18"/>
  <c r="O17" i="18" s="1"/>
  <c r="I23" i="18"/>
  <c r="G23" i="18"/>
  <c r="K23" i="18"/>
  <c r="M11" i="18"/>
  <c r="O11" i="18" s="1"/>
  <c r="G76" i="18"/>
  <c r="G96" i="18"/>
  <c r="M33" i="18"/>
  <c r="O33" i="18" s="1"/>
  <c r="M9" i="18"/>
  <c r="R21" i="1" l="1"/>
  <c r="O29" i="1"/>
  <c r="O32" i="1" s="1"/>
  <c r="M29" i="1"/>
  <c r="M32" i="1" s="1"/>
  <c r="L29" i="1"/>
  <c r="K32" i="1"/>
  <c r="M30" i="1"/>
  <c r="O20" i="1"/>
  <c r="L20" i="1"/>
  <c r="Q20" i="1" s="1"/>
  <c r="L21" i="1"/>
  <c r="Q19" i="1"/>
  <c r="Q21" i="1" s="1"/>
  <c r="O21" i="1"/>
  <c r="O76" i="18"/>
  <c r="K98" i="18"/>
  <c r="G98" i="18"/>
  <c r="I98" i="18"/>
  <c r="M96" i="18"/>
  <c r="M76" i="18"/>
  <c r="E11" i="17" s="1"/>
  <c r="I11" i="17" s="1"/>
  <c r="O45" i="18"/>
  <c r="M45" i="18"/>
  <c r="E9" i="17" s="1"/>
  <c r="I9" i="17" s="1"/>
  <c r="M23" i="18"/>
  <c r="O9" i="18"/>
  <c r="O23" i="18" s="1"/>
  <c r="Q29" i="1" l="1"/>
  <c r="Q32" i="1" s="1"/>
  <c r="Q57" i="1" s="1"/>
  <c r="L32" i="1"/>
  <c r="M20" i="1"/>
  <c r="M21" i="1" s="1"/>
  <c r="O98" i="18"/>
  <c r="E7" i="17"/>
  <c r="M98" i="18"/>
  <c r="D55" i="12"/>
  <c r="O62" i="1"/>
  <c r="J103" i="1"/>
  <c r="J100" i="1"/>
  <c r="J99" i="1"/>
  <c r="K37" i="15"/>
  <c r="H37" i="15"/>
  <c r="K23" i="15"/>
  <c r="K22" i="15"/>
  <c r="H32" i="15"/>
  <c r="K32" i="15" s="1"/>
  <c r="H22" i="15"/>
  <c r="H19" i="15"/>
  <c r="K19" i="15" s="1"/>
  <c r="H33" i="15"/>
  <c r="J33" i="15" s="1"/>
  <c r="P33" i="15" s="1"/>
  <c r="H29" i="15"/>
  <c r="J29" i="15" s="1"/>
  <c r="P29" i="15" s="1"/>
  <c r="K29" i="15"/>
  <c r="H27" i="15"/>
  <c r="J27" i="15" s="1"/>
  <c r="J28" i="15"/>
  <c r="K27" i="15"/>
  <c r="J38" i="15"/>
  <c r="P38" i="15" s="1"/>
  <c r="J39" i="15"/>
  <c r="L39" i="15" s="1"/>
  <c r="J40" i="15"/>
  <c r="L40" i="15" s="1"/>
  <c r="J41" i="15"/>
  <c r="P41" i="15" s="1"/>
  <c r="H36" i="15"/>
  <c r="H35" i="15"/>
  <c r="J35" i="15" s="1"/>
  <c r="H34" i="15"/>
  <c r="J34" i="15" s="1"/>
  <c r="K34" i="15"/>
  <c r="H31" i="15"/>
  <c r="H30" i="15"/>
  <c r="L112" i="6"/>
  <c r="H38" i="10"/>
  <c r="K38" i="10"/>
  <c r="L37" i="10"/>
  <c r="H39" i="10"/>
  <c r="L39" i="10" s="1"/>
  <c r="K39" i="10"/>
  <c r="H36" i="10"/>
  <c r="J36" i="10" s="1"/>
  <c r="K36" i="10"/>
  <c r="H34" i="10"/>
  <c r="H35" i="10"/>
  <c r="F56" i="16"/>
  <c r="O48" i="16"/>
  <c r="I81" i="1"/>
  <c r="H36" i="1"/>
  <c r="E83" i="12"/>
  <c r="G61" i="11"/>
  <c r="D74" i="12" s="1"/>
  <c r="E74" i="12" s="1"/>
  <c r="D76" i="12"/>
  <c r="E76" i="12" s="1"/>
  <c r="E75" i="12"/>
  <c r="D77" i="12"/>
  <c r="E77" i="12" s="1"/>
  <c r="D73" i="12"/>
  <c r="E73" i="12" s="1"/>
  <c r="E82" i="12"/>
  <c r="O51" i="16"/>
  <c r="D54" i="12"/>
  <c r="D53" i="12"/>
  <c r="D52" i="12"/>
  <c r="D51" i="12"/>
  <c r="D47" i="12"/>
  <c r="D46" i="12"/>
  <c r="D45" i="12"/>
  <c r="L36" i="10" l="1"/>
  <c r="L38" i="10"/>
  <c r="E25" i="17"/>
  <c r="I7" i="17"/>
  <c r="I25" i="17" s="1"/>
  <c r="P28" i="15"/>
  <c r="K28" i="15"/>
  <c r="J32" i="15"/>
  <c r="L33" i="15"/>
  <c r="L29" i="15"/>
  <c r="L27" i="15"/>
  <c r="P27" i="15"/>
  <c r="L28" i="15"/>
  <c r="P39" i="15"/>
  <c r="L41" i="15"/>
  <c r="L38" i="15"/>
  <c r="P40" i="15"/>
  <c r="J37" i="15"/>
  <c r="L35" i="15"/>
  <c r="P35" i="15"/>
  <c r="L34" i="15"/>
  <c r="P34" i="15"/>
  <c r="D68" i="12"/>
  <c r="N63" i="11"/>
  <c r="K25" i="15"/>
  <c r="H25" i="15"/>
  <c r="J25" i="15" s="1"/>
  <c r="J26" i="15"/>
  <c r="L26" i="15" s="1"/>
  <c r="J30" i="15"/>
  <c r="L30" i="15" s="1"/>
  <c r="J31" i="15"/>
  <c r="L31" i="15" s="1"/>
  <c r="J36" i="15"/>
  <c r="L36" i="15" s="1"/>
  <c r="H24" i="15"/>
  <c r="H21" i="15"/>
  <c r="H20" i="15"/>
  <c r="H18" i="15"/>
  <c r="H17" i="15"/>
  <c r="H16" i="15"/>
  <c r="H15" i="15"/>
  <c r="H14" i="15"/>
  <c r="O11" i="15"/>
  <c r="O10" i="15"/>
  <c r="P81" i="1"/>
  <c r="I82" i="1"/>
  <c r="P82" i="1" s="1"/>
  <c r="I72" i="1"/>
  <c r="P72" i="1" s="1"/>
  <c r="I70" i="1"/>
  <c r="P70" i="1" s="1"/>
  <c r="Q105" i="1"/>
  <c r="Q104" i="1"/>
  <c r="L101" i="1"/>
  <c r="Q101" i="1" s="1"/>
  <c r="L100" i="1"/>
  <c r="Q100" i="1" s="1"/>
  <c r="L98" i="1"/>
  <c r="Q98" i="1" s="1"/>
  <c r="L97" i="1"/>
  <c r="Q97" i="1" s="1"/>
  <c r="L96" i="1"/>
  <c r="Q96" i="1" s="1"/>
  <c r="J91" i="1"/>
  <c r="J83" i="1"/>
  <c r="N24" i="1"/>
  <c r="L103" i="1" l="1"/>
  <c r="Q103" i="1" s="1"/>
  <c r="L32" i="15"/>
  <c r="P32" i="15"/>
  <c r="P37" i="15"/>
  <c r="L37" i="15"/>
  <c r="P26" i="15"/>
  <c r="P36" i="15"/>
  <c r="P31" i="15"/>
  <c r="P30" i="15"/>
  <c r="P25" i="15"/>
  <c r="L25" i="15"/>
  <c r="O26" i="1"/>
  <c r="L26" i="1"/>
  <c r="M26" i="1" s="1"/>
  <c r="Q26" i="1" l="1"/>
  <c r="N25" i="1"/>
  <c r="N16" i="1"/>
  <c r="N11" i="1"/>
  <c r="N23" i="1"/>
  <c r="P23" i="1" s="1"/>
  <c r="P24" i="1"/>
  <c r="N15" i="1"/>
  <c r="N10" i="1"/>
  <c r="P10" i="1" s="1"/>
  <c r="J24" i="1"/>
  <c r="R24" i="1" s="1"/>
  <c r="H24" i="1"/>
  <c r="J25" i="1"/>
  <c r="K25" i="1" s="1"/>
  <c r="H25" i="1"/>
  <c r="J23" i="1"/>
  <c r="K23" i="1" s="1"/>
  <c r="H23" i="1"/>
  <c r="H13" i="11"/>
  <c r="K19" i="11"/>
  <c r="J19" i="11"/>
  <c r="G17" i="11"/>
  <c r="K17" i="11" s="1"/>
  <c r="G16" i="11"/>
  <c r="G21" i="11"/>
  <c r="K21" i="11" s="1"/>
  <c r="G20" i="11"/>
  <c r="K20" i="11" s="1"/>
  <c r="H35" i="11"/>
  <c r="G35" i="11"/>
  <c r="G42" i="11"/>
  <c r="H42" i="11"/>
  <c r="G50" i="11"/>
  <c r="H50" i="11"/>
  <c r="G37" i="11"/>
  <c r="H37" i="11" s="1"/>
  <c r="K40" i="10"/>
  <c r="I40" i="10"/>
  <c r="H40" i="10"/>
  <c r="K64" i="6" s="1"/>
  <c r="O64" i="6" s="1"/>
  <c r="P39" i="10"/>
  <c r="Q39" i="10" s="1"/>
  <c r="J39" i="10"/>
  <c r="P38" i="10"/>
  <c r="J38" i="10"/>
  <c r="Q38" i="10" s="1"/>
  <c r="P37" i="10"/>
  <c r="J37" i="10"/>
  <c r="Q37" i="10" s="1"/>
  <c r="P36" i="10"/>
  <c r="P35" i="10"/>
  <c r="J35" i="10"/>
  <c r="L35" i="10" s="1"/>
  <c r="P34" i="10"/>
  <c r="J34" i="10"/>
  <c r="L34" i="10" s="1"/>
  <c r="K97" i="6"/>
  <c r="I99" i="6"/>
  <c r="P99" i="6" s="1"/>
  <c r="I98" i="6"/>
  <c r="I97" i="6"/>
  <c r="I89" i="6"/>
  <c r="I82" i="6"/>
  <c r="I83" i="6"/>
  <c r="I79" i="6"/>
  <c r="R58" i="6"/>
  <c r="P58" i="6"/>
  <c r="K58" i="6"/>
  <c r="O58" i="6" s="1"/>
  <c r="H58" i="6"/>
  <c r="R57" i="6"/>
  <c r="P57" i="6"/>
  <c r="K57" i="6"/>
  <c r="O57" i="6" s="1"/>
  <c r="H57" i="6"/>
  <c r="R56" i="6"/>
  <c r="P56" i="6"/>
  <c r="K56" i="6"/>
  <c r="O56" i="6" s="1"/>
  <c r="H56" i="6"/>
  <c r="K55" i="6"/>
  <c r="L55" i="6" s="1"/>
  <c r="H55" i="6"/>
  <c r="P50" i="6"/>
  <c r="P52" i="6"/>
  <c r="K52" i="6"/>
  <c r="O52" i="6" s="1"/>
  <c r="R51" i="6"/>
  <c r="K51" i="6"/>
  <c r="O51" i="6" s="1"/>
  <c r="H51" i="6"/>
  <c r="R50" i="6"/>
  <c r="K50" i="6"/>
  <c r="O50" i="6" s="1"/>
  <c r="H50" i="6"/>
  <c r="R49" i="6"/>
  <c r="P49" i="6"/>
  <c r="K49" i="6"/>
  <c r="O49" i="6" s="1"/>
  <c r="H49" i="6"/>
  <c r="K48" i="6"/>
  <c r="O48" i="6" s="1"/>
  <c r="H48" i="6"/>
  <c r="H43" i="7"/>
  <c r="K43" i="7"/>
  <c r="L43" i="7" s="1"/>
  <c r="K44" i="7"/>
  <c r="K42" i="7"/>
  <c r="I90" i="7"/>
  <c r="I89" i="7"/>
  <c r="I81" i="7"/>
  <c r="I71" i="7"/>
  <c r="R63" i="6"/>
  <c r="P63" i="6"/>
  <c r="K63" i="6"/>
  <c r="O63" i="6" s="1"/>
  <c r="H63" i="6"/>
  <c r="K62" i="6"/>
  <c r="O62" i="6" s="1"/>
  <c r="H62" i="6"/>
  <c r="K61" i="6"/>
  <c r="O61" i="6" s="1"/>
  <c r="H61" i="6"/>
  <c r="Q56" i="7"/>
  <c r="H56" i="7"/>
  <c r="Q55" i="7"/>
  <c r="K55" i="7"/>
  <c r="H55" i="7"/>
  <c r="I50" i="7"/>
  <c r="K50" i="7" s="1"/>
  <c r="L50" i="7" s="1"/>
  <c r="M50" i="7" s="1"/>
  <c r="I49" i="7"/>
  <c r="K49" i="7" s="1"/>
  <c r="L49" i="7" s="1"/>
  <c r="I52" i="7"/>
  <c r="K52" i="7" s="1"/>
  <c r="I48" i="7"/>
  <c r="Q48" i="7" s="1"/>
  <c r="Q51" i="7"/>
  <c r="K51" i="7"/>
  <c r="L51" i="7" s="1"/>
  <c r="M51" i="7" s="1"/>
  <c r="H52" i="7"/>
  <c r="H51" i="7"/>
  <c r="H49" i="7"/>
  <c r="H48" i="7"/>
  <c r="K47" i="7"/>
  <c r="L47" i="7" s="1"/>
  <c r="H47" i="7"/>
  <c r="I52" i="1"/>
  <c r="I89" i="1" s="1"/>
  <c r="P89" i="1" s="1"/>
  <c r="I51" i="1"/>
  <c r="I53" i="1"/>
  <c r="J53" i="1"/>
  <c r="J52" i="1"/>
  <c r="J51" i="1"/>
  <c r="I47" i="1"/>
  <c r="J50" i="1"/>
  <c r="R50" i="1" s="1"/>
  <c r="J49" i="1"/>
  <c r="K49" i="1" s="1"/>
  <c r="J48" i="1"/>
  <c r="K48" i="1" s="1"/>
  <c r="J47" i="1"/>
  <c r="H50" i="1"/>
  <c r="H49" i="1"/>
  <c r="H48" i="1"/>
  <c r="H47" i="1"/>
  <c r="P48" i="1"/>
  <c r="P49" i="1"/>
  <c r="P50" i="1"/>
  <c r="H51" i="1"/>
  <c r="H52" i="1"/>
  <c r="H53" i="1"/>
  <c r="P44" i="1"/>
  <c r="J44" i="1"/>
  <c r="R44" i="1" s="1"/>
  <c r="H44" i="1"/>
  <c r="I40" i="1"/>
  <c r="I34" i="1"/>
  <c r="I68" i="1" s="1"/>
  <c r="P68" i="1" s="1"/>
  <c r="I36" i="1"/>
  <c r="I35" i="1"/>
  <c r="I69" i="1" s="1"/>
  <c r="P69" i="1" s="1"/>
  <c r="I39" i="1"/>
  <c r="J42" i="1"/>
  <c r="K42" i="1" s="1"/>
  <c r="J41" i="1"/>
  <c r="K41" i="1" s="1"/>
  <c r="J40" i="1"/>
  <c r="J39" i="1"/>
  <c r="H42" i="1"/>
  <c r="H41" i="1"/>
  <c r="H40" i="1"/>
  <c r="H39" i="1"/>
  <c r="I38" i="1"/>
  <c r="I73" i="1" s="1"/>
  <c r="P73" i="1" s="1"/>
  <c r="H38" i="1"/>
  <c r="H37" i="1"/>
  <c r="J38" i="1"/>
  <c r="J37" i="1"/>
  <c r="G58" i="11"/>
  <c r="D85" i="12" s="1"/>
  <c r="E85" i="12" s="1"/>
  <c r="G57" i="11"/>
  <c r="J57" i="11" s="1"/>
  <c r="O57" i="11" s="1"/>
  <c r="P57" i="11" s="1"/>
  <c r="G56" i="11"/>
  <c r="K56" i="11" s="1"/>
  <c r="G55" i="11"/>
  <c r="K55" i="11" s="1"/>
  <c r="G54" i="11"/>
  <c r="J54" i="11" s="1"/>
  <c r="O54" i="11" s="1"/>
  <c r="G53" i="11"/>
  <c r="J53" i="11" s="1"/>
  <c r="O53" i="11" s="1"/>
  <c r="P53" i="11" s="1"/>
  <c r="G52" i="11"/>
  <c r="K52" i="11" s="1"/>
  <c r="G51" i="11"/>
  <c r="G49" i="11"/>
  <c r="J49" i="11" s="1"/>
  <c r="O49" i="11" s="1"/>
  <c r="P49" i="11" s="1"/>
  <c r="G48" i="11"/>
  <c r="J48" i="11" s="1"/>
  <c r="O48" i="11" s="1"/>
  <c r="P48" i="11" s="1"/>
  <c r="G47" i="11"/>
  <c r="K47" i="11" s="1"/>
  <c r="G46" i="11"/>
  <c r="K46" i="11" s="1"/>
  <c r="G45" i="11"/>
  <c r="J44" i="11"/>
  <c r="O44" i="11" s="1"/>
  <c r="K44" i="11"/>
  <c r="G43" i="11"/>
  <c r="G24" i="11"/>
  <c r="I45" i="15"/>
  <c r="H45" i="15"/>
  <c r="J24" i="15"/>
  <c r="J23" i="15"/>
  <c r="J22" i="15"/>
  <c r="J21" i="15"/>
  <c r="J20" i="15"/>
  <c r="J19" i="15"/>
  <c r="J18" i="15"/>
  <c r="J17" i="15"/>
  <c r="J16" i="15"/>
  <c r="P16" i="15" s="1"/>
  <c r="J15" i="15"/>
  <c r="J14" i="15"/>
  <c r="J13" i="15"/>
  <c r="J12" i="15"/>
  <c r="K12" i="15" s="1"/>
  <c r="J11" i="15"/>
  <c r="J10" i="15"/>
  <c r="P10" i="15" s="1"/>
  <c r="P26" i="1" s="1"/>
  <c r="R26" i="1" s="1"/>
  <c r="L43" i="1"/>
  <c r="J36" i="1"/>
  <c r="J35" i="1"/>
  <c r="J34" i="1"/>
  <c r="H34" i="1"/>
  <c r="H35" i="1"/>
  <c r="G38" i="11"/>
  <c r="J38" i="11" s="1"/>
  <c r="O38" i="11" s="1"/>
  <c r="P38" i="11" s="1"/>
  <c r="G41" i="11"/>
  <c r="J41" i="11" s="1"/>
  <c r="O41" i="11" s="1"/>
  <c r="P41" i="11" s="1"/>
  <c r="K39" i="11"/>
  <c r="K59" i="11"/>
  <c r="K65" i="11"/>
  <c r="K68" i="11"/>
  <c r="G40" i="11"/>
  <c r="J40" i="11" s="1"/>
  <c r="O40" i="11" s="1"/>
  <c r="P40" i="11" s="1"/>
  <c r="J39" i="11"/>
  <c r="O39" i="11" s="1"/>
  <c r="P39" i="11" s="1"/>
  <c r="G36" i="11"/>
  <c r="K33" i="6"/>
  <c r="O33" i="6" s="1"/>
  <c r="R32" i="6"/>
  <c r="P32" i="6"/>
  <c r="K32" i="6"/>
  <c r="H32" i="6"/>
  <c r="K31" i="6"/>
  <c r="O31" i="6" s="1"/>
  <c r="H31" i="6"/>
  <c r="K30" i="6"/>
  <c r="O30" i="6" s="1"/>
  <c r="H30" i="6"/>
  <c r="C12" i="12"/>
  <c r="L40" i="10" l="1"/>
  <c r="K99" i="6"/>
  <c r="K98" i="6"/>
  <c r="I79" i="1"/>
  <c r="K58" i="11"/>
  <c r="D84" i="12"/>
  <c r="E84" i="12" s="1"/>
  <c r="F84" i="12" s="1"/>
  <c r="J58" i="11"/>
  <c r="J16" i="11"/>
  <c r="K45" i="11"/>
  <c r="C36" i="12"/>
  <c r="L64" i="6"/>
  <c r="M64" i="6" s="1"/>
  <c r="Q64" i="6"/>
  <c r="K89" i="6"/>
  <c r="P51" i="1"/>
  <c r="I88" i="1"/>
  <c r="I80" i="1"/>
  <c r="P80" i="1" s="1"/>
  <c r="O41" i="1"/>
  <c r="K81" i="1"/>
  <c r="I54" i="1"/>
  <c r="R53" i="1"/>
  <c r="I90" i="1"/>
  <c r="P90" i="1" s="1"/>
  <c r="L42" i="1"/>
  <c r="M42" i="1" s="1"/>
  <c r="P79" i="1"/>
  <c r="P54" i="11"/>
  <c r="C20" i="12"/>
  <c r="J55" i="11"/>
  <c r="O55" i="11" s="1"/>
  <c r="P55" i="11" s="1"/>
  <c r="J56" i="11"/>
  <c r="O56" i="11" s="1"/>
  <c r="P56" i="11" s="1"/>
  <c r="K53" i="11"/>
  <c r="K54" i="11"/>
  <c r="K57" i="11"/>
  <c r="K16" i="11"/>
  <c r="J52" i="11"/>
  <c r="O52" i="11" s="1"/>
  <c r="P52" i="11" s="1"/>
  <c r="P11" i="15"/>
  <c r="Q11" i="15" s="1"/>
  <c r="K11" i="15"/>
  <c r="L11" i="15" s="1"/>
  <c r="K10" i="15"/>
  <c r="L10" i="15" s="1"/>
  <c r="L12" i="15"/>
  <c r="P12" i="15"/>
  <c r="P14" i="15"/>
  <c r="L14" i="15"/>
  <c r="P15" i="15"/>
  <c r="L15" i="15"/>
  <c r="P17" i="15"/>
  <c r="P24" i="15"/>
  <c r="L24" i="15"/>
  <c r="P13" i="15"/>
  <c r="L13" i="15"/>
  <c r="P23" i="15"/>
  <c r="L23" i="15"/>
  <c r="P22" i="15"/>
  <c r="L22" i="15"/>
  <c r="P21" i="15"/>
  <c r="L21" i="15"/>
  <c r="P20" i="15"/>
  <c r="L20" i="15"/>
  <c r="P19" i="15"/>
  <c r="L19" i="15"/>
  <c r="P18" i="15"/>
  <c r="L18" i="15"/>
  <c r="L17" i="15"/>
  <c r="L16" i="15"/>
  <c r="P36" i="1"/>
  <c r="I71" i="1"/>
  <c r="P71" i="1" s="1"/>
  <c r="K24" i="1"/>
  <c r="L24" i="1" s="1"/>
  <c r="R23" i="1"/>
  <c r="K50" i="1"/>
  <c r="K82" i="1" s="1"/>
  <c r="R49" i="1"/>
  <c r="O23" i="1"/>
  <c r="L23" i="1"/>
  <c r="O25" i="1"/>
  <c r="L25" i="1"/>
  <c r="Q25" i="1" s="1"/>
  <c r="Q35" i="10"/>
  <c r="Q36" i="10"/>
  <c r="J40" i="10"/>
  <c r="P40" i="10"/>
  <c r="P64" i="6" s="1"/>
  <c r="Q34" i="10"/>
  <c r="L58" i="6"/>
  <c r="O55" i="6"/>
  <c r="M55" i="6"/>
  <c r="Q55" i="6"/>
  <c r="O59" i="6"/>
  <c r="L57" i="6"/>
  <c r="Q57" i="6" s="1"/>
  <c r="K59" i="6"/>
  <c r="L56" i="6"/>
  <c r="Q56" i="6" s="1"/>
  <c r="L51" i="6"/>
  <c r="M51" i="6" s="1"/>
  <c r="L50" i="6"/>
  <c r="Q50" i="6" s="1"/>
  <c r="O53" i="6"/>
  <c r="R52" i="6"/>
  <c r="L49" i="6"/>
  <c r="Q49" i="6" s="1"/>
  <c r="P51" i="6"/>
  <c r="L48" i="6"/>
  <c r="M48" i="6" s="1"/>
  <c r="K53" i="6"/>
  <c r="L52" i="6"/>
  <c r="Q52" i="6" s="1"/>
  <c r="L62" i="6"/>
  <c r="M62" i="6" s="1"/>
  <c r="M43" i="7"/>
  <c r="K45" i="7"/>
  <c r="L44" i="7"/>
  <c r="M44" i="7" s="1"/>
  <c r="L42" i="7"/>
  <c r="M42" i="7" s="1"/>
  <c r="Q57" i="7"/>
  <c r="I73" i="7"/>
  <c r="I74" i="7"/>
  <c r="I82" i="7"/>
  <c r="L81" i="7"/>
  <c r="I72" i="7"/>
  <c r="Q52" i="7"/>
  <c r="Q10" i="15"/>
  <c r="L48" i="1"/>
  <c r="M48" i="1" s="1"/>
  <c r="O48" i="1"/>
  <c r="I45" i="1"/>
  <c r="I46" i="1" s="1"/>
  <c r="K44" i="1"/>
  <c r="O44" i="1" s="1"/>
  <c r="R48" i="1"/>
  <c r="K53" i="1"/>
  <c r="K90" i="1" s="1"/>
  <c r="O65" i="6"/>
  <c r="L61" i="6"/>
  <c r="K65" i="6"/>
  <c r="L63" i="6"/>
  <c r="K34" i="6"/>
  <c r="K56" i="7"/>
  <c r="L55" i="7"/>
  <c r="L89" i="7" s="1"/>
  <c r="Q49" i="7"/>
  <c r="L52" i="7"/>
  <c r="K48" i="7"/>
  <c r="K53" i="7" s="1"/>
  <c r="M47" i="7"/>
  <c r="M49" i="7"/>
  <c r="R51" i="1"/>
  <c r="P52" i="1"/>
  <c r="K51" i="1"/>
  <c r="K52" i="1"/>
  <c r="P53" i="1"/>
  <c r="R52" i="1"/>
  <c r="O49" i="1"/>
  <c r="L49" i="1"/>
  <c r="Q49" i="1" s="1"/>
  <c r="R36" i="1"/>
  <c r="K40" i="1"/>
  <c r="K39" i="1"/>
  <c r="O42" i="1"/>
  <c r="L41" i="1"/>
  <c r="K37" i="1"/>
  <c r="K38" i="1"/>
  <c r="K34" i="1"/>
  <c r="K35" i="1"/>
  <c r="O35" i="1" s="1"/>
  <c r="K36" i="1"/>
  <c r="K49" i="11"/>
  <c r="J47" i="11"/>
  <c r="O47" i="11" s="1"/>
  <c r="P47" i="11" s="1"/>
  <c r="H40" i="11"/>
  <c r="K40" i="11" s="1"/>
  <c r="K48" i="11"/>
  <c r="K37" i="11"/>
  <c r="J45" i="11"/>
  <c r="O45" i="11" s="1"/>
  <c r="P45" i="11" s="1"/>
  <c r="J46" i="11"/>
  <c r="O46" i="11" s="1"/>
  <c r="P46" i="11" s="1"/>
  <c r="J45" i="15"/>
  <c r="K38" i="11"/>
  <c r="H41" i="11"/>
  <c r="K41" i="11" s="1"/>
  <c r="J37" i="11"/>
  <c r="O37" i="11" s="1"/>
  <c r="O32" i="6"/>
  <c r="O34" i="6" s="1"/>
  <c r="L31" i="6"/>
  <c r="L33" i="6"/>
  <c r="Q33" i="6" s="1"/>
  <c r="L32" i="6"/>
  <c r="Q32" i="6" s="1"/>
  <c r="L30" i="6"/>
  <c r="N23" i="6"/>
  <c r="N33" i="6" s="1"/>
  <c r="R33" i="6" s="1"/>
  <c r="G23" i="11"/>
  <c r="H23" i="11" s="1"/>
  <c r="H24" i="11"/>
  <c r="H15" i="11"/>
  <c r="O14" i="7"/>
  <c r="O11" i="7"/>
  <c r="O39" i="7" s="1"/>
  <c r="Q47" i="7" s="1"/>
  <c r="H11" i="7"/>
  <c r="O10" i="7"/>
  <c r="O35" i="7" s="1"/>
  <c r="Q50" i="7" s="1"/>
  <c r="N41" i="6"/>
  <c r="N48" i="6" s="1"/>
  <c r="J16" i="1"/>
  <c r="K16" i="1" s="1"/>
  <c r="J15" i="1"/>
  <c r="K15" i="1" s="1"/>
  <c r="O15" i="1" s="1"/>
  <c r="H16" i="1"/>
  <c r="H15" i="1"/>
  <c r="D81" i="12" l="1"/>
  <c r="E81" i="12" s="1"/>
  <c r="E87" i="12" s="1"/>
  <c r="M52" i="6"/>
  <c r="O58" i="11"/>
  <c r="P58" i="11" s="1"/>
  <c r="P37" i="11"/>
  <c r="O79" i="11"/>
  <c r="Q40" i="10"/>
  <c r="R64" i="6" s="1"/>
  <c r="S64" i="6" s="1"/>
  <c r="O40" i="1"/>
  <c r="K80" i="1"/>
  <c r="I83" i="1"/>
  <c r="L39" i="1"/>
  <c r="M39" i="1" s="1"/>
  <c r="L51" i="1"/>
  <c r="M51" i="1" s="1"/>
  <c r="K88" i="1"/>
  <c r="P83" i="1"/>
  <c r="Q41" i="1"/>
  <c r="L81" i="1"/>
  <c r="M81" i="1" s="1"/>
  <c r="O52" i="1"/>
  <c r="K89" i="1"/>
  <c r="Q42" i="1"/>
  <c r="P88" i="1"/>
  <c r="P91" i="1" s="1"/>
  <c r="I91" i="1"/>
  <c r="L102" i="1"/>
  <c r="Q102" i="1" s="1"/>
  <c r="L99" i="1"/>
  <c r="Q99" i="1" s="1"/>
  <c r="Q106" i="1" s="1"/>
  <c r="P45" i="15"/>
  <c r="K45" i="15"/>
  <c r="L45" i="15"/>
  <c r="O38" i="1"/>
  <c r="K73" i="1"/>
  <c r="L37" i="1"/>
  <c r="Q37" i="1" s="1"/>
  <c r="K72" i="1"/>
  <c r="I74" i="1"/>
  <c r="P74" i="1"/>
  <c r="O53" i="1"/>
  <c r="Q24" i="1"/>
  <c r="L70" i="1"/>
  <c r="O36" i="1"/>
  <c r="K71" i="1"/>
  <c r="O24" i="1"/>
  <c r="O27" i="1" s="1"/>
  <c r="K70" i="1"/>
  <c r="Q58" i="6"/>
  <c r="Q59" i="6" s="1"/>
  <c r="L89" i="6"/>
  <c r="M89" i="6" s="1"/>
  <c r="Q63" i="6"/>
  <c r="L99" i="6"/>
  <c r="M99" i="6" s="1"/>
  <c r="M61" i="6"/>
  <c r="L97" i="6"/>
  <c r="M97" i="6" s="1"/>
  <c r="Q62" i="6"/>
  <c r="L98" i="6"/>
  <c r="M98" i="6" s="1"/>
  <c r="L27" i="1"/>
  <c r="K27" i="1"/>
  <c r="M24" i="1"/>
  <c r="L44" i="1"/>
  <c r="Q44" i="1" s="1"/>
  <c r="O50" i="1"/>
  <c r="L50" i="1"/>
  <c r="Q50" i="1" s="1"/>
  <c r="M25" i="1"/>
  <c r="Q23" i="1"/>
  <c r="M23" i="1"/>
  <c r="M58" i="6"/>
  <c r="R48" i="6"/>
  <c r="R53" i="6" s="1"/>
  <c r="N55" i="6"/>
  <c r="L59" i="6"/>
  <c r="M56" i="6"/>
  <c r="S56" i="6" s="1"/>
  <c r="M57" i="6"/>
  <c r="S57" i="6" s="1"/>
  <c r="N62" i="6"/>
  <c r="R62" i="6" s="1"/>
  <c r="S52" i="6"/>
  <c r="P48" i="6"/>
  <c r="P53" i="6" s="1"/>
  <c r="Q51" i="6"/>
  <c r="S51" i="6" s="1"/>
  <c r="M50" i="6"/>
  <c r="S50" i="6" s="1"/>
  <c r="M49" i="6"/>
  <c r="S49" i="6" s="1"/>
  <c r="Q48" i="6"/>
  <c r="L53" i="6"/>
  <c r="M63" i="6"/>
  <c r="N48" i="7"/>
  <c r="N49" i="7"/>
  <c r="N50" i="7"/>
  <c r="N51" i="7"/>
  <c r="K81" i="7" s="1"/>
  <c r="M81" i="7" s="1"/>
  <c r="N52" i="7"/>
  <c r="K82" i="7" s="1"/>
  <c r="N47" i="7"/>
  <c r="O43" i="7"/>
  <c r="Q43" i="7" s="1"/>
  <c r="O42" i="7"/>
  <c r="Q42" i="7" s="1"/>
  <c r="N43" i="7"/>
  <c r="N44" i="7"/>
  <c r="N42" i="7"/>
  <c r="M45" i="7"/>
  <c r="L45" i="7"/>
  <c r="K57" i="7"/>
  <c r="M52" i="7"/>
  <c r="L82" i="7"/>
  <c r="M55" i="7"/>
  <c r="Q48" i="1"/>
  <c r="L40" i="1"/>
  <c r="L53" i="1"/>
  <c r="Q61" i="6"/>
  <c r="L65" i="6"/>
  <c r="L56" i="7"/>
  <c r="L48" i="7"/>
  <c r="L53" i="7" s="1"/>
  <c r="Q53" i="7"/>
  <c r="O51" i="1"/>
  <c r="L52" i="1"/>
  <c r="M49" i="1"/>
  <c r="O34" i="1"/>
  <c r="K45" i="1"/>
  <c r="O39" i="1"/>
  <c r="O37" i="1"/>
  <c r="M41" i="1"/>
  <c r="L35" i="1"/>
  <c r="M35" i="1" s="1"/>
  <c r="L38" i="1"/>
  <c r="L34" i="1"/>
  <c r="L36" i="1"/>
  <c r="P33" i="6"/>
  <c r="L34" i="6"/>
  <c r="Q31" i="6"/>
  <c r="M31" i="6"/>
  <c r="M32" i="6"/>
  <c r="S32" i="6" s="1"/>
  <c r="M33" i="6"/>
  <c r="Q30" i="6"/>
  <c r="M30" i="6"/>
  <c r="O16" i="1"/>
  <c r="O17" i="1" s="1"/>
  <c r="L16" i="1"/>
  <c r="Q16" i="1" s="1"/>
  <c r="K17" i="1"/>
  <c r="L15" i="1"/>
  <c r="M15" i="1" s="1"/>
  <c r="J51" i="11"/>
  <c r="O51" i="11" s="1"/>
  <c r="P51" i="11" s="1"/>
  <c r="H51" i="11"/>
  <c r="K51" i="11" s="1"/>
  <c r="K50" i="11"/>
  <c r="M24" i="11"/>
  <c r="M23" i="11"/>
  <c r="J35" i="11"/>
  <c r="H43" i="11"/>
  <c r="K43" i="11" s="1"/>
  <c r="J43" i="11"/>
  <c r="O43" i="11" s="1"/>
  <c r="P43" i="11" s="1"/>
  <c r="J59" i="11"/>
  <c r="O59" i="11" s="1"/>
  <c r="H60" i="11"/>
  <c r="K60" i="11" s="1"/>
  <c r="J60" i="11"/>
  <c r="O60" i="11" s="1"/>
  <c r="P60" i="11" s="1"/>
  <c r="K61" i="11"/>
  <c r="O61" i="11"/>
  <c r="P61" i="11" s="1"/>
  <c r="H62" i="11"/>
  <c r="K62" i="11" s="1"/>
  <c r="J62" i="11"/>
  <c r="O62" i="11" s="1"/>
  <c r="H63" i="11"/>
  <c r="K63" i="11" s="1"/>
  <c r="J63" i="11"/>
  <c r="O64" i="11"/>
  <c r="P64" i="11" s="1"/>
  <c r="J71" i="11"/>
  <c r="O71" i="11" s="1"/>
  <c r="P71" i="11" s="1"/>
  <c r="H71" i="11"/>
  <c r="K71" i="11" s="1"/>
  <c r="J70" i="11"/>
  <c r="O70" i="11" s="1"/>
  <c r="P70" i="11" s="1"/>
  <c r="H70" i="11"/>
  <c r="K70" i="11" s="1"/>
  <c r="J69" i="11"/>
  <c r="H69" i="11"/>
  <c r="K69" i="11" s="1"/>
  <c r="H67" i="11"/>
  <c r="K67" i="11" s="1"/>
  <c r="J66" i="11"/>
  <c r="H66" i="11"/>
  <c r="K66" i="11" s="1"/>
  <c r="J65" i="11"/>
  <c r="J36" i="11"/>
  <c r="H36" i="11"/>
  <c r="K36" i="11" s="1"/>
  <c r="K15" i="11"/>
  <c r="P14" i="11"/>
  <c r="Q35" i="7"/>
  <c r="K35" i="7"/>
  <c r="L35" i="7" s="1"/>
  <c r="J11" i="1"/>
  <c r="J10" i="1"/>
  <c r="R10" i="1" s="1"/>
  <c r="L82" i="1" l="1"/>
  <c r="M82" i="1" s="1"/>
  <c r="P62" i="11"/>
  <c r="O84" i="11"/>
  <c r="P59" i="11"/>
  <c r="O63" i="11"/>
  <c r="I108" i="1"/>
  <c r="Q51" i="1"/>
  <c r="L88" i="1"/>
  <c r="M88" i="1" s="1"/>
  <c r="Q52" i="1"/>
  <c r="L89" i="1"/>
  <c r="M89" i="1" s="1"/>
  <c r="Q39" i="1"/>
  <c r="Q53" i="1"/>
  <c r="L90" i="1"/>
  <c r="M90" i="1" s="1"/>
  <c r="Q40" i="1"/>
  <c r="L80" i="1"/>
  <c r="M80" i="1" s="1"/>
  <c r="P108" i="1"/>
  <c r="K91" i="1"/>
  <c r="M38" i="1"/>
  <c r="L73" i="1"/>
  <c r="M73" i="1" s="1"/>
  <c r="M37" i="1"/>
  <c r="L72" i="1"/>
  <c r="M72" i="1" s="1"/>
  <c r="Q36" i="1"/>
  <c r="L71" i="1"/>
  <c r="M71" i="1" s="1"/>
  <c r="M70" i="1"/>
  <c r="Q27" i="1"/>
  <c r="S63" i="6"/>
  <c r="Q65" i="6"/>
  <c r="M65" i="6"/>
  <c r="S58" i="6"/>
  <c r="M27" i="1"/>
  <c r="M44" i="1"/>
  <c r="M50" i="1"/>
  <c r="M53" i="1"/>
  <c r="Q38" i="1"/>
  <c r="P62" i="6"/>
  <c r="S62" i="6" s="1"/>
  <c r="R55" i="6"/>
  <c r="R59" i="6" s="1"/>
  <c r="P55" i="6"/>
  <c r="N61" i="6"/>
  <c r="M59" i="6"/>
  <c r="Q53" i="6"/>
  <c r="M53" i="6"/>
  <c r="S48" i="6"/>
  <c r="S33" i="6"/>
  <c r="N56" i="7"/>
  <c r="K90" i="7" s="1"/>
  <c r="N55" i="7"/>
  <c r="K89" i="7" s="1"/>
  <c r="M89" i="7" s="1"/>
  <c r="M56" i="7"/>
  <c r="M57" i="7" s="1"/>
  <c r="L90" i="7"/>
  <c r="L57" i="7"/>
  <c r="M48" i="7"/>
  <c r="M53" i="7" s="1"/>
  <c r="M40" i="1"/>
  <c r="M52" i="1"/>
  <c r="M34" i="1"/>
  <c r="L45" i="1"/>
  <c r="Q35" i="1"/>
  <c r="Q34" i="1"/>
  <c r="M36" i="1"/>
  <c r="M42" i="11"/>
  <c r="K42" i="11"/>
  <c r="N34" i="1"/>
  <c r="N37" i="1" s="1"/>
  <c r="P16" i="1"/>
  <c r="N35" i="1"/>
  <c r="R16" i="1"/>
  <c r="Q34" i="6"/>
  <c r="M34" i="6"/>
  <c r="Q36" i="7"/>
  <c r="J42" i="11"/>
  <c r="M35" i="11"/>
  <c r="O35" i="11" s="1"/>
  <c r="P35" i="11" s="1"/>
  <c r="M16" i="1"/>
  <c r="M17" i="1" s="1"/>
  <c r="Q15" i="1"/>
  <c r="Q17" i="1" s="1"/>
  <c r="L17" i="1"/>
  <c r="M50" i="11"/>
  <c r="J50" i="11"/>
  <c r="K35" i="11"/>
  <c r="O19" i="11"/>
  <c r="O66" i="11"/>
  <c r="P66" i="11" s="1"/>
  <c r="O69" i="11"/>
  <c r="P69" i="11" s="1"/>
  <c r="O65" i="11"/>
  <c r="O36" i="11"/>
  <c r="P36" i="11" s="1"/>
  <c r="J67" i="11"/>
  <c r="O67" i="11" s="1"/>
  <c r="P67" i="11" s="1"/>
  <c r="M35" i="7"/>
  <c r="K36" i="7"/>
  <c r="K11" i="1"/>
  <c r="P11" i="1"/>
  <c r="R11" i="1"/>
  <c r="H11" i="1"/>
  <c r="N13" i="6"/>
  <c r="N42" i="6" s="1"/>
  <c r="R42" i="6" s="1"/>
  <c r="K24" i="11"/>
  <c r="H25" i="11"/>
  <c r="K25" i="11" s="1"/>
  <c r="H26" i="11"/>
  <c r="K26" i="11" s="1"/>
  <c r="H27" i="11"/>
  <c r="K27" i="11" s="1"/>
  <c r="H28" i="11"/>
  <c r="K28" i="11" s="1"/>
  <c r="K23" i="11"/>
  <c r="J23" i="11"/>
  <c r="J24" i="11"/>
  <c r="J25" i="11"/>
  <c r="J26" i="11"/>
  <c r="H18" i="11"/>
  <c r="K18" i="11" s="1"/>
  <c r="J20" i="11"/>
  <c r="J21" i="11"/>
  <c r="R12" i="7"/>
  <c r="J13" i="11"/>
  <c r="K13" i="11" s="1"/>
  <c r="J27" i="11"/>
  <c r="O27" i="11" s="1"/>
  <c r="P27" i="11" s="1"/>
  <c r="J28" i="11"/>
  <c r="O28" i="11" s="1"/>
  <c r="P28" i="11" s="1"/>
  <c r="J11" i="11"/>
  <c r="J18" i="11"/>
  <c r="O18" i="11" s="1"/>
  <c r="J17" i="11"/>
  <c r="Q39" i="7"/>
  <c r="K39" i="7"/>
  <c r="L39" i="7" s="1"/>
  <c r="M39" i="7" s="1"/>
  <c r="K38" i="7"/>
  <c r="K32" i="7"/>
  <c r="K31" i="7"/>
  <c r="K30" i="7"/>
  <c r="L30" i="7" s="1"/>
  <c r="K29" i="7"/>
  <c r="L29" i="7" s="1"/>
  <c r="O26" i="7"/>
  <c r="K26" i="7"/>
  <c r="O23" i="7"/>
  <c r="G23" i="7"/>
  <c r="G42" i="7" s="1"/>
  <c r="H42" i="7" s="1"/>
  <c r="K25" i="7"/>
  <c r="K24" i="7"/>
  <c r="K23" i="7"/>
  <c r="O20" i="7"/>
  <c r="O19" i="7"/>
  <c r="G20" i="7"/>
  <c r="G25" i="7" s="1"/>
  <c r="G31" i="7" s="1"/>
  <c r="H31" i="7" s="1"/>
  <c r="G19" i="7"/>
  <c r="H19" i="7" s="1"/>
  <c r="K20" i="7"/>
  <c r="K19" i="7"/>
  <c r="O16" i="7"/>
  <c r="Q16" i="7" s="1"/>
  <c r="O15" i="7"/>
  <c r="Q44" i="7" s="1"/>
  <c r="Q45" i="7" s="1"/>
  <c r="G16" i="7"/>
  <c r="G15" i="7"/>
  <c r="K16" i="7"/>
  <c r="K15" i="7"/>
  <c r="K11" i="7"/>
  <c r="Q11" i="7"/>
  <c r="N45" i="6"/>
  <c r="N44" i="6"/>
  <c r="R44" i="6" s="1"/>
  <c r="N38" i="6"/>
  <c r="R38" i="6" s="1"/>
  <c r="R41" i="6"/>
  <c r="K41" i="6"/>
  <c r="H41" i="6"/>
  <c r="K44" i="6"/>
  <c r="O44" i="6" s="1"/>
  <c r="R43" i="6"/>
  <c r="P43" i="6"/>
  <c r="K43" i="6"/>
  <c r="O43" i="6" s="1"/>
  <c r="H43" i="6"/>
  <c r="K42" i="6"/>
  <c r="O42" i="6" s="1"/>
  <c r="G38" i="6"/>
  <c r="H38" i="6" s="1"/>
  <c r="K38" i="6"/>
  <c r="O38" i="6" s="1"/>
  <c r="R37" i="6"/>
  <c r="H37" i="6"/>
  <c r="K36" i="6"/>
  <c r="L36" i="6" s="1"/>
  <c r="Q36" i="6" s="1"/>
  <c r="P65" i="11" l="1"/>
  <c r="O81" i="11"/>
  <c r="N35" i="7"/>
  <c r="R35" i="7" s="1"/>
  <c r="R36" i="7" s="1"/>
  <c r="P63" i="11"/>
  <c r="P18" i="11"/>
  <c r="M91" i="1"/>
  <c r="L91" i="1"/>
  <c r="M90" i="7"/>
  <c r="L11" i="1"/>
  <c r="M11" i="1" s="1"/>
  <c r="K69" i="1"/>
  <c r="S53" i="6"/>
  <c r="P15" i="1"/>
  <c r="P17" i="1" s="1"/>
  <c r="R61" i="6"/>
  <c r="R65" i="6" s="1"/>
  <c r="P61" i="6"/>
  <c r="P59" i="6"/>
  <c r="S59" i="6" s="1"/>
  <c r="S55" i="6"/>
  <c r="P65" i="6"/>
  <c r="H15" i="7"/>
  <c r="Q26" i="7"/>
  <c r="L26" i="7"/>
  <c r="M26" i="7" s="1"/>
  <c r="L11" i="7"/>
  <c r="R11" i="7" s="1"/>
  <c r="H25" i="7"/>
  <c r="R15" i="1"/>
  <c r="R17" i="1" s="1"/>
  <c r="N38" i="1"/>
  <c r="N42" i="1" s="1"/>
  <c r="N40" i="1"/>
  <c r="R40" i="1" s="1"/>
  <c r="N41" i="1"/>
  <c r="N39" i="1"/>
  <c r="O42" i="11"/>
  <c r="P42" i="11" s="1"/>
  <c r="R35" i="1"/>
  <c r="P35" i="1"/>
  <c r="P34" i="1"/>
  <c r="R34" i="1"/>
  <c r="M11" i="11"/>
  <c r="O11" i="11" s="1"/>
  <c r="M13" i="11"/>
  <c r="O13" i="11" s="1"/>
  <c r="P13" i="11" s="1"/>
  <c r="N17" i="6"/>
  <c r="P38" i="6"/>
  <c r="P19" i="11"/>
  <c r="H23" i="7"/>
  <c r="G35" i="7"/>
  <c r="H35" i="7" s="1"/>
  <c r="H20" i="7"/>
  <c r="O50" i="11"/>
  <c r="P50" i="11" s="1"/>
  <c r="K72" i="11"/>
  <c r="L36" i="7"/>
  <c r="M36" i="7"/>
  <c r="O11" i="1"/>
  <c r="G29" i="7"/>
  <c r="H29" i="7" s="1"/>
  <c r="O24" i="7"/>
  <c r="Q24" i="7" s="1"/>
  <c r="G38" i="7"/>
  <c r="H38" i="7" s="1"/>
  <c r="O29" i="7"/>
  <c r="G39" i="7"/>
  <c r="H39" i="7" s="1"/>
  <c r="O16" i="11"/>
  <c r="O17" i="11"/>
  <c r="P17" i="11" s="1"/>
  <c r="O21" i="11"/>
  <c r="P21" i="11" s="1"/>
  <c r="O20" i="11"/>
  <c r="P20" i="11" s="1"/>
  <c r="M15" i="11"/>
  <c r="J15" i="11"/>
  <c r="O32" i="7"/>
  <c r="L38" i="7"/>
  <c r="K40" i="7"/>
  <c r="M29" i="7"/>
  <c r="L32" i="7"/>
  <c r="K33" i="7"/>
  <c r="M30" i="7"/>
  <c r="L31" i="7"/>
  <c r="K27" i="7"/>
  <c r="O25" i="7"/>
  <c r="G24" i="7"/>
  <c r="H44" i="7" s="1"/>
  <c r="L23" i="7"/>
  <c r="Q23" i="7"/>
  <c r="L24" i="7"/>
  <c r="L25" i="7"/>
  <c r="Q19" i="7"/>
  <c r="Q20" i="7"/>
  <c r="K21" i="7"/>
  <c r="N19" i="7" s="1"/>
  <c r="L19" i="7"/>
  <c r="M19" i="7" s="1"/>
  <c r="L20" i="7"/>
  <c r="Q15" i="7"/>
  <c r="L16" i="7"/>
  <c r="L15" i="7"/>
  <c r="P44" i="6"/>
  <c r="P42" i="6"/>
  <c r="G44" i="6"/>
  <c r="H44" i="6" s="1"/>
  <c r="L41" i="6"/>
  <c r="O41" i="6"/>
  <c r="P41" i="6"/>
  <c r="L44" i="6"/>
  <c r="M44" i="6" s="1"/>
  <c r="L42" i="6"/>
  <c r="L43" i="6"/>
  <c r="K37" i="6"/>
  <c r="O37" i="6" s="1"/>
  <c r="M36" i="6"/>
  <c r="O36" i="6"/>
  <c r="L38" i="6"/>
  <c r="Q38" i="6" s="1"/>
  <c r="P37" i="6"/>
  <c r="N27" i="6"/>
  <c r="R45" i="6"/>
  <c r="R46" i="6" s="1"/>
  <c r="P45" i="6"/>
  <c r="K45" i="6"/>
  <c r="K27" i="6"/>
  <c r="K79" i="6" s="1"/>
  <c r="I22" i="6"/>
  <c r="I21" i="6"/>
  <c r="K23" i="6"/>
  <c r="P23" i="6"/>
  <c r="R23" i="6"/>
  <c r="H23" i="6"/>
  <c r="G17" i="6"/>
  <c r="H22" i="6"/>
  <c r="N38" i="7" l="1"/>
  <c r="P35" i="7"/>
  <c r="P36" i="7" s="1"/>
  <c r="S35" i="7"/>
  <c r="S36" i="7" s="1"/>
  <c r="P16" i="11"/>
  <c r="O82" i="11"/>
  <c r="N21" i="6"/>
  <c r="R21" i="6" s="1"/>
  <c r="P17" i="6"/>
  <c r="S61" i="6"/>
  <c r="S65" i="6"/>
  <c r="Q11" i="1"/>
  <c r="L69" i="1"/>
  <c r="M69" i="1" s="1"/>
  <c r="K21" i="6"/>
  <c r="L21" i="6" s="1"/>
  <c r="I80" i="6"/>
  <c r="L23" i="6"/>
  <c r="K82" i="6"/>
  <c r="K22" i="6"/>
  <c r="O22" i="6" s="1"/>
  <c r="I81" i="6"/>
  <c r="O45" i="6"/>
  <c r="O46" i="6" s="1"/>
  <c r="K83" i="6"/>
  <c r="P25" i="1"/>
  <c r="P27" i="1" s="1"/>
  <c r="R25" i="1"/>
  <c r="R27" i="1" s="1"/>
  <c r="O39" i="6"/>
  <c r="M11" i="7"/>
  <c r="L73" i="7"/>
  <c r="L74" i="7"/>
  <c r="P41" i="1"/>
  <c r="R41" i="1"/>
  <c r="R42" i="1"/>
  <c r="P42" i="1"/>
  <c r="P37" i="1"/>
  <c r="P40" i="1"/>
  <c r="R37" i="1"/>
  <c r="R38" i="1"/>
  <c r="P38" i="1"/>
  <c r="P39" i="1"/>
  <c r="R39" i="1"/>
  <c r="P11" i="11"/>
  <c r="G21" i="6"/>
  <c r="H21" i="6" s="1"/>
  <c r="G33" i="6"/>
  <c r="H33" i="6" s="1"/>
  <c r="N36" i="6"/>
  <c r="N31" i="6"/>
  <c r="R27" i="6"/>
  <c r="N30" i="6"/>
  <c r="N23" i="7"/>
  <c r="N24" i="7"/>
  <c r="S24" i="7" s="1"/>
  <c r="N26" i="7"/>
  <c r="K74" i="7" s="1"/>
  <c r="N25" i="7"/>
  <c r="N20" i="7"/>
  <c r="N31" i="7"/>
  <c r="N32" i="7"/>
  <c r="N30" i="7"/>
  <c r="N29" i="7"/>
  <c r="J21" i="10"/>
  <c r="J14" i="10"/>
  <c r="J22" i="10"/>
  <c r="P22" i="10"/>
  <c r="J26" i="10"/>
  <c r="P18" i="10"/>
  <c r="J13" i="10"/>
  <c r="J27" i="10"/>
  <c r="P25" i="10"/>
  <c r="J25" i="10"/>
  <c r="P17" i="10"/>
  <c r="P28" i="10"/>
  <c r="J24" i="10"/>
  <c r="J16" i="10"/>
  <c r="P16" i="10"/>
  <c r="P21" i="10"/>
  <c r="J28" i="10"/>
  <c r="P23" i="10"/>
  <c r="J15" i="10"/>
  <c r="J20" i="10"/>
  <c r="P20" i="10"/>
  <c r="P19" i="10"/>
  <c r="J19" i="10"/>
  <c r="P26" i="10"/>
  <c r="P27" i="10"/>
  <c r="Q29" i="7"/>
  <c r="H24" i="7"/>
  <c r="G30" i="7"/>
  <c r="H30" i="7" s="1"/>
  <c r="O31" i="7"/>
  <c r="O30" i="7"/>
  <c r="O38" i="7" s="1"/>
  <c r="Q38" i="7" s="1"/>
  <c r="O15" i="11"/>
  <c r="Q32" i="7"/>
  <c r="L40" i="7"/>
  <c r="M38" i="7"/>
  <c r="M40" i="7" s="1"/>
  <c r="M31" i="7"/>
  <c r="M32" i="7"/>
  <c r="L33" i="7"/>
  <c r="Q21" i="7"/>
  <c r="Q25" i="7"/>
  <c r="L27" i="7"/>
  <c r="M23" i="7"/>
  <c r="M25" i="7"/>
  <c r="M24" i="7"/>
  <c r="M20" i="7"/>
  <c r="M21" i="7" s="1"/>
  <c r="L21" i="7"/>
  <c r="M16" i="7"/>
  <c r="M15" i="7"/>
  <c r="Q41" i="6"/>
  <c r="P46" i="6"/>
  <c r="K46" i="6"/>
  <c r="Q44" i="6"/>
  <c r="S44" i="6" s="1"/>
  <c r="M41" i="6"/>
  <c r="Q43" i="6"/>
  <c r="M43" i="6"/>
  <c r="Q42" i="6"/>
  <c r="M42" i="6"/>
  <c r="K39" i="6"/>
  <c r="L37" i="6"/>
  <c r="M38" i="6"/>
  <c r="S38" i="6" s="1"/>
  <c r="L45" i="6"/>
  <c r="P27" i="6"/>
  <c r="L27" i="6"/>
  <c r="O27" i="6"/>
  <c r="O23" i="6"/>
  <c r="P21" i="6"/>
  <c r="M23" i="6"/>
  <c r="Q21" i="6"/>
  <c r="L22" i="6"/>
  <c r="Q22" i="6" s="1"/>
  <c r="H18" i="6"/>
  <c r="M74" i="7" l="1"/>
  <c r="P15" i="11"/>
  <c r="O80" i="11"/>
  <c r="O21" i="6"/>
  <c r="M21" i="6"/>
  <c r="Q27" i="6"/>
  <c r="L79" i="6"/>
  <c r="Q45" i="6"/>
  <c r="Q46" i="6" s="1"/>
  <c r="L83" i="6"/>
  <c r="M83" i="6" s="1"/>
  <c r="Q23" i="6"/>
  <c r="S23" i="6" s="1"/>
  <c r="L82" i="6"/>
  <c r="M82" i="6" s="1"/>
  <c r="Q22" i="10"/>
  <c r="Q20" i="10"/>
  <c r="G36" i="6"/>
  <c r="G42" i="6" s="1"/>
  <c r="H42" i="6" s="1"/>
  <c r="S56" i="7"/>
  <c r="R56" i="7"/>
  <c r="P56" i="7"/>
  <c r="S55" i="7"/>
  <c r="R55" i="7"/>
  <c r="P55" i="7"/>
  <c r="P51" i="7"/>
  <c r="R51" i="7"/>
  <c r="S51" i="7"/>
  <c r="S52" i="7"/>
  <c r="R52" i="7"/>
  <c r="P52" i="7"/>
  <c r="P45" i="1"/>
  <c r="P57" i="1" s="1"/>
  <c r="S41" i="6"/>
  <c r="S29" i="7"/>
  <c r="S49" i="7"/>
  <c r="R49" i="7"/>
  <c r="P49" i="7"/>
  <c r="P50" i="7"/>
  <c r="R50" i="7"/>
  <c r="S50" i="7"/>
  <c r="S47" i="7"/>
  <c r="P47" i="7"/>
  <c r="R47" i="7"/>
  <c r="S48" i="7"/>
  <c r="P48" i="7"/>
  <c r="R48" i="7"/>
  <c r="P36" i="6"/>
  <c r="R36" i="6"/>
  <c r="R39" i="6" s="1"/>
  <c r="R31" i="6"/>
  <c r="P31" i="6"/>
  <c r="R30" i="6"/>
  <c r="R34" i="6" s="1"/>
  <c r="P30" i="6"/>
  <c r="S42" i="6"/>
  <c r="S21" i="6"/>
  <c r="S43" i="6"/>
  <c r="P19" i="7"/>
  <c r="R19" i="7"/>
  <c r="P23" i="7"/>
  <c r="R23" i="7"/>
  <c r="S19" i="7"/>
  <c r="P20" i="7"/>
  <c r="R20" i="7"/>
  <c r="R30" i="7"/>
  <c r="P30" i="7"/>
  <c r="R32" i="7"/>
  <c r="S32" i="7"/>
  <c r="P32" i="7"/>
  <c r="S23" i="7"/>
  <c r="R26" i="7"/>
  <c r="S26" i="7"/>
  <c r="P26" i="7"/>
  <c r="P24" i="7"/>
  <c r="R24" i="7"/>
  <c r="P29" i="7"/>
  <c r="R29" i="7"/>
  <c r="R31" i="7"/>
  <c r="P31" i="7"/>
  <c r="P25" i="7"/>
  <c r="R25" i="7"/>
  <c r="M33" i="7"/>
  <c r="S20" i="7"/>
  <c r="Q16" i="10"/>
  <c r="Q19" i="10"/>
  <c r="Q25" i="10"/>
  <c r="Q21" i="10"/>
  <c r="Q27" i="10"/>
  <c r="P24" i="10"/>
  <c r="Q24" i="10" s="1"/>
  <c r="J23" i="10"/>
  <c r="Q23" i="10" s="1"/>
  <c r="Q26" i="10"/>
  <c r="J18" i="10"/>
  <c r="Q18" i="10" s="1"/>
  <c r="J17" i="10"/>
  <c r="Q17" i="10" s="1"/>
  <c r="Q27" i="7"/>
  <c r="S25" i="7"/>
  <c r="Q40" i="7"/>
  <c r="Q31" i="7"/>
  <c r="S31" i="7" s="1"/>
  <c r="Q30" i="7"/>
  <c r="S30" i="7" s="1"/>
  <c r="M27" i="7"/>
  <c r="L46" i="6"/>
  <c r="Q37" i="6"/>
  <c r="Q39" i="6" s="1"/>
  <c r="L39" i="6"/>
  <c r="M37" i="6"/>
  <c r="M45" i="6"/>
  <c r="M27" i="6"/>
  <c r="M22" i="6"/>
  <c r="I29" i="10"/>
  <c r="P13" i="10"/>
  <c r="S27" i="6" l="1"/>
  <c r="H36" i="6"/>
  <c r="S57" i="7"/>
  <c r="R57" i="7"/>
  <c r="R53" i="7"/>
  <c r="P53" i="7"/>
  <c r="S53" i="7"/>
  <c r="S27" i="7"/>
  <c r="R27" i="7"/>
  <c r="P34" i="6"/>
  <c r="S34" i="6" s="1"/>
  <c r="S31" i="6"/>
  <c r="P39" i="6"/>
  <c r="S36" i="6"/>
  <c r="S30" i="6"/>
  <c r="M46" i="6"/>
  <c r="S46" i="6" s="1"/>
  <c r="S45" i="6"/>
  <c r="M39" i="6"/>
  <c r="S37" i="6"/>
  <c r="P33" i="7"/>
  <c r="R33" i="7"/>
  <c r="S21" i="7"/>
  <c r="P27" i="7"/>
  <c r="R21" i="7"/>
  <c r="P21" i="7"/>
  <c r="Q33" i="7"/>
  <c r="S33" i="7"/>
  <c r="P15" i="10"/>
  <c r="Q15" i="10" s="1"/>
  <c r="Q13" i="10"/>
  <c r="Q28" i="10"/>
  <c r="H29" i="10"/>
  <c r="K24" i="6" s="1"/>
  <c r="O73" i="6" s="1"/>
  <c r="P14" i="10"/>
  <c r="S39" i="6" l="1"/>
  <c r="J29" i="10"/>
  <c r="O24" i="6" s="1"/>
  <c r="O25" i="6" s="1"/>
  <c r="P29" i="10"/>
  <c r="P24" i="6" s="1"/>
  <c r="K29" i="10"/>
  <c r="Q24" i="6" s="1"/>
  <c r="Q25" i="6" s="1"/>
  <c r="Q14" i="10"/>
  <c r="Q29" i="10" s="1"/>
  <c r="R24" i="6" s="1"/>
  <c r="K25" i="6" l="1"/>
  <c r="L29" i="10"/>
  <c r="K18" i="6"/>
  <c r="O18" i="6" s="1"/>
  <c r="R17" i="6"/>
  <c r="K17" i="6"/>
  <c r="O17" i="6" s="1"/>
  <c r="H17" i="6"/>
  <c r="N14" i="6"/>
  <c r="P14" i="6" s="1"/>
  <c r="K14" i="6"/>
  <c r="L14" i="6" s="1"/>
  <c r="Q14" i="6" s="1"/>
  <c r="H14" i="6"/>
  <c r="N10" i="6"/>
  <c r="M24" i="6" l="1"/>
  <c r="L25" i="6"/>
  <c r="N18" i="6"/>
  <c r="P18" i="6" s="1"/>
  <c r="P19" i="6" s="1"/>
  <c r="L17" i="6"/>
  <c r="Q17" i="6" s="1"/>
  <c r="K19" i="6"/>
  <c r="L18" i="6"/>
  <c r="M18" i="6" s="1"/>
  <c r="O19" i="6"/>
  <c r="M14" i="6"/>
  <c r="R14" i="6"/>
  <c r="O14" i="6"/>
  <c r="R106" i="7"/>
  <c r="R105" i="7"/>
  <c r="R104" i="7"/>
  <c r="L103" i="7"/>
  <c r="R103" i="7" s="1"/>
  <c r="L102" i="7"/>
  <c r="R102" i="7" s="1"/>
  <c r="L101" i="7"/>
  <c r="R101" i="7" s="1"/>
  <c r="L100" i="7"/>
  <c r="R100" i="7" s="1"/>
  <c r="L99" i="7"/>
  <c r="R99" i="7" s="1"/>
  <c r="L98" i="7"/>
  <c r="R98" i="7" s="1"/>
  <c r="L97" i="7"/>
  <c r="R97" i="7" s="1"/>
  <c r="M92" i="7"/>
  <c r="L92" i="7"/>
  <c r="K92" i="7"/>
  <c r="J92" i="7"/>
  <c r="I92" i="7"/>
  <c r="Q90" i="7"/>
  <c r="Q89" i="7"/>
  <c r="L84" i="7"/>
  <c r="K84" i="7"/>
  <c r="J84" i="7"/>
  <c r="I84" i="7"/>
  <c r="Q82" i="7"/>
  <c r="M82" i="7"/>
  <c r="M84" i="7" s="1"/>
  <c r="Q81" i="7"/>
  <c r="Q75" i="7"/>
  <c r="Q74" i="7"/>
  <c r="Q73" i="7"/>
  <c r="Q72" i="7"/>
  <c r="Q71" i="7"/>
  <c r="Q76" i="7" s="1"/>
  <c r="Q14" i="7"/>
  <c r="K14" i="7"/>
  <c r="H14" i="7"/>
  <c r="Q10" i="7"/>
  <c r="K10" i="7"/>
  <c r="H10" i="7"/>
  <c r="Q114" i="6"/>
  <c r="Q113" i="6"/>
  <c r="Q112" i="6"/>
  <c r="L111" i="6"/>
  <c r="Q111" i="6" s="1"/>
  <c r="L110" i="6"/>
  <c r="Q110" i="6" s="1"/>
  <c r="L109" i="6"/>
  <c r="Q109" i="6" s="1"/>
  <c r="L108" i="6"/>
  <c r="Q108" i="6" s="1"/>
  <c r="L107" i="6"/>
  <c r="Q107" i="6" s="1"/>
  <c r="L106" i="6"/>
  <c r="Q106" i="6" s="1"/>
  <c r="L105" i="6"/>
  <c r="Q105" i="6" s="1"/>
  <c r="M100" i="6"/>
  <c r="L100" i="6"/>
  <c r="K100" i="6"/>
  <c r="J100" i="6"/>
  <c r="I100" i="6"/>
  <c r="P98" i="6"/>
  <c r="P97" i="6"/>
  <c r="L92" i="6"/>
  <c r="K92" i="6"/>
  <c r="J92" i="6"/>
  <c r="I92" i="6"/>
  <c r="P90" i="6"/>
  <c r="M90" i="6"/>
  <c r="M92" i="6" s="1"/>
  <c r="P89" i="6"/>
  <c r="P83" i="6"/>
  <c r="P82" i="6"/>
  <c r="P81" i="6"/>
  <c r="P80" i="6"/>
  <c r="R28" i="6"/>
  <c r="P28" i="6"/>
  <c r="K28" i="6"/>
  <c r="H27" i="6"/>
  <c r="R13" i="6"/>
  <c r="P13" i="6"/>
  <c r="K13" i="6"/>
  <c r="K80" i="6" s="1"/>
  <c r="H13" i="6"/>
  <c r="R10" i="6"/>
  <c r="R11" i="6" s="1"/>
  <c r="P10" i="6"/>
  <c r="P11" i="6" s="1"/>
  <c r="K10" i="6"/>
  <c r="H10" i="6"/>
  <c r="R47" i="1"/>
  <c r="R54" i="1" s="1"/>
  <c r="P47" i="1"/>
  <c r="P54" i="1" s="1"/>
  <c r="K47" i="1"/>
  <c r="K54" i="1" l="1"/>
  <c r="K79" i="1"/>
  <c r="O10" i="6"/>
  <c r="O11" i="6" s="1"/>
  <c r="K81" i="6"/>
  <c r="K84" i="6" s="1"/>
  <c r="K17" i="7"/>
  <c r="N14" i="7" s="1"/>
  <c r="O47" i="1"/>
  <c r="O54" i="1" s="1"/>
  <c r="S14" i="6"/>
  <c r="P15" i="6"/>
  <c r="M25" i="6"/>
  <c r="S24" i="6"/>
  <c r="Q17" i="7"/>
  <c r="Q12" i="7"/>
  <c r="Q60" i="7" s="1"/>
  <c r="Q92" i="7"/>
  <c r="Q84" i="7"/>
  <c r="K12" i="7"/>
  <c r="N10" i="7" s="1"/>
  <c r="R107" i="7"/>
  <c r="L10" i="7"/>
  <c r="L72" i="7" s="1"/>
  <c r="Q18" i="6"/>
  <c r="Q19" i="6" s="1"/>
  <c r="R18" i="6"/>
  <c r="R19" i="6" s="1"/>
  <c r="N22" i="6"/>
  <c r="M17" i="6"/>
  <c r="L19" i="6"/>
  <c r="O13" i="6"/>
  <c r="O15" i="6" s="1"/>
  <c r="K15" i="6"/>
  <c r="R15" i="6"/>
  <c r="P92" i="6"/>
  <c r="L13" i="6"/>
  <c r="M79" i="6"/>
  <c r="P100" i="6"/>
  <c r="I84" i="6"/>
  <c r="I117" i="6" s="1"/>
  <c r="I76" i="7"/>
  <c r="I109" i="7" s="1"/>
  <c r="L14" i="7"/>
  <c r="Q115" i="6"/>
  <c r="M28" i="6"/>
  <c r="K11" i="6"/>
  <c r="O28" i="6"/>
  <c r="L10" i="6"/>
  <c r="P79" i="6"/>
  <c r="P84" i="6" s="1"/>
  <c r="L47" i="1"/>
  <c r="O43" i="1"/>
  <c r="S14" i="7" l="1"/>
  <c r="K71" i="7"/>
  <c r="K83" i="1"/>
  <c r="L54" i="1"/>
  <c r="L79" i="1"/>
  <c r="L83" i="1" s="1"/>
  <c r="M10" i="6"/>
  <c r="M11" i="6" s="1"/>
  <c r="L81" i="6"/>
  <c r="M81" i="6" s="1"/>
  <c r="L15" i="6"/>
  <c r="L80" i="6"/>
  <c r="O68" i="6"/>
  <c r="C6" i="12" s="1"/>
  <c r="E46" i="12" s="1"/>
  <c r="F46" i="12" s="1"/>
  <c r="O45" i="1"/>
  <c r="R45" i="1"/>
  <c r="R57" i="1" s="1"/>
  <c r="N15" i="7"/>
  <c r="K72" i="7" s="1"/>
  <c r="M72" i="7" s="1"/>
  <c r="N16" i="7"/>
  <c r="S16" i="7" s="1"/>
  <c r="L17" i="7"/>
  <c r="L71" i="7"/>
  <c r="L76" i="7" s="1"/>
  <c r="U11" i="6"/>
  <c r="U15" i="6" s="1"/>
  <c r="U19" i="6" s="1"/>
  <c r="U25" i="6" s="1"/>
  <c r="U28" i="6" s="1"/>
  <c r="U34" i="6" s="1"/>
  <c r="U39" i="6" s="1"/>
  <c r="U46" i="6" s="1"/>
  <c r="M43" i="1"/>
  <c r="M45" i="1" s="1"/>
  <c r="M19" i="6"/>
  <c r="S19" i="6" s="1"/>
  <c r="S17" i="6"/>
  <c r="S18" i="6"/>
  <c r="D7" i="12"/>
  <c r="U12" i="7"/>
  <c r="U17" i="7" s="1"/>
  <c r="U21" i="7" s="1"/>
  <c r="U27" i="7" s="1"/>
  <c r="U33" i="7" s="1"/>
  <c r="U36" i="7" s="1"/>
  <c r="U40" i="7" s="1"/>
  <c r="U45" i="7" s="1"/>
  <c r="U53" i="7" s="1"/>
  <c r="N11" i="7"/>
  <c r="R14" i="7"/>
  <c r="P14" i="7"/>
  <c r="Q109" i="7"/>
  <c r="Q62" i="7" s="1"/>
  <c r="M10" i="7"/>
  <c r="M12" i="7" s="1"/>
  <c r="L12" i="7"/>
  <c r="R10" i="7"/>
  <c r="M13" i="6"/>
  <c r="R22" i="6"/>
  <c r="R25" i="6" s="1"/>
  <c r="R68" i="6" s="1"/>
  <c r="E6" i="12" s="1"/>
  <c r="P22" i="6"/>
  <c r="Q13" i="6"/>
  <c r="Q15" i="6" s="1"/>
  <c r="M14" i="7"/>
  <c r="M17" i="7" s="1"/>
  <c r="Q28" i="6"/>
  <c r="S28" i="6" s="1"/>
  <c r="L28" i="6"/>
  <c r="P117" i="6"/>
  <c r="P70" i="6" s="1"/>
  <c r="L11" i="6"/>
  <c r="Q10" i="6"/>
  <c r="Q11" i="6" s="1"/>
  <c r="Q47" i="1"/>
  <c r="Q54" i="1" s="1"/>
  <c r="M47" i="1"/>
  <c r="M54" i="1" s="1"/>
  <c r="Q43" i="1"/>
  <c r="Q45" i="1" s="1"/>
  <c r="P15" i="7" l="1"/>
  <c r="S15" i="7"/>
  <c r="R15" i="7"/>
  <c r="Q68" i="6"/>
  <c r="M79" i="1"/>
  <c r="M83" i="1" s="1"/>
  <c r="O74" i="6"/>
  <c r="O75" i="6" s="1"/>
  <c r="M80" i="6"/>
  <c r="M84" i="6" s="1"/>
  <c r="L84" i="6"/>
  <c r="V46" i="6"/>
  <c r="U53" i="6"/>
  <c r="U59" i="6" s="1"/>
  <c r="U65" i="6" s="1"/>
  <c r="S22" i="6"/>
  <c r="S10" i="6"/>
  <c r="R16" i="7"/>
  <c r="R17" i="7" s="1"/>
  <c r="P16" i="7"/>
  <c r="P17" i="7" s="1"/>
  <c r="M71" i="7"/>
  <c r="U57" i="7"/>
  <c r="V57" i="7" s="1"/>
  <c r="V53" i="7"/>
  <c r="S17" i="7"/>
  <c r="M15" i="6"/>
  <c r="S15" i="6" s="1"/>
  <c r="S13" i="6"/>
  <c r="S11" i="6"/>
  <c r="S11" i="7"/>
  <c r="P11" i="7"/>
  <c r="P10" i="7"/>
  <c r="S10" i="7"/>
  <c r="Q63" i="7"/>
  <c r="P25" i="6"/>
  <c r="P68" i="6" s="1"/>
  <c r="P71" i="6" s="1"/>
  <c r="H10" i="1"/>
  <c r="S12" i="7" l="1"/>
  <c r="P12" i="7"/>
  <c r="P12" i="1"/>
  <c r="S25" i="6"/>
  <c r="D6" i="12" l="1"/>
  <c r="D5" i="12" l="1"/>
  <c r="P59" i="1"/>
  <c r="P60" i="1" s="1"/>
  <c r="O23" i="11" l="1"/>
  <c r="O25" i="11"/>
  <c r="P25" i="11" l="1"/>
  <c r="O77" i="11"/>
  <c r="P23" i="11"/>
  <c r="O26" i="11"/>
  <c r="O24" i="11"/>
  <c r="P24" i="11" s="1"/>
  <c r="O76" i="11" l="1"/>
  <c r="P26" i="11"/>
  <c r="R12" i="1"/>
  <c r="K10" i="1"/>
  <c r="K12" i="1" l="1"/>
  <c r="K68" i="1"/>
  <c r="E5" i="12"/>
  <c r="O10" i="1"/>
  <c r="O12" i="1" s="1"/>
  <c r="L10" i="1"/>
  <c r="M10" i="1" l="1"/>
  <c r="M12" i="1" s="1"/>
  <c r="L68" i="1"/>
  <c r="L74" i="1" s="1"/>
  <c r="K74" i="1"/>
  <c r="O63" i="1"/>
  <c r="O64" i="1" s="1"/>
  <c r="Q10" i="1"/>
  <c r="Q12" i="1" s="1"/>
  <c r="L12" i="1"/>
  <c r="C5" i="12" l="1"/>
  <c r="E45" i="12" s="1"/>
  <c r="M68" i="1"/>
  <c r="M74" i="1" s="1"/>
  <c r="G29" i="11"/>
  <c r="H11" i="11"/>
  <c r="H29" i="11" l="1"/>
  <c r="J12" i="11"/>
  <c r="M12" i="11" l="1"/>
  <c r="O12" i="11" s="1"/>
  <c r="K12" i="11"/>
  <c r="K29" i="11" s="1"/>
  <c r="J29" i="11"/>
  <c r="O29" i="11" l="1"/>
  <c r="O83" i="11"/>
  <c r="O85" i="11" s="1"/>
  <c r="P12" i="11"/>
  <c r="P29" i="11" s="1"/>
  <c r="J72" i="11"/>
  <c r="O72" i="11"/>
  <c r="H72" i="11"/>
  <c r="G72" i="11"/>
  <c r="D8" i="12" l="1"/>
  <c r="C8" i="12"/>
  <c r="P72" i="11"/>
  <c r="E50" i="12" l="1"/>
  <c r="E8" i="12"/>
  <c r="D10" i="12"/>
  <c r="C13" i="12" l="1"/>
  <c r="C14" i="12" s="1"/>
  <c r="N39" i="7"/>
  <c r="R43" i="7"/>
  <c r="R38" i="7"/>
  <c r="R42" i="7"/>
  <c r="R39" i="7" l="1"/>
  <c r="K73" i="7"/>
  <c r="R40" i="7"/>
  <c r="S38" i="7"/>
  <c r="S43" i="7"/>
  <c r="P38" i="7"/>
  <c r="P39" i="7"/>
  <c r="P42" i="7"/>
  <c r="S42" i="7"/>
  <c r="P43" i="7"/>
  <c r="S39" i="7"/>
  <c r="M73" i="7" l="1"/>
  <c r="M76" i="7" s="1"/>
  <c r="K76" i="7"/>
  <c r="P62" i="7" s="1"/>
  <c r="P40" i="7"/>
  <c r="S40" i="7"/>
  <c r="P44" i="7"/>
  <c r="P45" i="7" s="1"/>
  <c r="P60" i="7" l="1"/>
  <c r="C7" i="12" s="1"/>
  <c r="S44" i="7"/>
  <c r="S45" i="7" s="1"/>
  <c r="S60" i="7" s="1"/>
  <c r="E7" i="12" s="1"/>
  <c r="E10" i="12" s="1"/>
  <c r="C15" i="12" s="1"/>
  <c r="R44" i="7"/>
  <c r="R45" i="7" s="1"/>
  <c r="R60" i="7" s="1"/>
  <c r="C10" i="12" l="1"/>
  <c r="E47" i="12"/>
  <c r="E68" i="12" s="1"/>
  <c r="D69" i="12" s="1"/>
  <c r="P63" i="7"/>
  <c r="C21" i="12" l="1"/>
  <c r="C22" i="12" s="1"/>
  <c r="C37" i="12" s="1"/>
</calcChain>
</file>

<file path=xl/sharedStrings.xml><?xml version="1.0" encoding="utf-8"?>
<sst xmlns="http://schemas.openxmlformats.org/spreadsheetml/2006/main" count="1489" uniqueCount="565">
  <si>
    <t>Summary of Scale Costs to Move to Rate Case Account</t>
  </si>
  <si>
    <t>Vendor</t>
  </si>
  <si>
    <t>Subtotal</t>
  </si>
  <si>
    <t>Scale</t>
  </si>
  <si>
    <t>Above-Scale</t>
  </si>
  <si>
    <t>Bennett Jones</t>
  </si>
  <si>
    <t>Concentric Advisors</t>
  </si>
  <si>
    <t>Concentric Energy</t>
  </si>
  <si>
    <t>ATCO Disbursements</t>
  </si>
  <si>
    <t>Total</t>
  </si>
  <si>
    <t>Currently in Project 1089548 (from Vivian's GL Pull)</t>
  </si>
  <si>
    <t>Move to Rate Case Project/ Account</t>
  </si>
  <si>
    <t>Remaining in Project 1089548</t>
  </si>
  <si>
    <t>Check</t>
  </si>
  <si>
    <t>Subtotal per G/L</t>
  </si>
  <si>
    <t>Amount pre Scale/Above Scale</t>
  </si>
  <si>
    <t>In G/L but ineligible for cost claim</t>
  </si>
  <si>
    <t>Tony's Pasta</t>
  </si>
  <si>
    <t>Tony B Hearing Prep</t>
  </si>
  <si>
    <t>IR Submission meals</t>
  </si>
  <si>
    <t>Adjustments per receipts (mostly GST calculations)</t>
  </si>
  <si>
    <t>KDCS - Deposit and GST adjustment</t>
  </si>
  <si>
    <t>1/2 GST Add back WEB 554</t>
  </si>
  <si>
    <t>GST on WEB 984</t>
  </si>
  <si>
    <t>GST Rounding on WEB 935</t>
  </si>
  <si>
    <t>Binders not in GL</t>
  </si>
  <si>
    <t>September reimbursements adj</t>
  </si>
  <si>
    <t>Nov/Dec adj (GST and Taxi Trip)</t>
  </si>
  <si>
    <t>Disbusements Concentric Advisors - GST pass through</t>
  </si>
  <si>
    <t>Reconciliation</t>
  </si>
  <si>
    <t>GL Output</t>
  </si>
  <si>
    <t>Schedules</t>
  </si>
  <si>
    <t>Black Press Group</t>
  </si>
  <si>
    <t>Kwanlun Dun Cultural Society</t>
  </si>
  <si>
    <t>The Whitehorse Star</t>
  </si>
  <si>
    <t>Blank</t>
  </si>
  <si>
    <t>Adj KDCS</t>
  </si>
  <si>
    <t>Less Tony's Pasta</t>
  </si>
  <si>
    <t>Tony B hearing Prep</t>
  </si>
  <si>
    <t>B</t>
  </si>
  <si>
    <t>C</t>
  </si>
  <si>
    <t>D</t>
  </si>
  <si>
    <t>Rounding on WEB 935</t>
  </si>
  <si>
    <t>E</t>
  </si>
  <si>
    <t>Adj per blank reconcilation</t>
  </si>
  <si>
    <t>A</t>
  </si>
  <si>
    <t>Cost Claim</t>
  </si>
  <si>
    <t>Per G/L</t>
  </si>
  <si>
    <t>Per Disbursements</t>
  </si>
  <si>
    <t>Adjustment</t>
  </si>
  <si>
    <t>OCT</t>
  </si>
  <si>
    <t>WEB002347276935</t>
  </si>
  <si>
    <t>DEC</t>
  </si>
  <si>
    <t>WEB002379969554</t>
  </si>
  <si>
    <t>WEB002380787258</t>
  </si>
  <si>
    <t>WEB002381942975</t>
  </si>
  <si>
    <t>WEB002381982984</t>
  </si>
  <si>
    <t>Unassigned</t>
  </si>
  <si>
    <t>SEP</t>
  </si>
  <si>
    <t>NOV</t>
  </si>
  <si>
    <t>FEB</t>
  </si>
  <si>
    <t>Sum of Amount</t>
  </si>
  <si>
    <t>Column Labels</t>
  </si>
  <si>
    <t>Row Labels</t>
  </si>
  <si>
    <t>Jul-2023</t>
  </si>
  <si>
    <t>Aug-2023</t>
  </si>
  <si>
    <t>Sep-2023</t>
  </si>
  <si>
    <t>Oct-2023</t>
  </si>
  <si>
    <t>Nov-2023</t>
  </si>
  <si>
    <t>Dec-2023</t>
  </si>
  <si>
    <t>Jan-2024</t>
  </si>
  <si>
    <t>Feb-2024</t>
  </si>
  <si>
    <t>(blank)</t>
  </si>
  <si>
    <t>Grand Total</t>
  </si>
  <si>
    <t>BENNETT JONES LLP</t>
  </si>
  <si>
    <t>Matches</t>
  </si>
  <si>
    <t>1524867</t>
  </si>
  <si>
    <t>1527253</t>
  </si>
  <si>
    <t>1535905</t>
  </si>
  <si>
    <t>1548241</t>
  </si>
  <si>
    <t>1554911</t>
  </si>
  <si>
    <t>BLACK PRESS GROUP LTD</t>
  </si>
  <si>
    <t>BPI11629</t>
  </si>
  <si>
    <t>CONCENTRIC ADVISORS ULC</t>
  </si>
  <si>
    <t>0001041</t>
  </si>
  <si>
    <t>0001059</t>
  </si>
  <si>
    <t>0001075</t>
  </si>
  <si>
    <t>0001091</t>
  </si>
  <si>
    <t>0001096</t>
  </si>
  <si>
    <t>0001107</t>
  </si>
  <si>
    <t>0001111</t>
  </si>
  <si>
    <t>0001133</t>
  </si>
  <si>
    <t>0001139</t>
  </si>
  <si>
    <t>0001150</t>
  </si>
  <si>
    <t>0001156</t>
  </si>
  <si>
    <t>0016890</t>
  </si>
  <si>
    <t>0016972</t>
  </si>
  <si>
    <t>0017084</t>
  </si>
  <si>
    <t>0017184</t>
  </si>
  <si>
    <t>CONCENTRIC ENERGY ADVISORS INC</t>
  </si>
  <si>
    <t>0017305</t>
  </si>
  <si>
    <t>0017373</t>
  </si>
  <si>
    <t>0017575</t>
  </si>
  <si>
    <t>0017734</t>
  </si>
  <si>
    <t>0017893</t>
  </si>
  <si>
    <t>0017913</t>
  </si>
  <si>
    <t>KWANLIN DUN CULTURAL SOCIETY</t>
  </si>
  <si>
    <t>4175-1</t>
  </si>
  <si>
    <t>THE WHITEHORSE STAR LTD</t>
  </si>
  <si>
    <t>3630</t>
  </si>
  <si>
    <t>TONY'S PASTA &amp; SEAFOOD HOUSE</t>
  </si>
  <si>
    <t>073507</t>
  </si>
  <si>
    <t>Paula</t>
  </si>
  <si>
    <t>Input</t>
  </si>
  <si>
    <t>Tony</t>
  </si>
  <si>
    <t>Hearing Prep</t>
  </si>
  <si>
    <t>Randi</t>
  </si>
  <si>
    <t>Summary of Total Costs Claimed</t>
  </si>
  <si>
    <r>
      <t xml:space="preserve">Form 1 - </t>
    </r>
    <r>
      <rPr>
        <b/>
        <sz val="10"/>
        <rFont val="Arial Narrow"/>
        <family val="2"/>
      </rPr>
      <t>Page 1 of 1</t>
    </r>
  </si>
  <si>
    <t>Total Fees</t>
  </si>
  <si>
    <t>Total Disbursements</t>
  </si>
  <si>
    <t>GST</t>
  </si>
  <si>
    <t>Total Fees, 
Disbursements, &amp;  GST</t>
  </si>
  <si>
    <t>Total GST on Fees 
&amp; Disbursements</t>
  </si>
  <si>
    <t>ATCO Electric Yukon</t>
  </si>
  <si>
    <t>Firm/Company Name</t>
  </si>
  <si>
    <t>TOTAL COSTS CLAIMED</t>
  </si>
  <si>
    <t>Claimant</t>
  </si>
  <si>
    <t>Yukon Electrical Company Limited O/A ATCO Electric Yukon</t>
  </si>
  <si>
    <t>Applicant(s)</t>
  </si>
  <si>
    <t>Agent/Representative</t>
  </si>
  <si>
    <t>Beth Rogers</t>
  </si>
  <si>
    <t>Application(s) No.</t>
  </si>
  <si>
    <t>N/A</t>
  </si>
  <si>
    <t>Address</t>
  </si>
  <si>
    <t>E-mail</t>
  </si>
  <si>
    <t>Phone</t>
  </si>
  <si>
    <t>780-919-8190</t>
  </si>
  <si>
    <t>Fax</t>
  </si>
  <si>
    <t>Email</t>
  </si>
  <si>
    <t>Elizabeth.Rogers@atco.com</t>
  </si>
  <si>
    <t>Summary of Professional Fees Claimed</t>
  </si>
  <si>
    <t>PROFESSIONAL FEES</t>
  </si>
  <si>
    <t>Date ___________________</t>
  </si>
  <si>
    <t>Years of Experience</t>
  </si>
  <si>
    <t>Hourly wage</t>
  </si>
  <si>
    <t>Preparation</t>
  </si>
  <si>
    <t>Attendance</t>
  </si>
  <si>
    <t>Argument &amp; Reply</t>
  </si>
  <si>
    <t>Total fees</t>
  </si>
  <si>
    <t>Hours</t>
  </si>
  <si>
    <t>Fees</t>
  </si>
  <si>
    <t>Total GST on Professional Fees</t>
  </si>
  <si>
    <t>Fees &amp; GST</t>
  </si>
  <si>
    <t>10</t>
  </si>
  <si>
    <t>1</t>
  </si>
  <si>
    <t>41</t>
  </si>
  <si>
    <t>0</t>
  </si>
  <si>
    <t>Tim Myers - Travel</t>
  </si>
  <si>
    <t>Erin Anderson - Travel</t>
  </si>
  <si>
    <t>Individual Name</t>
  </si>
  <si>
    <t>Total This Company</t>
  </si>
  <si>
    <t>43</t>
  </si>
  <si>
    <t>17</t>
  </si>
  <si>
    <t>4</t>
  </si>
  <si>
    <t>Support</t>
  </si>
  <si>
    <t>TOTAL PROFESSIONAL FEES CLAIMED</t>
  </si>
  <si>
    <t>Hearing</t>
  </si>
  <si>
    <t>36</t>
  </si>
  <si>
    <t>34</t>
  </si>
  <si>
    <t>FIRM/COMPANY NAME</t>
  </si>
  <si>
    <t>Yukon Electrical Company Limited o/a ATCO Electric Yukon</t>
  </si>
  <si>
    <t>Summary of Disbursements Claimed</t>
  </si>
  <si>
    <t>Date_______________________________________________________</t>
  </si>
  <si>
    <t>Disbursements Claimed (exclusive of GST)</t>
  </si>
  <si>
    <t>Airfare</t>
  </si>
  <si>
    <t>Accommodation (maximum $150/day)</t>
  </si>
  <si>
    <t>Meals (maximum at GY rates)</t>
  </si>
  <si>
    <t>Mileage (maximum at GY rates)</t>
  </si>
  <si>
    <t>Taxi</t>
  </si>
  <si>
    <t>Parking</t>
  </si>
  <si>
    <t>Car rental</t>
  </si>
  <si>
    <t>Transcripts</t>
  </si>
  <si>
    <t>Postage</t>
  </si>
  <si>
    <t>Courier/delivery</t>
  </si>
  <si>
    <t>Telephone/long distance</t>
  </si>
  <si>
    <t>Fax ($1.00/page)</t>
  </si>
  <si>
    <t>Internal photocopying ($.10/copy)</t>
  </si>
  <si>
    <t>External printing</t>
  </si>
  <si>
    <t>Advertising</t>
  </si>
  <si>
    <t>Venue Rental</t>
  </si>
  <si>
    <t>Office supplies - binders for board copies</t>
  </si>
  <si>
    <t>Miscellaneous (please attach details)</t>
  </si>
  <si>
    <t>TOTAL DISBURSEMENTS</t>
  </si>
  <si>
    <t>Total GST on Disbursements</t>
  </si>
  <si>
    <t>YUKON UTILITIES BOARD</t>
  </si>
  <si>
    <t>Summary of Legal Invoices - Bennett Jones</t>
  </si>
  <si>
    <t xml:space="preserve">Invoice Type </t>
  </si>
  <si>
    <t>Invoice Date</t>
  </si>
  <si>
    <t>Invoice Year</t>
  </si>
  <si>
    <t>Invoice #</t>
  </si>
  <si>
    <t>Person /Description</t>
  </si>
  <si>
    <t>Year of Call</t>
  </si>
  <si>
    <t>Years of Service</t>
  </si>
  <si>
    <t>Billed Hours/
Units</t>
  </si>
  <si>
    <t>Billed Rate</t>
  </si>
  <si>
    <t>YUB Allowed Rates</t>
  </si>
  <si>
    <t xml:space="preserve">Full Cost </t>
  </si>
  <si>
    <t>Scale of Costs - Submitted</t>
  </si>
  <si>
    <t>Above Scale</t>
  </si>
  <si>
    <t xml:space="preserve">Preparation </t>
  </si>
  <si>
    <t>07/24/2023</t>
  </si>
  <si>
    <t>Tim Myers</t>
  </si>
  <si>
    <t>Erin Anderson</t>
  </si>
  <si>
    <t>8/10/2023</t>
  </si>
  <si>
    <t>10/10/2023</t>
  </si>
  <si>
    <t>L. Smith</t>
  </si>
  <si>
    <t>12/14/2023</t>
  </si>
  <si>
    <t>Nathan Green</t>
  </si>
  <si>
    <t xml:space="preserve"> - Travel</t>
  </si>
  <si>
    <t>Argument and Reply</t>
  </si>
  <si>
    <t>Cross Check to Invoice Hours</t>
  </si>
  <si>
    <t>12/31/2023</t>
  </si>
  <si>
    <t xml:space="preserve">Total </t>
  </si>
  <si>
    <t xml:space="preserve">Below: </t>
  </si>
  <si>
    <t>Check:</t>
  </si>
  <si>
    <t>Disbursements</t>
  </si>
  <si>
    <t>Net of Disbursements</t>
  </si>
  <si>
    <t>Variance</t>
  </si>
  <si>
    <t>check to Bennett Jones running total</t>
  </si>
  <si>
    <t>U2 Form</t>
  </si>
  <si>
    <t>Person</t>
  </si>
  <si>
    <t>Years</t>
  </si>
  <si>
    <t>YUB Rate</t>
  </si>
  <si>
    <t xml:space="preserve">AEY Allowed </t>
  </si>
  <si>
    <t>Travel</t>
  </si>
  <si>
    <t>Argument</t>
  </si>
  <si>
    <t>AEY</t>
  </si>
  <si>
    <t>Description</t>
  </si>
  <si>
    <t>Units</t>
  </si>
  <si>
    <t>Rate</t>
  </si>
  <si>
    <t>Amount</t>
  </si>
  <si>
    <t>Printing</t>
  </si>
  <si>
    <t>Colour Printing Charges</t>
  </si>
  <si>
    <t>Colour Printing Charges - Large</t>
  </si>
  <si>
    <t xml:space="preserve">Meals </t>
  </si>
  <si>
    <t>Various</t>
  </si>
  <si>
    <t xml:space="preserve">Accommodation </t>
  </si>
  <si>
    <t xml:space="preserve">Parking </t>
  </si>
  <si>
    <t>Flights</t>
  </si>
  <si>
    <t>Economy</t>
  </si>
  <si>
    <t xml:space="preserve">Library Computer Search </t>
  </si>
  <si>
    <t>Totals</t>
  </si>
  <si>
    <t>Uform Totals</t>
  </si>
  <si>
    <t>Diff</t>
  </si>
  <si>
    <t>Summary of Consulting Invoices - Concentric Advisors</t>
  </si>
  <si>
    <t>Full Cost</t>
  </si>
  <si>
    <t>Scale of Costs - Disallowed</t>
  </si>
  <si>
    <t>04/18/2023</t>
  </si>
  <si>
    <t>Ryan Kennedy</t>
  </si>
  <si>
    <t>05/25/2023</t>
  </si>
  <si>
    <t>Donna Bourne</t>
  </si>
  <si>
    <t>06/16/2023</t>
  </si>
  <si>
    <t>07/18/2023</t>
  </si>
  <si>
    <t>Nico Serpico</t>
  </si>
  <si>
    <t>Travel Disbursement</t>
  </si>
  <si>
    <t>See disb. Tab</t>
  </si>
  <si>
    <t>08/08/2023</t>
  </si>
  <si>
    <t>Larry Kennedy</t>
  </si>
  <si>
    <t>08/14/2023</t>
  </si>
  <si>
    <t>09/15/2023</t>
  </si>
  <si>
    <t>10/19/2023</t>
  </si>
  <si>
    <t>Marites Arsenault</t>
  </si>
  <si>
    <t xml:space="preserve">Support </t>
  </si>
  <si>
    <t>11/16/2023</t>
  </si>
  <si>
    <t>12/13/2023</t>
  </si>
  <si>
    <t>1/12/2024</t>
  </si>
  <si>
    <t>check to Concentric running total</t>
  </si>
  <si>
    <t>Summary of Consulting Invoices - Concentric Energy</t>
  </si>
  <si>
    <t>USD</t>
  </si>
  <si>
    <t>CAD</t>
  </si>
  <si>
    <t>Subtotal (CAD)</t>
  </si>
  <si>
    <t>YUB Allowed Rates (CAD)</t>
  </si>
  <si>
    <t>04/05/2023</t>
  </si>
  <si>
    <t>John Trogonoski</t>
  </si>
  <si>
    <t>Bryan Hu</t>
  </si>
  <si>
    <t>05/02/2023</t>
  </si>
  <si>
    <t>James Coyne</t>
  </si>
  <si>
    <t>05/22/2023</t>
  </si>
  <si>
    <t>06/22/2023</t>
  </si>
  <si>
    <t>Jillian Barrile</t>
  </si>
  <si>
    <t>07/28/2023</t>
  </si>
  <si>
    <t>08/18/2023</t>
  </si>
  <si>
    <t>10/13/2023</t>
  </si>
  <si>
    <t>11/30/2023</t>
  </si>
  <si>
    <t>1/9/2024</t>
  </si>
  <si>
    <t>1/14/2024</t>
  </si>
  <si>
    <t>Variance from Concentric total</t>
  </si>
  <si>
    <t>Reply</t>
  </si>
  <si>
    <t>Attendance (Virtual Argument)</t>
  </si>
  <si>
    <t>Bennett Jones Disbursements</t>
  </si>
  <si>
    <t>Invoice</t>
  </si>
  <si>
    <t>Receipt Reference</t>
  </si>
  <si>
    <t>Date(s)</t>
  </si>
  <si>
    <t>Expense Type</t>
  </si>
  <si>
    <t>Expense Description</t>
  </si>
  <si>
    <t>Invoice Subtotal</t>
  </si>
  <si>
    <t>Tip</t>
  </si>
  <si>
    <t>Subtotal Excluding Tip</t>
  </si>
  <si>
    <t>Invoice Total</t>
  </si>
  <si>
    <t>YUB Allowed</t>
  </si>
  <si>
    <t>YUB Allowed Rate</t>
  </si>
  <si>
    <t>Quantity/ # of People</t>
  </si>
  <si>
    <t>Total Scale</t>
  </si>
  <si>
    <t>Total Above Scale</t>
  </si>
  <si>
    <t>0.10/page</t>
  </si>
  <si>
    <t>12/2/2023</t>
  </si>
  <si>
    <t>Cab</t>
  </si>
  <si>
    <t>Associated Cab</t>
  </si>
  <si>
    <t>x4Ob</t>
  </si>
  <si>
    <t>11/28/2023</t>
  </si>
  <si>
    <t>Meal</t>
  </si>
  <si>
    <t>Breakfast</t>
  </si>
  <si>
    <t>Baked Café &amp; Bakery</t>
  </si>
  <si>
    <t>IKU2</t>
  </si>
  <si>
    <t>12/1/2023</t>
  </si>
  <si>
    <t>hgpB</t>
  </si>
  <si>
    <t>11/27/2023</t>
  </si>
  <si>
    <t>zda4</t>
  </si>
  <si>
    <t>11/29/2023</t>
  </si>
  <si>
    <t>11/26/2023</t>
  </si>
  <si>
    <t>Dinner</t>
  </si>
  <si>
    <t>Belly of the Bison</t>
  </si>
  <si>
    <t>Lunch</t>
  </si>
  <si>
    <t>Burnt Toast Café</t>
  </si>
  <si>
    <t>11/24/2023</t>
  </si>
  <si>
    <t>Calgary United Cab</t>
  </si>
  <si>
    <t>11/22/2023</t>
  </si>
  <si>
    <t>Dinner - Hearing Prep</t>
  </si>
  <si>
    <t>Fairmont Hotel Macdonald</t>
  </si>
  <si>
    <t>75+GST?</t>
  </si>
  <si>
    <t>11/21/2023</t>
  </si>
  <si>
    <t>Door Dash</t>
  </si>
  <si>
    <t>Hotel</t>
  </si>
  <si>
    <t>Edgewater Hotel</t>
  </si>
  <si>
    <t>11/20/2023</t>
  </si>
  <si>
    <t>Other - Hearing Prep</t>
  </si>
  <si>
    <t>A798455.4117</t>
  </si>
  <si>
    <t>G&amp;P Steak House &amp; Pizza</t>
  </si>
  <si>
    <t>Jk40</t>
  </si>
  <si>
    <t>KITA Japanese Kitchen</t>
  </si>
  <si>
    <t>11/25/2023</t>
  </si>
  <si>
    <t>La Cara</t>
  </si>
  <si>
    <t>Flight</t>
  </si>
  <si>
    <t>Flight - Erin</t>
  </si>
  <si>
    <t>Air North/Air Canada</t>
  </si>
  <si>
    <t>Mileage B030</t>
  </si>
  <si>
    <t>11/23/2023</t>
  </si>
  <si>
    <t>Mileage</t>
  </si>
  <si>
    <t>Mileage - Hearing Prep</t>
  </si>
  <si>
    <t>Miner's Daughter</t>
  </si>
  <si>
    <t>The Sherlock Homes Pub</t>
  </si>
  <si>
    <t>12/02/2024</t>
  </si>
  <si>
    <t>Starbucks</t>
  </si>
  <si>
    <t>Tim Hortons</t>
  </si>
  <si>
    <t>GST on Tips</t>
  </si>
  <si>
    <t>**Travel recovery is limited to Oral Hearing Dates only</t>
  </si>
  <si>
    <t>If we are going to claim these costs we will need to ask Concentric for all of their receipts</t>
  </si>
  <si>
    <t>Travel Costs Incurred for Site Tours and Management Interviews in Whitehorse</t>
  </si>
  <si>
    <t>Airfare for Larry Kennedy Calgary to Whitehorse and Return</t>
  </si>
  <si>
    <t>Airfare for Ryan Kennedy Calgary to Whitehorse and Return</t>
  </si>
  <si>
    <t>Airfare for Donna Bourne Calgary to Whitehorse and Return</t>
  </si>
  <si>
    <t>Hotel for Larry Kennedy</t>
  </si>
  <si>
    <t>Per Public Works &amp; Government Services Canada</t>
  </si>
  <si>
    <t>Hotel for Ryan Kennedy</t>
  </si>
  <si>
    <t>Hotel for Donna Bourne</t>
  </si>
  <si>
    <t>Parking at YYC Airport - L. Kennedy</t>
  </si>
  <si>
    <t>YYC Airport</t>
  </si>
  <si>
    <t>Actual Cost</t>
  </si>
  <si>
    <t>Parking at YYC Airport - D. Bourne</t>
  </si>
  <si>
    <t>06/11/2023</t>
  </si>
  <si>
    <t xml:space="preserve">Meals - Dinner </t>
  </si>
  <si>
    <t>L. Kennedy</t>
  </si>
  <si>
    <t>Blly of the Bison</t>
  </si>
  <si>
    <t>Per Government of Yukon Rates</t>
  </si>
  <si>
    <t>Meals - Lunch</t>
  </si>
  <si>
    <t>Chili's</t>
  </si>
  <si>
    <t>R. Kennedy</t>
  </si>
  <si>
    <t>Joe the Juice</t>
  </si>
  <si>
    <t>D. Bourne</t>
  </si>
  <si>
    <t>HMS Hose</t>
  </si>
  <si>
    <t>06/12/2023</t>
  </si>
  <si>
    <t>Antoinette's</t>
  </si>
  <si>
    <t>06/13/2023</t>
  </si>
  <si>
    <t>Pacific Farms Market</t>
  </si>
  <si>
    <t>Tim Horton's</t>
  </si>
  <si>
    <t>Airfare changes for Larry Kennedy</t>
  </si>
  <si>
    <t>Air Canada</t>
  </si>
  <si>
    <t>Breakfast for L. Kennedy</t>
  </si>
  <si>
    <t>Invoice Number</t>
  </si>
  <si>
    <t>07/31/2023</t>
  </si>
  <si>
    <t xml:space="preserve">Advertising </t>
  </si>
  <si>
    <t>Yukon News - Display ROP (Notice of Application Ad)</t>
  </si>
  <si>
    <t>Other - Notice of Application Advertisements (Actual Cost)</t>
  </si>
  <si>
    <t>Kwanlin Dun Cultural Society</t>
  </si>
  <si>
    <t>08/01/2023</t>
  </si>
  <si>
    <t xml:space="preserve">AEY Procedural Conference - Conference room, Audio-Visual Equipment and Audio and Video Technicians </t>
  </si>
  <si>
    <t>07/21/2023</t>
  </si>
  <si>
    <t>YUB Notice of Application Procedural Conference and Hearing published in the Whitehorse Star</t>
  </si>
  <si>
    <t>Parking at YEG Airport for B. Rogers</t>
  </si>
  <si>
    <t>07/26/2023</t>
  </si>
  <si>
    <t>Canadian Brewhouse - B. Rogers &amp; B. Yee</t>
  </si>
  <si>
    <t>Meals - Dinner</t>
  </si>
  <si>
    <t>B. Rogers &amp; B. Yee</t>
  </si>
  <si>
    <t>07/26/2023 to 07/28/2023</t>
  </si>
  <si>
    <t>Hotel for B. Rogers for AEY Procedural Conference</t>
  </si>
  <si>
    <t>07/27/2023</t>
  </si>
  <si>
    <t>Waterfront Restaurant - B. Rogers &amp; B. Yee</t>
  </si>
  <si>
    <t>Meals - Breakfast</t>
  </si>
  <si>
    <t>Baked Café &amp; Bakery - B. Rogers &amp; B. Yee</t>
  </si>
  <si>
    <t>Burnt Toast Café - B. Rogers, B. Yee &amp; J. Massie</t>
  </si>
  <si>
    <t>07/26/2023 and 07/28/2023</t>
  </si>
  <si>
    <t>Airfare for B. Rogers Edmonton to Whitehorse and Return (Economy)</t>
  </si>
  <si>
    <t>Airfare for B. Yee Edmonton to Whitehorse and Return (Economy)</t>
  </si>
  <si>
    <t>Hotel for B. Yee for AEY Procedural Conference</t>
  </si>
  <si>
    <t>Baked Café &amp; Bakery - B. Yee</t>
  </si>
  <si>
    <t>Oral Hearing Expenses*</t>
  </si>
  <si>
    <t>Maritime Travel</t>
  </si>
  <si>
    <t>11/24/2023 and 12/01/2023</t>
  </si>
  <si>
    <t>Airfare for T. Martino Edmonton to Whitehorse and Return (Economy)</t>
  </si>
  <si>
    <t>11/24/2023 to 12/01/2023</t>
  </si>
  <si>
    <t>Hotel for T. Martino for Oral Hearing</t>
  </si>
  <si>
    <t>12/01/2023</t>
  </si>
  <si>
    <t>Taxi trip from Airport - Home</t>
  </si>
  <si>
    <t>Meals</t>
  </si>
  <si>
    <t>Gold Pan Saloon</t>
  </si>
  <si>
    <t>Taxi trip from Home to Airport</t>
  </si>
  <si>
    <t>Hotel for B. Rogers for Oral Hearing</t>
  </si>
  <si>
    <t>Airport Parking</t>
  </si>
  <si>
    <t>KITA Japanese Kitchen + Bar</t>
  </si>
  <si>
    <t>G&amp;P on Main</t>
  </si>
  <si>
    <t>Giorgio's Cuccina</t>
  </si>
  <si>
    <t>Airfare for M. Rousseau Edmonton to Whitehorse and Return (Economy)</t>
  </si>
  <si>
    <t>Hotel for M. Rousseau for Oral Hearing</t>
  </si>
  <si>
    <t>Taxi to Airport</t>
  </si>
  <si>
    <t>The UPS Store</t>
  </si>
  <si>
    <t>10/27/2023</t>
  </si>
  <si>
    <t>Documents printed for YUB</t>
  </si>
  <si>
    <t>10 cents per page</t>
  </si>
  <si>
    <t>Staples</t>
  </si>
  <si>
    <t>10/31/2023</t>
  </si>
  <si>
    <t>Miscellaneous</t>
  </si>
  <si>
    <t>Binders for documents for YUB</t>
  </si>
  <si>
    <t>Binders only</t>
  </si>
  <si>
    <t>Gather Café &amp; Taphouse</t>
  </si>
  <si>
    <t>Office Supply Centre</t>
  </si>
  <si>
    <t>9/29/2023</t>
  </si>
  <si>
    <t>Misc</t>
  </si>
  <si>
    <t>Office supplies</t>
  </si>
  <si>
    <t>YUB Scale of Costs</t>
  </si>
  <si>
    <t>https://yukonutilitiesboard.yk.ca/pdf/Rules%20of%20Practice%20and%20Policy/1517_YUB%20Scale%20of%20Costs%20-%20FINAL.pdf</t>
  </si>
  <si>
    <t xml:space="preserve">Legal Fees </t>
  </si>
  <si>
    <t>Years at the bar</t>
  </si>
  <si>
    <t>$ Per Hour</t>
  </si>
  <si>
    <t>Student</t>
  </si>
  <si>
    <t>1-4 years</t>
  </si>
  <si>
    <t>5-7 years</t>
  </si>
  <si>
    <t>8-12 years</t>
  </si>
  <si>
    <t>12+ years</t>
  </si>
  <si>
    <t>Consultant Fees</t>
  </si>
  <si>
    <t>Secretarial or Support Staff</t>
  </si>
  <si>
    <t>Meals - per Government of Yukon Rates (inclds tax)</t>
  </si>
  <si>
    <t>https://www.canada.ca/en/revenue-agency/corporate/about-canada-revenue-agency-cra/travel-directive/appendix-b-meals-allowances-april-2024.html</t>
  </si>
  <si>
    <t>https://rehelv-acrd.tpsgc-pwgsc.gc.ca/preface-eng.aspx#canadian</t>
  </si>
  <si>
    <t>Refer to Disb. Tab</t>
  </si>
  <si>
    <t>Disbursements - Refer to Disbursements Tab</t>
  </si>
  <si>
    <t>Summary of Legal Disbursements - Bennett Jones</t>
  </si>
  <si>
    <t>Summary of Disbursements - Concentric Advisors</t>
  </si>
  <si>
    <t>AEY Procedural Conference Expenses</t>
  </si>
  <si>
    <t>Summary of Disbursements - ATCO Electric Yukon (AEY)</t>
  </si>
  <si>
    <t>Travel Costs Incurred for Attendance at Hearing</t>
  </si>
  <si>
    <t>10035-105 Street, Edmonton, AB  T5J 1C8</t>
  </si>
  <si>
    <t>ATCO Electric Yukon 2023-2024 General Rate Application</t>
  </si>
  <si>
    <t>Professional Fees:  Concentric Energy</t>
  </si>
  <si>
    <t>Professional Fees:  Concentric Advisors</t>
  </si>
  <si>
    <t>Professional Fees:  Bennett Jones</t>
  </si>
  <si>
    <t>ATCO Electric Yukon (AEY)</t>
  </si>
  <si>
    <t>2023-2024 General Rate Application (GRA) - Cost Claim</t>
  </si>
  <si>
    <t>7792G</t>
  </si>
  <si>
    <t>09269G</t>
  </si>
  <si>
    <t>Person/ Description</t>
  </si>
  <si>
    <t>JQKM</t>
  </si>
  <si>
    <t>83681869</t>
  </si>
  <si>
    <t>Canadian Brewhouse</t>
  </si>
  <si>
    <t>16189</t>
  </si>
  <si>
    <t>20177</t>
  </si>
  <si>
    <t>Edmonton Airport</t>
  </si>
  <si>
    <t>Miner's Daughter/Dirty Northern</t>
  </si>
  <si>
    <t>540563</t>
  </si>
  <si>
    <t xml:space="preserve">Waterfront Restaurant </t>
  </si>
  <si>
    <t>F4zk</t>
  </si>
  <si>
    <t>235276245</t>
  </si>
  <si>
    <t>235276851</t>
  </si>
  <si>
    <t>204704536</t>
  </si>
  <si>
    <t>205700832</t>
  </si>
  <si>
    <t>FUZA</t>
  </si>
  <si>
    <t>464 OS50M3PATS6Y6TK</t>
  </si>
  <si>
    <t>273156493</t>
  </si>
  <si>
    <t>Gold Pan Saloon - Meals</t>
  </si>
  <si>
    <t>Tim Hortons - Meals</t>
  </si>
  <si>
    <t>069285</t>
  </si>
  <si>
    <t>105771</t>
  </si>
  <si>
    <t>Independent Grocer</t>
  </si>
  <si>
    <t>154</t>
  </si>
  <si>
    <t>Airport Taxi Service</t>
  </si>
  <si>
    <t>UBER</t>
  </si>
  <si>
    <t>Baked Café &amp; Bakery - Meals</t>
  </si>
  <si>
    <t>KITA Japanese Kitchen + Bar - Meals</t>
  </si>
  <si>
    <t>G&amp;P on Main - Meals</t>
  </si>
  <si>
    <t>Giorgio's Cuccina - Meals</t>
  </si>
  <si>
    <t>Burnt toast café - Meals</t>
  </si>
  <si>
    <t xml:space="preserve"> vHyJ</t>
  </si>
  <si>
    <t>Edmonton Airports</t>
  </si>
  <si>
    <t>A798455-4095</t>
  </si>
  <si>
    <t>A809005.6189</t>
  </si>
  <si>
    <t>90RL</t>
  </si>
  <si>
    <t>La Cara - Meals</t>
  </si>
  <si>
    <t>taaY</t>
  </si>
  <si>
    <t>VOUF</t>
  </si>
  <si>
    <t>Vg5R</t>
  </si>
  <si>
    <t>75GO</t>
  </si>
  <si>
    <t>Nkpb</t>
  </si>
  <si>
    <t>Uber</t>
  </si>
  <si>
    <t>Gather Café &amp; Taphouse - Meals</t>
  </si>
  <si>
    <t>894041</t>
  </si>
  <si>
    <t>0895282</t>
  </si>
  <si>
    <t>295224261</t>
  </si>
  <si>
    <t>21602693</t>
  </si>
  <si>
    <t>936</t>
  </si>
  <si>
    <t>Checker Cabs</t>
  </si>
  <si>
    <t>Form 3 - Page 1 of 2</t>
  </si>
  <si>
    <r>
      <rPr>
        <b/>
        <u/>
        <sz val="11"/>
        <rFont val="Arial"/>
        <family val="2"/>
      </rPr>
      <t>Name of Claimant</t>
    </r>
  </si>
  <si>
    <t>Form 3 - Page 2 of 2</t>
  </si>
  <si>
    <t>The Railwork Lounge</t>
  </si>
  <si>
    <t>3df9c7</t>
  </si>
  <si>
    <t>11/7/2023</t>
  </si>
  <si>
    <t>Flight - Tim</t>
  </si>
  <si>
    <t>Air North</t>
  </si>
  <si>
    <t>12/02/2023</t>
  </si>
  <si>
    <t>9/08/2023</t>
  </si>
  <si>
    <t>11/07/2023</t>
  </si>
  <si>
    <t>Date:  June 28, 2024</t>
  </si>
  <si>
    <t>Date: June 28, 2024</t>
  </si>
  <si>
    <r>
      <t xml:space="preserve">Form 2 - </t>
    </r>
    <r>
      <rPr>
        <b/>
        <sz val="11"/>
        <rFont val="Arial"/>
        <family val="2"/>
      </rPr>
      <t>Page 1 of 2</t>
    </r>
  </si>
  <si>
    <r>
      <t xml:space="preserve">Form 2 - </t>
    </r>
    <r>
      <rPr>
        <b/>
        <sz val="11"/>
        <rFont val="Arial"/>
        <family val="2"/>
      </rPr>
      <t>Page 2 of 2</t>
    </r>
  </si>
  <si>
    <t>Conference Services</t>
  </si>
  <si>
    <t>Procedural Conference Room and Equipment</t>
  </si>
  <si>
    <t>Accommodation</t>
  </si>
  <si>
    <t>Indecent Grocer - Meals</t>
  </si>
  <si>
    <t>Hearing Travel Disbursement</t>
  </si>
  <si>
    <t>Accommodation - Erin</t>
  </si>
  <si>
    <t>Accommodation - Tim</t>
  </si>
  <si>
    <t>Accommodation - Erin Hearing Prep</t>
  </si>
  <si>
    <t>Accommodation - Tim Hearing Prep</t>
  </si>
  <si>
    <t>Venue Rental (for Procedural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</si>
</sst>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mmmm\ d\,\ yyyy"/>
    <numFmt numFmtId="167" formatCode="&quot;$&quot;#,##0.00"/>
    <numFmt numFmtId="168" formatCode="[$$-409]#,##0.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u/>
      <sz val="11"/>
      <color theme="1"/>
      <name val="Arial"/>
      <family val="2"/>
    </font>
    <font>
      <b/>
      <u val="singleAccounting"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</font>
    <font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0" fontId="12" fillId="0" borderId="0" applyNumberFormat="0" applyFill="0" applyBorder="0" applyAlignment="0" applyProtection="0"/>
    <xf numFmtId="0" fontId="19" fillId="0" borderId="0"/>
  </cellStyleXfs>
  <cellXfs count="61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0" fillId="0" borderId="0" xfId="0" applyNumberFormat="1"/>
    <xf numFmtId="14" fontId="0" fillId="0" borderId="0" xfId="0" applyNumberFormat="1"/>
    <xf numFmtId="43" fontId="4" fillId="0" borderId="3" xfId="1" applyFont="1" applyBorder="1"/>
    <xf numFmtId="43" fontId="4" fillId="0" borderId="0" xfId="1" applyFont="1" applyBorder="1"/>
    <xf numFmtId="1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3" fontId="0" fillId="0" borderId="0" xfId="1" applyFont="1"/>
    <xf numFmtId="43" fontId="4" fillId="0" borderId="0" xfId="1" applyFont="1" applyFill="1" applyBorder="1"/>
    <xf numFmtId="10" fontId="3" fillId="0" borderId="0" xfId="3" applyNumberFormat="1" applyFont="1" applyAlignment="1">
      <alignment horizontal="center" wrapText="1"/>
    </xf>
    <xf numFmtId="44" fontId="4" fillId="0" borderId="0" xfId="2" applyFont="1" applyBorder="1"/>
    <xf numFmtId="9" fontId="4" fillId="0" borderId="0" xfId="3" applyFont="1" applyBorder="1"/>
    <xf numFmtId="44" fontId="2" fillId="0" borderId="0" xfId="2" applyFont="1" applyFill="1"/>
    <xf numFmtId="0" fontId="5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0" fontId="3" fillId="0" borderId="0" xfId="0" applyFont="1"/>
    <xf numFmtId="0" fontId="3" fillId="3" borderId="7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center"/>
    </xf>
    <xf numFmtId="43" fontId="5" fillId="3" borderId="8" xfId="1" applyFont="1" applyFill="1" applyBorder="1" applyAlignment="1">
      <alignment horizontal="center" wrapText="1"/>
    </xf>
    <xf numFmtId="43" fontId="5" fillId="3" borderId="8" xfId="1" applyFont="1" applyFill="1" applyBorder="1" applyAlignment="1">
      <alignment horizontal="center"/>
    </xf>
    <xf numFmtId="0" fontId="4" fillId="3" borderId="8" xfId="0" applyFont="1" applyFill="1" applyBorder="1"/>
    <xf numFmtId="43" fontId="3" fillId="3" borderId="8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4" fillId="0" borderId="10" xfId="0" applyFont="1" applyBorder="1"/>
    <xf numFmtId="0" fontId="5" fillId="3" borderId="1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center" wrapText="1"/>
    </xf>
    <xf numFmtId="43" fontId="5" fillId="3" borderId="0" xfId="1" applyFont="1" applyFill="1" applyBorder="1" applyAlignment="1">
      <alignment horizontal="center"/>
    </xf>
    <xf numFmtId="43" fontId="6" fillId="3" borderId="0" xfId="0" applyNumberFormat="1" applyFont="1" applyFill="1" applyAlignment="1">
      <alignment horizontal="center"/>
    </xf>
    <xf numFmtId="0" fontId="5" fillId="3" borderId="11" xfId="0" applyFont="1" applyFill="1" applyBorder="1" applyAlignment="1">
      <alignment horizontal="center" wrapText="1"/>
    </xf>
    <xf numFmtId="0" fontId="4" fillId="3" borderId="10" xfId="0" applyFont="1" applyFill="1" applyBorder="1"/>
    <xf numFmtId="49" fontId="4" fillId="3" borderId="0" xfId="1" applyNumberFormat="1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11" xfId="1" applyFont="1" applyFill="1" applyBorder="1"/>
    <xf numFmtId="0" fontId="3" fillId="3" borderId="12" xfId="0" applyFont="1" applyFill="1" applyBorder="1"/>
    <xf numFmtId="0" fontId="4" fillId="3" borderId="13" xfId="0" applyFont="1" applyFill="1" applyBorder="1"/>
    <xf numFmtId="43" fontId="4" fillId="3" borderId="13" xfId="1" applyFont="1" applyFill="1" applyBorder="1"/>
    <xf numFmtId="43" fontId="4" fillId="3" borderId="14" xfId="1" applyFont="1" applyFill="1" applyBorder="1"/>
    <xf numFmtId="164" fontId="4" fillId="3" borderId="14" xfId="1" applyNumberFormat="1" applyFont="1" applyFill="1" applyBorder="1"/>
    <xf numFmtId="43" fontId="4" fillId="3" borderId="14" xfId="0" applyNumberFormat="1" applyFont="1" applyFill="1" applyBorder="1"/>
    <xf numFmtId="0" fontId="0" fillId="4" borderId="0" xfId="0" applyFill="1"/>
    <xf numFmtId="43" fontId="4" fillId="3" borderId="15" xfId="1" applyFont="1" applyFill="1" applyBorder="1"/>
    <xf numFmtId="0" fontId="4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43" fontId="4" fillId="3" borderId="0" xfId="1" applyFont="1" applyFill="1"/>
    <xf numFmtId="43" fontId="7" fillId="3" borderId="0" xfId="1" applyFont="1" applyFill="1"/>
    <xf numFmtId="43" fontId="7" fillId="3" borderId="10" xfId="1" applyFont="1" applyFill="1" applyBorder="1"/>
    <xf numFmtId="0" fontId="3" fillId="3" borderId="16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/>
    <xf numFmtId="43" fontId="4" fillId="3" borderId="16" xfId="1" applyFont="1" applyFill="1" applyBorder="1"/>
    <xf numFmtId="0" fontId="3" fillId="0" borderId="17" xfId="0" applyFont="1" applyBorder="1"/>
    <xf numFmtId="0" fontId="8" fillId="0" borderId="17" xfId="0" applyFont="1" applyBorder="1"/>
    <xf numFmtId="43" fontId="8" fillId="0" borderId="17" xfId="0" applyNumberFormat="1" applyFont="1" applyBorder="1"/>
    <xf numFmtId="43" fontId="9" fillId="0" borderId="0" xfId="0" applyNumberFormat="1" applyFont="1"/>
    <xf numFmtId="43" fontId="4" fillId="0" borderId="0" xfId="1" applyFont="1"/>
    <xf numFmtId="43" fontId="4" fillId="0" borderId="3" xfId="1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3" fontId="11" fillId="0" borderId="0" xfId="0" applyNumberFormat="1" applyFont="1" applyAlignment="1">
      <alignment horizontal="center" vertical="center"/>
    </xf>
    <xf numFmtId="0" fontId="12" fillId="0" borderId="0" xfId="6"/>
    <xf numFmtId="0" fontId="14" fillId="0" borderId="27" xfId="1" applyNumberFormat="1" applyFont="1" applyBorder="1" applyAlignment="1">
      <alignment horizontal="center" vertical="center"/>
    </xf>
    <xf numFmtId="43" fontId="14" fillId="0" borderId="2" xfId="1" applyFont="1" applyBorder="1" applyAlignment="1">
      <alignment horizontal="center" vertical="center"/>
    </xf>
    <xf numFmtId="43" fontId="14" fillId="0" borderId="2" xfId="1" applyFont="1" applyBorder="1" applyAlignment="1">
      <alignment horizontal="center" vertical="center" wrapText="1"/>
    </xf>
    <xf numFmtId="43" fontId="14" fillId="0" borderId="0" xfId="1" applyFont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/>
    </xf>
    <xf numFmtId="43" fontId="14" fillId="0" borderId="11" xfId="1" applyFont="1" applyBorder="1" applyAlignment="1">
      <alignment horizontal="center" vertical="center"/>
    </xf>
    <xf numFmtId="17" fontId="14" fillId="0" borderId="2" xfId="1" quotePrefix="1" applyNumberFormat="1" applyFont="1" applyBorder="1" applyAlignment="1">
      <alignment horizontal="center" vertical="center"/>
    </xf>
    <xf numFmtId="0" fontId="14" fillId="0" borderId="2" xfId="1" applyNumberFormat="1" applyFont="1" applyBorder="1" applyAlignment="1">
      <alignment horizontal="center" vertical="center"/>
    </xf>
    <xf numFmtId="0" fontId="14" fillId="0" borderId="0" xfId="0" applyFont="1"/>
    <xf numFmtId="43" fontId="13" fillId="0" borderId="28" xfId="1" applyFont="1" applyBorder="1" applyAlignment="1">
      <alignment horizontal="center" vertical="center"/>
    </xf>
    <xf numFmtId="43" fontId="13" fillId="0" borderId="20" xfId="1" applyFont="1" applyBorder="1" applyAlignment="1">
      <alignment horizontal="center" vertical="center"/>
    </xf>
    <xf numFmtId="43" fontId="13" fillId="0" borderId="20" xfId="1" applyFont="1" applyFill="1" applyBorder="1" applyAlignment="1">
      <alignment horizontal="center" vertical="center"/>
    </xf>
    <xf numFmtId="43" fontId="13" fillId="0" borderId="20" xfId="1" applyFont="1" applyBorder="1" applyAlignment="1">
      <alignment horizontal="center" vertical="center" wrapText="1"/>
    </xf>
    <xf numFmtId="43" fontId="13" fillId="0" borderId="14" xfId="1" applyFont="1" applyBorder="1" applyAlignment="1">
      <alignment horizontal="center" vertical="center"/>
    </xf>
    <xf numFmtId="43" fontId="14" fillId="0" borderId="0" xfId="1" applyFont="1" applyFill="1" applyBorder="1" applyAlignment="1">
      <alignment horizontal="center" vertical="center"/>
    </xf>
    <xf numFmtId="0" fontId="13" fillId="0" borderId="0" xfId="0" applyFont="1"/>
    <xf numFmtId="43" fontId="14" fillId="0" borderId="0" xfId="0" applyNumberFormat="1" applyFont="1"/>
    <xf numFmtId="0" fontId="13" fillId="0" borderId="3" xfId="0" applyFont="1" applyBorder="1"/>
    <xf numFmtId="43" fontId="13" fillId="0" borderId="3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13" fillId="5" borderId="20" xfId="1" applyFont="1" applyFill="1" applyBorder="1" applyAlignment="1">
      <alignment horizontal="center" vertical="center" wrapText="1"/>
    </xf>
    <xf numFmtId="43" fontId="13" fillId="8" borderId="30" xfId="1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43" fontId="14" fillId="3" borderId="2" xfId="1" applyFont="1" applyFill="1" applyBorder="1" applyAlignment="1">
      <alignment horizontal="center" vertical="center"/>
    </xf>
    <xf numFmtId="43" fontId="14" fillId="0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3" fontId="14" fillId="0" borderId="34" xfId="1" applyFont="1" applyFill="1" applyBorder="1" applyAlignment="1">
      <alignment horizontal="center" vertical="center"/>
    </xf>
    <xf numFmtId="43" fontId="13" fillId="0" borderId="3" xfId="1" applyFont="1" applyBorder="1"/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3" fillId="0" borderId="3" xfId="0" applyFont="1" applyBorder="1" applyAlignment="1">
      <alignment vertical="center"/>
    </xf>
    <xf numFmtId="43" fontId="13" fillId="0" borderId="3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3" fontId="17" fillId="0" borderId="0" xfId="1" applyFont="1" applyAlignment="1">
      <alignment vertical="center"/>
    </xf>
    <xf numFmtId="43" fontId="14" fillId="0" borderId="11" xfId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43" fontId="18" fillId="2" borderId="0" xfId="0" applyNumberFormat="1" applyFont="1" applyFill="1" applyAlignment="1">
      <alignment vertical="center"/>
    </xf>
    <xf numFmtId="43" fontId="14" fillId="0" borderId="0" xfId="1" applyFont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0" fontId="14" fillId="0" borderId="2" xfId="1" applyNumberFormat="1" applyFont="1" applyBorder="1" applyAlignment="1">
      <alignment horizontal="right" vertical="center"/>
    </xf>
    <xf numFmtId="0" fontId="14" fillId="0" borderId="2" xfId="1" applyNumberFormat="1" applyFont="1" applyFill="1" applyBorder="1" applyAlignment="1">
      <alignment horizontal="center" vertical="center"/>
    </xf>
    <xf numFmtId="43" fontId="3" fillId="0" borderId="0" xfId="0" applyNumberFormat="1" applyFont="1" applyAlignment="1">
      <alignment horizontal="center"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43" fontId="0" fillId="0" borderId="0" xfId="1" applyFont="1" applyFill="1"/>
    <xf numFmtId="0" fontId="0" fillId="0" borderId="0" xfId="0" pivotButton="1"/>
    <xf numFmtId="0" fontId="0" fillId="6" borderId="0" xfId="0" applyFill="1" applyAlignment="1">
      <alignment horizontal="left" indent="1"/>
    </xf>
    <xf numFmtId="0" fontId="0" fillId="10" borderId="0" xfId="0" applyFill="1" applyAlignment="1">
      <alignment horizontal="left" indent="1"/>
    </xf>
    <xf numFmtId="0" fontId="14" fillId="0" borderId="0" xfId="1" applyNumberFormat="1" applyFont="1" applyBorder="1" applyAlignment="1"/>
    <xf numFmtId="13" fontId="14" fillId="0" borderId="2" xfId="1" applyNumberFormat="1" applyFont="1" applyBorder="1" applyAlignment="1">
      <alignment horizontal="center" vertical="center" wrapText="1"/>
    </xf>
    <xf numFmtId="164" fontId="14" fillId="0" borderId="2" xfId="1" applyNumberFormat="1" applyFont="1" applyBorder="1" applyAlignment="1">
      <alignment horizontal="center" vertical="center"/>
    </xf>
    <xf numFmtId="0" fontId="14" fillId="0" borderId="27" xfId="1" applyNumberFormat="1" applyFont="1" applyFill="1" applyBorder="1" applyAlignment="1">
      <alignment horizontal="center" vertical="center"/>
    </xf>
    <xf numFmtId="43" fontId="13" fillId="0" borderId="28" xfId="1" applyFont="1" applyFill="1" applyBorder="1" applyAlignment="1">
      <alignment horizontal="center" vertical="center"/>
    </xf>
    <xf numFmtId="43" fontId="13" fillId="0" borderId="20" xfId="1" applyFont="1" applyFill="1" applyBorder="1" applyAlignment="1">
      <alignment horizontal="center" vertical="center" wrapText="1"/>
    </xf>
    <xf numFmtId="43" fontId="13" fillId="0" borderId="14" xfId="1" applyFont="1" applyFill="1" applyBorder="1" applyAlignment="1">
      <alignment horizontal="center" vertical="center"/>
    </xf>
    <xf numFmtId="43" fontId="13" fillId="0" borderId="30" xfId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14" fontId="14" fillId="0" borderId="2" xfId="1" applyNumberFormat="1" applyFont="1" applyFill="1" applyBorder="1" applyAlignment="1">
      <alignment horizontal="center" vertical="center" wrapText="1"/>
    </xf>
    <xf numFmtId="43" fontId="14" fillId="0" borderId="42" xfId="0" applyNumberFormat="1" applyFont="1" applyBorder="1"/>
    <xf numFmtId="43" fontId="14" fillId="0" borderId="43" xfId="0" applyNumberFormat="1" applyFont="1" applyBorder="1"/>
    <xf numFmtId="0" fontId="21" fillId="0" borderId="0" xfId="0" applyFont="1"/>
    <xf numFmtId="0" fontId="14" fillId="11" borderId="0" xfId="0" applyFont="1" applyFill="1"/>
    <xf numFmtId="43" fontId="14" fillId="11" borderId="0" xfId="0" applyNumberFormat="1" applyFont="1" applyFill="1"/>
    <xf numFmtId="43" fontId="21" fillId="11" borderId="0" xfId="0" applyNumberFormat="1" applyFont="1" applyFill="1"/>
    <xf numFmtId="0" fontId="0" fillId="11" borderId="0" xfId="0" applyFill="1" applyAlignment="1">
      <alignment horizontal="left" indent="1"/>
    </xf>
    <xf numFmtId="0" fontId="0" fillId="6" borderId="0" xfId="0" applyFill="1"/>
    <xf numFmtId="0" fontId="0" fillId="10" borderId="0" xfId="0" applyFill="1"/>
    <xf numFmtId="2" fontId="14" fillId="0" borderId="0" xfId="0" applyNumberFormat="1" applyFont="1"/>
    <xf numFmtId="0" fontId="22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167" fontId="28" fillId="0" borderId="58" xfId="0" applyNumberFormat="1" applyFont="1" applyBorder="1" applyAlignment="1">
      <alignment horizontal="right" vertical="center"/>
    </xf>
    <xf numFmtId="167" fontId="22" fillId="0" borderId="0" xfId="0" applyNumberFormat="1" applyFont="1"/>
    <xf numFmtId="0" fontId="29" fillId="0" borderId="0" xfId="0" applyFont="1" applyAlignment="1">
      <alignment horizontal="right"/>
    </xf>
    <xf numFmtId="0" fontId="15" fillId="0" borderId="0" xfId="0" applyFont="1"/>
    <xf numFmtId="0" fontId="29" fillId="0" borderId="0" xfId="0" applyFont="1"/>
    <xf numFmtId="49" fontId="26" fillId="0" borderId="17" xfId="0" applyNumberFormat="1" applyFont="1" applyBorder="1" applyAlignment="1" applyProtection="1">
      <alignment horizontal="left"/>
      <protection locked="0"/>
    </xf>
    <xf numFmtId="0" fontId="26" fillId="0" borderId="0" xfId="0" applyFont="1" applyAlignment="1">
      <alignment horizontal="right"/>
    </xf>
    <xf numFmtId="0" fontId="14" fillId="0" borderId="0" xfId="0" applyFont="1" applyAlignment="1">
      <alignment wrapText="1"/>
    </xf>
    <xf numFmtId="0" fontId="31" fillId="0" borderId="0" xfId="7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43" fontId="14" fillId="0" borderId="0" xfId="0" applyNumberFormat="1" applyFont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8" borderId="38" xfId="0" applyFont="1" applyFill="1" applyBorder="1" applyAlignment="1">
      <alignment horizontal="center" vertical="center" wrapText="1"/>
    </xf>
    <xf numFmtId="43" fontId="14" fillId="0" borderId="29" xfId="1" applyFont="1" applyBorder="1" applyAlignment="1">
      <alignment horizontal="center" vertical="center"/>
    </xf>
    <xf numFmtId="1" fontId="14" fillId="0" borderId="19" xfId="0" applyNumberFormat="1" applyFont="1" applyBorder="1" applyAlignment="1">
      <alignment horizontal="center" vertical="center"/>
    </xf>
    <xf numFmtId="43" fontId="14" fillId="0" borderId="22" xfId="1" applyFont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13" fontId="14" fillId="0" borderId="2" xfId="1" applyNumberFormat="1" applyFont="1" applyFill="1" applyBorder="1" applyAlignment="1">
      <alignment horizontal="center" vertical="center"/>
    </xf>
    <xf numFmtId="14" fontId="14" fillId="0" borderId="2" xfId="1" applyNumberFormat="1" applyFont="1" applyFill="1" applyBorder="1" applyAlignment="1">
      <alignment horizontal="center" vertical="center"/>
    </xf>
    <xf numFmtId="43" fontId="14" fillId="0" borderId="27" xfId="1" applyFont="1" applyBorder="1" applyAlignment="1">
      <alignment horizontal="center" vertical="center"/>
    </xf>
    <xf numFmtId="43" fontId="13" fillId="0" borderId="21" xfId="1" applyFont="1" applyBorder="1" applyAlignment="1">
      <alignment horizontal="center" vertical="center"/>
    </xf>
    <xf numFmtId="43" fontId="13" fillId="0" borderId="23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43" fontId="14" fillId="0" borderId="0" xfId="1" applyFont="1" applyFill="1" applyBorder="1"/>
    <xf numFmtId="43" fontId="14" fillId="0" borderId="0" xfId="1" applyFont="1" applyBorder="1"/>
    <xf numFmtId="14" fontId="14" fillId="0" borderId="0" xfId="0" applyNumberFormat="1" applyFont="1"/>
    <xf numFmtId="43" fontId="14" fillId="0" borderId="0" xfId="1" applyFont="1" applyBorder="1" applyAlignment="1">
      <alignment horizontal="center"/>
    </xf>
    <xf numFmtId="43" fontId="14" fillId="0" borderId="0" xfId="1" applyFont="1"/>
    <xf numFmtId="44" fontId="13" fillId="0" borderId="0" xfId="2" applyFont="1" applyFill="1"/>
    <xf numFmtId="0" fontId="14" fillId="4" borderId="0" xfId="0" applyFont="1" applyFill="1"/>
    <xf numFmtId="0" fontId="4" fillId="0" borderId="0" xfId="0" applyFont="1" applyAlignment="1">
      <alignment vertical="center"/>
    </xf>
    <xf numFmtId="14" fontId="4" fillId="0" borderId="0" xfId="0" applyNumberFormat="1" applyFont="1"/>
    <xf numFmtId="43" fontId="4" fillId="11" borderId="0" xfId="0" applyNumberFormat="1" applyFont="1" applyFill="1"/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1" fillId="0" borderId="0" xfId="7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/>
    <xf numFmtId="0" fontId="33" fillId="0" borderId="0" xfId="7" applyFont="1"/>
    <xf numFmtId="0" fontId="34" fillId="0" borderId="0" xfId="0" applyFont="1"/>
    <xf numFmtId="0" fontId="31" fillId="0" borderId="0" xfId="7" applyFont="1" applyAlignment="1">
      <alignment vertical="center"/>
    </xf>
    <xf numFmtId="0" fontId="31" fillId="0" borderId="0" xfId="7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33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43" fontId="13" fillId="5" borderId="0" xfId="0" applyNumberFormat="1" applyFont="1" applyFill="1"/>
    <xf numFmtId="0" fontId="14" fillId="0" borderId="0" xfId="0" applyFont="1" applyAlignment="1">
      <alignment horizontal="right"/>
    </xf>
    <xf numFmtId="43" fontId="35" fillId="0" borderId="0" xfId="1" applyFont="1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43" fontId="14" fillId="0" borderId="3" xfId="1" applyFont="1" applyFill="1" applyBorder="1"/>
    <xf numFmtId="0" fontId="14" fillId="0" borderId="0" xfId="0" applyFont="1" applyAlignment="1">
      <alignment horizontal="right" wrapText="1"/>
    </xf>
    <xf numFmtId="43" fontId="35" fillId="0" borderId="3" xfId="1" applyFont="1" applyFill="1" applyBorder="1"/>
    <xf numFmtId="10" fontId="13" fillId="0" borderId="0" xfId="3" applyNumberFormat="1" applyFont="1" applyAlignment="1">
      <alignment horizontal="center" wrapText="1"/>
    </xf>
    <xf numFmtId="44" fontId="14" fillId="0" borderId="0" xfId="2" applyFont="1" applyBorder="1"/>
    <xf numFmtId="9" fontId="14" fillId="0" borderId="0" xfId="3" applyFont="1" applyBorder="1"/>
    <xf numFmtId="0" fontId="36" fillId="0" borderId="0" xfId="0" applyFont="1" applyAlignment="1">
      <alignment horizontal="left"/>
    </xf>
    <xf numFmtId="0" fontId="36" fillId="3" borderId="8" xfId="0" applyFont="1" applyFill="1" applyBorder="1" applyAlignment="1">
      <alignment horizontal="center"/>
    </xf>
    <xf numFmtId="43" fontId="36" fillId="3" borderId="8" xfId="1" applyFont="1" applyFill="1" applyBorder="1" applyAlignment="1">
      <alignment horizontal="center" wrapText="1"/>
    </xf>
    <xf numFmtId="43" fontId="36" fillId="3" borderId="8" xfId="1" applyFont="1" applyFill="1" applyBorder="1" applyAlignment="1">
      <alignment horizontal="center"/>
    </xf>
    <xf numFmtId="0" fontId="14" fillId="3" borderId="8" xfId="0" applyFont="1" applyFill="1" applyBorder="1"/>
    <xf numFmtId="43" fontId="13" fillId="3" borderId="8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wrapText="1"/>
    </xf>
    <xf numFmtId="0" fontId="14" fillId="0" borderId="10" xfId="0" applyFont="1" applyBorder="1"/>
    <xf numFmtId="0" fontId="36" fillId="3" borderId="10" xfId="0" applyFont="1" applyFill="1" applyBorder="1" applyAlignment="1">
      <alignment horizontal="center"/>
    </xf>
    <xf numFmtId="0" fontId="36" fillId="3" borderId="0" xfId="0" applyFont="1" applyFill="1" applyAlignment="1">
      <alignment horizontal="center"/>
    </xf>
    <xf numFmtId="0" fontId="14" fillId="3" borderId="0" xfId="0" applyFont="1" applyFill="1"/>
    <xf numFmtId="0" fontId="36" fillId="3" borderId="0" xfId="0" applyFont="1" applyFill="1" applyAlignment="1">
      <alignment horizontal="center" wrapText="1"/>
    </xf>
    <xf numFmtId="43" fontId="36" fillId="3" borderId="0" xfId="1" applyFont="1" applyFill="1" applyBorder="1" applyAlignment="1">
      <alignment horizontal="center"/>
    </xf>
    <xf numFmtId="43" fontId="37" fillId="3" borderId="0" xfId="0" applyNumberFormat="1" applyFont="1" applyFill="1" applyAlignment="1">
      <alignment horizontal="center"/>
    </xf>
    <xf numFmtId="0" fontId="36" fillId="3" borderId="11" xfId="0" applyFont="1" applyFill="1" applyBorder="1" applyAlignment="1">
      <alignment horizontal="center" wrapText="1"/>
    </xf>
    <xf numFmtId="49" fontId="14" fillId="3" borderId="0" xfId="1" applyNumberFormat="1" applyFont="1" applyFill="1" applyBorder="1" applyAlignment="1">
      <alignment horizontal="right"/>
    </xf>
    <xf numFmtId="43" fontId="14" fillId="3" borderId="0" xfId="1" applyFont="1" applyFill="1" applyBorder="1"/>
    <xf numFmtId="43" fontId="14" fillId="3" borderId="11" xfId="1" applyFont="1" applyFill="1" applyBorder="1"/>
    <xf numFmtId="0" fontId="14" fillId="3" borderId="13" xfId="0" applyFont="1" applyFill="1" applyBorder="1"/>
    <xf numFmtId="43" fontId="14" fillId="3" borderId="13" xfId="1" applyFont="1" applyFill="1" applyBorder="1"/>
    <xf numFmtId="43" fontId="14" fillId="3" borderId="14" xfId="1" applyFont="1" applyFill="1" applyBorder="1"/>
    <xf numFmtId="164" fontId="14" fillId="3" borderId="14" xfId="1" applyNumberFormat="1" applyFont="1" applyFill="1" applyBorder="1"/>
    <xf numFmtId="43" fontId="14" fillId="3" borderId="14" xfId="0" applyNumberFormat="1" applyFont="1" applyFill="1" applyBorder="1"/>
    <xf numFmtId="43" fontId="14" fillId="3" borderId="15" xfId="1" applyFont="1" applyFill="1" applyBorder="1"/>
    <xf numFmtId="0" fontId="36" fillId="3" borderId="8" xfId="0" applyFont="1" applyFill="1" applyBorder="1" applyAlignment="1">
      <alignment horizontal="center" wrapText="1"/>
    </xf>
    <xf numFmtId="0" fontId="36" fillId="3" borderId="10" xfId="0" applyFont="1" applyFill="1" applyBorder="1" applyAlignment="1">
      <alignment horizontal="center" wrapText="1"/>
    </xf>
    <xf numFmtId="0" fontId="14" fillId="3" borderId="0" xfId="0" applyFont="1" applyFill="1" applyAlignment="1">
      <alignment horizontal="center"/>
    </xf>
    <xf numFmtId="43" fontId="14" fillId="3" borderId="0" xfId="1" applyFont="1" applyFill="1"/>
    <xf numFmtId="43" fontId="38" fillId="3" borderId="0" xfId="1" applyFont="1" applyFill="1"/>
    <xf numFmtId="43" fontId="38" fillId="3" borderId="10" xfId="1" applyFont="1" applyFill="1" applyBorder="1"/>
    <xf numFmtId="0" fontId="14" fillId="3" borderId="14" xfId="0" applyFont="1" applyFill="1" applyBorder="1" applyAlignment="1">
      <alignment horizontal="center"/>
    </xf>
    <xf numFmtId="0" fontId="14" fillId="3" borderId="14" xfId="0" applyFont="1" applyFill="1" applyBorder="1"/>
    <xf numFmtId="43" fontId="14" fillId="3" borderId="16" xfId="1" applyFont="1" applyFill="1" applyBorder="1"/>
    <xf numFmtId="0" fontId="13" fillId="0" borderId="17" xfId="0" applyFont="1" applyBorder="1"/>
    <xf numFmtId="0" fontId="31" fillId="0" borderId="17" xfId="0" applyFont="1" applyBorder="1"/>
    <xf numFmtId="43" fontId="31" fillId="0" borderId="17" xfId="0" applyNumberFormat="1" applyFont="1" applyBorder="1"/>
    <xf numFmtId="43" fontId="39" fillId="0" borderId="0" xfId="0" applyNumberFormat="1" applyFont="1"/>
    <xf numFmtId="165" fontId="31" fillId="0" borderId="0" xfId="7" applyNumberFormat="1" applyFont="1" applyAlignment="1">
      <alignment horizontal="center"/>
    </xf>
    <xf numFmtId="14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1" fontId="14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4" fillId="0" borderId="0" xfId="0" applyNumberFormat="1" applyFont="1" applyAlignment="1">
      <alignment wrapText="1"/>
    </xf>
    <xf numFmtId="43" fontId="14" fillId="0" borderId="3" xfId="1" applyFont="1" applyBorder="1"/>
    <xf numFmtId="0" fontId="11" fillId="0" borderId="0" xfId="0" applyFont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43" fontId="5" fillId="3" borderId="8" xfId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3" fontId="14" fillId="0" borderId="2" xfId="1" quotePrefix="1" applyFont="1" applyFill="1" applyBorder="1" applyAlignment="1">
      <alignment horizontal="center" vertical="center"/>
    </xf>
    <xf numFmtId="0" fontId="14" fillId="0" borderId="2" xfId="1" quotePrefix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13" fillId="0" borderId="0" xfId="0" applyFont="1" applyAlignment="1" applyProtection="1">
      <alignment vertical="center"/>
      <protection locked="0"/>
    </xf>
    <xf numFmtId="39" fontId="14" fillId="0" borderId="74" xfId="0" applyNumberFormat="1" applyFont="1" applyBorder="1" applyAlignment="1">
      <alignment horizontal="right" vertical="center" wrapText="1"/>
    </xf>
    <xf numFmtId="39" fontId="14" fillId="0" borderId="75" xfId="0" applyNumberFormat="1" applyFont="1" applyBorder="1" applyAlignment="1">
      <alignment horizontal="right" vertical="center" wrapText="1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1" fillId="0" borderId="73" xfId="0" applyFont="1" applyBorder="1" applyAlignment="1">
      <alignment horizontal="left" vertical="center" wrapText="1"/>
    </xf>
    <xf numFmtId="0" fontId="31" fillId="0" borderId="76" xfId="0" applyFont="1" applyBorder="1" applyAlignment="1">
      <alignment horizontal="left" vertical="center" wrapText="1"/>
    </xf>
    <xf numFmtId="0" fontId="31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31" fillId="0" borderId="12" xfId="0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47" xfId="0" applyFont="1" applyBorder="1" applyAlignment="1">
      <alignment vertical="center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41" xfId="0" applyFont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31" fillId="0" borderId="41" xfId="0" applyFont="1" applyBorder="1" applyAlignment="1">
      <alignment vertical="center"/>
    </xf>
    <xf numFmtId="0" fontId="14" fillId="0" borderId="17" xfId="0" applyFont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vertical="center"/>
      <protection locked="0"/>
    </xf>
    <xf numFmtId="0" fontId="31" fillId="0" borderId="17" xfId="0" applyFont="1" applyBorder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14" fillId="0" borderId="74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4" fillId="0" borderId="78" xfId="0" applyFont="1" applyBorder="1" applyAlignment="1">
      <alignment horizontal="left" vertical="center" wrapText="1"/>
    </xf>
    <xf numFmtId="0" fontId="14" fillId="0" borderId="79" xfId="0" applyFont="1" applyBorder="1" applyAlignment="1">
      <alignment horizontal="left" vertical="center" wrapText="1"/>
    </xf>
    <xf numFmtId="0" fontId="14" fillId="0" borderId="80" xfId="0" applyFont="1" applyBorder="1" applyAlignment="1">
      <alignment horizontal="left" vertical="center" wrapText="1"/>
    </xf>
    <xf numFmtId="0" fontId="14" fillId="0" borderId="81" xfId="0" applyFont="1" applyBorder="1" applyAlignment="1">
      <alignment horizontal="left" vertical="center" wrapText="1"/>
    </xf>
    <xf numFmtId="37" fontId="14" fillId="4" borderId="2" xfId="1" applyNumberFormat="1" applyFont="1" applyFill="1" applyBorder="1" applyAlignment="1">
      <alignment horizontal="right" vertical="center"/>
    </xf>
    <xf numFmtId="39" fontId="30" fillId="0" borderId="74" xfId="0" applyNumberFormat="1" applyFont="1" applyBorder="1" applyAlignment="1">
      <alignment horizontal="right" vertical="center" wrapText="1"/>
    </xf>
    <xf numFmtId="0" fontId="11" fillId="0" borderId="27" xfId="1" applyNumberFormat="1" applyFont="1" applyBorder="1" applyAlignment="1">
      <alignment horizontal="center" vertical="center"/>
    </xf>
    <xf numFmtId="0" fontId="11" fillId="0" borderId="2" xfId="1" applyNumberFormat="1" applyFont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2" xfId="1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center" vertical="center"/>
    </xf>
    <xf numFmtId="43" fontId="11" fillId="0" borderId="22" xfId="1" applyFont="1" applyBorder="1" applyAlignment="1">
      <alignment horizontal="center" vertical="center"/>
    </xf>
    <xf numFmtId="0" fontId="11" fillId="0" borderId="27" xfId="1" applyNumberFormat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19" fillId="0" borderId="0" xfId="0" applyFont="1"/>
    <xf numFmtId="0" fontId="41" fillId="0" borderId="0" xfId="0" applyFont="1"/>
    <xf numFmtId="0" fontId="42" fillId="0" borderId="0" xfId="0" applyFont="1" applyAlignment="1">
      <alignment horizontal="right"/>
    </xf>
    <xf numFmtId="0" fontId="43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9" fillId="0" borderId="65" xfId="0" applyFont="1" applyBorder="1"/>
    <xf numFmtId="0" fontId="19" fillId="0" borderId="58" xfId="0" applyFont="1" applyBorder="1"/>
    <xf numFmtId="0" fontId="19" fillId="0" borderId="66" xfId="0" applyFont="1" applyBorder="1"/>
    <xf numFmtId="0" fontId="34" fillId="0" borderId="0" xfId="0" applyFont="1" applyAlignment="1" applyProtection="1">
      <alignment horizontal="right"/>
      <protection locked="0"/>
    </xf>
    <xf numFmtId="0" fontId="34" fillId="0" borderId="41" xfId="0" applyFont="1" applyBorder="1" applyProtection="1">
      <protection locked="0"/>
    </xf>
    <xf numFmtId="0" fontId="11" fillId="0" borderId="41" xfId="0" applyFont="1" applyBorder="1" applyProtection="1">
      <protection locked="0"/>
    </xf>
    <xf numFmtId="0" fontId="11" fillId="0" borderId="17" xfId="0" applyFont="1" applyBorder="1" applyProtection="1">
      <protection locked="0"/>
    </xf>
    <xf numFmtId="168" fontId="19" fillId="0" borderId="58" xfId="0" applyNumberFormat="1" applyFont="1" applyBorder="1"/>
    <xf numFmtId="167" fontId="19" fillId="0" borderId="58" xfId="0" applyNumberFormat="1" applyFont="1" applyBorder="1"/>
    <xf numFmtId="0" fontId="3" fillId="0" borderId="0" xfId="0" applyFont="1" applyAlignment="1" applyProtection="1">
      <alignment horizontal="right"/>
      <protection locked="0"/>
    </xf>
    <xf numFmtId="4" fontId="4" fillId="0" borderId="65" xfId="2" applyNumberFormat="1" applyFont="1" applyBorder="1" applyAlignment="1" applyProtection="1">
      <alignment horizontal="center"/>
    </xf>
    <xf numFmtId="168" fontId="4" fillId="0" borderId="58" xfId="0" applyNumberFormat="1" applyFont="1" applyBorder="1"/>
    <xf numFmtId="4" fontId="4" fillId="0" borderId="58" xfId="0" applyNumberFormat="1" applyFont="1" applyBorder="1" applyAlignment="1">
      <alignment horizontal="center"/>
    </xf>
    <xf numFmtId="167" fontId="4" fillId="0" borderId="58" xfId="0" applyNumberFormat="1" applyFont="1" applyBorder="1"/>
    <xf numFmtId="2" fontId="4" fillId="0" borderId="58" xfId="0" applyNumberFormat="1" applyFont="1" applyBorder="1" applyAlignment="1">
      <alignment horizontal="center"/>
    </xf>
    <xf numFmtId="4" fontId="4" fillId="0" borderId="0" xfId="2" applyNumberFormat="1" applyFont="1" applyBorder="1" applyProtection="1"/>
    <xf numFmtId="168" fontId="4" fillId="0" borderId="0" xfId="0" applyNumberFormat="1" applyFont="1"/>
    <xf numFmtId="4" fontId="4" fillId="0" borderId="0" xfId="0" applyNumberFormat="1" applyFont="1"/>
    <xf numFmtId="167" fontId="4" fillId="0" borderId="0" xfId="0" applyNumberFormat="1" applyFont="1"/>
    <xf numFmtId="2" fontId="4" fillId="0" borderId="0" xfId="0" applyNumberFormat="1" applyFont="1"/>
    <xf numFmtId="16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4" fontId="4" fillId="0" borderId="65" xfId="2" applyNumberFormat="1" applyFont="1" applyBorder="1" applyProtection="1"/>
    <xf numFmtId="4" fontId="4" fillId="0" borderId="58" xfId="0" applyNumberFormat="1" applyFont="1" applyBorder="1"/>
    <xf numFmtId="2" fontId="4" fillId="0" borderId="58" xfId="0" applyNumberFormat="1" applyFont="1" applyBorder="1"/>
    <xf numFmtId="0" fontId="3" fillId="0" borderId="41" xfId="0" applyFont="1" applyBorder="1" applyProtection="1">
      <protection locked="0"/>
    </xf>
    <xf numFmtId="0" fontId="4" fillId="0" borderId="41" xfId="0" applyFont="1" applyBorder="1" applyProtection="1">
      <protection locked="0"/>
    </xf>
    <xf numFmtId="0" fontId="4" fillId="0" borderId="17" xfId="0" applyFont="1" applyBorder="1" applyProtection="1">
      <protection locked="0"/>
    </xf>
    <xf numFmtId="4" fontId="4" fillId="0" borderId="0" xfId="2" applyNumberFormat="1" applyFont="1" applyBorder="1" applyAlignment="1" applyProtection="1">
      <alignment horizontal="center"/>
    </xf>
    <xf numFmtId="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3" fontId="14" fillId="0" borderId="0" xfId="1" applyFont="1" applyFill="1"/>
    <xf numFmtId="0" fontId="35" fillId="0" borderId="0" xfId="7" applyFont="1" applyAlignment="1">
      <alignment horizontal="center"/>
    </xf>
    <xf numFmtId="0" fontId="14" fillId="3" borderId="13" xfId="0" applyFont="1" applyFill="1" applyBorder="1" applyAlignment="1">
      <alignment horizontal="center"/>
    </xf>
    <xf numFmtId="43" fontId="19" fillId="0" borderId="0" xfId="1" applyFont="1"/>
    <xf numFmtId="0" fontId="0" fillId="0" borderId="0" xfId="0" applyAlignment="1">
      <alignment horizontal="center" vertical="center" wrapText="1"/>
    </xf>
    <xf numFmtId="39" fontId="14" fillId="0" borderId="84" xfId="0" applyNumberFormat="1" applyFont="1" applyBorder="1" applyAlignment="1">
      <alignment horizontal="right" vertical="center" wrapText="1"/>
    </xf>
    <xf numFmtId="39" fontId="14" fillId="0" borderId="85" xfId="0" applyNumberFormat="1" applyFont="1" applyBorder="1" applyAlignment="1">
      <alignment horizontal="right" vertical="center" wrapText="1"/>
    </xf>
    <xf numFmtId="39" fontId="14" fillId="0" borderId="86" xfId="0" applyNumberFormat="1" applyFont="1" applyBorder="1" applyAlignment="1">
      <alignment horizontal="right" vertical="center" wrapText="1"/>
    </xf>
    <xf numFmtId="39" fontId="45" fillId="0" borderId="87" xfId="0" applyNumberFormat="1" applyFont="1" applyBorder="1" applyAlignment="1">
      <alignment horizontal="right" vertical="center" wrapText="1"/>
    </xf>
    <xf numFmtId="39" fontId="14" fillId="0" borderId="88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4" fillId="0" borderId="27" xfId="1" applyNumberFormat="1" applyFont="1" applyBorder="1" applyAlignment="1">
      <alignment horizontal="center" vertical="center"/>
    </xf>
    <xf numFmtId="43" fontId="4" fillId="0" borderId="2" xfId="1" quotePrefix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43" fontId="4" fillId="0" borderId="29" xfId="1" applyFont="1" applyFill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43" fontId="4" fillId="0" borderId="22" xfId="1" applyFont="1" applyBorder="1" applyAlignment="1">
      <alignment horizontal="center" vertical="center"/>
    </xf>
    <xf numFmtId="43" fontId="4" fillId="0" borderId="11" xfId="1" applyFont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 wrapText="1"/>
    </xf>
    <xf numFmtId="15" fontId="4" fillId="0" borderId="2" xfId="1" applyNumberFormat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20" xfId="1" applyFont="1" applyBorder="1" applyAlignment="1">
      <alignment horizontal="center" vertical="center"/>
    </xf>
    <xf numFmtId="43" fontId="3" fillId="0" borderId="20" xfId="1" applyFont="1" applyBorder="1" applyAlignment="1">
      <alignment horizontal="center" vertical="center" wrapText="1"/>
    </xf>
    <xf numFmtId="43" fontId="3" fillId="0" borderId="21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43" fontId="3" fillId="0" borderId="23" xfId="1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25" fillId="0" borderId="0" xfId="0" applyFont="1" applyAlignment="1">
      <alignment horizontal="right"/>
    </xf>
    <xf numFmtId="0" fontId="22" fillId="0" borderId="0" xfId="0" applyFont="1"/>
    <xf numFmtId="0" fontId="2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24" fillId="0" borderId="0" xfId="0" applyFont="1" applyAlignment="1">
      <alignment horizontal="center"/>
    </xf>
    <xf numFmtId="0" fontId="26" fillId="0" borderId="0" xfId="0" applyFont="1"/>
    <xf numFmtId="0" fontId="8" fillId="0" borderId="7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47" xfId="0" applyFont="1" applyBorder="1" applyAlignment="1">
      <alignment wrapText="1"/>
    </xf>
    <xf numFmtId="0" fontId="8" fillId="0" borderId="44" xfId="0" applyFont="1" applyBorder="1" applyAlignment="1">
      <alignment horizontal="center" wrapText="1"/>
    </xf>
    <xf numFmtId="0" fontId="8" fillId="0" borderId="46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47" xfId="0" applyFont="1" applyBorder="1" applyAlignment="1">
      <alignment horizontal="center" wrapText="1"/>
    </xf>
    <xf numFmtId="166" fontId="26" fillId="0" borderId="0" xfId="0" applyNumberFormat="1" applyFont="1" applyAlignment="1" applyProtection="1">
      <alignment horizontal="left" vertical="center" wrapText="1"/>
      <protection locked="0"/>
    </xf>
    <xf numFmtId="0" fontId="8" fillId="0" borderId="29" xfId="0" applyFont="1" applyBorder="1" applyAlignment="1">
      <alignment horizontal="center" wrapText="1"/>
    </xf>
    <xf numFmtId="0" fontId="4" fillId="0" borderId="48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0" fontId="26" fillId="0" borderId="7" xfId="0" applyFont="1" applyBorder="1" applyAlignment="1">
      <alignment vertical="center"/>
    </xf>
    <xf numFmtId="0" fontId="2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167" fontId="28" fillId="0" borderId="8" xfId="0" applyNumberFormat="1" applyFont="1" applyBorder="1" applyAlignment="1" applyProtection="1">
      <alignment horizontal="right" vertical="center"/>
      <protection locked="0"/>
    </xf>
    <xf numFmtId="167" fontId="0" fillId="0" borderId="50" xfId="0" applyNumberFormat="1" applyBorder="1" applyAlignment="1" applyProtection="1">
      <alignment horizontal="right" vertical="center"/>
      <protection locked="0"/>
    </xf>
    <xf numFmtId="167" fontId="0" fillId="0" borderId="41" xfId="0" applyNumberFormat="1" applyBorder="1" applyAlignment="1" applyProtection="1">
      <alignment horizontal="right" vertical="center"/>
      <protection locked="0"/>
    </xf>
    <xf numFmtId="167" fontId="0" fillId="0" borderId="33" xfId="0" applyNumberFormat="1" applyBorder="1" applyAlignment="1" applyProtection="1">
      <alignment horizontal="right" vertical="center"/>
      <protection locked="0"/>
    </xf>
    <xf numFmtId="167" fontId="28" fillId="0" borderId="45" xfId="0" applyNumberFormat="1" applyFont="1" applyBorder="1" applyAlignment="1" applyProtection="1">
      <alignment horizontal="right" vertical="center"/>
      <protection locked="0"/>
    </xf>
    <xf numFmtId="167" fontId="0" fillId="0" borderId="32" xfId="0" applyNumberFormat="1" applyBorder="1" applyAlignment="1" applyProtection="1">
      <alignment horizontal="right" vertical="center"/>
      <protection locked="0"/>
    </xf>
    <xf numFmtId="167" fontId="28" fillId="0" borderId="29" xfId="0" applyNumberFormat="1" applyFont="1" applyBorder="1" applyAlignment="1" applyProtection="1">
      <alignment horizontal="right" vertical="center"/>
      <protection locked="0"/>
    </xf>
    <xf numFmtId="167" fontId="28" fillId="0" borderId="46" xfId="0" applyNumberFormat="1" applyFont="1" applyBorder="1" applyAlignment="1">
      <alignment horizontal="right" vertical="center"/>
    </xf>
    <xf numFmtId="167" fontId="28" fillId="0" borderId="9" xfId="0" applyNumberFormat="1" applyFont="1" applyBorder="1" applyAlignment="1">
      <alignment horizontal="right" vertical="center"/>
    </xf>
    <xf numFmtId="167" fontId="28" fillId="0" borderId="36" xfId="0" applyNumberFormat="1" applyFont="1" applyBorder="1" applyAlignment="1">
      <alignment horizontal="right" vertical="center"/>
    </xf>
    <xf numFmtId="167" fontId="28" fillId="0" borderId="38" xfId="0" applyNumberFormat="1" applyFont="1" applyBorder="1" applyAlignment="1">
      <alignment horizontal="right" vertical="center"/>
    </xf>
    <xf numFmtId="49" fontId="28" fillId="0" borderId="51" xfId="0" applyNumberFormat="1" applyFont="1" applyBorder="1" applyAlignment="1" applyProtection="1">
      <alignment horizontal="left"/>
      <protection locked="0"/>
    </xf>
    <xf numFmtId="49" fontId="28" fillId="0" borderId="41" xfId="0" applyNumberFormat="1" applyFont="1" applyBorder="1" applyAlignment="1" applyProtection="1">
      <alignment horizontal="left"/>
      <protection locked="0"/>
    </xf>
    <xf numFmtId="49" fontId="0" fillId="0" borderId="38" xfId="0" applyNumberFormat="1" applyBorder="1" applyAlignment="1" applyProtection="1">
      <alignment horizontal="left"/>
      <protection locked="0"/>
    </xf>
    <xf numFmtId="0" fontId="26" fillId="0" borderId="52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0" fillId="0" borderId="55" xfId="0" applyBorder="1" applyAlignment="1">
      <alignment vertical="center"/>
    </xf>
    <xf numFmtId="167" fontId="28" fillId="0" borderId="3" xfId="0" applyNumberFormat="1" applyFont="1" applyBorder="1" applyAlignment="1" applyProtection="1">
      <alignment horizontal="right" vertical="center"/>
      <protection locked="0"/>
    </xf>
    <xf numFmtId="167" fontId="0" fillId="0" borderId="53" xfId="0" applyNumberFormat="1" applyBorder="1" applyAlignment="1" applyProtection="1">
      <alignment horizontal="right" vertical="center"/>
      <protection locked="0"/>
    </xf>
    <xf numFmtId="167" fontId="28" fillId="0" borderId="54" xfId="0" applyNumberFormat="1" applyFont="1" applyBorder="1" applyAlignment="1">
      <alignment horizontal="right" vertical="center"/>
    </xf>
    <xf numFmtId="167" fontId="28" fillId="0" borderId="55" xfId="0" applyNumberFormat="1" applyFont="1" applyBorder="1" applyAlignment="1">
      <alignment horizontal="right" vertical="center"/>
    </xf>
    <xf numFmtId="167" fontId="0" fillId="0" borderId="13" xfId="0" applyNumberFormat="1" applyBorder="1" applyAlignment="1" applyProtection="1">
      <alignment horizontal="right" vertical="center"/>
      <protection locked="0"/>
    </xf>
    <xf numFmtId="167" fontId="0" fillId="0" borderId="56" xfId="0" applyNumberFormat="1" applyBorder="1" applyAlignment="1" applyProtection="1">
      <alignment horizontal="right" vertical="center"/>
      <protection locked="0"/>
    </xf>
    <xf numFmtId="167" fontId="0" fillId="0" borderId="48" xfId="0" applyNumberFormat="1" applyBorder="1" applyAlignment="1" applyProtection="1">
      <alignment horizontal="right" vertical="center"/>
      <protection locked="0"/>
    </xf>
    <xf numFmtId="0" fontId="28" fillId="0" borderId="29" xfId="0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167" fontId="28" fillId="0" borderId="54" xfId="0" applyNumberFormat="1" applyFont="1" applyBorder="1" applyAlignment="1">
      <alignment vertical="center"/>
    </xf>
    <xf numFmtId="167" fontId="28" fillId="0" borderId="55" xfId="0" applyNumberFormat="1" applyFont="1" applyBorder="1" applyAlignment="1">
      <alignment vertical="center"/>
    </xf>
    <xf numFmtId="167" fontId="28" fillId="0" borderId="49" xfId="0" applyNumberFormat="1" applyFont="1" applyBorder="1" applyAlignment="1">
      <alignment vertical="center"/>
    </xf>
    <xf numFmtId="167" fontId="28" fillId="0" borderId="47" xfId="0" applyNumberFormat="1" applyFont="1" applyBorder="1" applyAlignment="1">
      <alignment vertical="center"/>
    </xf>
    <xf numFmtId="49" fontId="28" fillId="0" borderId="12" xfId="0" applyNumberFormat="1" applyFont="1" applyBorder="1" applyAlignment="1" applyProtection="1">
      <alignment horizontal="left"/>
      <protection locked="0"/>
    </xf>
    <xf numFmtId="49" fontId="28" fillId="0" borderId="13" xfId="0" applyNumberFormat="1" applyFont="1" applyBorder="1" applyAlignment="1" applyProtection="1">
      <alignment horizontal="left"/>
      <protection locked="0"/>
    </xf>
    <xf numFmtId="49" fontId="0" fillId="0" borderId="47" xfId="0" applyNumberFormat="1" applyBorder="1" applyAlignment="1" applyProtection="1">
      <alignment horizontal="left"/>
      <protection locked="0"/>
    </xf>
    <xf numFmtId="0" fontId="26" fillId="0" borderId="1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0" fillId="0" borderId="82" xfId="0" applyBorder="1" applyAlignment="1">
      <alignment vertical="center"/>
    </xf>
    <xf numFmtId="167" fontId="28" fillId="0" borderId="19" xfId="0" applyNumberFormat="1" applyFont="1" applyBorder="1" applyAlignment="1" applyProtection="1">
      <alignment horizontal="right" vertical="center"/>
      <protection locked="0"/>
    </xf>
    <xf numFmtId="167" fontId="0" fillId="0" borderId="82" xfId="0" applyNumberFormat="1" applyBorder="1" applyAlignment="1" applyProtection="1">
      <alignment horizontal="right" vertical="center"/>
      <protection locked="0"/>
    </xf>
    <xf numFmtId="167" fontId="0" fillId="0" borderId="36" xfId="0" applyNumberFormat="1" applyBorder="1" applyAlignment="1" applyProtection="1">
      <alignment horizontal="right" vertical="center"/>
      <protection locked="0"/>
    </xf>
    <xf numFmtId="167" fontId="28" fillId="0" borderId="2" xfId="0" applyNumberFormat="1" applyFont="1" applyBorder="1" applyAlignment="1" applyProtection="1">
      <alignment horizontal="right" vertical="center"/>
      <protection locked="0"/>
    </xf>
    <xf numFmtId="167" fontId="28" fillId="0" borderId="19" xfId="0" applyNumberFormat="1" applyFont="1" applyBorder="1" applyAlignment="1">
      <alignment horizontal="right" vertical="center"/>
    </xf>
    <xf numFmtId="167" fontId="28" fillId="0" borderId="11" xfId="0" applyNumberFormat="1" applyFont="1" applyBorder="1" applyAlignment="1">
      <alignment horizontal="right" vertical="center"/>
    </xf>
    <xf numFmtId="49" fontId="0" fillId="0" borderId="33" xfId="0" applyNumberFormat="1" applyBorder="1" applyAlignment="1" applyProtection="1">
      <alignment horizontal="left"/>
      <protection locked="0"/>
    </xf>
    <xf numFmtId="0" fontId="0" fillId="0" borderId="53" xfId="0" applyBorder="1" applyAlignment="1">
      <alignment vertical="center"/>
    </xf>
    <xf numFmtId="167" fontId="28" fillId="0" borderId="54" xfId="0" applyNumberFormat="1" applyFont="1" applyBorder="1" applyAlignment="1" applyProtection="1">
      <alignment horizontal="right" vertical="center"/>
      <protection locked="0"/>
    </xf>
    <xf numFmtId="167" fontId="28" fillId="0" borderId="36" xfId="0" applyNumberFormat="1" applyFont="1" applyBorder="1" applyAlignment="1">
      <alignment vertical="center"/>
    </xf>
    <xf numFmtId="167" fontId="28" fillId="0" borderId="38" xfId="0" applyNumberFormat="1" applyFont="1" applyBorder="1" applyAlignment="1">
      <alignment vertical="center"/>
    </xf>
    <xf numFmtId="167" fontId="0" fillId="0" borderId="49" xfId="0" applyNumberFormat="1" applyBorder="1" applyAlignment="1" applyProtection="1">
      <alignment horizontal="right" vertical="center"/>
      <protection locked="0"/>
    </xf>
    <xf numFmtId="167" fontId="28" fillId="0" borderId="49" xfId="0" applyNumberFormat="1" applyFont="1" applyBorder="1" applyAlignment="1">
      <alignment horizontal="right" vertical="center"/>
    </xf>
    <xf numFmtId="167" fontId="28" fillId="0" borderId="47" xfId="0" applyNumberFormat="1" applyFont="1" applyBorder="1" applyAlignment="1">
      <alignment horizontal="right" vertical="center"/>
    </xf>
    <xf numFmtId="49" fontId="0" fillId="0" borderId="56" xfId="0" applyNumberFormat="1" applyBorder="1" applyAlignment="1" applyProtection="1">
      <alignment horizontal="left"/>
      <protection locked="0"/>
    </xf>
    <xf numFmtId="49" fontId="29" fillId="0" borderId="17" xfId="0" applyNumberFormat="1" applyFont="1" applyBorder="1" applyAlignment="1" applyProtection="1">
      <alignment horizontal="center" wrapText="1"/>
      <protection locked="0"/>
    </xf>
    <xf numFmtId="0" fontId="29" fillId="0" borderId="0" xfId="0" applyFont="1" applyAlignment="1">
      <alignment horizontal="right"/>
    </xf>
    <xf numFmtId="0" fontId="30" fillId="0" borderId="0" xfId="0" applyFont="1"/>
    <xf numFmtId="49" fontId="26" fillId="0" borderId="17" xfId="0" applyNumberFormat="1" applyFont="1" applyBorder="1" applyProtection="1">
      <protection locked="0"/>
    </xf>
    <xf numFmtId="0" fontId="29" fillId="0" borderId="41" xfId="0" applyFont="1" applyBorder="1" applyAlignment="1">
      <alignment horizontal="center" wrapText="1"/>
    </xf>
    <xf numFmtId="0" fontId="26" fillId="0" borderId="8" xfId="0" applyFont="1" applyBorder="1" applyAlignment="1">
      <alignment horizontal="right"/>
    </xf>
    <xf numFmtId="0" fontId="26" fillId="0" borderId="9" xfId="0" applyFont="1" applyBorder="1" applyAlignment="1">
      <alignment horizontal="right"/>
    </xf>
    <xf numFmtId="167" fontId="28" fillId="0" borderId="4" xfId="0" applyNumberFormat="1" applyFont="1" applyBorder="1" applyAlignment="1">
      <alignment horizontal="right" vertical="center"/>
    </xf>
    <xf numFmtId="167" fontId="0" fillId="0" borderId="57" xfId="0" applyNumberFormat="1" applyBorder="1" applyAlignment="1">
      <alignment horizontal="right" vertical="center"/>
    </xf>
    <xf numFmtId="167" fontId="28" fillId="0" borderId="59" xfId="0" applyNumberFormat="1" applyFont="1" applyBorder="1" applyAlignment="1">
      <alignment horizontal="right" vertical="center"/>
    </xf>
    <xf numFmtId="167" fontId="28" fillId="0" borderId="6" xfId="0" applyNumberFormat="1" applyFont="1" applyBorder="1" applyAlignment="1">
      <alignment horizontal="right" vertical="center"/>
    </xf>
    <xf numFmtId="49" fontId="24" fillId="0" borderId="41" xfId="0" applyNumberFormat="1" applyFont="1" applyBorder="1" applyProtection="1">
      <protection locked="0"/>
    </xf>
    <xf numFmtId="49" fontId="24" fillId="0" borderId="41" xfId="0" applyNumberFormat="1" applyFont="1" applyBorder="1" applyAlignment="1" applyProtection="1">
      <alignment horizontal="left"/>
      <protection locked="0"/>
    </xf>
    <xf numFmtId="49" fontId="26" fillId="0" borderId="17" xfId="0" applyNumberFormat="1" applyFont="1" applyBorder="1" applyAlignment="1" applyProtection="1">
      <alignment horizontal="center"/>
      <protection locked="0"/>
    </xf>
    <xf numFmtId="49" fontId="12" fillId="0" borderId="41" xfId="6" applyNumberFormat="1" applyBorder="1" applyAlignment="1" applyProtection="1">
      <alignment horizontal="left"/>
      <protection locked="0"/>
    </xf>
    <xf numFmtId="49" fontId="26" fillId="0" borderId="41" xfId="0" applyNumberFormat="1" applyFont="1" applyBorder="1" applyAlignment="1" applyProtection="1">
      <alignment horizontal="left"/>
      <protection locked="0"/>
    </xf>
    <xf numFmtId="49" fontId="26" fillId="0" borderId="41" xfId="0" applyNumberFormat="1" applyFont="1" applyBorder="1" applyProtection="1">
      <protection locked="0"/>
    </xf>
    <xf numFmtId="0" fontId="33" fillId="0" borderId="0" xfId="0" applyFont="1" applyAlignment="1">
      <alignment horizontal="center"/>
    </xf>
    <xf numFmtId="0" fontId="19" fillId="0" borderId="0" xfId="0" applyFont="1"/>
    <xf numFmtId="0" fontId="41" fillId="0" borderId="0" xfId="0" applyFont="1" applyAlignment="1">
      <alignment horizontal="right"/>
    </xf>
    <xf numFmtId="0" fontId="14" fillId="0" borderId="0" xfId="0" applyFont="1"/>
    <xf numFmtId="0" fontId="8" fillId="0" borderId="0" xfId="0" applyFont="1" applyAlignment="1">
      <alignment horizontal="center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wrapText="1"/>
      <protection locked="0"/>
    </xf>
    <xf numFmtId="0" fontId="3" fillId="0" borderId="63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29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62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64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60" xfId="0" applyFont="1" applyBorder="1" applyAlignment="1" applyProtection="1">
      <alignment horizontal="left"/>
      <protection locked="0"/>
    </xf>
    <xf numFmtId="0" fontId="3" fillId="0" borderId="61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7" fontId="4" fillId="0" borderId="1" xfId="0" applyNumberFormat="1" applyFont="1" applyBorder="1" applyAlignment="1" applyProtection="1">
      <alignment horizontal="center"/>
      <protection locked="0"/>
    </xf>
    <xf numFmtId="4" fontId="4" fillId="0" borderId="1" xfId="0" applyNumberFormat="1" applyFont="1" applyBorder="1" applyAlignment="1" applyProtection="1">
      <alignment horizontal="center"/>
      <protection locked="0"/>
    </xf>
    <xf numFmtId="167" fontId="4" fillId="0" borderId="1" xfId="0" applyNumberFormat="1" applyFont="1" applyBorder="1" applyAlignment="1">
      <alignment horizontal="right"/>
    </xf>
    <xf numFmtId="4" fontId="4" fillId="0" borderId="1" xfId="2" applyNumberFormat="1" applyFont="1" applyBorder="1" applyAlignment="1" applyProtection="1">
      <alignment horizontal="center"/>
      <protection locked="0"/>
    </xf>
    <xf numFmtId="2" fontId="4" fillId="0" borderId="1" xfId="0" applyNumberFormat="1" applyFont="1" applyBorder="1" applyAlignment="1" applyProtection="1">
      <alignment horizontal="center"/>
      <protection locked="0"/>
    </xf>
    <xf numFmtId="167" fontId="4" fillId="0" borderId="1" xfId="0" applyNumberFormat="1" applyFont="1" applyBorder="1"/>
    <xf numFmtId="167" fontId="4" fillId="0" borderId="62" xfId="0" applyNumberFormat="1" applyFont="1" applyBorder="1"/>
    <xf numFmtId="2" fontId="4" fillId="0" borderId="1" xfId="0" applyNumberFormat="1" applyFont="1" applyBorder="1" applyAlignment="1">
      <alignment horizontal="center"/>
    </xf>
    <xf numFmtId="167" fontId="4" fillId="0" borderId="62" xfId="0" applyNumberFormat="1" applyFont="1" applyBorder="1" applyAlignment="1">
      <alignment horizontal="right"/>
    </xf>
    <xf numFmtId="2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0" xfId="0" applyFont="1" applyBorder="1" applyAlignment="1" applyProtection="1">
      <alignment horizontal="left" vertical="top"/>
      <protection locked="0"/>
    </xf>
    <xf numFmtId="49" fontId="4" fillId="0" borderId="20" xfId="2" applyNumberFormat="1" applyFont="1" applyBorder="1" applyAlignment="1" applyProtection="1">
      <alignment horizontal="center"/>
      <protection locked="0"/>
    </xf>
    <xf numFmtId="167" fontId="4" fillId="0" borderId="20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167" fontId="4" fillId="0" borderId="20" xfId="0" applyNumberFormat="1" applyFont="1" applyBorder="1"/>
    <xf numFmtId="4" fontId="4" fillId="0" borderId="20" xfId="2" applyNumberFormat="1" applyFont="1" applyBorder="1" applyAlignment="1" applyProtection="1">
      <alignment horizontal="center"/>
      <protection locked="0"/>
    </xf>
    <xf numFmtId="2" fontId="4" fillId="0" borderId="32" xfId="0" applyNumberFormat="1" applyFont="1" applyBorder="1" applyAlignment="1">
      <alignment horizontal="center"/>
    </xf>
    <xf numFmtId="2" fontId="4" fillId="0" borderId="29" xfId="0" applyNumberFormat="1" applyFont="1" applyBorder="1" applyAlignment="1">
      <alignment horizontal="center"/>
    </xf>
    <xf numFmtId="167" fontId="4" fillId="0" borderId="32" xfId="0" applyNumberFormat="1" applyFont="1" applyBorder="1" applyAlignment="1">
      <alignment horizontal="right"/>
    </xf>
    <xf numFmtId="167" fontId="4" fillId="0" borderId="29" xfId="0" applyNumberFormat="1" applyFont="1" applyBorder="1" applyAlignment="1">
      <alignment horizontal="right"/>
    </xf>
    <xf numFmtId="167" fontId="4" fillId="0" borderId="32" xfId="0" applyNumberFormat="1" applyFont="1" applyBorder="1" applyAlignment="1" applyProtection="1">
      <alignment horizontal="center"/>
      <protection locked="0"/>
    </xf>
    <xf numFmtId="167" fontId="4" fillId="0" borderId="29" xfId="0" applyNumberFormat="1" applyFont="1" applyBorder="1" applyAlignment="1" applyProtection="1">
      <alignment horizontal="center"/>
      <protection locked="0"/>
    </xf>
    <xf numFmtId="167" fontId="4" fillId="0" borderId="32" xfId="0" applyNumberFormat="1" applyFont="1" applyBorder="1"/>
    <xf numFmtId="167" fontId="4" fillId="0" borderId="83" xfId="0" applyNumberFormat="1" applyFont="1" applyBorder="1"/>
    <xf numFmtId="167" fontId="4" fillId="0" borderId="29" xfId="0" applyNumberFormat="1" applyFont="1" applyBorder="1"/>
    <xf numFmtId="167" fontId="4" fillId="0" borderId="64" xfId="0" applyNumberFormat="1" applyFont="1" applyBorder="1"/>
    <xf numFmtId="0" fontId="44" fillId="0" borderId="0" xfId="0" applyFont="1" applyAlignment="1" applyProtection="1">
      <alignment horizontal="right"/>
      <protection locked="0"/>
    </xf>
    <xf numFmtId="167" fontId="4" fillId="0" borderId="58" xfId="0" applyNumberFormat="1" applyFont="1" applyBorder="1" applyAlignment="1">
      <alignment horizontal="right"/>
    </xf>
    <xf numFmtId="0" fontId="4" fillId="0" borderId="66" xfId="0" applyFont="1" applyBorder="1" applyAlignment="1">
      <alignment horizontal="right"/>
    </xf>
    <xf numFmtId="167" fontId="4" fillId="0" borderId="20" xfId="0" applyNumberFormat="1" applyFont="1" applyBorder="1" applyAlignment="1">
      <alignment horizontal="right"/>
    </xf>
    <xf numFmtId="167" fontId="4" fillId="0" borderId="30" xfId="0" applyNumberFormat="1" applyFont="1" applyBorder="1" applyAlignment="1">
      <alignment horizontal="right"/>
    </xf>
    <xf numFmtId="0" fontId="3" fillId="0" borderId="31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49" fontId="4" fillId="0" borderId="32" xfId="2" applyNumberFormat="1" applyFont="1" applyBorder="1" applyAlignment="1" applyProtection="1">
      <alignment horizontal="center"/>
      <protection locked="0"/>
    </xf>
    <xf numFmtId="49" fontId="4" fillId="0" borderId="29" xfId="2" applyNumberFormat="1" applyFont="1" applyBorder="1" applyAlignment="1" applyProtection="1">
      <alignment horizontal="center"/>
      <protection locked="0"/>
    </xf>
    <xf numFmtId="2" fontId="4" fillId="0" borderId="32" xfId="0" applyNumberFormat="1" applyFont="1" applyBorder="1" applyAlignment="1" applyProtection="1">
      <alignment horizontal="center"/>
      <protection locked="0"/>
    </xf>
    <xf numFmtId="2" fontId="4" fillId="0" borderId="29" xfId="0" applyNumberFormat="1" applyFont="1" applyBorder="1" applyAlignment="1" applyProtection="1">
      <alignment horizontal="center"/>
      <protection locked="0"/>
    </xf>
    <xf numFmtId="4" fontId="4" fillId="0" borderId="32" xfId="2" applyNumberFormat="1" applyFont="1" applyBorder="1" applyAlignment="1" applyProtection="1">
      <alignment horizontal="center"/>
      <protection locked="0"/>
    </xf>
    <xf numFmtId="4" fontId="4" fillId="0" borderId="29" xfId="2" applyNumberFormat="1" applyFont="1" applyBorder="1" applyAlignment="1" applyProtection="1">
      <alignment horizontal="center"/>
      <protection locked="0"/>
    </xf>
    <xf numFmtId="2" fontId="4" fillId="0" borderId="32" xfId="0" applyNumberFormat="1" applyFont="1" applyBorder="1" applyAlignment="1" applyProtection="1">
      <alignment horizontal="center" wrapText="1"/>
      <protection locked="0"/>
    </xf>
    <xf numFmtId="2" fontId="4" fillId="0" borderId="29" xfId="0" applyNumberFormat="1" applyFont="1" applyBorder="1" applyAlignment="1" applyProtection="1">
      <alignment horizontal="center" wrapText="1"/>
      <protection locked="0"/>
    </xf>
    <xf numFmtId="2" fontId="4" fillId="0" borderId="20" xfId="0" applyNumberFormat="1" applyFont="1" applyBorder="1" applyAlignment="1" applyProtection="1">
      <alignment horizontal="center" wrapText="1"/>
      <protection locked="0"/>
    </xf>
    <xf numFmtId="2" fontId="4" fillId="0" borderId="20" xfId="0" applyNumberFormat="1" applyFont="1" applyBorder="1" applyAlignment="1">
      <alignment horizontal="center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6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167" fontId="4" fillId="0" borderId="83" xfId="0" applyNumberFormat="1" applyFont="1" applyBorder="1" applyAlignment="1">
      <alignment horizontal="right"/>
    </xf>
    <xf numFmtId="0" fontId="13" fillId="0" borderId="0" xfId="0" applyFont="1" applyAlignment="1" applyProtection="1">
      <alignment horizontal="right"/>
      <protection locked="0"/>
    </xf>
    <xf numFmtId="0" fontId="34" fillId="0" borderId="0" xfId="0" applyFont="1" applyAlignment="1" applyProtection="1">
      <alignment horizontal="right"/>
      <protection locked="0"/>
    </xf>
    <xf numFmtId="167" fontId="4" fillId="0" borderId="30" xfId="0" applyNumberFormat="1" applyFont="1" applyBorder="1"/>
    <xf numFmtId="0" fontId="3" fillId="0" borderId="0" xfId="0" applyFont="1" applyAlignment="1" applyProtection="1">
      <alignment horizontal="right"/>
      <protection locked="0"/>
    </xf>
    <xf numFmtId="167" fontId="19" fillId="0" borderId="59" xfId="0" applyNumberFormat="1" applyFont="1" applyBorder="1" applyAlignment="1">
      <alignment horizontal="right"/>
    </xf>
    <xf numFmtId="167" fontId="19" fillId="0" borderId="6" xfId="0" applyNumberFormat="1" applyFont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31" fillId="0" borderId="0" xfId="7" applyFont="1" applyAlignment="1">
      <alignment horizontal="center"/>
    </xf>
    <xf numFmtId="0" fontId="31" fillId="0" borderId="69" xfId="0" applyFont="1" applyBorder="1" applyAlignment="1">
      <alignment horizontal="center" vertical="center" wrapText="1"/>
    </xf>
    <xf numFmtId="0" fontId="31" fillId="0" borderId="72" xfId="0" applyFont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67" xfId="0" applyFont="1" applyBorder="1" applyAlignment="1" applyProtection="1">
      <alignment horizontal="center" vertical="center" wrapText="1"/>
      <protection locked="0"/>
    </xf>
    <xf numFmtId="0" fontId="13" fillId="0" borderId="70" xfId="0" applyFont="1" applyBorder="1" applyAlignment="1" applyProtection="1">
      <alignment horizontal="center" vertical="center" wrapText="1"/>
      <protection locked="0"/>
    </xf>
    <xf numFmtId="0" fontId="40" fillId="0" borderId="68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3" fillId="0" borderId="0" xfId="7" applyFont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1" fillId="0" borderId="0" xfId="7" applyFont="1" applyAlignment="1">
      <alignment horizontal="center" vertical="center"/>
    </xf>
    <xf numFmtId="0" fontId="33" fillId="0" borderId="0" xfId="7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1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13" fillId="12" borderId="4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12" borderId="6" xfId="0" applyFont="1" applyFill="1" applyBorder="1" applyAlignment="1">
      <alignment horizontal="center" vertical="center"/>
    </xf>
    <xf numFmtId="0" fontId="33" fillId="0" borderId="0" xfId="7" applyFont="1" applyAlignment="1">
      <alignment horizontal="center" vertical="center"/>
    </xf>
  </cellXfs>
  <cellStyles count="8">
    <cellStyle name="Comma" xfId="1" builtinId="3"/>
    <cellStyle name="Currency" xfId="2" builtinId="4"/>
    <cellStyle name="Hyperlink" xfId="6" builtinId="8"/>
    <cellStyle name="Normal" xfId="0" builtinId="0"/>
    <cellStyle name="Normal 10" xfId="5" xr:uid="{B9B948AB-66D7-449B-B7D3-9C1B828DAD89}"/>
    <cellStyle name="Normal 2" xfId="7" xr:uid="{53F9AFC0-CBB0-4F0F-B1A6-05FDBBEAD1DD}"/>
    <cellStyle name="Normal 4" xfId="4" xr:uid="{891D9966-44AE-4DAB-84BA-9670A8B0DC7F}"/>
    <cellStyle name="Percent" xfId="3" builtinId="5"/>
  </cellStyles>
  <dxfs count="47"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</dxfs>
  <tableStyles count="0" defaultTableStyle="TableStyleMedium2" defaultPivotStyle="PivotStyleLight16"/>
  <colors>
    <mruColors>
      <color rgb="FFFFFF00"/>
      <color rgb="FFE3AFFA"/>
      <color rgb="FFF7F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3</xdr:col>
      <xdr:colOff>2888</xdr:colOff>
      <xdr:row>1</xdr:row>
      <xdr:rowOff>142838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E4CA33-7A7C-4561-9DD2-6BD165FD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238088" cy="298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3</xdr:col>
      <xdr:colOff>456913</xdr:colOff>
      <xdr:row>1</xdr:row>
      <xdr:rowOff>142838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421609-1D2D-400E-A3D6-9FF23B523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196813" cy="298413"/>
        </a:xfrm>
        <a:prstGeom prst="rect">
          <a:avLst/>
        </a:prstGeom>
      </xdr:spPr>
    </xdr:pic>
    <xdr:clientData/>
  </xdr:twoCellAnchor>
  <xdr:oneCellAnchor>
    <xdr:from>
      <xdr:col>0</xdr:col>
      <xdr:colOff>165100</xdr:colOff>
      <xdr:row>53</xdr:row>
      <xdr:rowOff>76200</xdr:rowOff>
    </xdr:from>
    <xdr:ext cx="2295238" cy="292063"/>
    <xdr:pic>
      <xdr:nvPicPr>
        <xdr:cNvPr id="3" name="Picture 2">
          <a:extLst>
            <a:ext uri="{FF2B5EF4-FFF2-40B4-BE49-F238E27FC236}">
              <a16:creationId xmlns:a16="http://schemas.microsoft.com/office/drawing/2014/main" id="{951DFB9B-C58B-4C5E-BFE9-C0E4B7D7E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1353800"/>
          <a:ext cx="2295238" cy="29206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0</xdr:col>
      <xdr:colOff>2457163</xdr:colOff>
      <xdr:row>2</xdr:row>
      <xdr:rowOff>26951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7E3608-ED85-4A45-B0A9-904A0945C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2292063" cy="298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560615</xdr:colOff>
      <xdr:row>3</xdr:row>
      <xdr:rowOff>104775</xdr:rowOff>
    </xdr:from>
    <xdr:to>
      <xdr:col>18</xdr:col>
      <xdr:colOff>553066</xdr:colOff>
      <xdr:row>43</xdr:row>
      <xdr:rowOff>122918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6D1E9A-665C-B4FD-DB65-AA7F35DF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8590" y="647700"/>
          <a:ext cx="5904755" cy="7255783"/>
        </a:xfrm>
        <a:prstGeom prst="rect">
          <a:avLst/>
        </a:prstGeom>
      </xdr:spPr>
    </xdr:pic>
    <xdr:clientData/>
  </xdr:twoCellAnchor>
  <xdr:twoCellAnchor editAs="oneCell">
    <xdr:from>
      <xdr:col>19</xdr:col>
      <xdr:colOff>130629</xdr:colOff>
      <xdr:row>3</xdr:row>
      <xdr:rowOff>104775</xdr:rowOff>
    </xdr:from>
    <xdr:to>
      <xdr:col>28</xdr:col>
      <xdr:colOff>48256</xdr:colOff>
      <xdr:row>48</xdr:row>
      <xdr:rowOff>27568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A46990-546B-B41D-C43B-289B48E2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60854" y="647700"/>
          <a:ext cx="5831292" cy="8068028"/>
        </a:xfrm>
        <a:prstGeom prst="rect">
          <a:avLst/>
        </a:prstGeom>
      </xdr:spPr>
    </xdr:pic>
    <xdr:clientData/>
  </xdr:twoCellAnchor>
  <xdr:twoCellAnchor editAs="oneCell">
    <xdr:from>
      <xdr:col>18</xdr:col>
      <xdr:colOff>408214</xdr:colOff>
      <xdr:row>47</xdr:row>
      <xdr:rowOff>161925</xdr:rowOff>
    </xdr:from>
    <xdr:to>
      <xdr:col>28</xdr:col>
      <xdr:colOff>200592</xdr:colOff>
      <xdr:row>80</xdr:row>
      <xdr:rowOff>65944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A4D2CF-B9EB-23B5-3EE4-967C841F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8439" y="8667750"/>
          <a:ext cx="6365989" cy="588571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12</xdr:col>
      <xdr:colOff>428935</xdr:colOff>
      <xdr:row>79</xdr:row>
      <xdr:rowOff>27008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1731CCF-83B9-921A-A66B-D48F9DB1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7225" y="12487275"/>
          <a:ext cx="8400000" cy="16571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12</xdr:col>
      <xdr:colOff>516010</xdr:colOff>
      <xdr:row>86</xdr:row>
      <xdr:rowOff>65194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C935D3C-9E26-4310-9A5C-DB6964A0D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5" y="14478000"/>
          <a:ext cx="8485714" cy="971429"/>
        </a:xfrm>
        <a:prstGeom prst="rect">
          <a:avLst/>
        </a:prstGeom>
      </xdr:spPr>
    </xdr:pic>
    <xdr:clientData/>
  </xdr:twoCellAnchor>
  <xdr:twoCellAnchor editAs="oneCell">
    <xdr:from>
      <xdr:col>2</xdr:col>
      <xdr:colOff>39461</xdr:colOff>
      <xdr:row>87</xdr:row>
      <xdr:rowOff>25854</xdr:rowOff>
    </xdr:from>
    <xdr:to>
      <xdr:col>12</xdr:col>
      <xdr:colOff>541864</xdr:colOff>
      <xdr:row>104</xdr:row>
      <xdr:rowOff>105742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807635C-0A67-3045-B13B-C4C4A313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6686" y="15589704"/>
          <a:ext cx="8473468" cy="3157823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50</xdr:row>
      <xdr:rowOff>9525</xdr:rowOff>
    </xdr:from>
    <xdr:to>
      <xdr:col>8</xdr:col>
      <xdr:colOff>533663</xdr:colOff>
      <xdr:row>63</xdr:row>
      <xdr:rowOff>117475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64CAD5-22C9-45EE-85DF-774CD2A9ADAE}"/>
            </a:ext>
            <a:ext uri="{147F2762-F138-4A5C-976F-8EAC2B608ADB}">
              <a16:predDERef xmlns:a16="http://schemas.microsoft.com/office/drawing/2014/main" pred="{8807635C-0A67-3045-B13B-C4C4A3135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8250" y="9058275"/>
          <a:ext cx="5505713" cy="246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17</xdr:col>
      <xdr:colOff>295275</xdr:colOff>
      <xdr:row>69</xdr:row>
      <xdr:rowOff>85725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C66DF04-2B7E-006B-D4D1-9025CEF328FC}"/>
            </a:ext>
            <a:ext uri="{147F2762-F138-4A5C-976F-8EAC2B608ADB}">
              <a16:predDERef xmlns:a16="http://schemas.microsoft.com/office/drawing/2014/main" pred="{F364CAD5-22C9-45EE-85DF-774CD2A9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9058275"/>
          <a:ext cx="4562475" cy="35242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tco.sharepoint.com/Users/zcze/AppData/Local/Microsoft/Windows/INetCache/Content.Outlook/O5SLM650/AEY%20Cost%20claim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69.49284953704" createdVersion="8" refreshedVersion="8" minRefreshableVersion="3" recordCount="91" xr:uid="{5D8525DD-4F79-4EE7-9778-E17BB86E35FB}">
  <cacheSource type="worksheet">
    <worksheetSource ref="A1:X1048576" sheet="Data 2023-2024" r:id="rId2"/>
  </cacheSource>
  <cacheFields count="24">
    <cacheField name="GL Period" numFmtId="0">
      <sharedItems containsBlank="1" count="9">
        <s v="Jul-2023"/>
        <s v="Aug-2023"/>
        <s v="Sep-2023"/>
        <s v="Oct-2023"/>
        <s v="Nov-2023"/>
        <s v="Dec-2023"/>
        <s v="Jan-2024"/>
        <s v="Feb-2024"/>
        <m/>
      </sharedItems>
    </cacheField>
    <cacheField name="Project Type" numFmtId="0">
      <sharedItems containsBlank="1"/>
    </cacheField>
    <cacheField name="Source Template" numFmtId="0">
      <sharedItems containsBlank="1"/>
    </cacheField>
    <cacheField name="Project Number" numFmtId="0">
      <sharedItems containsBlank="1"/>
    </cacheField>
    <cacheField name="Project Name" numFmtId="0">
      <sharedItems containsBlank="1"/>
    </cacheField>
    <cacheField name="Task Number" numFmtId="0">
      <sharedItems containsBlank="1"/>
    </cacheField>
    <cacheField name="Task Name" numFmtId="0">
      <sharedItems containsBlank="1"/>
    </cacheField>
    <cacheField name="Project Organization" numFmtId="0">
      <sharedItems containsBlank="1"/>
    </cacheField>
    <cacheField name="Expenditure Type" numFmtId="0">
      <sharedItems containsBlank="1"/>
    </cacheField>
    <cacheField name="Transaction Source" numFmtId="0">
      <sharedItems containsBlank="1"/>
    </cacheField>
    <cacheField name="Expenditure Item Date" numFmtId="0">
      <sharedItems containsNonDate="0" containsDate="1" containsString="0" containsBlank="1" minDate="2023-04-05T00:00:00" maxDate="2024-03-01T00:00:00"/>
    </cacheField>
    <cacheField name="Creation Date" numFmtId="0">
      <sharedItems containsNonDate="0" containsDate="1" containsString="0" containsBlank="1" minDate="2023-07-07T04:18:25" maxDate="2024-03-04T12:25:23"/>
    </cacheField>
    <cacheField name="Name" numFmtId="0">
      <sharedItems containsBlank="1"/>
    </cacheField>
    <cacheField name="Supplier" numFmtId="0">
      <sharedItems containsBlank="1" count="8">
        <s v="CONCENTRIC ADVISORS ULC"/>
        <s v="THE WHITEHORSE STAR LTD"/>
        <s v="BLACK PRESS GROUP LTD"/>
        <s v="KWANLIN DUN CULTURAL SOCIETY"/>
        <s v="CONCENTRIC ENERGY ADVISORS INC"/>
        <s v="BENNETT JONES LLP"/>
        <m/>
        <s v="TONY'S PASTA &amp; SEAFOOD HOUSE"/>
      </sharedItems>
    </cacheField>
    <cacheField name="Supplier Number" numFmtId="0">
      <sharedItems containsBlank="1" count="8">
        <s v="139627"/>
        <s v="7317"/>
        <s v="57447"/>
        <s v="108439"/>
        <s v="67024"/>
        <s v="298"/>
        <m/>
        <s v="1052936"/>
      </sharedItems>
    </cacheField>
    <cacheField name="Item Description" numFmtId="0">
      <sharedItems containsNonDate="0" containsString="0" containsBlank="1"/>
    </cacheField>
    <cacheField name="Item #" numFmtId="0">
      <sharedItems containsNonDate="0" containsString="0" containsBlank="1"/>
    </cacheField>
    <cacheField name="Invoice Number" numFmtId="0">
      <sharedItems containsBlank="1" count="36">
        <s v="0016890"/>
        <s v="0016972"/>
        <s v="0017184"/>
        <s v="0001059"/>
        <s v="0017084"/>
        <s v="3630"/>
        <s v="BPI11629"/>
        <s v="4175-1"/>
        <s v="0001096"/>
        <s v="1524867"/>
        <s v="1527253"/>
        <m/>
        <s v="0001041"/>
        <s v="0001075"/>
        <s v="0001091"/>
        <s v="0017305"/>
        <s v="0017575"/>
        <s v="0001111"/>
        <s v="0001133"/>
        <s v="WEB002347276935"/>
        <s v="0001107"/>
        <s v="0017373"/>
        <s v="1535905"/>
        <s v="0001139"/>
        <s v="0001150"/>
        <s v="WEB002380787258"/>
        <s v="WEB002379969554"/>
        <s v="WEB002381942975"/>
        <s v="WEB002381982984"/>
        <s v="0017734"/>
        <s v="0001156"/>
        <s v="1548241"/>
        <s v="0017893"/>
        <s v="0017913"/>
        <s v="1554911"/>
        <s v="073507"/>
      </sharedItems>
    </cacheField>
    <cacheField name="Quantity" numFmtId="0">
      <sharedItems containsString="0" containsBlank="1" containsNumber="1" minValue="-16045" maxValue="121853.18"/>
    </cacheField>
    <cacheField name="Amount" numFmtId="0">
      <sharedItems containsString="0" containsBlank="1" containsNumber="1" minValue="-17628.25" maxValue="121853.18"/>
    </cacheField>
    <cacheField name="Event Class Translated Name" numFmtId="0">
      <sharedItems containsBlank="1"/>
    </cacheField>
    <cacheField name="Document Entry" numFmtId="0">
      <sharedItems containsBlank="1"/>
    </cacheField>
    <cacheField name="Accounting Class Meaning" numFmtId="0">
      <sharedItems containsBlank="1"/>
    </cacheField>
    <cacheField name="Concatenated Seg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">
  <r>
    <x v="0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7-07T04:18:25"/>
    <m/>
    <x v="0"/>
    <x v="0"/>
    <m/>
    <m/>
    <x v="0"/>
    <n v="11160"/>
    <n v="14708.88"/>
    <s v="Supplier Cost"/>
    <s v="Item Cost"/>
    <s v="Burdened cost"/>
    <s v="10005-40061-68080-00000-520400-00000-00"/>
  </r>
  <r>
    <x v="0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7-15T04:18:48"/>
    <m/>
    <x v="0"/>
    <x v="0"/>
    <m/>
    <m/>
    <x v="1"/>
    <n v="6413.75"/>
    <n v="8453.32"/>
    <s v="Supplier Cost"/>
    <s v="Item Cost"/>
    <s v="Burdened cost"/>
    <s v="10005-40061-68080-00000-520400-00000-00"/>
  </r>
  <r>
    <x v="0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7-15T04:18:48"/>
    <m/>
    <x v="0"/>
    <x v="0"/>
    <m/>
    <m/>
    <x v="2"/>
    <n v="10700"/>
    <n v="14102.6"/>
    <s v="Supplier Cost"/>
    <s v="Item Cost"/>
    <s v="Burdened cost"/>
    <s v="10005-40061-68080-00000-520400-00000-00"/>
  </r>
  <r>
    <x v="0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18T00:00:00"/>
    <d v="2023-07-07T04:18:25"/>
    <m/>
    <x v="0"/>
    <x v="0"/>
    <m/>
    <m/>
    <x v="3"/>
    <n v="16670"/>
    <n v="16670"/>
    <s v="Supplier Cost"/>
    <s v="Item Cost"/>
    <s v="Burdened cost"/>
    <s v="10005-40061-68080-00000-520400-00000-00"/>
  </r>
  <r>
    <x v="0"/>
    <s v="YK O&amp;M"/>
    <s v="YK, O&amp;M"/>
    <s v="1089548"/>
    <s v="YK 1089548 AEY 2023-2024 GRA"/>
    <s v="Cost Claims"/>
    <s v="Cost Claims"/>
    <s v="YK68080 Manager"/>
    <s v="Contract Services"/>
    <s v="Oracle Fusion Payables"/>
    <d v="2023-05-22T00:00:00"/>
    <d v="2023-07-07T04:18:25"/>
    <m/>
    <x v="0"/>
    <x v="0"/>
    <m/>
    <m/>
    <x v="4"/>
    <n v="13375"/>
    <n v="17628.25"/>
    <s v="Supplier Cost"/>
    <s v="Item Cost"/>
    <s v="Burdened cost"/>
    <s v="10005-40061-68080-00000-520400-00000-00"/>
  </r>
  <r>
    <x v="1"/>
    <s v="YK O&amp;M"/>
    <s v="YK, O&amp;M"/>
    <s v="1089548"/>
    <s v="YK 1089548 AEY 2023-2024 GRA"/>
    <s v="Cost Claims"/>
    <s v="Cost Claims"/>
    <s v="YK68080 Manager"/>
    <s v="Advertising &amp; Promotion"/>
    <s v="Oracle Fusion Payables"/>
    <d v="2023-07-21T00:00:00"/>
    <d v="2023-08-16T04:18:43"/>
    <m/>
    <x v="1"/>
    <x v="1"/>
    <m/>
    <m/>
    <x v="5"/>
    <n v="570.53"/>
    <n v="570.53"/>
    <s v="Supplier Cost"/>
    <s v="Item Cost"/>
    <s v="Burdened cost"/>
    <s v="10005-40061-68080-00000-580050-00000-00"/>
  </r>
  <r>
    <x v="1"/>
    <s v="YK O&amp;M"/>
    <s v="YK, O&amp;M"/>
    <s v="1089548"/>
    <s v="YK 1089548 AEY 2023-2024 GRA"/>
    <s v="Cost Claims"/>
    <s v="Cost Claims"/>
    <s v="YK68080 Manager"/>
    <s v="Advertising &amp; Promotion"/>
    <s v="Oracle Fusion Payables"/>
    <d v="2023-07-31T00:00:00"/>
    <d v="2023-08-16T04:18:43"/>
    <m/>
    <x v="2"/>
    <x v="2"/>
    <m/>
    <m/>
    <x v="6"/>
    <n v="1181.25"/>
    <n v="1181.25"/>
    <s v="Supplier Cost"/>
    <s v="Item Cost"/>
    <s v="Burdened cost"/>
    <s v="10005-40061-68080-00000-580050-00000-00"/>
  </r>
  <r>
    <x v="1"/>
    <s v="YK O&amp;M"/>
    <s v="YK, O&amp;M"/>
    <s v="1089548"/>
    <s v="YK 1089548 AEY 2023-2024 GRA"/>
    <s v="Cost Claims"/>
    <s v="Cost Claims"/>
    <s v="YK68080 Manager"/>
    <s v="Contract Services"/>
    <s v="Oracle Fusion Payables"/>
    <d v="2023-08-01T00:00:00"/>
    <d v="2023-08-16T04:18:43"/>
    <m/>
    <x v="3"/>
    <x v="3"/>
    <m/>
    <m/>
    <x v="7"/>
    <n v="1749.71"/>
    <n v="1749.71"/>
    <s v="Supplier Cost"/>
    <s v="Item Cost"/>
    <s v="Burdened cost"/>
    <s v="10005-40061-68080-00000-520400-00000-00"/>
  </r>
  <r>
    <x v="1"/>
    <s v="YK O&amp;M"/>
    <s v="YK, O&amp;M"/>
    <s v="1089548"/>
    <s v="YK 1089548 AEY 2023-2024 GRA"/>
    <s v="Cost Claims"/>
    <s v="Cost Claims"/>
    <s v="YK68080 Manager"/>
    <s v="Contract Services"/>
    <s v="Oracle Fusion Payables"/>
    <d v="2023-08-08T00:00:00"/>
    <d v="2023-08-31T04:18:29"/>
    <m/>
    <x v="0"/>
    <x v="0"/>
    <m/>
    <m/>
    <x v="8"/>
    <n v="367.5"/>
    <n v="367.5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9-06T04:18:29"/>
    <m/>
    <x v="0"/>
    <x v="0"/>
    <m/>
    <m/>
    <x v="0"/>
    <n v="-11160"/>
    <n v="-14708.88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9-06T04:18:29"/>
    <m/>
    <x v="0"/>
    <x v="0"/>
    <m/>
    <m/>
    <x v="1"/>
    <n v="-6413.75"/>
    <n v="-8453.32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9-06T04:18:29"/>
    <m/>
    <x v="0"/>
    <x v="0"/>
    <m/>
    <m/>
    <x v="2"/>
    <n v="-10700"/>
    <n v="-14102.6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05T00:00:00"/>
    <d v="2023-09-07T04:18:39"/>
    <m/>
    <x v="4"/>
    <x v="4"/>
    <m/>
    <m/>
    <x v="0"/>
    <n v="11160"/>
    <n v="15096.13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5-02T00:00:00"/>
    <d v="2023-09-07T04:18:39"/>
    <m/>
    <x v="4"/>
    <x v="4"/>
    <m/>
    <m/>
    <x v="1"/>
    <n v="6413.75"/>
    <n v="8675.8799999999992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5-22T00:00:00"/>
    <d v="2023-09-06T04:18:29"/>
    <m/>
    <x v="0"/>
    <x v="0"/>
    <m/>
    <m/>
    <x v="4"/>
    <n v="-13375"/>
    <n v="-17628.25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5-22T00:00:00"/>
    <d v="2023-09-07T04:18:39"/>
    <m/>
    <x v="4"/>
    <x v="4"/>
    <m/>
    <m/>
    <x v="4"/>
    <n v="13375"/>
    <n v="18092.36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6-22T00:00:00"/>
    <d v="2023-09-07T04:18:39"/>
    <m/>
    <x v="4"/>
    <x v="4"/>
    <m/>
    <m/>
    <x v="2"/>
    <n v="10700"/>
    <n v="14473.89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7-24T00:00:00"/>
    <d v="2023-09-26T04:18:20"/>
    <m/>
    <x v="5"/>
    <x v="5"/>
    <m/>
    <m/>
    <x v="9"/>
    <n v="29089.439999999999"/>
    <n v="29089.439999999999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Contract Services"/>
    <s v="Oracle Fusion Payables"/>
    <d v="2023-08-10T00:00:00"/>
    <d v="2023-09-19T04:18:19"/>
    <m/>
    <x v="5"/>
    <x v="5"/>
    <m/>
    <m/>
    <x v="10"/>
    <n v="4698.32"/>
    <n v="4698.32"/>
    <s v="Supplier Cost"/>
    <s v="Item Cost"/>
    <s v="Burdened cost"/>
    <s v="10005-40061-68080-00000-520400-00000-00"/>
  </r>
  <r>
    <x v="2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09-30T00:00:00"/>
    <d v="2023-09-27T17:41:36"/>
    <m/>
    <x v="6"/>
    <x v="6"/>
    <m/>
    <m/>
    <x v="11"/>
    <n v="11.4"/>
    <n v="11.4"/>
    <s v="Miscellaneous Cost"/>
    <s v="Miscellaneous Expenditure Item"/>
    <s v="Burdened cost"/>
    <s v="10005-40061-68080-00000-580081-00000-00"/>
  </r>
  <r>
    <x v="2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09-30T00:00:00"/>
    <d v="2023-09-27T17:41:36"/>
    <m/>
    <x v="6"/>
    <x v="6"/>
    <m/>
    <m/>
    <x v="11"/>
    <n v="46.57"/>
    <n v="46.57"/>
    <s v="Miscellaneous Cost"/>
    <s v="Miscellaneous Expenditure Item"/>
    <s v="Burdened cost"/>
    <s v="10005-40061-68080-00000-580081-00000-00"/>
  </r>
  <r>
    <x v="2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09-30T00:00:00"/>
    <d v="2023-09-27T17:41:36"/>
    <m/>
    <x v="6"/>
    <x v="6"/>
    <m/>
    <m/>
    <x v="11"/>
    <n v="141.49"/>
    <n v="141.49"/>
    <s v="Miscellaneous Cost"/>
    <s v="Miscellaneous Expenditure Item"/>
    <s v="Burdened cost"/>
    <s v="10005-40061-68080-00000-580081-00000-00"/>
  </r>
  <r>
    <x v="2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09-30T00:00:00"/>
    <d v="2023-09-27T17:41:36"/>
    <m/>
    <x v="6"/>
    <x v="6"/>
    <m/>
    <m/>
    <x v="11"/>
    <n v="22.33"/>
    <n v="22.33"/>
    <s v="Miscellaneous Cost"/>
    <s v="Miscellaneous Expenditure Item"/>
    <s v="Burdened cost"/>
    <s v="10005-40061-68080-00000-580081-00000-00"/>
  </r>
  <r>
    <x v="2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09-30T00:00:00"/>
    <d v="2023-09-27T17:41:36"/>
    <m/>
    <x v="6"/>
    <x v="6"/>
    <m/>
    <m/>
    <x v="11"/>
    <n v="69.62"/>
    <n v="69.62"/>
    <s v="Miscellaneous Cost"/>
    <s v="Miscellaneous Expenditure Item"/>
    <s v="Burdened cost"/>
    <s v="10005-40061-68080-00000-580081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25"/>
    <n v="25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9"/>
    <n v="9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909.25"/>
    <n v="909.25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480"/>
    <n v="480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937.24"/>
    <n v="937.24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82.86"/>
    <n v="82.86"/>
    <s v="Miscellaneous Cost"/>
    <s v="Miscellaneous Expenditure Item"/>
    <s v="Burdened cost"/>
    <s v="10005-40061-68080-00000-580080-00000-00"/>
  </r>
  <r>
    <x v="2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09-30T00:00:00"/>
    <d v="2023-09-27T17:41:36"/>
    <m/>
    <x v="6"/>
    <x v="6"/>
    <m/>
    <m/>
    <x v="11"/>
    <n v="447.99"/>
    <n v="447.99"/>
    <s v="Miscellaneous Cost"/>
    <s v="Miscellaneous Expenditure Item"/>
    <s v="Burdened cost"/>
    <s v="10005-40061-68080-00000-58008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4-18T00:00:00"/>
    <d v="2023-10-06T04:18:20"/>
    <m/>
    <x v="0"/>
    <x v="0"/>
    <m/>
    <m/>
    <x v="12"/>
    <n v="6012.5"/>
    <n v="6012.5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6-16T00:00:00"/>
    <d v="2023-10-06T04:18:20"/>
    <m/>
    <x v="0"/>
    <x v="0"/>
    <m/>
    <m/>
    <x v="13"/>
    <n v="1327.5"/>
    <n v="1327.5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7-18T00:00:00"/>
    <d v="2023-10-06T04:18:20"/>
    <m/>
    <x v="0"/>
    <x v="0"/>
    <m/>
    <m/>
    <x v="14"/>
    <n v="26111.68"/>
    <n v="26111.68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7-28T00:00:00"/>
    <d v="2023-10-12T04:18:22"/>
    <m/>
    <x v="4"/>
    <x v="4"/>
    <m/>
    <m/>
    <x v="15"/>
    <n v="14582.5"/>
    <n v="19652.830000000002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7-28T00:00:00"/>
    <d v="2023-10-26T04:18:25"/>
    <m/>
    <x v="4"/>
    <x v="4"/>
    <m/>
    <m/>
    <x v="16"/>
    <n v="20550"/>
    <n v="27695.24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09-15T00:00:00"/>
    <d v="2023-10-19T04:18:19"/>
    <m/>
    <x v="0"/>
    <x v="0"/>
    <m/>
    <m/>
    <x v="17"/>
    <n v="22872.5"/>
    <n v="22872.5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Contract Services"/>
    <s v="Oracle Fusion Payables"/>
    <d v="2023-10-19T00:00:00"/>
    <d v="2023-10-26T04:18:25"/>
    <m/>
    <x v="0"/>
    <x v="0"/>
    <m/>
    <m/>
    <x v="18"/>
    <n v="17360"/>
    <n v="17360"/>
    <s v="Supplier Cost"/>
    <s v="Item Cost"/>
    <s v="Burdened cost"/>
    <s v="10005-40061-68080-00000-520400-00000-00"/>
  </r>
  <r>
    <x v="3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0-31T00:00:00"/>
    <d v="2023-11-02T00:09:29"/>
    <m/>
    <x v="6"/>
    <x v="6"/>
    <m/>
    <m/>
    <x v="11"/>
    <n v="46.42"/>
    <n v="46.42"/>
    <s v="Miscellaneous Cost"/>
    <s v="Miscellaneous Expenditure Item"/>
    <s v="Burdened cost"/>
    <s v="10005-40061-68080-00000-580081-00000-00"/>
  </r>
  <r>
    <x v="3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0-31T00:00:00"/>
    <d v="2023-11-02T00:09:29"/>
    <m/>
    <x v="6"/>
    <x v="6"/>
    <m/>
    <m/>
    <x v="11"/>
    <n v="328.77"/>
    <n v="328.77"/>
    <s v="Miscellaneous Cost"/>
    <s v="Miscellaneous Expenditure Item"/>
    <s v="Burdened cost"/>
    <s v="10005-40061-68080-00000-580081-00000-00"/>
  </r>
  <r>
    <x v="3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0-31T00:00:00"/>
    <d v="2023-11-02T00:09:29"/>
    <m/>
    <x v="6"/>
    <x v="6"/>
    <m/>
    <m/>
    <x v="11"/>
    <n v="35.369999999999997"/>
    <n v="35.369999999999997"/>
    <s v="Miscellaneous Cost"/>
    <s v="Miscellaneous Expenditure Item"/>
    <s v="Burdened cost"/>
    <s v="10005-40061-68080-00000-580081-00000-00"/>
  </r>
  <r>
    <x v="3"/>
    <s v="YK O&amp;M"/>
    <s v="YK, O&amp;M"/>
    <s v="1089548"/>
    <s v="YK 1089548 AEY 2023-2024 GRA"/>
    <s v="Cost Claims"/>
    <s v="Cost Claims"/>
    <s v="YK68080 Manager"/>
    <s v="Stationery Supplies / Printing"/>
    <s v="Oracle Fusion Payables"/>
    <d v="2023-09-29T00:00:00"/>
    <d v="2023-10-13T04:18:31"/>
    <s v="Friesen, Michelle"/>
    <x v="6"/>
    <x v="6"/>
    <m/>
    <m/>
    <x v="19"/>
    <n v="5165.1899999999996"/>
    <n v="5165.1899999999996"/>
    <s v="Supplier Cost"/>
    <s v="Item Cost"/>
    <s v="Burdened cost"/>
    <s v="10005-40061-68080-00000-580113-00000-00"/>
  </r>
  <r>
    <x v="4"/>
    <s v="YK O&amp;M"/>
    <s v="YK, O&amp;M"/>
    <s v="1089548"/>
    <s v="YK 1089548 AEY 2023-2024 GRA"/>
    <s v="Cost Claims"/>
    <s v="Cost Claims"/>
    <s v="YK68080 Manager"/>
    <s v="Contract Services"/>
    <s v="Oracle Fusion Payables"/>
    <d v="2023-08-14T00:00:00"/>
    <d v="2023-11-10T05:19:41"/>
    <m/>
    <x v="0"/>
    <x v="0"/>
    <m/>
    <m/>
    <x v="20"/>
    <n v="21467.5"/>
    <n v="21467.5"/>
    <s v="Supplier Cost"/>
    <s v="Item Cost"/>
    <s v="Burdened cost"/>
    <s v="10005-40061-68080-00000-520400-00000-00"/>
  </r>
  <r>
    <x v="4"/>
    <s v="YK O&amp;M"/>
    <s v="YK, O&amp;M"/>
    <s v="1089548"/>
    <s v="YK 1089548 AEY 2023-2024 GRA"/>
    <s v="Cost Claims"/>
    <s v="Cost Claims"/>
    <s v="YK68080 Manager"/>
    <s v="Contract Services"/>
    <s v="Oracle Fusion Payables"/>
    <d v="2023-08-18T00:00:00"/>
    <d v="2023-11-10T05:19:41"/>
    <m/>
    <x v="4"/>
    <x v="4"/>
    <m/>
    <m/>
    <x v="21"/>
    <n v="540"/>
    <n v="746.28"/>
    <s v="Supplier Cost"/>
    <s v="Item Cost"/>
    <s v="Burdened cost"/>
    <s v="10005-40061-68080-00000-520400-00000-00"/>
  </r>
  <r>
    <x v="4"/>
    <s v="YK O&amp;M"/>
    <s v="YK, O&amp;M"/>
    <s v="1089548"/>
    <s v="YK 1089548 AEY 2023-2024 GRA"/>
    <s v="Cost Claims"/>
    <s v="Cost Claims"/>
    <s v="YK68080 Manager"/>
    <s v="Contract Services"/>
    <s v="Oracle Fusion Payables"/>
    <d v="2023-10-10T00:00:00"/>
    <d v="2023-11-24T05:18:30"/>
    <m/>
    <x v="5"/>
    <x v="5"/>
    <m/>
    <m/>
    <x v="22"/>
    <n v="37202.6"/>
    <n v="37202.6"/>
    <s v="Supplier Cost"/>
    <s v="Item Cost"/>
    <s v="Burdened cost"/>
    <s v="10005-40061-68080-00000-520400-00000-00"/>
  </r>
  <r>
    <x v="4"/>
    <s v="YK O&amp;M"/>
    <s v="YK, O&amp;M"/>
    <s v="1089548"/>
    <s v="YK 1089548 AEY 2023-2024 GRA"/>
    <s v="Cost Claims"/>
    <s v="Cost Claims"/>
    <s v="YK68080 Manager"/>
    <s v="Contract Services"/>
    <s v="Oracle Fusion Payables"/>
    <d v="2023-10-19T00:00:00"/>
    <d v="2023-11-24T05:18:30"/>
    <m/>
    <x v="0"/>
    <x v="0"/>
    <m/>
    <m/>
    <x v="23"/>
    <n v="48690"/>
    <n v="48690"/>
    <s v="Supplier Cost"/>
    <s v="Item Cost"/>
    <s v="Burdened cost"/>
    <s v="10005-40061-68080-00000-52040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697.25"/>
    <n v="697.25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9"/>
    <n v="9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697.26"/>
    <n v="697.26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697.25"/>
    <n v="697.25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25.5"/>
    <n v="25.5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25.5"/>
    <n v="25.5"/>
    <s v="Miscellaneous Cost"/>
    <s v="Miscellaneous Expenditure Item"/>
    <s v="Burdened cost"/>
    <s v="10005-40061-68080-00000-580080-00000-00"/>
  </r>
  <r>
    <x v="4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1-30T00:00:00"/>
    <d v="2023-12-04T18:24:00"/>
    <m/>
    <x v="6"/>
    <x v="6"/>
    <m/>
    <m/>
    <x v="11"/>
    <n v="25.5"/>
    <n v="25.5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Accrual - Contractor"/>
    <s v="Oracle Fusion Projects"/>
    <d v="2023-12-31T00:00:00"/>
    <d v="2024-01-03T15:30:07"/>
    <m/>
    <x v="6"/>
    <x v="6"/>
    <m/>
    <m/>
    <x v="11"/>
    <n v="16045"/>
    <n v="16045"/>
    <s v="Miscellaneous Cost"/>
    <s v="Miscellaneous Expenditure Item"/>
    <s v="Burdened cost"/>
    <s v="10005-40061-68080-00000-520400-00000-00"/>
  </r>
  <r>
    <x v="5"/>
    <s v="YK O&amp;M"/>
    <s v="YK, O&amp;M"/>
    <s v="1089548"/>
    <s v="YK 1089548 AEY 2023-2024 GRA"/>
    <s v="Cost Claims"/>
    <s v="Cost Claims"/>
    <s v="YK68080 Manager"/>
    <s v="Contract Services"/>
    <s v="Oracle Fusion Payables"/>
    <d v="2023-12-13T00:00:00"/>
    <d v="2023-12-15T05:19:13"/>
    <m/>
    <x v="0"/>
    <x v="0"/>
    <m/>
    <m/>
    <x v="24"/>
    <n v="30367.5"/>
    <n v="30367.5"/>
    <s v="Supplier Cost"/>
    <s v="Item Cost"/>
    <s v="Burdened cost"/>
    <s v="10005-40061-68080-00000-520400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ayables"/>
    <d v="2023-11-23T00:00:00"/>
    <d v="2023-12-22T05:19:05"/>
    <s v="Badry, Tony"/>
    <x v="6"/>
    <x v="6"/>
    <m/>
    <m/>
    <x v="25"/>
    <n v="22.82"/>
    <n v="22.82"/>
    <s v="Supplier Cost"/>
    <s v="Item Cost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ayables"/>
    <d v="2023-11-23T00:00:00"/>
    <d v="2023-12-22T05:19:05"/>
    <s v="Badry, Tony"/>
    <x v="6"/>
    <x v="6"/>
    <m/>
    <m/>
    <x v="25"/>
    <n v="0.56999999999999995"/>
    <n v="0.56999999999999995"/>
    <s v="Supplier Cost"/>
    <s v="Nonrecoverable Tax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ayables"/>
    <d v="2023-11-29T00:00:00"/>
    <d v="2023-12-22T05:19:05"/>
    <s v="Parsons-Cull, Paula"/>
    <x v="6"/>
    <x v="6"/>
    <m/>
    <m/>
    <x v="26"/>
    <n v="373.75"/>
    <n v="373.75"/>
    <s v="Supplier Cost"/>
    <s v="Item Cost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ayables"/>
    <d v="2023-11-29T00:00:00"/>
    <d v="2023-12-22T05:19:05"/>
    <s v="Parsons-Cull, Paula"/>
    <x v="6"/>
    <x v="6"/>
    <m/>
    <m/>
    <x v="26"/>
    <n v="9.34"/>
    <n v="9.34"/>
    <s v="Supplier Cost"/>
    <s v="Nonrecoverable Tax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8.99"/>
    <n v="8.99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32.6"/>
    <n v="32.6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22.7"/>
    <n v="22.7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694.44"/>
    <n v="694.44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17.63"/>
    <n v="17.63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16"/>
    <n v="16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8.0500000000000007"/>
    <n v="8.0500000000000007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29.89"/>
    <n v="29.89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Meals &amp; Entertainment Business"/>
    <s v="Oracle Fusion Projects"/>
    <d v="2023-12-31T00:00:00"/>
    <d v="2024-01-03T05:09:11"/>
    <m/>
    <x v="6"/>
    <x v="6"/>
    <m/>
    <m/>
    <x v="11"/>
    <n v="38"/>
    <n v="38"/>
    <s v="Miscellaneous Cost"/>
    <s v="Miscellaneous Expenditure Item"/>
    <s v="Burdened cost"/>
    <s v="10005-40061-68080-00000-580081-00000-00"/>
  </r>
  <r>
    <x v="5"/>
    <s v="YK O&amp;M"/>
    <s v="YK, O&amp;M"/>
    <s v="1089548"/>
    <s v="YK 1089548 AEY 2023-2024 GRA"/>
    <s v="Cost Claims"/>
    <s v="Cost Claims"/>
    <s v="YK68080 Manager"/>
    <s v="Parking"/>
    <s v="Oracle Fusion Payables"/>
    <d v="2023-11-03T00:00:00"/>
    <d v="2023-12-22T05:19:05"/>
    <s v="Badry, Tony"/>
    <x v="6"/>
    <x v="6"/>
    <m/>
    <m/>
    <x v="25"/>
    <n v="22.86"/>
    <n v="22.86"/>
    <s v="Supplier Cost"/>
    <s v="Item Cost"/>
    <s v="Burdened cost"/>
    <s v="10005-40061-68080-00000-582020-00000-00"/>
  </r>
  <r>
    <x v="5"/>
    <s v="YK O&amp;M"/>
    <s v="YK, O&amp;M"/>
    <s v="1089548"/>
    <s v="YK 1089548 AEY 2023-2024 GRA"/>
    <s v="Cost Claims"/>
    <s v="Cost Claims"/>
    <s v="YK68080 Manager"/>
    <s v="Stationery Supplies / Printing"/>
    <s v="Oracle Fusion Payables"/>
    <d v="2023-09-29T00:00:00"/>
    <d v="2023-12-30T05:19:08"/>
    <s v="Lopushinsky, Randi"/>
    <x v="6"/>
    <x v="6"/>
    <m/>
    <m/>
    <x v="27"/>
    <n v="94.8"/>
    <n v="94.8"/>
    <s v="Supplier Cost"/>
    <s v="Item Cost"/>
    <s v="Burdened cost"/>
    <s v="10005-40061-68080-00000-580113-00000-00"/>
  </r>
  <r>
    <x v="5"/>
    <s v="YK O&amp;M"/>
    <s v="YK, O&amp;M"/>
    <s v="1089548"/>
    <s v="YK 1089548 AEY 2023-2024 GRA"/>
    <s v="Cost Claims"/>
    <s v="Cost Claims"/>
    <s v="YK68080 Manager"/>
    <s v="Stationery Supplies / Printing"/>
    <s v="Oracle Fusion Payables"/>
    <d v="2023-10-27T00:00:00"/>
    <d v="2023-12-30T05:19:08"/>
    <s v="Lopushinsky, Randi"/>
    <x v="6"/>
    <x v="6"/>
    <m/>
    <m/>
    <x v="28"/>
    <n v="769.25"/>
    <n v="769.25"/>
    <s v="Supplier Cost"/>
    <s v="Item Cost"/>
    <s v="Burdened cost"/>
    <s v="10005-40061-68080-00000-580113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ayables"/>
    <d v="2023-11-16T00:00:00"/>
    <d v="2023-12-22T05:19:05"/>
    <s v="Badry, Tony"/>
    <x v="6"/>
    <x v="6"/>
    <m/>
    <m/>
    <x v="25"/>
    <n v="454.9"/>
    <n v="454.9"/>
    <s v="Supplier Cost"/>
    <s v="Item Cost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1386"/>
    <n v="1386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88.99"/>
    <n v="88.99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14"/>
    <n v="14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74.92"/>
    <n v="74.92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1386"/>
    <n v="1386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3-12-31T00:00:00"/>
    <d v="2024-01-03T05:09:11"/>
    <m/>
    <x v="6"/>
    <x v="6"/>
    <m/>
    <m/>
    <x v="11"/>
    <n v="1512.01"/>
    <n v="1512.01"/>
    <s v="Miscellaneous Cost"/>
    <s v="Miscellaneous Expenditure Item"/>
    <s v="Burdened cost"/>
    <s v="10005-40061-68080-00000-580080-00000-00"/>
  </r>
  <r>
    <x v="5"/>
    <s v="YK O&amp;M"/>
    <s v="YK, O&amp;M"/>
    <s v="1089548"/>
    <s v="YK 1089548 AEY 2023-2024 GRA"/>
    <s v="Cost Claims"/>
    <s v="Cost Claims"/>
    <s v="YK68080 Manager"/>
    <s v="Vehicle Rentals"/>
    <s v="Oracle Fusion Payables"/>
    <d v="2023-11-03T00:00:00"/>
    <d v="2023-12-22T05:19:05"/>
    <s v="Badry, Tony"/>
    <x v="6"/>
    <x v="6"/>
    <m/>
    <m/>
    <x v="25"/>
    <n v="248.53"/>
    <n v="248.53"/>
    <s v="Supplier Cost"/>
    <s v="Item Cost"/>
    <s v="Burdened cost"/>
    <s v="10005-40061-68080-00000-520204-00000-00"/>
  </r>
  <r>
    <x v="5"/>
    <s v="YK O&amp;M"/>
    <s v="YK, O&amp;M"/>
    <s v="1089548"/>
    <s v="YK 1089548 AEY 2023-2024 GRA"/>
    <s v="Cost Claims"/>
    <s v="Cost Claims"/>
    <s v="YK68080 Manager"/>
    <s v="Vehicle Rentals"/>
    <s v="Oracle Fusion Payables"/>
    <d v="2023-11-16T00:00:00"/>
    <d v="2023-12-22T05:19:05"/>
    <s v="Badry, Tony"/>
    <x v="6"/>
    <x v="6"/>
    <m/>
    <m/>
    <x v="25"/>
    <n v="8.5"/>
    <n v="8.5"/>
    <s v="Supplier Cost"/>
    <s v="Item Cost"/>
    <s v="Burdened cost"/>
    <s v="10005-40061-68080-00000-520204-00000-00"/>
  </r>
  <r>
    <x v="6"/>
    <s v="YK O&amp;M"/>
    <s v="YK, O&amp;M"/>
    <s v="1089548"/>
    <s v="YK 1089548 AEY 2023-2024 GRA"/>
    <s v="Cost Claims"/>
    <s v="Cost Claims"/>
    <s v="YK68080 Manager"/>
    <s v="Accrual - Contractor"/>
    <s v="Oracle Fusion Projects"/>
    <d v="2023-12-31T00:00:00"/>
    <d v="2024-01-03T15:30:07"/>
    <m/>
    <x v="6"/>
    <x v="6"/>
    <m/>
    <m/>
    <x v="11"/>
    <n v="-16045"/>
    <n v="-16045"/>
    <s v="Miscellaneous Cost Adjustment"/>
    <s v="Miscellaneous Expenditure Item"/>
    <s v="Burdened cost"/>
    <s v="10005-40061-68080-00000-520400-00000-00"/>
  </r>
  <r>
    <x v="6"/>
    <s v="YK O&amp;M"/>
    <s v="YK, O&amp;M"/>
    <s v="1089548"/>
    <s v="YK 1089548 AEY 2023-2024 GRA"/>
    <s v="Cost Claims"/>
    <s v="Cost Claims"/>
    <s v="YK68080 Manager"/>
    <s v="Contract Services"/>
    <s v="Oracle Fusion Payables"/>
    <d v="2023-11-30T00:00:00"/>
    <d v="2024-01-03T05:21:31"/>
    <m/>
    <x v="4"/>
    <x v="4"/>
    <m/>
    <m/>
    <x v="29"/>
    <n v="6045"/>
    <n v="7993.3"/>
    <s v="Supplier Cost"/>
    <s v="Item Cost"/>
    <s v="Burdened cost"/>
    <s v="10005-40061-68080-00000-520400-00000-00"/>
  </r>
  <r>
    <x v="6"/>
    <s v="YK O&amp;M"/>
    <s v="YK, O&amp;M"/>
    <s v="1089548"/>
    <s v="YK 1089548 AEY 2023-2024 GRA"/>
    <s v="Cost Claims"/>
    <s v="Cost Claims"/>
    <s v="YK68080 Manager"/>
    <s v="Contract Services"/>
    <s v="Oracle Fusion Payables"/>
    <d v="2023-12-13T00:00:00"/>
    <d v="2024-01-26T05:19:18"/>
    <m/>
    <x v="0"/>
    <x v="0"/>
    <m/>
    <m/>
    <x v="30"/>
    <n v="7200.48"/>
    <n v="7200.48"/>
    <s v="Supplier Cost"/>
    <s v="Item Cost"/>
    <s v="Burdened cost"/>
    <s v="10005-40061-68080-00000-520400-00000-00"/>
  </r>
  <r>
    <x v="6"/>
    <s v="YK O&amp;M"/>
    <s v="YK, O&amp;M"/>
    <s v="1089548"/>
    <s v="YK 1089548 AEY 2023-2024 GRA"/>
    <s v="Cost Claims"/>
    <s v="Cost Claims"/>
    <s v="YK68080 Manager"/>
    <s v="Contract Services"/>
    <s v="Oracle Fusion Payables"/>
    <d v="2023-12-14T00:00:00"/>
    <d v="2024-01-11T05:18:37"/>
    <m/>
    <x v="5"/>
    <x v="5"/>
    <m/>
    <m/>
    <x v="31"/>
    <n v="121853.18"/>
    <n v="121853.18"/>
    <s v="Supplier Cost"/>
    <s v="Item Cost"/>
    <s v="Burdened cost"/>
    <s v="10005-40061-68080-00000-520400-00000-00"/>
  </r>
  <r>
    <x v="6"/>
    <s v="YK O&amp;M"/>
    <s v="YK, O&amp;M"/>
    <s v="1089548"/>
    <s v="YK 1089548 AEY 2023-2024 GRA"/>
    <s v="Cost Claims"/>
    <s v="Cost Claims"/>
    <s v="YK68080 Manager"/>
    <s v="Contract Services"/>
    <s v="Oracle Fusion Payables"/>
    <d v="2024-01-09T00:00:00"/>
    <d v="2024-01-26T05:19:18"/>
    <m/>
    <x v="4"/>
    <x v="4"/>
    <m/>
    <m/>
    <x v="32"/>
    <n v="29860"/>
    <n v="39483.879999999997"/>
    <s v="Supplier Cost"/>
    <s v="Item Cost"/>
    <s v="Burdened cost"/>
    <s v="10005-40061-68080-00000-520400-00000-00"/>
  </r>
  <r>
    <x v="6"/>
    <s v="YK O&amp;M"/>
    <s v="YK, O&amp;M"/>
    <s v="1089548"/>
    <s v="YK 1089548 AEY 2023-2024 GRA"/>
    <s v="Cost Claims"/>
    <s v="Cost Claims"/>
    <s v="YK68080 Manager"/>
    <s v="Contract Services"/>
    <s v="Oracle Fusion Payables"/>
    <d v="2024-01-09T00:00:00"/>
    <d v="2024-01-26T05:19:18"/>
    <m/>
    <x v="4"/>
    <x v="4"/>
    <m/>
    <m/>
    <x v="33"/>
    <n v="6427.5"/>
    <n v="8499.08"/>
    <s v="Supplier Cost"/>
    <s v="Item Cost"/>
    <s v="Burdened cost"/>
    <s v="10005-40061-68080-00000-520400-00000-00"/>
  </r>
  <r>
    <x v="7"/>
    <s v="YK O&amp;M"/>
    <s v="YK, O&amp;M"/>
    <s v="1089548"/>
    <s v="YK 1089548 AEY 2023-2024 GRA"/>
    <s v="Cost Claims"/>
    <s v="Cost Claims"/>
    <s v="YK68080 Manager"/>
    <s v="Contract Services"/>
    <s v="Oracle Fusion Payables"/>
    <d v="2023-12-31T00:00:00"/>
    <d v="2024-02-16T22:19:48"/>
    <m/>
    <x v="5"/>
    <x v="5"/>
    <m/>
    <m/>
    <x v="34"/>
    <n v="65387.96"/>
    <n v="65387.96"/>
    <s v="Supplier Cost"/>
    <s v="Item Cost"/>
    <s v="Burdened cost"/>
    <s v="10005-40061-68080-72100-520400-00000-00"/>
  </r>
  <r>
    <x v="7"/>
    <s v="YK O&amp;M"/>
    <s v="YK, O&amp;M"/>
    <s v="1089548"/>
    <s v="YK 1089548 AEY 2023-2024 GRA"/>
    <s v="Cost Claims"/>
    <s v="Cost Claims"/>
    <s v="YK68080 Manager"/>
    <s v="Meals &amp; Entertainment Business"/>
    <s v="Oracle Fusion Payables"/>
    <d v="2023-11-28T00:00:00"/>
    <d v="2024-02-16T22:19:48"/>
    <m/>
    <x v="7"/>
    <x v="7"/>
    <m/>
    <m/>
    <x v="35"/>
    <n v="1141.44"/>
    <n v="1141.44"/>
    <s v="Supplier Cost"/>
    <s v="Item Cost"/>
    <s v="Burdened cost"/>
    <s v="10005-40061-68080-72100-580081-00000-00"/>
  </r>
  <r>
    <x v="7"/>
    <s v="YK O&amp;M"/>
    <s v="YK, O&amp;M"/>
    <s v="1089548"/>
    <s v="YK 1089548 AEY 2023-2024 GRA"/>
    <s v="Cost Claims"/>
    <s v="Cost Claims"/>
    <s v="YK68080 Manager"/>
    <s v="Travel &amp; Accomodation Business"/>
    <s v="Oracle Fusion Projects"/>
    <d v="2024-02-29T00:00:00"/>
    <d v="2024-03-04T12:25:23"/>
    <m/>
    <x v="6"/>
    <x v="6"/>
    <m/>
    <m/>
    <x v="11"/>
    <n v="42.85"/>
    <n v="42.85"/>
    <s v="Miscellaneous Cost"/>
    <s v="Miscellaneous Expenditure Item"/>
    <s v="Burdened cost"/>
    <s v="10005-40061-68080-72100-580080-00000-00"/>
  </r>
  <r>
    <x v="8"/>
    <m/>
    <m/>
    <m/>
    <m/>
    <m/>
    <m/>
    <m/>
    <m/>
    <m/>
    <m/>
    <m/>
    <m/>
    <x v="6"/>
    <x v="6"/>
    <m/>
    <m/>
    <x v="11"/>
    <m/>
    <m/>
    <m/>
    <m/>
    <m/>
    <m/>
  </r>
  <r>
    <x v="8"/>
    <m/>
    <m/>
    <m/>
    <m/>
    <m/>
    <m/>
    <m/>
    <m/>
    <m/>
    <m/>
    <m/>
    <m/>
    <x v="6"/>
    <x v="6"/>
    <m/>
    <m/>
    <x v="1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583921-71BD-4E5C-B0D4-E02525ED94EF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K53" firstHeaderRow="1" firstDataRow="2" firstDataCol="1"/>
  <pivotFields count="24"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2"/>
        <item x="0"/>
        <item x="4"/>
        <item x="3"/>
        <item x="1"/>
        <item x="7"/>
        <item x="6"/>
        <item t="default"/>
      </items>
    </pivotField>
    <pivotField showAll="0">
      <items count="9">
        <item x="7"/>
        <item x="3"/>
        <item x="0"/>
        <item x="5"/>
        <item x="2"/>
        <item x="4"/>
        <item x="1"/>
        <item x="6"/>
        <item t="default"/>
      </items>
    </pivotField>
    <pivotField showAll="0"/>
    <pivotField showAll="0"/>
    <pivotField axis="axisRow" showAll="0">
      <items count="37">
        <item x="12"/>
        <item x="3"/>
        <item x="13"/>
        <item x="14"/>
        <item x="8"/>
        <item x="20"/>
        <item x="17"/>
        <item x="18"/>
        <item x="23"/>
        <item x="24"/>
        <item x="30"/>
        <item x="0"/>
        <item x="1"/>
        <item x="4"/>
        <item x="2"/>
        <item x="15"/>
        <item x="21"/>
        <item x="16"/>
        <item x="29"/>
        <item x="32"/>
        <item x="33"/>
        <item x="35"/>
        <item x="9"/>
        <item x="10"/>
        <item x="22"/>
        <item x="31"/>
        <item x="34"/>
        <item x="5"/>
        <item x="7"/>
        <item x="6"/>
        <item x="19"/>
        <item x="26"/>
        <item x="25"/>
        <item x="27"/>
        <item x="28"/>
        <item x="11"/>
        <item t="default"/>
      </items>
    </pivotField>
    <pivotField showAll="0"/>
    <pivotField dataField="1" showAll="0"/>
    <pivotField showAll="0"/>
    <pivotField showAll="0"/>
    <pivotField showAll="0"/>
    <pivotField showAll="0"/>
  </pivotFields>
  <rowFields count="2">
    <field x="13"/>
    <field x="17"/>
  </rowFields>
  <rowItems count="49">
    <i>
      <x/>
    </i>
    <i r="1">
      <x v="22"/>
    </i>
    <i r="1">
      <x v="23"/>
    </i>
    <i r="1">
      <x v="24"/>
    </i>
    <i r="1">
      <x v="25"/>
    </i>
    <i r="1">
      <x v="26"/>
    </i>
    <i>
      <x v="1"/>
    </i>
    <i r="1">
      <x v="29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>
      <x v="3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>
      <x v="4"/>
    </i>
    <i r="1">
      <x v="28"/>
    </i>
    <i>
      <x v="5"/>
    </i>
    <i r="1">
      <x v="27"/>
    </i>
    <i>
      <x v="6"/>
    </i>
    <i r="1">
      <x v="21"/>
    </i>
    <i>
      <x v="7"/>
    </i>
    <i r="1">
      <x v="30"/>
    </i>
    <i r="1">
      <x v="31"/>
    </i>
    <i r="1">
      <x v="32"/>
    </i>
    <i r="1">
      <x v="33"/>
    </i>
    <i r="1">
      <x v="34"/>
    </i>
    <i r="1">
      <x v="35"/>
    </i>
    <i t="grand">
      <x/>
    </i>
  </rowItems>
  <colFields count="1">
    <field x="0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Amount" fld="19" baseField="0" baseItem="0"/>
  </dataFields>
  <formats count="47">
    <format dxfId="46">
      <pivotArea collapsedLevelsAreSubtotals="1" fieldPosition="0">
        <references count="2">
          <reference field="13" count="1" selected="0">
            <x v="0"/>
          </reference>
          <reference field="17" count="1">
            <x v="22"/>
          </reference>
        </references>
      </pivotArea>
    </format>
    <format dxfId="45">
      <pivotArea dataOnly="0" labelOnly="1" fieldPosition="0">
        <references count="2">
          <reference field="13" count="1" selected="0">
            <x v="0"/>
          </reference>
          <reference field="17" count="1">
            <x v="22"/>
          </reference>
        </references>
      </pivotArea>
    </format>
    <format dxfId="44">
      <pivotArea dataOnly="0" fieldPosition="0">
        <references count="1">
          <reference field="17" count="1">
            <x v="22"/>
          </reference>
        </references>
      </pivotArea>
    </format>
    <format dxfId="43">
      <pivotArea collapsedLevelsAreSubtotals="1" fieldPosition="0">
        <references count="2">
          <reference field="13" count="1" selected="0">
            <x v="0"/>
          </reference>
          <reference field="17" count="1">
            <x v="23"/>
          </reference>
        </references>
      </pivotArea>
    </format>
    <format dxfId="42">
      <pivotArea dataOnly="0" labelOnly="1" fieldPosition="0">
        <references count="2">
          <reference field="13" count="1" selected="0">
            <x v="0"/>
          </reference>
          <reference field="17" count="1">
            <x v="23"/>
          </reference>
        </references>
      </pivotArea>
    </format>
    <format dxfId="41">
      <pivotArea collapsedLevelsAreSubtotals="1" fieldPosition="0">
        <references count="2">
          <reference field="13" count="1" selected="0">
            <x v="0"/>
          </reference>
          <reference field="17" count="1">
            <x v="25"/>
          </reference>
        </references>
      </pivotArea>
    </format>
    <format dxfId="40">
      <pivotArea dataOnly="0" labelOnly="1" fieldPosition="0">
        <references count="2">
          <reference field="13" count="1" selected="0">
            <x v="0"/>
          </reference>
          <reference field="17" count="1">
            <x v="25"/>
          </reference>
        </references>
      </pivotArea>
    </format>
    <format dxfId="39">
      <pivotArea collapsedLevelsAreSubtotals="1" fieldPosition="0">
        <references count="2">
          <reference field="13" count="1" selected="0">
            <x v="0"/>
          </reference>
          <reference field="17" count="1">
            <x v="26"/>
          </reference>
        </references>
      </pivotArea>
    </format>
    <format dxfId="38">
      <pivotArea dataOnly="0" labelOnly="1" fieldPosition="0">
        <references count="2">
          <reference field="13" count="1" selected="0">
            <x v="0"/>
          </reference>
          <reference field="17" count="1">
            <x v="26"/>
          </reference>
        </references>
      </pivotArea>
    </format>
    <format dxfId="37">
      <pivotArea collapsedLevelsAreSubtotals="1" fieldPosition="0">
        <references count="2">
          <reference field="13" count="1" selected="0">
            <x v="2"/>
          </reference>
          <reference field="17" count="1">
            <x v="0"/>
          </reference>
        </references>
      </pivotArea>
    </format>
    <format dxfId="36">
      <pivotArea dataOnly="0" labelOnly="1" fieldPosition="0">
        <references count="2">
          <reference field="13" count="1" selected="0">
            <x v="2"/>
          </reference>
          <reference field="17" count="1">
            <x v="0"/>
          </reference>
        </references>
      </pivotArea>
    </format>
    <format dxfId="35">
      <pivotArea collapsedLevelsAreSubtotals="1" fieldPosition="0">
        <references count="2">
          <reference field="13" count="1" selected="0">
            <x v="2"/>
          </reference>
          <reference field="17" count="1">
            <x v="1"/>
          </reference>
        </references>
      </pivotArea>
    </format>
    <format dxfId="34">
      <pivotArea dataOnly="0" labelOnly="1" fieldPosition="0">
        <references count="2">
          <reference field="13" count="1" selected="0">
            <x v="2"/>
          </reference>
          <reference field="17" count="1">
            <x v="1"/>
          </reference>
        </references>
      </pivotArea>
    </format>
    <format dxfId="33">
      <pivotArea collapsedLevelsAreSubtotals="1" fieldPosition="0">
        <references count="2">
          <reference field="13" count="1" selected="0">
            <x v="2"/>
          </reference>
          <reference field="17" count="1">
            <x v="2"/>
          </reference>
        </references>
      </pivotArea>
    </format>
    <format dxfId="32">
      <pivotArea dataOnly="0" labelOnly="1" fieldPosition="0">
        <references count="2">
          <reference field="13" count="1" selected="0">
            <x v="2"/>
          </reference>
          <reference field="17" count="1">
            <x v="2"/>
          </reference>
        </references>
      </pivotArea>
    </format>
    <format dxfId="31">
      <pivotArea dataOnly="0" fieldPosition="0">
        <references count="1">
          <reference field="17" count="1">
            <x v="3"/>
          </reference>
        </references>
      </pivotArea>
    </format>
    <format dxfId="30">
      <pivotArea dataOnly="0" fieldPosition="0">
        <references count="1">
          <reference field="17" count="1">
            <x v="4"/>
          </reference>
        </references>
      </pivotArea>
    </format>
    <format dxfId="29">
      <pivotArea dataOnly="0" fieldPosition="0">
        <references count="1">
          <reference field="17" count="1">
            <x v="5"/>
          </reference>
        </references>
      </pivotArea>
    </format>
    <format dxfId="28">
      <pivotArea dataOnly="0" fieldPosition="0">
        <references count="1">
          <reference field="17" count="1">
            <x v="6"/>
          </reference>
        </references>
      </pivotArea>
    </format>
    <format dxfId="27">
      <pivotArea dataOnly="0" fieldPosition="0">
        <references count="1">
          <reference field="17" count="1">
            <x v="7"/>
          </reference>
        </references>
      </pivotArea>
    </format>
    <format dxfId="26">
      <pivotArea dataOnly="0" fieldPosition="0">
        <references count="1">
          <reference field="17" count="1">
            <x v="8"/>
          </reference>
        </references>
      </pivotArea>
    </format>
    <format dxfId="25">
      <pivotArea dataOnly="0" fieldPosition="0">
        <references count="1">
          <reference field="17" count="1">
            <x v="9"/>
          </reference>
        </references>
      </pivotArea>
    </format>
    <format dxfId="24">
      <pivotArea dataOnly="0" fieldPosition="0">
        <references count="1">
          <reference field="17" count="1">
            <x v="10"/>
          </reference>
        </references>
      </pivotArea>
    </format>
    <format dxfId="23">
      <pivotArea dataOnly="0" fieldPosition="0">
        <references count="1">
          <reference field="17" count="1">
            <x v="11"/>
          </reference>
        </references>
      </pivotArea>
    </format>
    <format dxfId="22">
      <pivotArea dataOnly="0" fieldPosition="0">
        <references count="1">
          <reference field="17" count="1">
            <x v="12"/>
          </reference>
        </references>
      </pivotArea>
    </format>
    <format dxfId="21">
      <pivotArea dataOnly="0" fieldPosition="0">
        <references count="2">
          <reference field="13" count="1" selected="0">
            <x v="3"/>
          </reference>
          <reference field="17" count="1">
            <x v="13"/>
          </reference>
        </references>
      </pivotArea>
    </format>
    <format dxfId="20">
      <pivotArea dataOnly="0" labelOnly="1" fieldPosition="0">
        <references count="2">
          <reference field="13" count="1" selected="0">
            <x v="3"/>
          </reference>
          <reference field="17" count="1">
            <x v="14"/>
          </reference>
        </references>
      </pivotArea>
    </format>
    <format dxfId="19">
      <pivotArea dataOnly="0" fieldPosition="0">
        <references count="1">
          <reference field="17" count="1">
            <x v="14"/>
          </reference>
        </references>
      </pivotArea>
    </format>
    <format dxfId="18">
      <pivotArea dataOnly="0" fieldPosition="0">
        <references count="1">
          <reference field="17" count="1">
            <x v="13"/>
          </reference>
        </references>
      </pivotArea>
    </format>
    <format dxfId="17">
      <pivotArea dataOnly="0" fieldPosition="0">
        <references count="1">
          <reference field="17" count="1">
            <x v="15"/>
          </reference>
        </references>
      </pivotArea>
    </format>
    <format dxfId="16">
      <pivotArea dataOnly="0" fieldPosition="0">
        <references count="1">
          <reference field="17" count="1">
            <x v="16"/>
          </reference>
        </references>
      </pivotArea>
    </format>
    <format dxfId="15">
      <pivotArea dataOnly="0" fieldPosition="0">
        <references count="1">
          <reference field="17" count="1">
            <x v="17"/>
          </reference>
        </references>
      </pivotArea>
    </format>
    <format dxfId="14">
      <pivotArea dataOnly="0" fieldPosition="0">
        <references count="1">
          <reference field="17" count="1">
            <x v="18"/>
          </reference>
        </references>
      </pivotArea>
    </format>
    <format dxfId="13">
      <pivotArea dataOnly="0" fieldPosition="0">
        <references count="1">
          <reference field="17" count="1">
            <x v="19"/>
          </reference>
        </references>
      </pivotArea>
    </format>
    <format dxfId="12">
      <pivotArea dataOnly="0" fieldPosition="0">
        <references count="1">
          <reference field="17" count="1">
            <x v="20"/>
          </reference>
        </references>
      </pivotArea>
    </format>
    <format dxfId="11">
      <pivotArea collapsedLevelsAreSubtotals="1" fieldPosition="0">
        <references count="2">
          <reference field="13" count="1" selected="0">
            <x v="4"/>
          </reference>
          <reference field="17" count="1">
            <x v="28"/>
          </reference>
        </references>
      </pivotArea>
    </format>
    <format dxfId="10">
      <pivotArea dataOnly="0" labelOnly="1" fieldPosition="0">
        <references count="2">
          <reference field="13" count="1" selected="0">
            <x v="4"/>
          </reference>
          <reference field="17" count="1">
            <x v="28"/>
          </reference>
        </references>
      </pivotArea>
    </format>
    <format dxfId="9">
      <pivotArea collapsedLevelsAreSubtotals="1" fieldPosition="0">
        <references count="2">
          <reference field="13" count="1" selected="0">
            <x v="5"/>
          </reference>
          <reference field="17" count="1">
            <x v="27"/>
          </reference>
        </references>
      </pivotArea>
    </format>
    <format dxfId="8">
      <pivotArea dataOnly="0" labelOnly="1" fieldPosition="0">
        <references count="2">
          <reference field="13" count="1" selected="0">
            <x v="5"/>
          </reference>
          <reference field="17" count="1">
            <x v="27"/>
          </reference>
        </references>
      </pivotArea>
    </format>
    <format dxfId="7">
      <pivotArea collapsedLevelsAreSubtotals="1" fieldPosition="0">
        <references count="2">
          <reference field="13" count="1" selected="0">
            <x v="5"/>
          </reference>
          <reference field="17" count="1">
            <x v="27"/>
          </reference>
        </references>
      </pivotArea>
    </format>
    <format dxfId="6">
      <pivotArea dataOnly="0" labelOnly="1" fieldPosition="0">
        <references count="2">
          <reference field="13" count="1" selected="0">
            <x v="5"/>
          </reference>
          <reference field="17" count="1">
            <x v="27"/>
          </reference>
        </references>
      </pivotArea>
    </format>
    <format dxfId="5">
      <pivotArea collapsedLevelsAreSubtotals="1" fieldPosition="0">
        <references count="2">
          <reference field="13" count="1" selected="0">
            <x v="1"/>
          </reference>
          <reference field="17" count="1">
            <x v="29"/>
          </reference>
        </references>
      </pivotArea>
    </format>
    <format dxfId="4">
      <pivotArea dataOnly="0" labelOnly="1" fieldPosition="0">
        <references count="2">
          <reference field="13" count="1" selected="0">
            <x v="1"/>
          </reference>
          <reference field="17" count="1">
            <x v="29"/>
          </reference>
        </references>
      </pivotArea>
    </format>
    <format dxfId="3">
      <pivotArea dataOnly="0" fieldPosition="0">
        <references count="1">
          <reference field="17" count="1">
            <x v="24"/>
          </reference>
        </references>
      </pivotArea>
    </format>
    <format dxfId="2">
      <pivotArea collapsedLevelsAreSubtotals="1" fieldPosition="0">
        <references count="2">
          <reference field="13" count="1" selected="0">
            <x v="7"/>
          </reference>
          <reference field="17" count="5">
            <x v="30"/>
            <x v="31"/>
            <x v="32"/>
            <x v="33"/>
            <x v="34"/>
          </reference>
        </references>
      </pivotArea>
    </format>
    <format dxfId="1">
      <pivotArea dataOnly="0" labelOnly="1" fieldPosition="0">
        <references count="2">
          <reference field="13" count="1" selected="0">
            <x v="7"/>
          </reference>
          <reference field="17" count="5">
            <x v="30"/>
            <x v="31"/>
            <x v="32"/>
            <x v="33"/>
            <x v="34"/>
          </reference>
        </references>
      </pivotArea>
    </format>
    <format dxfId="0">
      <pivotArea dataOnly="0" fieldPosition="0">
        <references count="1">
          <reference field="17" count="5">
            <x v="16"/>
            <x v="17"/>
            <x v="18"/>
            <x v="19"/>
            <x v="2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yukonutilitiesboard.yk.ca/pdf/Rules%20of%20Practice%20and%20Policy/1517_YUB%20Scale%20of%20Costs%20-%20FINAL.pdf" TargetMode="External"/><Relationship Id="rId2" Type="http://schemas.openxmlformats.org/officeDocument/2006/relationships/hyperlink" Target="https://www.canada.ca/en/revenue-agency/corporate/about-canada-revenue-agency-cra/travel-directive/appendix-b-meals-allowances-april-2024.html" TargetMode="External"/><Relationship Id="rId1" Type="http://schemas.openxmlformats.org/officeDocument/2006/relationships/hyperlink" Target="https://rehelv-acrd.tpsgc-pwgsc.gc.ca/preface-eng.aspx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lizabeth.Rogers@atco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EFF87-5278-4254-A000-EA8A8B87E7F9}">
  <sheetPr>
    <tabColor rgb="FFFFFF00"/>
  </sheetPr>
  <dimension ref="A2:M91"/>
  <sheetViews>
    <sheetView showOutlineSymbols="0" showWhiteSpace="0" workbookViewId="0">
      <selection activeCell="E7" sqref="E7"/>
    </sheetView>
    <sheetView workbookViewId="1"/>
  </sheetViews>
  <sheetFormatPr defaultColWidth="9.26953125" defaultRowHeight="14" x14ac:dyDescent="0.3"/>
  <cols>
    <col min="1" max="1" width="9.26953125" style="84"/>
    <col min="2" max="2" width="50.54296875" style="84" customWidth="1"/>
    <col min="3" max="4" width="14.453125" style="84" customWidth="1"/>
    <col min="5" max="5" width="15.1796875" style="84" customWidth="1"/>
    <col min="6" max="6" width="17.1796875" style="84" customWidth="1"/>
    <col min="7" max="10" width="9.26953125" style="84"/>
    <col min="11" max="11" width="11.1796875" style="84" bestFit="1" customWidth="1"/>
    <col min="12" max="16384" width="9.26953125" style="84"/>
  </cols>
  <sheetData>
    <row r="2" spans="2:13" x14ac:dyDescent="0.3">
      <c r="B2" s="407" t="s">
        <v>0</v>
      </c>
      <c r="C2" s="407"/>
      <c r="D2" s="407"/>
      <c r="E2" s="407"/>
    </row>
    <row r="4" spans="2:13" x14ac:dyDescent="0.3">
      <c r="B4" s="91" t="s">
        <v>1</v>
      </c>
      <c r="C4" s="91" t="s">
        <v>2</v>
      </c>
      <c r="D4" s="91" t="s">
        <v>3</v>
      </c>
      <c r="E4" s="91" t="s">
        <v>4</v>
      </c>
    </row>
    <row r="5" spans="2:13" x14ac:dyDescent="0.3">
      <c r="B5" s="84" t="s">
        <v>5</v>
      </c>
      <c r="C5" s="92">
        <f>'Summary of Legal Fees - BJ'!O57</f>
        <v>302048.86000000004</v>
      </c>
      <c r="D5" s="92">
        <f>'Summary of Legal Fees - BJ'!P57</f>
        <v>158337.54</v>
      </c>
      <c r="E5" s="92">
        <f>'Summary of Legal Fees - BJ'!R57</f>
        <v>143711.31999999998</v>
      </c>
      <c r="F5" s="92"/>
    </row>
    <row r="6" spans="2:13" x14ac:dyDescent="0.3">
      <c r="B6" s="84" t="s">
        <v>6</v>
      </c>
      <c r="C6" s="92">
        <f>'Summary of Concentric Advisors'!O68</f>
        <v>198280.77</v>
      </c>
      <c r="D6" s="92">
        <f>'Summary of Concentric Advisors'!P68</f>
        <v>84192.6</v>
      </c>
      <c r="E6" s="92">
        <f>'Summary of Concentric Advisors'!R68</f>
        <v>114088.17</v>
      </c>
      <c r="F6" s="92"/>
    </row>
    <row r="7" spans="2:13" x14ac:dyDescent="0.3">
      <c r="B7" s="84" t="s">
        <v>7</v>
      </c>
      <c r="C7" s="92">
        <f>'Summary Concentric Energy'!P60</f>
        <v>160408.86999999997</v>
      </c>
      <c r="D7" s="92">
        <f>'Summary Concentric Energy'!Q60</f>
        <v>51180</v>
      </c>
      <c r="E7" s="92">
        <f>'Summary Concentric Energy'!S60</f>
        <v>109228.87</v>
      </c>
      <c r="F7" s="92"/>
    </row>
    <row r="8" spans="2:13" x14ac:dyDescent="0.3">
      <c r="B8" s="84" t="s">
        <v>8</v>
      </c>
      <c r="C8" s="92">
        <f>'AEY Disbursements'!G29+'AEY Disbursements'!G72</f>
        <v>22176.988095238095</v>
      </c>
      <c r="D8" s="92">
        <f>'AEY Disbursements'!O29+'AEY Disbursements'!O72</f>
        <v>17294.927619047616</v>
      </c>
      <c r="E8" s="92">
        <f>'AEY Disbursements'!P29+'AEY Disbursements'!P72</f>
        <v>4882.0604761904751</v>
      </c>
      <c r="F8" s="92"/>
    </row>
    <row r="10" spans="2:13" x14ac:dyDescent="0.3">
      <c r="B10" s="93" t="s">
        <v>9</v>
      </c>
      <c r="C10" s="105">
        <f>SUM(C5:C9)</f>
        <v>682915.48809523811</v>
      </c>
      <c r="D10" s="94">
        <f>SUM(D5:D9)</f>
        <v>311005.06761904765</v>
      </c>
      <c r="E10" s="94">
        <f>SUM(E5:E9)</f>
        <v>371910.42047619045</v>
      </c>
      <c r="F10" s="92"/>
    </row>
    <row r="11" spans="2:13" s="106" customFormat="1" ht="30.75" customHeight="1" x14ac:dyDescent="0.35">
      <c r="B11"/>
      <c r="C11"/>
      <c r="D11"/>
      <c r="E11"/>
    </row>
    <row r="12" spans="2:13" ht="19.399999999999999" customHeight="1" x14ac:dyDescent="0.35">
      <c r="B12" s="106" t="s">
        <v>10</v>
      </c>
      <c r="C12" s="107">
        <f>GETPIVOTDATA("Amount",'GL Feb24'!$A$3)</f>
        <v>640044.61</v>
      </c>
      <c r="D12" s="92"/>
      <c r="F12"/>
      <c r="G12"/>
      <c r="H12"/>
      <c r="I12"/>
      <c r="J12"/>
      <c r="K12"/>
      <c r="L12"/>
      <c r="M12"/>
    </row>
    <row r="13" spans="2:13" ht="20.149999999999999" customHeight="1" x14ac:dyDescent="0.35">
      <c r="B13" s="113" t="s">
        <v>11</v>
      </c>
      <c r="C13" s="114">
        <f>D10</f>
        <v>311005.06761904765</v>
      </c>
      <c r="F13"/>
      <c r="G13"/>
      <c r="H13"/>
      <c r="I13"/>
      <c r="J13"/>
      <c r="K13"/>
      <c r="L13"/>
      <c r="M13"/>
    </row>
    <row r="14" spans="2:13" ht="14.5" x14ac:dyDescent="0.35">
      <c r="B14" s="108" t="s">
        <v>12</v>
      </c>
      <c r="C14" s="109">
        <f>C12-C13</f>
        <v>329039.54238095233</v>
      </c>
      <c r="F14"/>
      <c r="G14"/>
      <c r="H14"/>
      <c r="I14"/>
      <c r="J14"/>
      <c r="K14"/>
      <c r="L14"/>
      <c r="M14"/>
    </row>
    <row r="15" spans="2:13" ht="14.5" x14ac:dyDescent="0.35">
      <c r="B15" s="110" t="s">
        <v>13</v>
      </c>
      <c r="C15" s="111">
        <f>C14-E10</f>
        <v>-42870.87809523812</v>
      </c>
      <c r="F15" s="5"/>
      <c r="G15"/>
      <c r="H15"/>
      <c r="I15"/>
      <c r="J15"/>
      <c r="K15"/>
      <c r="L15"/>
      <c r="M15"/>
    </row>
    <row r="20" spans="2:4" x14ac:dyDescent="0.3">
      <c r="B20" s="84" t="s">
        <v>14</v>
      </c>
      <c r="C20" s="92">
        <f>+C12</f>
        <v>640044.61</v>
      </c>
    </row>
    <row r="21" spans="2:4" x14ac:dyDescent="0.3">
      <c r="B21" s="84" t="s">
        <v>15</v>
      </c>
      <c r="C21" s="139">
        <f>+C10</f>
        <v>682915.48809523811</v>
      </c>
    </row>
    <row r="22" spans="2:4" x14ac:dyDescent="0.3">
      <c r="C22" s="92">
        <f>C20-C21</f>
        <v>-42870.87809523812</v>
      </c>
      <c r="D22" s="92"/>
    </row>
    <row r="23" spans="2:4" x14ac:dyDescent="0.3">
      <c r="B23" s="84" t="s">
        <v>16</v>
      </c>
    </row>
    <row r="24" spans="2:4" x14ac:dyDescent="0.3">
      <c r="B24" s="84" t="s">
        <v>17</v>
      </c>
      <c r="C24" s="84">
        <v>-1141.44</v>
      </c>
    </row>
    <row r="25" spans="2:4" x14ac:dyDescent="0.3">
      <c r="B25" s="84" t="s">
        <v>18</v>
      </c>
      <c r="C25" s="84">
        <v>-758.18</v>
      </c>
    </row>
    <row r="26" spans="2:4" x14ac:dyDescent="0.3">
      <c r="B26" s="84" t="s">
        <v>19</v>
      </c>
      <c r="C26" s="84">
        <v>-410.56</v>
      </c>
    </row>
    <row r="28" spans="2:4" x14ac:dyDescent="0.3">
      <c r="B28" s="126" t="s">
        <v>20</v>
      </c>
    </row>
    <row r="29" spans="2:4" x14ac:dyDescent="0.3">
      <c r="B29" s="126" t="s">
        <v>21</v>
      </c>
      <c r="C29" s="84">
        <v>214.29</v>
      </c>
    </row>
    <row r="30" spans="2:4" x14ac:dyDescent="0.3">
      <c r="B30" s="141" t="s">
        <v>22</v>
      </c>
      <c r="C30" s="84">
        <v>-6.9</v>
      </c>
    </row>
    <row r="31" spans="2:4" x14ac:dyDescent="0.3">
      <c r="B31" s="141" t="s">
        <v>23</v>
      </c>
      <c r="C31" s="84">
        <v>0.48</v>
      </c>
    </row>
    <row r="32" spans="2:4" x14ac:dyDescent="0.3">
      <c r="B32" s="126" t="s">
        <v>24</v>
      </c>
      <c r="C32" s="84">
        <v>0.01</v>
      </c>
    </row>
    <row r="33" spans="1:7" x14ac:dyDescent="0.3">
      <c r="B33" s="84" t="s">
        <v>25</v>
      </c>
      <c r="C33" s="84">
        <v>141.27000000000001</v>
      </c>
    </row>
    <row r="34" spans="1:7" x14ac:dyDescent="0.3">
      <c r="B34" s="141" t="s">
        <v>26</v>
      </c>
      <c r="C34" s="84">
        <v>3.76</v>
      </c>
    </row>
    <row r="35" spans="1:7" x14ac:dyDescent="0.3">
      <c r="B35" s="84" t="s">
        <v>27</v>
      </c>
      <c r="C35" s="84">
        <v>146.55000000000001</v>
      </c>
    </row>
    <row r="36" spans="1:7" x14ac:dyDescent="0.3">
      <c r="B36" s="84" t="s">
        <v>28</v>
      </c>
      <c r="C36" s="148">
        <f>-'Concentric Advisors Disb.'!K40</f>
        <v>-166.3890476190476</v>
      </c>
    </row>
    <row r="37" spans="1:7" ht="14.5" thickBot="1" x14ac:dyDescent="0.35">
      <c r="C37" s="140">
        <f>SUM(C22:C36)</f>
        <v>-44847.987142857164</v>
      </c>
    </row>
    <row r="38" spans="1:7" ht="14.5" thickTop="1" x14ac:dyDescent="0.3"/>
    <row r="39" spans="1:7" ht="14.5" x14ac:dyDescent="0.35">
      <c r="B39" s="96"/>
    </row>
    <row r="41" spans="1:7" x14ac:dyDescent="0.3">
      <c r="A41" s="142"/>
      <c r="B41" s="142"/>
      <c r="C41" s="142"/>
      <c r="D41" s="142"/>
      <c r="E41" s="142"/>
      <c r="F41" s="142"/>
      <c r="G41" s="142"/>
    </row>
    <row r="42" spans="1:7" x14ac:dyDescent="0.3">
      <c r="A42" s="142"/>
      <c r="B42" s="142"/>
      <c r="C42" s="142"/>
      <c r="D42" s="142"/>
      <c r="E42" s="142"/>
      <c r="F42" s="142"/>
      <c r="G42" s="142"/>
    </row>
    <row r="43" spans="1:7" x14ac:dyDescent="0.3">
      <c r="A43" s="142"/>
      <c r="B43" s="142" t="s">
        <v>29</v>
      </c>
      <c r="C43" s="142"/>
      <c r="D43" s="142" t="s">
        <v>30</v>
      </c>
      <c r="E43" s="142" t="s">
        <v>31</v>
      </c>
      <c r="F43" s="142"/>
      <c r="G43" s="142"/>
    </row>
    <row r="44" spans="1:7" x14ac:dyDescent="0.3">
      <c r="A44" s="142"/>
      <c r="B44" s="142"/>
      <c r="C44" s="142"/>
      <c r="D44" s="142"/>
      <c r="E44" s="142"/>
      <c r="F44" s="142"/>
      <c r="G44" s="142"/>
    </row>
    <row r="45" spans="1:7" x14ac:dyDescent="0.3">
      <c r="A45" s="142"/>
      <c r="B45" s="142" t="s">
        <v>5</v>
      </c>
      <c r="C45" s="142"/>
      <c r="D45" s="143">
        <f>'GL Feb24'!K5</f>
        <v>258231.49999999997</v>
      </c>
      <c r="E45" s="143">
        <f>C5</f>
        <v>302048.86000000004</v>
      </c>
      <c r="F45" s="142"/>
      <c r="G45" s="142"/>
    </row>
    <row r="46" spans="1:7" x14ac:dyDescent="0.3">
      <c r="A46" s="142"/>
      <c r="B46" s="142" t="s">
        <v>6</v>
      </c>
      <c r="C46" s="142"/>
      <c r="D46" s="143">
        <f>'GL Feb24'!K13</f>
        <v>198447.16</v>
      </c>
      <c r="E46" s="143">
        <f>C6</f>
        <v>198280.77</v>
      </c>
      <c r="F46" s="143">
        <f>D46-E46</f>
        <v>166.39000000001397</v>
      </c>
      <c r="G46" s="142"/>
    </row>
    <row r="47" spans="1:7" x14ac:dyDescent="0.3">
      <c r="A47" s="142"/>
      <c r="B47" s="142" t="s">
        <v>7</v>
      </c>
      <c r="C47" s="142"/>
      <c r="D47" s="143">
        <f>'GL Feb24'!K29</f>
        <v>160408.87</v>
      </c>
      <c r="E47" s="143">
        <f>C7</f>
        <v>160408.86999999997</v>
      </c>
      <c r="F47" s="142"/>
      <c r="G47" s="142"/>
    </row>
    <row r="48" spans="1:7" x14ac:dyDescent="0.3">
      <c r="A48" s="142"/>
      <c r="B48" s="142"/>
      <c r="C48" s="142"/>
      <c r="D48" s="142"/>
      <c r="E48" s="142"/>
      <c r="F48" s="142"/>
      <c r="G48" s="142"/>
    </row>
    <row r="49" spans="1:7" x14ac:dyDescent="0.3">
      <c r="A49" s="142"/>
      <c r="B49" s="142" t="s">
        <v>8</v>
      </c>
      <c r="C49" s="142"/>
      <c r="D49" s="142"/>
      <c r="E49" s="142"/>
      <c r="F49" s="142"/>
      <c r="G49" s="142"/>
    </row>
    <row r="50" spans="1:7" x14ac:dyDescent="0.3">
      <c r="A50" s="142"/>
      <c r="B50" s="142"/>
      <c r="C50" s="142"/>
      <c r="D50" s="142"/>
      <c r="E50" s="143">
        <f>C8</f>
        <v>22176.988095238095</v>
      </c>
      <c r="F50" s="142"/>
      <c r="G50" s="142"/>
    </row>
    <row r="51" spans="1:7" x14ac:dyDescent="0.3">
      <c r="A51" s="142"/>
      <c r="B51" s="142" t="s">
        <v>32</v>
      </c>
      <c r="C51" s="142"/>
      <c r="D51" s="142">
        <f>'GL Feb24'!K11</f>
        <v>1181.25</v>
      </c>
      <c r="E51" s="142"/>
      <c r="F51" s="142"/>
      <c r="G51" s="142"/>
    </row>
    <row r="52" spans="1:7" x14ac:dyDescent="0.3">
      <c r="A52" s="142"/>
      <c r="B52" s="142" t="s">
        <v>33</v>
      </c>
      <c r="C52" s="142"/>
      <c r="D52" s="142">
        <f>'GL Feb24'!K41</f>
        <v>1749.71</v>
      </c>
      <c r="E52" s="142"/>
      <c r="F52" s="142"/>
      <c r="G52" s="142"/>
    </row>
    <row r="53" spans="1:7" x14ac:dyDescent="0.3">
      <c r="A53" s="142"/>
      <c r="B53" s="142" t="s">
        <v>34</v>
      </c>
      <c r="C53" s="142"/>
      <c r="D53" s="142">
        <f>'GL Feb24'!K42</f>
        <v>570.53</v>
      </c>
      <c r="E53" s="142"/>
      <c r="F53" s="142"/>
      <c r="G53" s="142"/>
    </row>
    <row r="54" spans="1:7" x14ac:dyDescent="0.3">
      <c r="A54" s="142"/>
      <c r="B54" s="142" t="s">
        <v>17</v>
      </c>
      <c r="C54" s="142"/>
      <c r="D54" s="142">
        <f>'GL Feb24'!K44</f>
        <v>1141.44</v>
      </c>
      <c r="E54" s="142"/>
      <c r="F54" s="143"/>
      <c r="G54" s="142"/>
    </row>
    <row r="55" spans="1:7" x14ac:dyDescent="0.3">
      <c r="A55" s="142"/>
      <c r="B55" s="142" t="s">
        <v>35</v>
      </c>
      <c r="C55" s="142"/>
      <c r="D55" s="142">
        <f>'GL Feb24'!K46</f>
        <v>18314.149999999998</v>
      </c>
      <c r="E55" s="142"/>
      <c r="F55" s="142"/>
      <c r="G55" s="142"/>
    </row>
    <row r="56" spans="1:7" x14ac:dyDescent="0.3">
      <c r="A56" s="142"/>
      <c r="B56" s="142"/>
      <c r="C56" s="142"/>
      <c r="D56" s="142"/>
      <c r="E56" s="142"/>
      <c r="F56" s="142"/>
      <c r="G56" s="142"/>
    </row>
    <row r="57" spans="1:7" x14ac:dyDescent="0.3">
      <c r="A57" s="142"/>
      <c r="B57" s="142" t="s">
        <v>36</v>
      </c>
      <c r="C57" s="142"/>
      <c r="D57" s="142">
        <v>214.29</v>
      </c>
      <c r="E57" s="142"/>
      <c r="F57" s="142"/>
      <c r="G57" s="142"/>
    </row>
    <row r="58" spans="1:7" x14ac:dyDescent="0.3">
      <c r="A58" s="142"/>
      <c r="B58" s="142" t="s">
        <v>37</v>
      </c>
      <c r="C58" s="142"/>
      <c r="D58" s="142">
        <v>-1141.44</v>
      </c>
      <c r="E58" s="142"/>
      <c r="F58" s="142"/>
      <c r="G58" s="142"/>
    </row>
    <row r="59" spans="1:7" x14ac:dyDescent="0.3">
      <c r="A59" s="142"/>
      <c r="B59" s="142" t="s">
        <v>38</v>
      </c>
      <c r="C59" s="142"/>
      <c r="D59" s="142">
        <v>-758.18</v>
      </c>
      <c r="E59" s="142" t="s">
        <v>39</v>
      </c>
      <c r="F59" s="142"/>
      <c r="G59" s="142"/>
    </row>
    <row r="60" spans="1:7" x14ac:dyDescent="0.3">
      <c r="A60" s="142"/>
      <c r="B60" s="142" t="s">
        <v>22</v>
      </c>
      <c r="C60" s="142"/>
      <c r="D60" s="142">
        <v>-6.9</v>
      </c>
      <c r="E60" s="142" t="s">
        <v>40</v>
      </c>
      <c r="F60" s="142"/>
      <c r="G60" s="142"/>
    </row>
    <row r="61" spans="1:7" x14ac:dyDescent="0.3">
      <c r="A61" s="142"/>
      <c r="B61" s="142" t="s">
        <v>23</v>
      </c>
      <c r="C61" s="142"/>
      <c r="D61" s="142">
        <v>0.48</v>
      </c>
      <c r="E61" s="142" t="s">
        <v>41</v>
      </c>
      <c r="F61" s="142"/>
      <c r="G61" s="142"/>
    </row>
    <row r="62" spans="1:7" x14ac:dyDescent="0.3">
      <c r="A62" s="142"/>
      <c r="B62" s="142" t="s">
        <v>42</v>
      </c>
      <c r="C62" s="142"/>
      <c r="D62" s="142">
        <v>0.01</v>
      </c>
      <c r="E62" s="142" t="s">
        <v>43</v>
      </c>
      <c r="F62" s="142"/>
      <c r="G62" s="142"/>
    </row>
    <row r="63" spans="1:7" x14ac:dyDescent="0.3">
      <c r="A63" s="142"/>
      <c r="B63" s="142" t="s">
        <v>44</v>
      </c>
      <c r="C63" s="142"/>
      <c r="D63" s="142">
        <v>150.31</v>
      </c>
      <c r="E63" s="142"/>
      <c r="F63" s="142"/>
      <c r="G63" s="142"/>
    </row>
    <row r="64" spans="1:7" x14ac:dyDescent="0.3">
      <c r="A64" s="142"/>
      <c r="B64" s="142" t="s">
        <v>19</v>
      </c>
      <c r="C64" s="142"/>
      <c r="D64" s="142">
        <v>-410.56</v>
      </c>
      <c r="E64" s="142" t="s">
        <v>45</v>
      </c>
      <c r="F64" s="142"/>
      <c r="G64" s="142"/>
    </row>
    <row r="65" spans="1:7" x14ac:dyDescent="0.3">
      <c r="A65" s="142"/>
      <c r="B65" s="142" t="s">
        <v>25</v>
      </c>
      <c r="C65" s="142"/>
      <c r="D65" s="142">
        <v>141.27000000000001</v>
      </c>
      <c r="E65" s="142"/>
      <c r="F65" s="142"/>
      <c r="G65" s="142"/>
    </row>
    <row r="66" spans="1:7" x14ac:dyDescent="0.3">
      <c r="A66" s="142"/>
      <c r="B66" s="142"/>
      <c r="C66" s="142"/>
      <c r="D66" s="142"/>
      <c r="E66" s="142"/>
      <c r="F66" s="142"/>
      <c r="G66" s="142"/>
    </row>
    <row r="67" spans="1:7" x14ac:dyDescent="0.3">
      <c r="A67" s="142"/>
      <c r="B67" s="142"/>
      <c r="C67" s="142"/>
      <c r="D67" s="142"/>
      <c r="E67" s="142"/>
      <c r="F67" s="142"/>
      <c r="G67" s="142"/>
    </row>
    <row r="68" spans="1:7" x14ac:dyDescent="0.3">
      <c r="A68" s="142"/>
      <c r="B68" s="142"/>
      <c r="C68" s="142"/>
      <c r="D68" s="144">
        <f>SUM(D45:D67)</f>
        <v>638233.89</v>
      </c>
      <c r="E68" s="143">
        <f>SUM(E45:E67)</f>
        <v>682915.48809523811</v>
      </c>
      <c r="F68" s="142"/>
      <c r="G68" s="142"/>
    </row>
    <row r="69" spans="1:7" x14ac:dyDescent="0.3">
      <c r="A69" s="142"/>
      <c r="B69" s="142"/>
      <c r="C69" s="142"/>
      <c r="D69" s="143">
        <f>E68-D68</f>
        <v>44681.598095238092</v>
      </c>
      <c r="E69" s="142"/>
      <c r="F69" s="142"/>
      <c r="G69" s="142"/>
    </row>
    <row r="70" spans="1:7" x14ac:dyDescent="0.3">
      <c r="A70" s="142"/>
      <c r="B70" s="142"/>
      <c r="C70" s="142"/>
      <c r="D70" s="142"/>
      <c r="E70" s="142"/>
      <c r="F70" s="142"/>
      <c r="G70" s="142"/>
    </row>
    <row r="71" spans="1:7" x14ac:dyDescent="0.3">
      <c r="A71" s="142"/>
      <c r="B71" s="142"/>
      <c r="C71" s="142" t="s">
        <v>46</v>
      </c>
      <c r="D71" s="142"/>
      <c r="E71" s="142"/>
      <c r="F71" s="142"/>
      <c r="G71" s="142"/>
    </row>
    <row r="72" spans="1:7" x14ac:dyDescent="0.3">
      <c r="A72" s="142"/>
      <c r="B72" s="142"/>
      <c r="C72" s="142" t="s">
        <v>47</v>
      </c>
      <c r="D72" s="142" t="s">
        <v>48</v>
      </c>
      <c r="E72" s="142" t="s">
        <v>49</v>
      </c>
      <c r="F72" s="142"/>
      <c r="G72" s="142"/>
    </row>
    <row r="73" spans="1:7" ht="14.5" x14ac:dyDescent="0.35">
      <c r="A73" s="142" t="s">
        <v>50</v>
      </c>
      <c r="B73" s="145" t="s">
        <v>51</v>
      </c>
      <c r="C73" s="142">
        <v>5165.1899999999996</v>
      </c>
      <c r="D73" s="143">
        <f>'AEY Disbursements'!G63</f>
        <v>5165.2</v>
      </c>
      <c r="E73" s="143">
        <f>D73-C73</f>
        <v>1.0000000000218279E-2</v>
      </c>
      <c r="F73" s="142" t="s">
        <v>43</v>
      </c>
      <c r="G73" s="142"/>
    </row>
    <row r="74" spans="1:7" ht="14.5" x14ac:dyDescent="0.35">
      <c r="A74" s="142" t="s">
        <v>52</v>
      </c>
      <c r="B74" s="145" t="s">
        <v>53</v>
      </c>
      <c r="C74" s="142">
        <v>383.09</v>
      </c>
      <c r="D74" s="143">
        <f>'AEY Disbursements'!G61</f>
        <v>376.19</v>
      </c>
      <c r="E74" s="143">
        <f t="shared" ref="E74:E77" si="0">D74-C74</f>
        <v>-6.8999999999999773</v>
      </c>
      <c r="F74" s="142" t="s">
        <v>40</v>
      </c>
      <c r="G74" s="142"/>
    </row>
    <row r="75" spans="1:7" ht="14.5" x14ac:dyDescent="0.35">
      <c r="A75" s="142" t="s">
        <v>52</v>
      </c>
      <c r="B75" s="145" t="s">
        <v>54</v>
      </c>
      <c r="C75" s="142">
        <v>758.18</v>
      </c>
      <c r="D75" s="142">
        <v>0</v>
      </c>
      <c r="E75" s="143">
        <f t="shared" si="0"/>
        <v>-758.18</v>
      </c>
      <c r="F75" s="142" t="s">
        <v>39</v>
      </c>
      <c r="G75" s="142"/>
    </row>
    <row r="76" spans="1:7" ht="14.5" x14ac:dyDescent="0.35">
      <c r="A76" s="142" t="s">
        <v>52</v>
      </c>
      <c r="B76" s="145" t="s">
        <v>55</v>
      </c>
      <c r="C76" s="142">
        <v>94.8</v>
      </c>
      <c r="D76" s="143">
        <f>'AEY Disbursements'!G62</f>
        <v>94.8</v>
      </c>
      <c r="E76" s="143">
        <f t="shared" si="0"/>
        <v>0</v>
      </c>
      <c r="F76" s="142"/>
      <c r="G76" s="142"/>
    </row>
    <row r="77" spans="1:7" ht="14.5" x14ac:dyDescent="0.35">
      <c r="A77" s="142" t="s">
        <v>52</v>
      </c>
      <c r="B77" s="145" t="s">
        <v>56</v>
      </c>
      <c r="C77" s="142">
        <v>769.25</v>
      </c>
      <c r="D77" s="143">
        <f>'AEY Disbursements'!G59</f>
        <v>769.73</v>
      </c>
      <c r="E77" s="143">
        <f t="shared" si="0"/>
        <v>0.48000000000001819</v>
      </c>
      <c r="F77" s="142" t="s">
        <v>41</v>
      </c>
      <c r="G77" s="142"/>
    </row>
    <row r="78" spans="1:7" x14ac:dyDescent="0.3">
      <c r="A78" s="142"/>
      <c r="B78" s="142"/>
      <c r="C78" s="142"/>
      <c r="D78" s="142"/>
      <c r="E78" s="142"/>
      <c r="F78" s="142"/>
      <c r="G78" s="142"/>
    </row>
    <row r="79" spans="1:7" x14ac:dyDescent="0.3">
      <c r="A79" s="142"/>
      <c r="B79" s="142"/>
      <c r="C79" s="142" t="s">
        <v>57</v>
      </c>
      <c r="D79" s="142"/>
      <c r="E79" s="142"/>
      <c r="F79" s="142"/>
      <c r="G79" s="142"/>
    </row>
    <row r="80" spans="1:7" x14ac:dyDescent="0.3">
      <c r="A80" s="142"/>
      <c r="B80" s="142"/>
      <c r="C80" s="142" t="s">
        <v>47</v>
      </c>
      <c r="D80" s="142" t="s">
        <v>48</v>
      </c>
      <c r="E80" s="142" t="s">
        <v>49</v>
      </c>
      <c r="F80" s="142"/>
      <c r="G80" s="142"/>
    </row>
    <row r="81" spans="1:7" x14ac:dyDescent="0.3">
      <c r="A81" s="142"/>
      <c r="B81" s="142" t="s">
        <v>58</v>
      </c>
      <c r="C81" s="142">
        <v>3182.75</v>
      </c>
      <c r="D81" s="143">
        <f>SUM('AEY Disbursements'!G15:G21)+SUM('AEY Disbursements'!G23:G26)</f>
        <v>3186.51</v>
      </c>
      <c r="E81" s="142">
        <f>D81-C81</f>
        <v>3.7600000000002183</v>
      </c>
      <c r="F81" s="142"/>
      <c r="G81" s="142"/>
    </row>
    <row r="82" spans="1:7" x14ac:dyDescent="0.3">
      <c r="A82" s="142"/>
      <c r="B82" s="142" t="s">
        <v>50</v>
      </c>
      <c r="C82" s="142">
        <v>410.56</v>
      </c>
      <c r="D82" s="142">
        <v>0</v>
      </c>
      <c r="E82" s="142">
        <f>D82-C82</f>
        <v>-410.56</v>
      </c>
      <c r="F82" s="142" t="s">
        <v>45</v>
      </c>
      <c r="G82" s="142"/>
    </row>
    <row r="83" spans="1:7" x14ac:dyDescent="0.3">
      <c r="A83" s="142"/>
      <c r="B83" s="142" t="s">
        <v>59</v>
      </c>
      <c r="C83" s="142">
        <v>2177.2600000000002</v>
      </c>
      <c r="D83" s="142"/>
      <c r="E83" s="142">
        <f t="shared" ref="E83:E85" si="1">D83-C83</f>
        <v>-2177.2600000000002</v>
      </c>
      <c r="F83" s="142"/>
      <c r="G83" s="142"/>
    </row>
    <row r="84" spans="1:7" x14ac:dyDescent="0.3">
      <c r="A84" s="142"/>
      <c r="B84" s="142" t="s">
        <v>52</v>
      </c>
      <c r="C84" s="142">
        <v>5330.22</v>
      </c>
      <c r="D84" s="143">
        <f>SUM('AEY Disbursements'!G51:G57)+'AEY Disbursements'!G50+SUM('AEY Disbursements'!G43:G49)+'AEY Disbursements'!G42+SUM('AEY Disbursements'!G36:G41)+'AEY Disbursements'!G35</f>
        <v>7654.0280952380945</v>
      </c>
      <c r="E84" s="142">
        <f t="shared" si="1"/>
        <v>2323.8080952380942</v>
      </c>
      <c r="F84" s="142">
        <f>+E84+E83</f>
        <v>146.54809523809399</v>
      </c>
      <c r="G84" s="142"/>
    </row>
    <row r="85" spans="1:7" x14ac:dyDescent="0.3">
      <c r="A85" s="142"/>
      <c r="B85" s="142" t="s">
        <v>60</v>
      </c>
      <c r="C85" s="142">
        <v>42.85</v>
      </c>
      <c r="D85" s="143">
        <f>'AEY Disbursements'!G58</f>
        <v>42.849999999999994</v>
      </c>
      <c r="E85" s="142">
        <f t="shared" si="1"/>
        <v>0</v>
      </c>
      <c r="F85" s="142"/>
      <c r="G85" s="142"/>
    </row>
    <row r="86" spans="1:7" x14ac:dyDescent="0.3">
      <c r="A86" s="142"/>
      <c r="B86" s="142"/>
      <c r="C86" s="142">
        <v>11143.639999999996</v>
      </c>
      <c r="D86" s="142"/>
      <c r="E86" s="142"/>
      <c r="F86" s="142"/>
      <c r="G86" s="142"/>
    </row>
    <row r="87" spans="1:7" x14ac:dyDescent="0.3">
      <c r="A87" s="142"/>
      <c r="B87" s="142"/>
      <c r="C87" s="142"/>
      <c r="D87" s="142"/>
      <c r="E87" s="142">
        <f>SUM(E81:E85)</f>
        <v>-260.25190476190573</v>
      </c>
      <c r="F87" s="142"/>
      <c r="G87" s="142"/>
    </row>
    <row r="88" spans="1:7" x14ac:dyDescent="0.3">
      <c r="A88" s="142"/>
      <c r="B88" s="142"/>
      <c r="C88" s="142"/>
      <c r="D88" s="142"/>
      <c r="E88" s="142"/>
      <c r="F88" s="142"/>
      <c r="G88" s="142"/>
    </row>
    <row r="89" spans="1:7" x14ac:dyDescent="0.3">
      <c r="A89" s="142"/>
      <c r="B89" s="142"/>
      <c r="C89" s="142"/>
      <c r="D89" s="142"/>
      <c r="E89" s="142"/>
      <c r="F89" s="142"/>
      <c r="G89" s="142"/>
    </row>
    <row r="90" spans="1:7" x14ac:dyDescent="0.3">
      <c r="A90" s="142"/>
      <c r="B90" s="142"/>
      <c r="C90" s="142"/>
      <c r="D90" s="142"/>
      <c r="E90" s="142"/>
      <c r="F90" s="142"/>
      <c r="G90" s="142"/>
    </row>
    <row r="91" spans="1:7" x14ac:dyDescent="0.3">
      <c r="A91" s="142"/>
      <c r="B91" s="142"/>
      <c r="C91" s="142"/>
      <c r="D91" s="142"/>
      <c r="E91" s="142"/>
      <c r="F91" s="142"/>
      <c r="G91" s="142"/>
    </row>
  </sheetData>
  <mergeCells count="1">
    <mergeCell ref="B2:E2"/>
  </mergeCells>
  <phoneticPr fontId="20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1AE0A-9748-4293-A25A-19F18642EABB}">
  <sheetPr>
    <pageSetUpPr fitToPage="1"/>
  </sheetPr>
  <dimension ref="B1:V115"/>
  <sheetViews>
    <sheetView showOutlineSymbols="0" showWhiteSpace="0" topLeftCell="N47" zoomScale="88" zoomScaleNormal="88" workbookViewId="0">
      <selection activeCell="N34" sqref="N34"/>
    </sheetView>
    <sheetView topLeftCell="A42" workbookViewId="1">
      <selection activeCell="C15" sqref="A1:XFD1048576"/>
    </sheetView>
  </sheetViews>
  <sheetFormatPr defaultColWidth="9.1796875" defaultRowHeight="14.5" x14ac:dyDescent="0.35"/>
  <cols>
    <col min="1" max="1" width="4.7265625" customWidth="1"/>
    <col min="2" max="2" width="22.26953125" customWidth="1"/>
    <col min="3" max="3" width="10.453125" bestFit="1" customWidth="1"/>
    <col min="4" max="4" width="7.54296875" bestFit="1" customWidth="1"/>
    <col min="5" max="5" width="12.26953125" style="273" customWidth="1"/>
    <col min="6" max="6" width="24.453125" customWidth="1"/>
    <col min="7" max="7" width="10" customWidth="1"/>
    <col min="8" max="8" width="8.54296875" bestFit="1" customWidth="1"/>
    <col min="9" max="9" width="13" customWidth="1"/>
    <col min="10" max="10" width="10.7265625" customWidth="1"/>
    <col min="11" max="11" width="14.26953125" customWidth="1"/>
    <col min="12" max="12" width="11.81640625" customWidth="1"/>
    <col min="13" max="14" width="13.1796875" customWidth="1"/>
    <col min="15" max="15" width="13.81640625" customWidth="1"/>
    <col min="16" max="16" width="20.1796875" customWidth="1"/>
    <col min="17" max="17" width="18.26953125" customWidth="1"/>
    <col min="18" max="18" width="11.54296875" customWidth="1"/>
    <col min="19" max="19" width="20.1796875" customWidth="1"/>
    <col min="20" max="20" width="10.7265625" hidden="1" customWidth="1"/>
    <col min="21" max="21" width="12.453125" hidden="1" customWidth="1"/>
    <col min="22" max="22" width="12.54296875" hidden="1" customWidth="1"/>
    <col min="23" max="24" width="12.54296875" customWidth="1"/>
    <col min="25" max="25" width="19.453125" customWidth="1"/>
    <col min="26" max="33" width="11.81640625" customWidth="1"/>
  </cols>
  <sheetData>
    <row r="1" spans="2:21" s="192" customFormat="1" ht="15.5" x14ac:dyDescent="0.35">
      <c r="B1" s="193" t="s">
        <v>195</v>
      </c>
      <c r="E1" s="72"/>
      <c r="F1" s="194"/>
    </row>
    <row r="2" spans="2:21" s="192" customFormat="1" ht="15.65" customHeight="1" x14ac:dyDescent="0.35">
      <c r="B2" s="608" t="s">
        <v>486</v>
      </c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</row>
    <row r="3" spans="2:21" s="192" customFormat="1" ht="15.5" x14ac:dyDescent="0.35">
      <c r="B3" s="608" t="s">
        <v>487</v>
      </c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</row>
    <row r="4" spans="2:21" s="192" customFormat="1" ht="15.5" x14ac:dyDescent="0.35"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608"/>
      <c r="P4" s="608"/>
      <c r="Q4" s="608"/>
      <c r="R4" s="608"/>
      <c r="S4" s="608"/>
    </row>
    <row r="5" spans="2:21" s="192" customFormat="1" ht="15.5" x14ac:dyDescent="0.35">
      <c r="B5" s="608" t="s">
        <v>278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608"/>
      <c r="Q5" s="608"/>
      <c r="R5" s="608"/>
      <c r="S5" s="608"/>
    </row>
    <row r="6" spans="2:21" s="192" customFormat="1" ht="15.5" x14ac:dyDescent="0.35">
      <c r="B6" s="193" t="s">
        <v>551</v>
      </c>
      <c r="E6" s="72"/>
    </row>
    <row r="7" spans="2:21" s="18" customFormat="1" ht="13" customHeight="1" x14ac:dyDescent="0.3">
      <c r="E7" s="272"/>
      <c r="K7" s="609" t="s">
        <v>279</v>
      </c>
      <c r="L7" s="609"/>
      <c r="M7" s="609"/>
      <c r="N7" s="609" t="s">
        <v>280</v>
      </c>
      <c r="O7" s="609"/>
      <c r="P7" s="609"/>
      <c r="Q7" s="609"/>
      <c r="R7" s="609"/>
      <c r="S7" s="609"/>
    </row>
    <row r="8" spans="2:21" s="185" customFormat="1" ht="26" x14ac:dyDescent="0.35">
      <c r="B8" s="68" t="s">
        <v>197</v>
      </c>
      <c r="C8" s="68" t="s">
        <v>198</v>
      </c>
      <c r="D8" s="68" t="s">
        <v>199</v>
      </c>
      <c r="E8" s="68" t="s">
        <v>200</v>
      </c>
      <c r="F8" s="68" t="s">
        <v>201</v>
      </c>
      <c r="G8" s="68" t="s">
        <v>202</v>
      </c>
      <c r="H8" s="68" t="s">
        <v>203</v>
      </c>
      <c r="I8" s="68" t="s">
        <v>204</v>
      </c>
      <c r="J8" s="68" t="s">
        <v>205</v>
      </c>
      <c r="K8" s="68" t="s">
        <v>2</v>
      </c>
      <c r="L8" s="68" t="s">
        <v>121</v>
      </c>
      <c r="M8" s="68" t="s">
        <v>9</v>
      </c>
      <c r="N8" s="68" t="s">
        <v>281</v>
      </c>
      <c r="O8" s="68" t="s">
        <v>282</v>
      </c>
      <c r="P8" s="68" t="s">
        <v>256</v>
      </c>
      <c r="Q8" s="68" t="s">
        <v>208</v>
      </c>
      <c r="R8" s="68" t="s">
        <v>121</v>
      </c>
      <c r="S8" s="68" t="s">
        <v>257</v>
      </c>
    </row>
    <row r="9" spans="2:21" s="18" customFormat="1" ht="13" customHeight="1" x14ac:dyDescent="0.3">
      <c r="B9" s="2"/>
      <c r="C9" s="2"/>
      <c r="D9" s="2"/>
      <c r="E9" s="26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21" s="18" customFormat="1" ht="13" customHeight="1" x14ac:dyDescent="0.3">
      <c r="B10" s="2" t="s">
        <v>210</v>
      </c>
      <c r="C10" s="9" t="s">
        <v>283</v>
      </c>
      <c r="D10" s="10">
        <v>2023</v>
      </c>
      <c r="E10" s="278">
        <v>16890</v>
      </c>
      <c r="F10" s="10" t="s">
        <v>284</v>
      </c>
      <c r="G10" s="18">
        <v>1989</v>
      </c>
      <c r="H10" s="4">
        <f>D10-G10</f>
        <v>34</v>
      </c>
      <c r="I10" s="12">
        <v>4</v>
      </c>
      <c r="J10" s="12">
        <v>540</v>
      </c>
      <c r="K10" s="8">
        <f>J10*I10</f>
        <v>2160</v>
      </c>
      <c r="L10" s="8">
        <f>K10*0.05</f>
        <v>108</v>
      </c>
      <c r="M10" s="8">
        <f t="shared" ref="M10" si="0">K10+L10</f>
        <v>2268</v>
      </c>
      <c r="N10" s="8">
        <f>($N$12/$K$12)*K10</f>
        <v>2921.8316129032255</v>
      </c>
      <c r="O10" s="12">
        <f>'YUB Scale of Costs'!D18</f>
        <v>270</v>
      </c>
      <c r="P10" s="8">
        <f>N10</f>
        <v>2921.8316129032255</v>
      </c>
      <c r="Q10" s="8">
        <f>I10*O10</f>
        <v>1080</v>
      </c>
      <c r="R10" s="8">
        <f t="shared" ref="R10" si="1">L10</f>
        <v>108</v>
      </c>
      <c r="S10" s="8">
        <f>N10-Q10</f>
        <v>1841.8316129032255</v>
      </c>
    </row>
    <row r="11" spans="2:21" s="18" customFormat="1" ht="13" customHeight="1" x14ac:dyDescent="0.3">
      <c r="B11" s="2"/>
      <c r="C11" s="9"/>
      <c r="D11" s="10">
        <v>2023</v>
      </c>
      <c r="E11" s="272"/>
      <c r="F11" s="10" t="s">
        <v>285</v>
      </c>
      <c r="G11" s="18">
        <v>2019</v>
      </c>
      <c r="H11" s="4">
        <f>D11-G11</f>
        <v>4</v>
      </c>
      <c r="I11" s="12">
        <v>22.5</v>
      </c>
      <c r="J11" s="12">
        <v>400</v>
      </c>
      <c r="K11" s="8">
        <f>J11*I11</f>
        <v>9000</v>
      </c>
      <c r="L11" s="8">
        <f>K11*0.05</f>
        <v>450</v>
      </c>
      <c r="M11" s="8">
        <f t="shared" ref="M11" si="2">K11+L11</f>
        <v>9450</v>
      </c>
      <c r="N11" s="8">
        <f>($N$12/$K$12)*K11</f>
        <v>12174.298387096773</v>
      </c>
      <c r="O11" s="12">
        <f>'YUB Scale of Costs'!D15</f>
        <v>120</v>
      </c>
      <c r="P11" s="8">
        <f>N11</f>
        <v>12174.298387096773</v>
      </c>
      <c r="Q11" s="8">
        <f>I11*O11</f>
        <v>2700</v>
      </c>
      <c r="R11" s="8">
        <f t="shared" ref="R11" si="3">L11</f>
        <v>450</v>
      </c>
      <c r="S11" s="8">
        <f>N11-Q11</f>
        <v>9474.2983870967728</v>
      </c>
    </row>
    <row r="12" spans="2:21" s="18" customFormat="1" ht="13" customHeight="1" x14ac:dyDescent="0.3">
      <c r="B12" s="2"/>
      <c r="C12" s="186"/>
      <c r="E12" s="272"/>
      <c r="G12" s="3"/>
      <c r="H12" s="3"/>
      <c r="I12" s="12"/>
      <c r="J12" s="3"/>
      <c r="K12" s="7">
        <f>SUM(K10:K11)</f>
        <v>11160</v>
      </c>
      <c r="L12" s="7">
        <f t="shared" ref="L12:M12" si="4">SUM(L10:L11)</f>
        <v>558</v>
      </c>
      <c r="M12" s="7">
        <f t="shared" si="4"/>
        <v>11718</v>
      </c>
      <c r="N12" s="7">
        <v>15096.13</v>
      </c>
      <c r="O12" s="67"/>
      <c r="P12" s="7">
        <f t="shared" ref="P12" si="5">SUM(P10:P11)</f>
        <v>15096.129999999997</v>
      </c>
      <c r="Q12" s="7">
        <f t="shared" ref="Q12" si="6">SUM(Q10:Q11)</f>
        <v>3780</v>
      </c>
      <c r="R12" s="7">
        <f>N12*0.05</f>
        <v>754.80650000000003</v>
      </c>
      <c r="S12" s="7">
        <f t="shared" ref="S12" si="7">SUM(S10:S11)</f>
        <v>11316.129999999997</v>
      </c>
      <c r="U12" s="19">
        <f>+K12</f>
        <v>11160</v>
      </c>
    </row>
    <row r="13" spans="2:21" s="18" customFormat="1" ht="13" customHeight="1" x14ac:dyDescent="0.25">
      <c r="E13" s="272"/>
      <c r="I13" s="12"/>
    </row>
    <row r="14" spans="2:21" s="18" customFormat="1" ht="13" customHeight="1" x14ac:dyDescent="0.3">
      <c r="B14" s="2" t="s">
        <v>210</v>
      </c>
      <c r="C14" s="9" t="s">
        <v>286</v>
      </c>
      <c r="D14" s="10">
        <v>2023</v>
      </c>
      <c r="E14" s="278">
        <v>16972</v>
      </c>
      <c r="F14" s="10" t="s">
        <v>287</v>
      </c>
      <c r="G14" s="10">
        <v>1987</v>
      </c>
      <c r="H14" s="4">
        <f>D14-G14</f>
        <v>36</v>
      </c>
      <c r="I14" s="12">
        <v>2.25</v>
      </c>
      <c r="J14" s="8">
        <v>735</v>
      </c>
      <c r="K14" s="8">
        <f>J14*I14</f>
        <v>1653.75</v>
      </c>
      <c r="L14" s="8">
        <f>K14*0.05</f>
        <v>82.6875</v>
      </c>
      <c r="M14" s="12">
        <f t="shared" ref="M14:M16" si="8">K14+L14</f>
        <v>1736.4375</v>
      </c>
      <c r="N14" s="8">
        <f>($N$17/$K$17)*K14</f>
        <v>2237.0277216916779</v>
      </c>
      <c r="O14" s="12">
        <f>'YUB Scale of Costs'!D18</f>
        <v>270</v>
      </c>
      <c r="P14" s="8">
        <f t="shared" ref="P14:P16" si="9">N14</f>
        <v>2237.0277216916779</v>
      </c>
      <c r="Q14" s="8">
        <f>I14*O14</f>
        <v>607.5</v>
      </c>
      <c r="R14" s="8">
        <f t="shared" ref="R14:R16" si="10">N14*0.05</f>
        <v>111.85138608458391</v>
      </c>
      <c r="S14" s="8">
        <f t="shared" ref="S14:S16" si="11">N14-Q14</f>
        <v>1629.5277216916779</v>
      </c>
    </row>
    <row r="15" spans="2:21" s="18" customFormat="1" ht="13" customHeight="1" x14ac:dyDescent="0.3">
      <c r="B15" s="2"/>
      <c r="C15" s="9"/>
      <c r="D15" s="10">
        <v>2023</v>
      </c>
      <c r="E15" s="278"/>
      <c r="F15" s="10" t="s">
        <v>284</v>
      </c>
      <c r="G15" s="18">
        <f>G10</f>
        <v>1989</v>
      </c>
      <c r="H15" s="4">
        <f>D15-G15</f>
        <v>34</v>
      </c>
      <c r="I15" s="12">
        <v>4</v>
      </c>
      <c r="J15" s="12">
        <v>540</v>
      </c>
      <c r="K15" s="8">
        <f>J15*I15</f>
        <v>2160</v>
      </c>
      <c r="L15" s="8">
        <f>K15*0.05</f>
        <v>108</v>
      </c>
      <c r="M15" s="8">
        <f t="shared" si="8"/>
        <v>2268</v>
      </c>
      <c r="N15" s="8">
        <f t="shared" ref="N15:N16" si="12">($N$17/$K$17)*K15</f>
        <v>2921.8321262911713</v>
      </c>
      <c r="O15" s="12">
        <f>O10</f>
        <v>270</v>
      </c>
      <c r="P15" s="8">
        <f t="shared" si="9"/>
        <v>2921.8321262911713</v>
      </c>
      <c r="Q15" s="8">
        <f>I15*O15</f>
        <v>1080</v>
      </c>
      <c r="R15" s="8">
        <f t="shared" si="10"/>
        <v>146.09160631455856</v>
      </c>
      <c r="S15" s="8">
        <f t="shared" si="11"/>
        <v>1841.8321262911713</v>
      </c>
    </row>
    <row r="16" spans="2:21" s="18" customFormat="1" ht="13" customHeight="1" x14ac:dyDescent="0.3">
      <c r="B16" s="2"/>
      <c r="C16" s="9"/>
      <c r="D16" s="10">
        <v>2023</v>
      </c>
      <c r="E16" s="278"/>
      <c r="F16" s="10" t="s">
        <v>285</v>
      </c>
      <c r="G16" s="18">
        <f>G11</f>
        <v>2019</v>
      </c>
      <c r="H16" s="4">
        <v>4</v>
      </c>
      <c r="I16" s="12">
        <v>6.5</v>
      </c>
      <c r="J16" s="12">
        <v>400</v>
      </c>
      <c r="K16" s="8">
        <f>J16*I16</f>
        <v>2600</v>
      </c>
      <c r="L16" s="8">
        <f>K16*0.05</f>
        <v>130</v>
      </c>
      <c r="M16" s="8">
        <f t="shared" si="8"/>
        <v>2730</v>
      </c>
      <c r="N16" s="8">
        <f t="shared" si="12"/>
        <v>3517.0201520171504</v>
      </c>
      <c r="O16" s="12">
        <f>O11</f>
        <v>120</v>
      </c>
      <c r="P16" s="8">
        <f t="shared" si="9"/>
        <v>3517.0201520171504</v>
      </c>
      <c r="Q16" s="8">
        <f>I16*O16</f>
        <v>780</v>
      </c>
      <c r="R16" s="8">
        <f t="shared" si="10"/>
        <v>175.85100760085754</v>
      </c>
      <c r="S16" s="8">
        <f t="shared" si="11"/>
        <v>2737.0201520171504</v>
      </c>
    </row>
    <row r="17" spans="2:21" s="18" customFormat="1" ht="13" customHeight="1" x14ac:dyDescent="0.3">
      <c r="B17" s="2"/>
      <c r="C17" s="9"/>
      <c r="D17" s="10"/>
      <c r="E17" s="278"/>
      <c r="F17" s="10"/>
      <c r="H17" s="4"/>
      <c r="I17" s="12"/>
      <c r="J17" s="8"/>
      <c r="K17" s="7">
        <f>SUM(K14:K16)</f>
        <v>6413.75</v>
      </c>
      <c r="L17" s="7">
        <f t="shared" ref="L17:M17" si="13">SUM(L14:L16)</f>
        <v>320.6875</v>
      </c>
      <c r="M17" s="7">
        <f t="shared" si="13"/>
        <v>6734.4375</v>
      </c>
      <c r="N17" s="7">
        <v>8675.8799999999992</v>
      </c>
      <c r="O17" s="7"/>
      <c r="P17" s="7">
        <f>SUM(P14:P16)</f>
        <v>8675.8799999999992</v>
      </c>
      <c r="Q17" s="7">
        <f t="shared" ref="Q17" si="14">SUM(Q14:Q16)</f>
        <v>2467.5</v>
      </c>
      <c r="R17" s="7">
        <f t="shared" ref="R17" si="15">SUM(R14:R16)</f>
        <v>433.79399999999998</v>
      </c>
      <c r="S17" s="7">
        <f>SUM(S14:S16)</f>
        <v>6208.3799999999992</v>
      </c>
      <c r="U17" s="19">
        <f>+U12+K17</f>
        <v>17573.75</v>
      </c>
    </row>
    <row r="18" spans="2:21" s="18" customFormat="1" ht="13" customHeight="1" x14ac:dyDescent="0.3">
      <c r="B18" s="2"/>
      <c r="C18" s="186"/>
      <c r="E18" s="272"/>
      <c r="F18" s="2"/>
      <c r="G18" s="3"/>
      <c r="H18" s="3"/>
      <c r="I18" s="12"/>
      <c r="J18" s="3"/>
      <c r="K18" s="12"/>
      <c r="L18" s="12"/>
      <c r="M18" s="12"/>
      <c r="N18" s="12"/>
      <c r="O18" s="12"/>
      <c r="P18" s="12"/>
      <c r="Q18" s="12"/>
      <c r="R18" s="12"/>
      <c r="S18" s="12"/>
    </row>
    <row r="19" spans="2:21" s="18" customFormat="1" ht="13" customHeight="1" x14ac:dyDescent="0.3">
      <c r="B19" s="2" t="s">
        <v>210</v>
      </c>
      <c r="C19" s="9" t="s">
        <v>288</v>
      </c>
      <c r="D19" s="10">
        <v>2023</v>
      </c>
      <c r="E19" s="278">
        <v>17084</v>
      </c>
      <c r="F19" s="10" t="s">
        <v>284</v>
      </c>
      <c r="G19" s="18">
        <f>G10</f>
        <v>1989</v>
      </c>
      <c r="H19" s="4">
        <f>D19-G19</f>
        <v>34</v>
      </c>
      <c r="I19" s="12">
        <v>16.25</v>
      </c>
      <c r="J19" s="12">
        <v>540</v>
      </c>
      <c r="K19" s="8">
        <f>J19*I19</f>
        <v>8775</v>
      </c>
      <c r="L19" s="8">
        <f>K19*0.05</f>
        <v>438.75</v>
      </c>
      <c r="M19" s="8">
        <f t="shared" ref="M19:M20" si="16">K19+L19</f>
        <v>9213.75</v>
      </c>
      <c r="N19" s="8">
        <f>($N$21/$K$21)*K19</f>
        <v>11869.940859813083</v>
      </c>
      <c r="O19" s="12">
        <f>O10</f>
        <v>270</v>
      </c>
      <c r="P19" s="8">
        <f t="shared" ref="P19:P20" si="17">N19</f>
        <v>11869.940859813083</v>
      </c>
      <c r="Q19" s="8">
        <f>I19*O19</f>
        <v>4387.5</v>
      </c>
      <c r="R19" s="8">
        <f t="shared" ref="R19:R20" si="18">N19*0.05</f>
        <v>593.49704299065422</v>
      </c>
      <c r="S19" s="8">
        <f t="shared" ref="S19:S20" si="19">N19-Q19</f>
        <v>7482.4408598130831</v>
      </c>
    </row>
    <row r="20" spans="2:21" s="18" customFormat="1" ht="13" customHeight="1" x14ac:dyDescent="0.3">
      <c r="B20" s="2"/>
      <c r="C20" s="9"/>
      <c r="D20" s="10">
        <v>2023</v>
      </c>
      <c r="E20" s="278"/>
      <c r="F20" s="10" t="s">
        <v>285</v>
      </c>
      <c r="G20" s="18">
        <f>G11</f>
        <v>2019</v>
      </c>
      <c r="H20" s="4">
        <f>D20-G20</f>
        <v>4</v>
      </c>
      <c r="I20" s="12">
        <v>11.5</v>
      </c>
      <c r="J20" s="12">
        <v>400</v>
      </c>
      <c r="K20" s="8">
        <f>J20*I20</f>
        <v>4600</v>
      </c>
      <c r="L20" s="8">
        <f>K20*0.05</f>
        <v>230</v>
      </c>
      <c r="M20" s="8">
        <f t="shared" si="16"/>
        <v>4830</v>
      </c>
      <c r="N20" s="8">
        <f>($N$21/$K$21)*K20</f>
        <v>6222.4191401869157</v>
      </c>
      <c r="O20" s="12">
        <f>O11</f>
        <v>120</v>
      </c>
      <c r="P20" s="8">
        <f t="shared" si="17"/>
        <v>6222.4191401869157</v>
      </c>
      <c r="Q20" s="8">
        <f>I20*O20</f>
        <v>1380</v>
      </c>
      <c r="R20" s="8">
        <f t="shared" si="18"/>
        <v>311.12095700934583</v>
      </c>
      <c r="S20" s="8">
        <f t="shared" si="19"/>
        <v>4842.4191401869157</v>
      </c>
    </row>
    <row r="21" spans="2:21" s="18" customFormat="1" ht="13" customHeight="1" x14ac:dyDescent="0.3">
      <c r="B21" s="2"/>
      <c r="C21" s="9"/>
      <c r="D21" s="10"/>
      <c r="E21" s="278"/>
      <c r="G21" s="3"/>
      <c r="H21" s="3"/>
      <c r="I21" s="12"/>
      <c r="J21" s="3"/>
      <c r="K21" s="7">
        <f>SUM(K19:K20)</f>
        <v>13375</v>
      </c>
      <c r="L21" s="7">
        <f t="shared" ref="L21" si="20">SUM(L19:L20)</f>
        <v>668.75</v>
      </c>
      <c r="M21" s="7">
        <f t="shared" ref="M21" si="21">SUM(M19:M20)</f>
        <v>14043.75</v>
      </c>
      <c r="N21" s="7">
        <v>18092.36</v>
      </c>
      <c r="O21" s="7"/>
      <c r="P21" s="7">
        <f t="shared" ref="P21" si="22">SUM(P19:P20)</f>
        <v>18092.36</v>
      </c>
      <c r="Q21" s="7">
        <f t="shared" ref="Q21" si="23">SUM(Q19:Q20)</f>
        <v>5767.5</v>
      </c>
      <c r="R21" s="7">
        <f t="shared" ref="R21" si="24">SUM(R19:R20)</f>
        <v>904.61800000000005</v>
      </c>
      <c r="S21" s="7">
        <f t="shared" ref="S21" si="25">SUM(S19:S20)</f>
        <v>12324.859999999999</v>
      </c>
      <c r="U21" s="19">
        <f>+U17+K21</f>
        <v>30948.75</v>
      </c>
    </row>
    <row r="22" spans="2:21" s="18" customFormat="1" ht="13" customHeight="1" x14ac:dyDescent="0.3">
      <c r="B22" s="2"/>
      <c r="C22" s="9"/>
      <c r="D22" s="10"/>
      <c r="E22" s="278"/>
      <c r="F22" s="10"/>
      <c r="H22" s="4"/>
      <c r="I22" s="12"/>
      <c r="J22" s="8"/>
      <c r="K22" s="8"/>
      <c r="L22" s="8"/>
      <c r="M22" s="12"/>
      <c r="N22" s="12"/>
      <c r="O22" s="8"/>
      <c r="P22" s="8"/>
      <c r="Q22" s="12"/>
      <c r="R22" s="8"/>
      <c r="S22" s="8"/>
    </row>
    <row r="23" spans="2:21" s="18" customFormat="1" ht="13" customHeight="1" x14ac:dyDescent="0.3">
      <c r="B23" s="2" t="s">
        <v>210</v>
      </c>
      <c r="C23" s="9" t="s">
        <v>289</v>
      </c>
      <c r="D23" s="10">
        <v>2023</v>
      </c>
      <c r="E23" s="278">
        <v>17184</v>
      </c>
      <c r="F23" s="10" t="s">
        <v>287</v>
      </c>
      <c r="G23" s="10">
        <f>G14</f>
        <v>1987</v>
      </c>
      <c r="H23" s="4">
        <f>D23-G23</f>
        <v>36</v>
      </c>
      <c r="I23" s="12">
        <v>1</v>
      </c>
      <c r="J23" s="12">
        <v>735</v>
      </c>
      <c r="K23" s="12">
        <f>J23*I23</f>
        <v>735</v>
      </c>
      <c r="L23" s="12">
        <f>K23*0.05</f>
        <v>36.75</v>
      </c>
      <c r="M23" s="12">
        <f t="shared" ref="M23:M25" si="26">K23+L23</f>
        <v>771.75</v>
      </c>
      <c r="N23" s="8">
        <f>($N$27/$K$27)*K23</f>
        <v>994.23450000000003</v>
      </c>
      <c r="O23" s="12">
        <f>O14</f>
        <v>270</v>
      </c>
      <c r="P23" s="8">
        <f t="shared" ref="P23:P26" si="27">N23</f>
        <v>994.23450000000003</v>
      </c>
      <c r="Q23" s="12">
        <f>I23*O23</f>
        <v>270</v>
      </c>
      <c r="R23" s="8">
        <f t="shared" ref="R23:R26" si="28">N23*0.05</f>
        <v>49.711725000000001</v>
      </c>
      <c r="S23" s="8">
        <f t="shared" ref="S23:S26" si="29">N23-Q23</f>
        <v>724.23450000000003</v>
      </c>
    </row>
    <row r="24" spans="2:21" s="18" customFormat="1" ht="13" customHeight="1" x14ac:dyDescent="0.3">
      <c r="B24" s="2"/>
      <c r="C24" s="9"/>
      <c r="D24" s="10">
        <v>2023</v>
      </c>
      <c r="E24" s="278"/>
      <c r="F24" s="10" t="s">
        <v>284</v>
      </c>
      <c r="G24" s="18">
        <f>G19</f>
        <v>1989</v>
      </c>
      <c r="H24" s="4">
        <f>D24-G24</f>
        <v>34</v>
      </c>
      <c r="I24" s="12">
        <v>12</v>
      </c>
      <c r="J24" s="12">
        <v>540</v>
      </c>
      <c r="K24" s="12">
        <f>J24*I24</f>
        <v>6480</v>
      </c>
      <c r="L24" s="12">
        <f>K24*0.05</f>
        <v>324</v>
      </c>
      <c r="M24" s="12">
        <f t="shared" si="26"/>
        <v>6804</v>
      </c>
      <c r="N24" s="8">
        <f t="shared" ref="N24:N26" si="30">($N$27/$K$27)*K24</f>
        <v>8765.4959999999992</v>
      </c>
      <c r="O24" s="12">
        <f>O19</f>
        <v>270</v>
      </c>
      <c r="P24" s="8">
        <f t="shared" si="27"/>
        <v>8765.4959999999992</v>
      </c>
      <c r="Q24" s="12">
        <f>I24*O24</f>
        <v>3240</v>
      </c>
      <c r="R24" s="8">
        <f t="shared" si="28"/>
        <v>438.27479999999997</v>
      </c>
      <c r="S24" s="8">
        <f t="shared" si="29"/>
        <v>5525.4959999999992</v>
      </c>
    </row>
    <row r="25" spans="2:21" s="18" customFormat="1" ht="13" customHeight="1" x14ac:dyDescent="0.3">
      <c r="B25" s="2"/>
      <c r="C25" s="9"/>
      <c r="D25" s="10">
        <v>2023</v>
      </c>
      <c r="E25" s="278"/>
      <c r="F25" s="10" t="s">
        <v>285</v>
      </c>
      <c r="G25" s="18">
        <f>G20</f>
        <v>2019</v>
      </c>
      <c r="H25" s="4">
        <f t="shared" ref="H25" si="31">D25-G25</f>
        <v>4</v>
      </c>
      <c r="I25" s="12">
        <v>8.5</v>
      </c>
      <c r="J25" s="12">
        <v>400</v>
      </c>
      <c r="K25" s="12">
        <f>J25*I25</f>
        <v>3400</v>
      </c>
      <c r="L25" s="12">
        <f>K25*0.05</f>
        <v>170</v>
      </c>
      <c r="M25" s="12">
        <f t="shared" si="26"/>
        <v>3570</v>
      </c>
      <c r="N25" s="8">
        <f t="shared" si="30"/>
        <v>4599.18</v>
      </c>
      <c r="O25" s="12">
        <f>O20</f>
        <v>120</v>
      </c>
      <c r="P25" s="8">
        <f t="shared" si="27"/>
        <v>4599.18</v>
      </c>
      <c r="Q25" s="12">
        <f>I25*O25</f>
        <v>1020</v>
      </c>
      <c r="R25" s="8">
        <f t="shared" si="28"/>
        <v>229.95900000000003</v>
      </c>
      <c r="S25" s="8">
        <f t="shared" si="29"/>
        <v>3579.1800000000003</v>
      </c>
    </row>
    <row r="26" spans="2:21" s="18" customFormat="1" ht="13" customHeight="1" x14ac:dyDescent="0.3">
      <c r="B26" s="2"/>
      <c r="C26" s="9"/>
      <c r="D26" s="10">
        <v>2023</v>
      </c>
      <c r="E26" s="278"/>
      <c r="F26" s="10" t="s">
        <v>290</v>
      </c>
      <c r="G26" s="10" t="s">
        <v>165</v>
      </c>
      <c r="H26" s="4"/>
      <c r="I26" s="12">
        <v>1</v>
      </c>
      <c r="J26" s="8">
        <v>85</v>
      </c>
      <c r="K26" s="12">
        <f>J26*I26</f>
        <v>85</v>
      </c>
      <c r="L26" s="12">
        <f>K26*0.05</f>
        <v>4.25</v>
      </c>
      <c r="M26" s="12">
        <f t="shared" ref="M26" si="32">K26+L26</f>
        <v>89.25</v>
      </c>
      <c r="N26" s="8">
        <f t="shared" si="30"/>
        <v>114.9795</v>
      </c>
      <c r="O26" s="12">
        <f>'YUB Scale of Costs'!D19</f>
        <v>45</v>
      </c>
      <c r="P26" s="8">
        <f t="shared" si="27"/>
        <v>114.9795</v>
      </c>
      <c r="Q26" s="12">
        <f>I26*O26</f>
        <v>45</v>
      </c>
      <c r="R26" s="8">
        <f t="shared" si="28"/>
        <v>5.7489750000000006</v>
      </c>
      <c r="S26" s="8">
        <f t="shared" si="29"/>
        <v>69.979500000000002</v>
      </c>
    </row>
    <row r="27" spans="2:21" s="18" customFormat="1" ht="13" customHeight="1" x14ac:dyDescent="0.3">
      <c r="B27" s="2"/>
      <c r="C27" s="9"/>
      <c r="D27" s="10"/>
      <c r="E27" s="278"/>
      <c r="F27" s="10"/>
      <c r="H27" s="4"/>
      <c r="I27" s="12"/>
      <c r="J27" s="8"/>
      <c r="K27" s="7">
        <f>SUM(K23:K26)</f>
        <v>10700</v>
      </c>
      <c r="L27" s="7">
        <f t="shared" ref="L27:M27" si="33">SUM(L23:L26)</f>
        <v>535</v>
      </c>
      <c r="M27" s="7">
        <f t="shared" si="33"/>
        <v>11235</v>
      </c>
      <c r="N27" s="7">
        <v>14473.89</v>
      </c>
      <c r="O27" s="7"/>
      <c r="P27" s="7">
        <f>SUM(P23:P26)</f>
        <v>14473.89</v>
      </c>
      <c r="Q27" s="7">
        <f t="shared" ref="Q27" si="34">SUM(Q23:Q26)</f>
        <v>4575</v>
      </c>
      <c r="R27" s="7">
        <f t="shared" ref="R27" si="35">SUM(R23:R26)</f>
        <v>723.69449999999995</v>
      </c>
      <c r="S27" s="7">
        <f>SUM(S23:S26)</f>
        <v>9898.89</v>
      </c>
      <c r="U27" s="19">
        <f>+U21+K27</f>
        <v>41648.75</v>
      </c>
    </row>
    <row r="28" spans="2:21" s="18" customFormat="1" ht="13" customHeight="1" x14ac:dyDescent="0.3">
      <c r="B28" s="2"/>
      <c r="C28" s="9"/>
      <c r="D28" s="10"/>
      <c r="E28" s="278"/>
      <c r="F28" s="10"/>
      <c r="H28" s="4"/>
      <c r="I28" s="12"/>
      <c r="J28" s="8"/>
      <c r="K28" s="8"/>
      <c r="L28" s="8"/>
      <c r="M28" s="12"/>
      <c r="N28" s="12"/>
      <c r="O28" s="8"/>
      <c r="P28" s="8"/>
      <c r="Q28" s="12"/>
      <c r="R28" s="8"/>
      <c r="S28" s="8"/>
    </row>
    <row r="29" spans="2:21" s="18" customFormat="1" ht="13" customHeight="1" x14ac:dyDescent="0.3">
      <c r="B29" s="2" t="s">
        <v>210</v>
      </c>
      <c r="C29" s="9" t="s">
        <v>291</v>
      </c>
      <c r="D29" s="10">
        <v>2023</v>
      </c>
      <c r="E29" s="278">
        <v>17305</v>
      </c>
      <c r="F29" s="10" t="s">
        <v>287</v>
      </c>
      <c r="G29" s="10">
        <f>G23</f>
        <v>1987</v>
      </c>
      <c r="H29" s="4">
        <f>D29-G29</f>
        <v>36</v>
      </c>
      <c r="I29" s="12">
        <v>3</v>
      </c>
      <c r="J29" s="12">
        <v>735</v>
      </c>
      <c r="K29" s="12">
        <f>J29*I29</f>
        <v>2205</v>
      </c>
      <c r="L29" s="12">
        <f>K29*0.05</f>
        <v>110.25</v>
      </c>
      <c r="M29" s="12">
        <f t="shared" ref="M29:M32" si="36">K29+L29</f>
        <v>2315.25</v>
      </c>
      <c r="N29" s="8">
        <f>($N$33/$K$33)*K29</f>
        <v>2971.6777061546377</v>
      </c>
      <c r="O29" s="12">
        <f>O23</f>
        <v>270</v>
      </c>
      <c r="P29" s="8">
        <f t="shared" ref="P29:P32" si="37">N29</f>
        <v>2971.6777061546377</v>
      </c>
      <c r="Q29" s="12">
        <f>I29*O29</f>
        <v>810</v>
      </c>
      <c r="R29" s="8">
        <f t="shared" ref="R29:R32" si="38">N29*0.05</f>
        <v>148.58388530773189</v>
      </c>
      <c r="S29" s="8">
        <f t="shared" ref="S29:S32" si="39">N29-Q29</f>
        <v>2161.6777061546377</v>
      </c>
    </row>
    <row r="30" spans="2:21" s="18" customFormat="1" ht="13" customHeight="1" x14ac:dyDescent="0.3">
      <c r="B30" s="2"/>
      <c r="C30" s="9"/>
      <c r="D30" s="10">
        <v>2023</v>
      </c>
      <c r="E30" s="278"/>
      <c r="F30" s="10" t="s">
        <v>284</v>
      </c>
      <c r="G30" s="10">
        <f t="shared" ref="G30:G31" si="40">G24</f>
        <v>1989</v>
      </c>
      <c r="H30" s="4">
        <f>D30-G30</f>
        <v>34</v>
      </c>
      <c r="I30" s="12">
        <v>17.5</v>
      </c>
      <c r="J30" s="12">
        <v>540</v>
      </c>
      <c r="K30" s="12">
        <f>J30*I30</f>
        <v>9450</v>
      </c>
      <c r="L30" s="12">
        <f>K30*0.05</f>
        <v>472.5</v>
      </c>
      <c r="M30" s="12">
        <f t="shared" si="36"/>
        <v>9922.5</v>
      </c>
      <c r="N30" s="8">
        <f t="shared" ref="N30:N32" si="41">($N$33/$K$33)*K30</f>
        <v>12735.761597805589</v>
      </c>
      <c r="O30" s="12">
        <f t="shared" ref="O30:O32" si="42">O24</f>
        <v>270</v>
      </c>
      <c r="P30" s="8">
        <f t="shared" si="37"/>
        <v>12735.761597805589</v>
      </c>
      <c r="Q30" s="12">
        <f>I30*O30</f>
        <v>4725</v>
      </c>
      <c r="R30" s="8">
        <f t="shared" si="38"/>
        <v>636.7880798902795</v>
      </c>
      <c r="S30" s="8">
        <f t="shared" si="39"/>
        <v>8010.7615978055892</v>
      </c>
    </row>
    <row r="31" spans="2:21" s="18" customFormat="1" ht="13" customHeight="1" x14ac:dyDescent="0.3">
      <c r="B31" s="2"/>
      <c r="C31" s="9"/>
      <c r="D31" s="10">
        <v>2023</v>
      </c>
      <c r="E31" s="278"/>
      <c r="F31" s="10" t="s">
        <v>285</v>
      </c>
      <c r="G31" s="10">
        <f t="shared" si="40"/>
        <v>2019</v>
      </c>
      <c r="H31" s="4">
        <f>D31-G31</f>
        <v>4</v>
      </c>
      <c r="I31" s="12">
        <v>7</v>
      </c>
      <c r="J31" s="12">
        <v>400</v>
      </c>
      <c r="K31" s="12">
        <f>J31*I31</f>
        <v>2800</v>
      </c>
      <c r="L31" s="12">
        <f>K31*0.05</f>
        <v>140</v>
      </c>
      <c r="M31" s="12">
        <f t="shared" si="36"/>
        <v>2940</v>
      </c>
      <c r="N31" s="8">
        <f t="shared" si="41"/>
        <v>3773.5589919423969</v>
      </c>
      <c r="O31" s="12">
        <f t="shared" si="42"/>
        <v>120</v>
      </c>
      <c r="P31" s="8">
        <f t="shared" si="37"/>
        <v>3773.5589919423969</v>
      </c>
      <c r="Q31" s="12">
        <f>I31*O31</f>
        <v>840</v>
      </c>
      <c r="R31" s="8">
        <f t="shared" si="38"/>
        <v>188.67794959711986</v>
      </c>
      <c r="S31" s="8">
        <f t="shared" si="39"/>
        <v>2933.5589919423969</v>
      </c>
    </row>
    <row r="32" spans="2:21" s="18" customFormat="1" ht="13" customHeight="1" x14ac:dyDescent="0.3">
      <c r="B32" s="2"/>
      <c r="C32" s="9"/>
      <c r="D32" s="10">
        <v>2023</v>
      </c>
      <c r="E32" s="278"/>
      <c r="F32" s="10" t="s">
        <v>290</v>
      </c>
      <c r="G32" s="10" t="s">
        <v>165</v>
      </c>
      <c r="H32" s="4"/>
      <c r="I32" s="12">
        <v>1.5</v>
      </c>
      <c r="J32" s="8">
        <v>85</v>
      </c>
      <c r="K32" s="12">
        <f>J32*I32</f>
        <v>127.5</v>
      </c>
      <c r="L32" s="12">
        <f>K32*0.05</f>
        <v>6.375</v>
      </c>
      <c r="M32" s="12">
        <f t="shared" si="36"/>
        <v>133.875</v>
      </c>
      <c r="N32" s="8">
        <f t="shared" si="41"/>
        <v>171.83170409737698</v>
      </c>
      <c r="O32" s="12">
        <f t="shared" si="42"/>
        <v>45</v>
      </c>
      <c r="P32" s="8">
        <f t="shared" si="37"/>
        <v>171.83170409737698</v>
      </c>
      <c r="Q32" s="12">
        <f>I32*O32</f>
        <v>67.5</v>
      </c>
      <c r="R32" s="8">
        <f t="shared" si="38"/>
        <v>8.5915852048688492</v>
      </c>
      <c r="S32" s="8">
        <f t="shared" si="39"/>
        <v>104.33170409737698</v>
      </c>
    </row>
    <row r="33" spans="2:22" s="18" customFormat="1" ht="13" customHeight="1" x14ac:dyDescent="0.3">
      <c r="B33" s="2"/>
      <c r="C33" s="9"/>
      <c r="D33" s="10"/>
      <c r="E33" s="278"/>
      <c r="F33" s="10"/>
      <c r="H33" s="4"/>
      <c r="I33" s="12"/>
      <c r="J33" s="8"/>
      <c r="K33" s="7">
        <f>SUM(K29:K32)</f>
        <v>14582.5</v>
      </c>
      <c r="L33" s="7">
        <f t="shared" ref="L33" si="43">SUM(L29:L32)</f>
        <v>729.125</v>
      </c>
      <c r="M33" s="7">
        <f t="shared" ref="M33" si="44">SUM(M29:M32)</f>
        <v>15311.625</v>
      </c>
      <c r="N33" s="7">
        <v>19652.830000000002</v>
      </c>
      <c r="O33" s="7"/>
      <c r="P33" s="7">
        <f>SUM(P29:P32)</f>
        <v>19652.830000000002</v>
      </c>
      <c r="Q33" s="7">
        <f t="shared" ref="Q33" si="45">SUM(Q29:Q32)</f>
        <v>6442.5</v>
      </c>
      <c r="R33" s="7">
        <f t="shared" ref="R33" si="46">SUM(R29:R32)</f>
        <v>982.64150000000006</v>
      </c>
      <c r="S33" s="7">
        <f>SUM(S29:S32)</f>
        <v>13210.33</v>
      </c>
      <c r="U33" s="19">
        <f>+U27+K33</f>
        <v>56231.25</v>
      </c>
      <c r="V33" s="19"/>
    </row>
    <row r="34" spans="2:22" s="18" customFormat="1" ht="13" customHeight="1" x14ac:dyDescent="0.3">
      <c r="B34" s="2"/>
      <c r="C34" s="9"/>
      <c r="D34" s="10"/>
      <c r="E34" s="278"/>
      <c r="F34" s="10"/>
      <c r="H34" s="4"/>
      <c r="I34" s="12"/>
      <c r="J34" s="8"/>
      <c r="K34" s="8"/>
      <c r="L34" s="8"/>
      <c r="M34" s="8"/>
      <c r="N34" s="8"/>
      <c r="O34" s="8"/>
      <c r="P34" s="8"/>
      <c r="Q34" s="8"/>
      <c r="R34" s="8"/>
      <c r="S34" s="8"/>
      <c r="U34" s="19"/>
      <c r="V34" s="19"/>
    </row>
    <row r="35" spans="2:22" s="18" customFormat="1" ht="13" customHeight="1" x14ac:dyDescent="0.3">
      <c r="B35" s="2" t="s">
        <v>210</v>
      </c>
      <c r="C35" s="9" t="s">
        <v>292</v>
      </c>
      <c r="D35" s="10">
        <v>2023</v>
      </c>
      <c r="E35" s="278">
        <v>17373</v>
      </c>
      <c r="F35" s="10" t="s">
        <v>284</v>
      </c>
      <c r="G35" s="18">
        <f>G23</f>
        <v>1987</v>
      </c>
      <c r="H35" s="4">
        <f>D35-G35</f>
        <v>36</v>
      </c>
      <c r="I35" s="12">
        <v>1</v>
      </c>
      <c r="J35" s="12">
        <v>540</v>
      </c>
      <c r="K35" s="12">
        <f>J35*I35</f>
        <v>540</v>
      </c>
      <c r="L35" s="12">
        <f>K35*0.05</f>
        <v>27</v>
      </c>
      <c r="M35" s="12">
        <f t="shared" ref="M35" si="47">K35+L35</f>
        <v>567</v>
      </c>
      <c r="N35" s="12">
        <f>($N$36/$K$36)*K35</f>
        <v>746.28</v>
      </c>
      <c r="O35" s="12">
        <f>O10</f>
        <v>270</v>
      </c>
      <c r="P35" s="8">
        <f t="shared" ref="P35" si="48">N35</f>
        <v>746.28</v>
      </c>
      <c r="Q35" s="8">
        <f>I35*O35</f>
        <v>270</v>
      </c>
      <c r="R35" s="8">
        <f t="shared" ref="R35" si="49">N35*0.05</f>
        <v>37.314</v>
      </c>
      <c r="S35" s="8">
        <f t="shared" ref="S35" si="50">N35-Q35</f>
        <v>476.28</v>
      </c>
      <c r="U35" s="19"/>
      <c r="V35" s="19"/>
    </row>
    <row r="36" spans="2:22" s="18" customFormat="1" ht="13" customHeight="1" x14ac:dyDescent="0.3">
      <c r="B36" s="2"/>
      <c r="C36" s="9"/>
      <c r="D36" s="10"/>
      <c r="E36" s="278"/>
      <c r="G36" s="3"/>
      <c r="H36" s="3"/>
      <c r="I36" s="12"/>
      <c r="J36" s="3"/>
      <c r="K36" s="7">
        <f>SUM(K35:K35)</f>
        <v>540</v>
      </c>
      <c r="L36" s="7">
        <f>SUM(L35:L35)</f>
        <v>27</v>
      </c>
      <c r="M36" s="7">
        <f>SUM(M35:M35)</f>
        <v>567</v>
      </c>
      <c r="N36" s="67">
        <v>746.28</v>
      </c>
      <c r="O36" s="7"/>
      <c r="P36" s="7">
        <f>SUM(P35:P35)</f>
        <v>746.28</v>
      </c>
      <c r="Q36" s="7">
        <f>SUM(Q35:Q35)</f>
        <v>270</v>
      </c>
      <c r="R36" s="7">
        <f>SUM(R35:R35)</f>
        <v>37.314</v>
      </c>
      <c r="S36" s="7">
        <f>SUM(S35:S35)</f>
        <v>476.28</v>
      </c>
      <c r="U36" s="19">
        <f>K36+U33</f>
        <v>56771.25</v>
      </c>
      <c r="V36" s="19"/>
    </row>
    <row r="37" spans="2:22" s="18" customFormat="1" ht="13" customHeight="1" x14ac:dyDescent="0.3">
      <c r="B37" s="2"/>
      <c r="C37" s="186"/>
      <c r="E37" s="272"/>
      <c r="F37" s="2"/>
      <c r="G37" s="3"/>
      <c r="H37" s="3"/>
      <c r="I37" s="12"/>
      <c r="J37" s="3"/>
      <c r="K37" s="12"/>
      <c r="L37" s="12"/>
      <c r="M37" s="12"/>
      <c r="N37" s="12"/>
      <c r="O37" s="12"/>
      <c r="P37" s="12"/>
      <c r="Q37" s="12"/>
      <c r="R37" s="12"/>
      <c r="S37" s="12"/>
      <c r="U37" s="19"/>
      <c r="V37" s="19"/>
    </row>
    <row r="38" spans="2:22" s="18" customFormat="1" ht="13" customHeight="1" x14ac:dyDescent="0.3">
      <c r="B38" s="2" t="s">
        <v>210</v>
      </c>
      <c r="C38" s="9" t="s">
        <v>293</v>
      </c>
      <c r="D38" s="10">
        <v>2023</v>
      </c>
      <c r="E38" s="278">
        <v>17575</v>
      </c>
      <c r="F38" s="10" t="s">
        <v>284</v>
      </c>
      <c r="G38" s="18">
        <f>G19</f>
        <v>1989</v>
      </c>
      <c r="H38" s="4">
        <f>D38-G38</f>
        <v>34</v>
      </c>
      <c r="I38" s="12">
        <v>22.5</v>
      </c>
      <c r="J38" s="12">
        <v>540</v>
      </c>
      <c r="K38" s="8">
        <f>J38*I38</f>
        <v>12150</v>
      </c>
      <c r="L38" s="8">
        <f>K38*0.05</f>
        <v>607.5</v>
      </c>
      <c r="M38" s="8">
        <f t="shared" ref="M38:M39" si="51">K38+L38</f>
        <v>12757.5</v>
      </c>
      <c r="N38" s="8">
        <f>($N$40/$K$40)*K38</f>
        <v>16374.557956204382</v>
      </c>
      <c r="O38" s="12">
        <f>O30</f>
        <v>270</v>
      </c>
      <c r="P38" s="8">
        <f t="shared" ref="P38:P39" si="52">N38</f>
        <v>16374.557956204382</v>
      </c>
      <c r="Q38" s="8">
        <f>I38*O38</f>
        <v>6075</v>
      </c>
      <c r="R38" s="8">
        <f t="shared" ref="R38:R39" si="53">N38*0.05</f>
        <v>818.72789781021913</v>
      </c>
      <c r="S38" s="8">
        <f t="shared" ref="S38:S39" si="54">N38-Q38</f>
        <v>10299.557956204382</v>
      </c>
    </row>
    <row r="39" spans="2:22" s="18" customFormat="1" ht="13" customHeight="1" x14ac:dyDescent="0.3">
      <c r="B39" s="2"/>
      <c r="C39" s="9"/>
      <c r="D39" s="10">
        <v>2023</v>
      </c>
      <c r="E39" s="278"/>
      <c r="F39" s="10" t="s">
        <v>285</v>
      </c>
      <c r="G39" s="18">
        <f>G20</f>
        <v>2019</v>
      </c>
      <c r="H39" s="4">
        <f>D39-G39</f>
        <v>4</v>
      </c>
      <c r="I39" s="12">
        <v>21</v>
      </c>
      <c r="J39" s="12">
        <v>400</v>
      </c>
      <c r="K39" s="8">
        <f>J39*I39</f>
        <v>8400</v>
      </c>
      <c r="L39" s="8">
        <f>K39*0.05</f>
        <v>420</v>
      </c>
      <c r="M39" s="8">
        <f t="shared" si="51"/>
        <v>8820</v>
      </c>
      <c r="N39" s="8">
        <f>($N$40/$K$40)*K39</f>
        <v>11320.682043795621</v>
      </c>
      <c r="O39" s="12">
        <f>O11</f>
        <v>120</v>
      </c>
      <c r="P39" s="8">
        <f t="shared" si="52"/>
        <v>11320.682043795621</v>
      </c>
      <c r="Q39" s="8">
        <f>I39*O39</f>
        <v>2520</v>
      </c>
      <c r="R39" s="8">
        <f t="shared" si="53"/>
        <v>566.03410218978104</v>
      </c>
      <c r="S39" s="8">
        <f t="shared" si="54"/>
        <v>8800.6820437956212</v>
      </c>
    </row>
    <row r="40" spans="2:22" s="18" customFormat="1" ht="13" customHeight="1" x14ac:dyDescent="0.3">
      <c r="B40" s="2"/>
      <c r="C40" s="9"/>
      <c r="D40" s="10"/>
      <c r="E40" s="278"/>
      <c r="G40" s="3"/>
      <c r="H40" s="3"/>
      <c r="I40" s="12"/>
      <c r="J40" s="3"/>
      <c r="K40" s="7">
        <f>SUM(K38:K39)</f>
        <v>20550</v>
      </c>
      <c r="L40" s="7">
        <f t="shared" ref="L40" si="55">SUM(L38:L39)</f>
        <v>1027.5</v>
      </c>
      <c r="M40" s="7">
        <f t="shared" ref="M40" si="56">SUM(M38:M39)</f>
        <v>21577.5</v>
      </c>
      <c r="N40" s="67">
        <v>27695.24</v>
      </c>
      <c r="O40" s="7"/>
      <c r="P40" s="7">
        <f t="shared" ref="P40" si="57">SUM(P38:P39)</f>
        <v>27695.240000000005</v>
      </c>
      <c r="Q40" s="7">
        <f t="shared" ref="Q40" si="58">SUM(Q38:Q39)</f>
        <v>8595</v>
      </c>
      <c r="R40" s="7">
        <f t="shared" ref="R40" si="59">SUM(R38:R39)</f>
        <v>1384.7620000000002</v>
      </c>
      <c r="S40" s="7">
        <f t="shared" ref="S40" si="60">SUM(S38:S39)</f>
        <v>19100.240000000005</v>
      </c>
      <c r="U40" s="19">
        <f>K40+U36</f>
        <v>77321.25</v>
      </c>
    </row>
    <row r="41" spans="2:22" s="18" customFormat="1" ht="13" customHeight="1" x14ac:dyDescent="0.3">
      <c r="B41" s="2"/>
      <c r="C41" s="9"/>
      <c r="D41" s="10"/>
      <c r="E41" s="278"/>
      <c r="G41" s="3"/>
      <c r="H41" s="3"/>
      <c r="I41" s="12"/>
      <c r="J41" s="3"/>
      <c r="K41" s="8"/>
      <c r="L41" s="8"/>
      <c r="M41" s="8"/>
      <c r="N41" s="8"/>
      <c r="O41" s="8"/>
      <c r="P41" s="8"/>
      <c r="Q41" s="8"/>
      <c r="R41" s="8"/>
      <c r="S41" s="8"/>
      <c r="U41" s="19"/>
    </row>
    <row r="42" spans="2:22" s="18" customFormat="1" ht="13" customHeight="1" x14ac:dyDescent="0.3">
      <c r="B42" s="2" t="s">
        <v>210</v>
      </c>
      <c r="C42" s="9" t="s">
        <v>294</v>
      </c>
      <c r="D42" s="10">
        <v>2023</v>
      </c>
      <c r="E42" s="278">
        <v>17734</v>
      </c>
      <c r="F42" s="10" t="s">
        <v>287</v>
      </c>
      <c r="G42" s="18">
        <f>G23</f>
        <v>1987</v>
      </c>
      <c r="H42" s="4">
        <f>D42-G42</f>
        <v>36</v>
      </c>
      <c r="I42" s="12">
        <v>3</v>
      </c>
      <c r="J42" s="12">
        <v>735</v>
      </c>
      <c r="K42" s="8">
        <f>J42*I42</f>
        <v>2205</v>
      </c>
      <c r="L42" s="8">
        <f>K42*0.05</f>
        <v>110.25</v>
      </c>
      <c r="M42" s="8">
        <f t="shared" ref="M42:M44" si="61">K42+L42</f>
        <v>2315.25</v>
      </c>
      <c r="N42" s="8">
        <f>($N$45/$K$45)*K42</f>
        <v>2915.6702233250617</v>
      </c>
      <c r="O42" s="12">
        <f>O14</f>
        <v>270</v>
      </c>
      <c r="P42" s="8">
        <f t="shared" ref="P42:P44" si="62">N42</f>
        <v>2915.6702233250617</v>
      </c>
      <c r="Q42" s="8">
        <f>I42*O42</f>
        <v>810</v>
      </c>
      <c r="R42" s="8">
        <f t="shared" ref="R42:R44" si="63">N42*0.05</f>
        <v>145.78351116625308</v>
      </c>
      <c r="S42" s="8">
        <f t="shared" ref="S42:S44" si="64">N42-Q42</f>
        <v>2105.6702233250617</v>
      </c>
      <c r="U42" s="19"/>
    </row>
    <row r="43" spans="2:22" s="18" customFormat="1" ht="13" customHeight="1" x14ac:dyDescent="0.3">
      <c r="B43" s="2"/>
      <c r="C43" s="9"/>
      <c r="D43" s="10">
        <v>2023</v>
      </c>
      <c r="E43" s="278"/>
      <c r="F43" s="10" t="s">
        <v>284</v>
      </c>
      <c r="G43" s="18">
        <v>1989</v>
      </c>
      <c r="H43" s="4">
        <f>D43-G43</f>
        <v>34</v>
      </c>
      <c r="I43" s="12">
        <v>6</v>
      </c>
      <c r="J43" s="12">
        <v>540</v>
      </c>
      <c r="K43" s="8">
        <f>J43*I43</f>
        <v>3240</v>
      </c>
      <c r="L43" s="8">
        <f>K43*0.05</f>
        <v>162</v>
      </c>
      <c r="M43" s="8">
        <f t="shared" ref="M43" si="65">K43+L43</f>
        <v>3402</v>
      </c>
      <c r="N43" s="8">
        <f t="shared" ref="N43:N44" si="66">($N$45/$K$45)*K43</f>
        <v>4284.2501240694783</v>
      </c>
      <c r="O43" s="12">
        <f>O14</f>
        <v>270</v>
      </c>
      <c r="P43" s="8">
        <f t="shared" ref="P43" si="67">N43</f>
        <v>4284.2501240694783</v>
      </c>
      <c r="Q43" s="8">
        <f>I43*O43</f>
        <v>1620</v>
      </c>
      <c r="R43" s="8">
        <f t="shared" ref="R43" si="68">N43*0.05</f>
        <v>214.21250620347394</v>
      </c>
      <c r="S43" s="8">
        <f t="shared" ref="S43" si="69">N43-Q43</f>
        <v>2664.2501240694783</v>
      </c>
      <c r="U43" s="19"/>
    </row>
    <row r="44" spans="2:22" s="18" customFormat="1" ht="13" customHeight="1" x14ac:dyDescent="0.3">
      <c r="B44" s="2"/>
      <c r="C44" s="9"/>
      <c r="D44" s="10">
        <v>2023</v>
      </c>
      <c r="E44" s="278"/>
      <c r="F44" s="10" t="s">
        <v>285</v>
      </c>
      <c r="G44" s="18">
        <v>2019</v>
      </c>
      <c r="H44" s="4">
        <f>D44-G44</f>
        <v>4</v>
      </c>
      <c r="I44" s="12">
        <v>1.5</v>
      </c>
      <c r="J44" s="12">
        <v>400</v>
      </c>
      <c r="K44" s="8">
        <f>J44*I44</f>
        <v>600</v>
      </c>
      <c r="L44" s="8">
        <f>K44*0.05</f>
        <v>30</v>
      </c>
      <c r="M44" s="8">
        <f t="shared" si="61"/>
        <v>630</v>
      </c>
      <c r="N44" s="8">
        <f t="shared" si="66"/>
        <v>793.379652605459</v>
      </c>
      <c r="O44" s="12">
        <v>120</v>
      </c>
      <c r="P44" s="8">
        <f t="shared" si="62"/>
        <v>793.379652605459</v>
      </c>
      <c r="Q44" s="8">
        <f>I44*O44</f>
        <v>180</v>
      </c>
      <c r="R44" s="8">
        <f t="shared" si="63"/>
        <v>39.66898263027295</v>
      </c>
      <c r="S44" s="8">
        <f t="shared" si="64"/>
        <v>613.379652605459</v>
      </c>
      <c r="U44" s="19"/>
    </row>
    <row r="45" spans="2:22" s="18" customFormat="1" ht="13" customHeight="1" x14ac:dyDescent="0.3">
      <c r="B45" s="2"/>
      <c r="C45" s="9"/>
      <c r="D45" s="10"/>
      <c r="E45" s="278"/>
      <c r="G45" s="3"/>
      <c r="H45" s="3"/>
      <c r="I45" s="12"/>
      <c r="J45" s="3"/>
      <c r="K45" s="7">
        <f>SUM(K42:K44)</f>
        <v>6045</v>
      </c>
      <c r="L45" s="7">
        <f t="shared" ref="L45:M45" si="70">SUM(L42:L44)</f>
        <v>302.25</v>
      </c>
      <c r="M45" s="7">
        <f t="shared" si="70"/>
        <v>6347.25</v>
      </c>
      <c r="N45" s="67">
        <v>7993.3</v>
      </c>
      <c r="O45" s="7"/>
      <c r="P45" s="7">
        <f t="shared" ref="P45:S45" si="71">SUM(P42:P44)</f>
        <v>7993.2999999999993</v>
      </c>
      <c r="Q45" s="7">
        <f t="shared" si="71"/>
        <v>2610</v>
      </c>
      <c r="R45" s="7">
        <f t="shared" si="71"/>
        <v>399.66499999999996</v>
      </c>
      <c r="S45" s="7">
        <f t="shared" si="71"/>
        <v>5383.2999999999993</v>
      </c>
      <c r="U45" s="19">
        <f>K45+U40</f>
        <v>83366.25</v>
      </c>
    </row>
    <row r="46" spans="2:22" s="18" customFormat="1" ht="13" customHeight="1" x14ac:dyDescent="0.3">
      <c r="B46" s="2"/>
      <c r="C46" s="186"/>
      <c r="E46" s="272"/>
      <c r="F46" s="2"/>
      <c r="G46" s="3"/>
      <c r="H46" s="3"/>
      <c r="I46" s="12"/>
      <c r="J46" s="3"/>
      <c r="K46" s="12"/>
      <c r="L46" s="12"/>
      <c r="M46" s="12"/>
      <c r="N46" s="12"/>
      <c r="O46" s="12"/>
      <c r="P46" s="12"/>
      <c r="Q46" s="12"/>
      <c r="R46" s="12"/>
      <c r="S46" s="12"/>
    </row>
    <row r="47" spans="2:22" s="18" customFormat="1" ht="13" customHeight="1" x14ac:dyDescent="0.3">
      <c r="B47" s="2" t="s">
        <v>146</v>
      </c>
      <c r="C47" s="9" t="s">
        <v>295</v>
      </c>
      <c r="D47" s="10">
        <v>2023</v>
      </c>
      <c r="E47" s="278">
        <v>17893</v>
      </c>
      <c r="F47" s="10" t="s">
        <v>287</v>
      </c>
      <c r="G47" s="10">
        <v>1987</v>
      </c>
      <c r="H47" s="4">
        <f>D47-G47</f>
        <v>36</v>
      </c>
      <c r="I47" s="12">
        <v>2.25</v>
      </c>
      <c r="J47" s="12">
        <v>735</v>
      </c>
      <c r="K47" s="12">
        <f t="shared" ref="K47:K52" si="72">J47*I47</f>
        <v>1653.75</v>
      </c>
      <c r="L47" s="12">
        <f t="shared" ref="L47:L52" si="73">K47*0.05</f>
        <v>82.6875</v>
      </c>
      <c r="M47" s="12">
        <f t="shared" ref="M47:M50" si="74">K47+L47</f>
        <v>1736.4375</v>
      </c>
      <c r="N47" s="8">
        <f t="shared" ref="N47:N52" si="75">($N$53/$K$53)*K47</f>
        <v>2186.7537357669121</v>
      </c>
      <c r="O47" s="12">
        <v>270</v>
      </c>
      <c r="P47" s="8">
        <f t="shared" ref="P47:P52" si="76">N47</f>
        <v>2186.7537357669121</v>
      </c>
      <c r="Q47" s="12">
        <f t="shared" ref="Q47:Q52" si="77">I47*O47</f>
        <v>607.5</v>
      </c>
      <c r="R47" s="8">
        <f t="shared" ref="R47:R50" si="78">N47*0.05</f>
        <v>109.33768678834561</v>
      </c>
      <c r="S47" s="8">
        <f t="shared" ref="S47:S50" si="79">N47-Q47</f>
        <v>1579.2537357669121</v>
      </c>
    </row>
    <row r="48" spans="2:22" s="18" customFormat="1" ht="13" customHeight="1" x14ac:dyDescent="0.3">
      <c r="B48" s="2"/>
      <c r="C48" s="9"/>
      <c r="D48" s="10">
        <v>2023</v>
      </c>
      <c r="E48" s="278"/>
      <c r="F48" s="10" t="s">
        <v>284</v>
      </c>
      <c r="G48" s="10">
        <v>1989</v>
      </c>
      <c r="H48" s="4">
        <f>D48-G48</f>
        <v>34</v>
      </c>
      <c r="I48" s="12">
        <f>0.5+0.75+1+0.5+0.25+1+1.5+2+5.5+6+2</f>
        <v>21</v>
      </c>
      <c r="J48" s="12">
        <v>540</v>
      </c>
      <c r="K48" s="12">
        <f t="shared" si="72"/>
        <v>11340</v>
      </c>
      <c r="L48" s="12">
        <f t="shared" si="73"/>
        <v>567</v>
      </c>
      <c r="M48" s="12">
        <f t="shared" si="74"/>
        <v>11907</v>
      </c>
      <c r="N48" s="8">
        <f t="shared" si="75"/>
        <v>14994.88275954454</v>
      </c>
      <c r="O48" s="12">
        <v>270</v>
      </c>
      <c r="P48" s="8">
        <f t="shared" si="76"/>
        <v>14994.88275954454</v>
      </c>
      <c r="Q48" s="12">
        <f t="shared" si="77"/>
        <v>5670</v>
      </c>
      <c r="R48" s="8">
        <f t="shared" si="78"/>
        <v>749.74413797722707</v>
      </c>
      <c r="S48" s="8">
        <f t="shared" si="79"/>
        <v>9324.88275954454</v>
      </c>
    </row>
    <row r="49" spans="2:22" s="18" customFormat="1" ht="13" customHeight="1" x14ac:dyDescent="0.3">
      <c r="B49" s="2"/>
      <c r="C49" s="9"/>
      <c r="D49" s="10">
        <v>2023</v>
      </c>
      <c r="E49" s="278"/>
      <c r="F49" s="10" t="s">
        <v>285</v>
      </c>
      <c r="G49" s="10">
        <v>2019</v>
      </c>
      <c r="H49" s="4">
        <f>D49-G49</f>
        <v>4</v>
      </c>
      <c r="I49" s="12">
        <f>0.5+1+1+1+1+2.5+0.5</f>
        <v>7.5</v>
      </c>
      <c r="J49" s="12">
        <v>400</v>
      </c>
      <c r="K49" s="12">
        <f t="shared" si="72"/>
        <v>3000</v>
      </c>
      <c r="L49" s="12">
        <f t="shared" si="73"/>
        <v>150</v>
      </c>
      <c r="M49" s="12">
        <f t="shared" si="74"/>
        <v>3150</v>
      </c>
      <c r="N49" s="8">
        <f t="shared" si="75"/>
        <v>3966.9002009377091</v>
      </c>
      <c r="O49" s="12">
        <v>120</v>
      </c>
      <c r="P49" s="8">
        <f t="shared" si="76"/>
        <v>3966.9002009377091</v>
      </c>
      <c r="Q49" s="12">
        <f t="shared" si="77"/>
        <v>900</v>
      </c>
      <c r="R49" s="8">
        <f t="shared" si="78"/>
        <v>198.34501004688548</v>
      </c>
      <c r="S49" s="8">
        <f t="shared" si="79"/>
        <v>3066.9002009377091</v>
      </c>
    </row>
    <row r="50" spans="2:22" s="18" customFormat="1" ht="13" customHeight="1" x14ac:dyDescent="0.3">
      <c r="B50" s="2"/>
      <c r="C50" s="9"/>
      <c r="D50" s="10">
        <v>2023</v>
      </c>
      <c r="E50" s="278"/>
      <c r="F50" s="10" t="s">
        <v>290</v>
      </c>
      <c r="G50" s="10" t="s">
        <v>165</v>
      </c>
      <c r="H50" s="4"/>
      <c r="I50" s="12">
        <f>0.5+1+1</f>
        <v>2.5</v>
      </c>
      <c r="J50" s="8">
        <v>85</v>
      </c>
      <c r="K50" s="12">
        <f t="shared" si="72"/>
        <v>212.5</v>
      </c>
      <c r="L50" s="12">
        <f t="shared" si="73"/>
        <v>10.625</v>
      </c>
      <c r="M50" s="12">
        <f t="shared" si="74"/>
        <v>223.125</v>
      </c>
      <c r="N50" s="8">
        <f t="shared" si="75"/>
        <v>280.98876423308775</v>
      </c>
      <c r="O50" s="12">
        <v>45</v>
      </c>
      <c r="P50" s="8">
        <f t="shared" si="76"/>
        <v>280.98876423308775</v>
      </c>
      <c r="Q50" s="12">
        <f t="shared" si="77"/>
        <v>112.5</v>
      </c>
      <c r="R50" s="8">
        <f t="shared" si="78"/>
        <v>14.049438211654389</v>
      </c>
      <c r="S50" s="8">
        <f t="shared" si="79"/>
        <v>168.48876423308775</v>
      </c>
    </row>
    <row r="51" spans="2:22" s="18" customFormat="1" ht="13" customHeight="1" x14ac:dyDescent="0.3">
      <c r="B51" s="2" t="s">
        <v>167</v>
      </c>
      <c r="C51" s="9"/>
      <c r="D51" s="10">
        <v>2023</v>
      </c>
      <c r="E51" s="278"/>
      <c r="F51" s="10" t="s">
        <v>287</v>
      </c>
      <c r="G51" s="10">
        <v>1987</v>
      </c>
      <c r="H51" s="4">
        <f>D51-G51</f>
        <v>36</v>
      </c>
      <c r="I51" s="12">
        <v>4.25</v>
      </c>
      <c r="J51" s="12">
        <v>735</v>
      </c>
      <c r="K51" s="12">
        <f t="shared" si="72"/>
        <v>3123.75</v>
      </c>
      <c r="L51" s="12">
        <f t="shared" si="73"/>
        <v>156.1875</v>
      </c>
      <c r="M51" s="12">
        <f t="shared" ref="M51:M52" si="80">K51+L51</f>
        <v>3279.9375</v>
      </c>
      <c r="N51" s="8">
        <f t="shared" si="75"/>
        <v>4130.5348342263896</v>
      </c>
      <c r="O51" s="12">
        <v>270</v>
      </c>
      <c r="P51" s="8">
        <f t="shared" si="76"/>
        <v>4130.5348342263896</v>
      </c>
      <c r="Q51" s="12">
        <f t="shared" si="77"/>
        <v>1147.5</v>
      </c>
      <c r="R51" s="8">
        <f t="shared" ref="R51:R52" si="81">N51*0.05</f>
        <v>206.52674171131949</v>
      </c>
      <c r="S51" s="8">
        <f t="shared" ref="S51:S52" si="82">N51-Q51</f>
        <v>2983.0348342263896</v>
      </c>
    </row>
    <row r="52" spans="2:22" s="18" customFormat="1" ht="13" customHeight="1" x14ac:dyDescent="0.3">
      <c r="B52" s="2"/>
      <c r="C52" s="9"/>
      <c r="D52" s="10">
        <v>2023</v>
      </c>
      <c r="E52" s="278"/>
      <c r="F52" s="10" t="s">
        <v>284</v>
      </c>
      <c r="G52" s="10">
        <v>1989</v>
      </c>
      <c r="H52" s="4">
        <f>D52-G52</f>
        <v>34</v>
      </c>
      <c r="I52" s="12">
        <f>0.5+6+5+5.5+2.5</f>
        <v>19.5</v>
      </c>
      <c r="J52" s="12">
        <v>540</v>
      </c>
      <c r="K52" s="12">
        <f t="shared" si="72"/>
        <v>10530</v>
      </c>
      <c r="L52" s="12">
        <f t="shared" si="73"/>
        <v>526.5</v>
      </c>
      <c r="M52" s="12">
        <f t="shared" si="80"/>
        <v>11056.5</v>
      </c>
      <c r="N52" s="8">
        <f t="shared" si="75"/>
        <v>13923.81970529136</v>
      </c>
      <c r="O52" s="12">
        <v>270</v>
      </c>
      <c r="P52" s="8">
        <f t="shared" si="76"/>
        <v>13923.81970529136</v>
      </c>
      <c r="Q52" s="12">
        <f t="shared" si="77"/>
        <v>5265</v>
      </c>
      <c r="R52" s="8">
        <f t="shared" si="81"/>
        <v>696.1909852645681</v>
      </c>
      <c r="S52" s="8">
        <f t="shared" si="82"/>
        <v>8658.8197052913602</v>
      </c>
    </row>
    <row r="53" spans="2:22" s="18" customFormat="1" ht="13" customHeight="1" x14ac:dyDescent="0.3">
      <c r="B53" s="2"/>
      <c r="C53" s="9"/>
      <c r="D53" s="10"/>
      <c r="E53" s="278"/>
      <c r="F53" s="10"/>
      <c r="H53" s="4"/>
      <c r="I53" s="12"/>
      <c r="J53" s="8"/>
      <c r="K53" s="7">
        <f>SUM(K47:K52)</f>
        <v>29860</v>
      </c>
      <c r="L53" s="7">
        <f t="shared" ref="L53:P53" si="83">SUM(L47:L52)</f>
        <v>1493</v>
      </c>
      <c r="M53" s="7">
        <f t="shared" si="83"/>
        <v>31353</v>
      </c>
      <c r="N53" s="67">
        <v>39483.879999999997</v>
      </c>
      <c r="O53" s="7"/>
      <c r="P53" s="7">
        <f t="shared" si="83"/>
        <v>39483.879999999997</v>
      </c>
      <c r="Q53" s="7">
        <f t="shared" ref="Q53" si="84">SUM(Q47:Q52)</f>
        <v>13702.5</v>
      </c>
      <c r="R53" s="7">
        <f t="shared" ref="R53" si="85">SUM(R47:R52)</f>
        <v>1974.1940000000004</v>
      </c>
      <c r="S53" s="7">
        <f t="shared" ref="S53" si="86">SUM(S47:S52)</f>
        <v>25781.379999999997</v>
      </c>
      <c r="U53" s="19">
        <f>U45+K53</f>
        <v>113226.25</v>
      </c>
      <c r="V53" s="19">
        <f>113226.25-U53</f>
        <v>0</v>
      </c>
    </row>
    <row r="54" spans="2:22" s="18" customFormat="1" ht="13" customHeight="1" x14ac:dyDescent="0.3">
      <c r="B54" s="2"/>
      <c r="C54" s="186"/>
      <c r="E54" s="272"/>
      <c r="F54" s="2"/>
      <c r="G54" s="3"/>
      <c r="H54" s="3"/>
      <c r="I54" s="12"/>
      <c r="J54" s="3"/>
      <c r="K54" s="12"/>
      <c r="L54" s="12"/>
      <c r="M54" s="12"/>
      <c r="N54" s="12"/>
      <c r="O54" s="12"/>
      <c r="P54" s="12"/>
      <c r="Q54" s="12"/>
      <c r="R54" s="12"/>
      <c r="S54" s="12"/>
    </row>
    <row r="55" spans="2:22" s="18" customFormat="1" ht="13" customHeight="1" x14ac:dyDescent="0.3">
      <c r="B55" s="2" t="s">
        <v>236</v>
      </c>
      <c r="C55" s="186" t="s">
        <v>296</v>
      </c>
      <c r="D55" s="10">
        <v>2023</v>
      </c>
      <c r="E55" s="272">
        <v>17913</v>
      </c>
      <c r="F55" s="10" t="s">
        <v>287</v>
      </c>
      <c r="G55" s="10">
        <v>1987</v>
      </c>
      <c r="H55" s="4">
        <f>D55-G55</f>
        <v>36</v>
      </c>
      <c r="I55" s="12">
        <v>2.5</v>
      </c>
      <c r="J55" s="12">
        <v>735</v>
      </c>
      <c r="K55" s="12">
        <f>J55*I55</f>
        <v>1837.5</v>
      </c>
      <c r="L55" s="12">
        <f>K55*0.05</f>
        <v>91.875</v>
      </c>
      <c r="M55" s="12">
        <f t="shared" ref="M55:M56" si="87">K55+L55</f>
        <v>1929.375</v>
      </c>
      <c r="N55" s="8">
        <f>($N$57/$K$57)*K55</f>
        <v>2429.7253208868146</v>
      </c>
      <c r="O55" s="12">
        <v>270</v>
      </c>
      <c r="P55" s="8">
        <f t="shared" ref="P55:P56" si="88">N55</f>
        <v>2429.7253208868146</v>
      </c>
      <c r="Q55" s="12">
        <f>I55*O55</f>
        <v>675</v>
      </c>
      <c r="R55" s="8">
        <f t="shared" ref="R55:R56" si="89">N55*0.05</f>
        <v>121.48626604434074</v>
      </c>
      <c r="S55" s="8">
        <f t="shared" ref="S55:S56" si="90">N55-Q55</f>
        <v>1754.7253208868146</v>
      </c>
    </row>
    <row r="56" spans="2:22" s="18" customFormat="1" ht="13" customHeight="1" x14ac:dyDescent="0.3">
      <c r="B56" s="2"/>
      <c r="C56" s="186"/>
      <c r="D56" s="10">
        <v>2023</v>
      </c>
      <c r="E56" s="272"/>
      <c r="F56" s="10" t="s">
        <v>284</v>
      </c>
      <c r="G56" s="10">
        <v>1989</v>
      </c>
      <c r="H56" s="4">
        <f>D56-G56</f>
        <v>34</v>
      </c>
      <c r="I56" s="12">
        <v>8.5</v>
      </c>
      <c r="J56" s="12">
        <v>540</v>
      </c>
      <c r="K56" s="12">
        <f>J56*I56</f>
        <v>4590</v>
      </c>
      <c r="L56" s="12">
        <f>K56*0.05</f>
        <v>229.5</v>
      </c>
      <c r="M56" s="12">
        <f t="shared" si="87"/>
        <v>4819.5</v>
      </c>
      <c r="N56" s="8">
        <f>($N$57/$K$57)*K56</f>
        <v>6069.3546791131857</v>
      </c>
      <c r="O56" s="12">
        <v>270</v>
      </c>
      <c r="P56" s="8">
        <f t="shared" si="88"/>
        <v>6069.3546791131857</v>
      </c>
      <c r="Q56" s="12">
        <f>I56*O56</f>
        <v>2295</v>
      </c>
      <c r="R56" s="8">
        <f t="shared" si="89"/>
        <v>303.4677339556593</v>
      </c>
      <c r="S56" s="8">
        <f t="shared" si="90"/>
        <v>3774.3546791131857</v>
      </c>
      <c r="V56" s="18" t="s">
        <v>297</v>
      </c>
    </row>
    <row r="57" spans="2:22" s="18" customFormat="1" ht="13" customHeight="1" x14ac:dyDescent="0.3">
      <c r="B57" s="2"/>
      <c r="C57" s="186"/>
      <c r="E57" s="272"/>
      <c r="F57" s="2"/>
      <c r="G57" s="3"/>
      <c r="H57" s="3"/>
      <c r="I57" s="12"/>
      <c r="J57" s="3"/>
      <c r="K57" s="7">
        <f>SUM(K55:K56)</f>
        <v>6427.5</v>
      </c>
      <c r="L57" s="7">
        <f t="shared" ref="L57:M57" si="91">SUM(L55:L56)</f>
        <v>321.375</v>
      </c>
      <c r="M57" s="7">
        <f t="shared" si="91"/>
        <v>6748.875</v>
      </c>
      <c r="N57" s="67">
        <v>8499.08</v>
      </c>
      <c r="O57" s="7"/>
      <c r="P57" s="7">
        <f>SUM(P55:P56)</f>
        <v>8499.08</v>
      </c>
      <c r="Q57" s="7">
        <f t="shared" ref="Q57" si="92">SUM(Q55:Q56)</f>
        <v>2970</v>
      </c>
      <c r="R57" s="7">
        <f t="shared" ref="R57" si="93">SUM(R55:R56)</f>
        <v>424.95400000000006</v>
      </c>
      <c r="S57" s="7">
        <f t="shared" ref="S57" si="94">SUM(S55:S56)</f>
        <v>5529.08</v>
      </c>
      <c r="U57" s="19">
        <f>+U53+K57</f>
        <v>119653.75</v>
      </c>
      <c r="V57" s="187">
        <f>119653.75-U57</f>
        <v>0</v>
      </c>
    </row>
    <row r="58" spans="2:22" s="18" customFormat="1" ht="13" customHeight="1" x14ac:dyDescent="0.3">
      <c r="B58" s="2"/>
      <c r="C58" s="186"/>
      <c r="E58" s="272"/>
      <c r="F58" s="2"/>
      <c r="G58" s="3"/>
      <c r="H58" s="3"/>
      <c r="I58" s="12"/>
      <c r="J58" s="3"/>
      <c r="K58" s="12"/>
      <c r="L58" s="12"/>
      <c r="M58" s="12"/>
      <c r="N58" s="12"/>
      <c r="O58" s="12"/>
      <c r="P58" s="12"/>
      <c r="Q58" s="12"/>
      <c r="R58" s="12"/>
      <c r="S58" s="12"/>
    </row>
    <row r="59" spans="2:22" s="18" customFormat="1" ht="13" customHeight="1" x14ac:dyDescent="0.3">
      <c r="B59" s="2"/>
      <c r="C59" s="186"/>
      <c r="E59" s="272"/>
      <c r="F59" s="2"/>
      <c r="G59" s="3"/>
      <c r="H59" s="3"/>
      <c r="I59" s="12"/>
      <c r="J59" s="3"/>
      <c r="K59" s="12"/>
      <c r="L59" s="12"/>
      <c r="M59" s="12"/>
      <c r="N59" s="12"/>
      <c r="O59" s="12"/>
      <c r="P59" s="12"/>
      <c r="Q59" s="12"/>
      <c r="R59" s="12"/>
      <c r="S59" s="12"/>
    </row>
    <row r="60" spans="2:22" s="18" customFormat="1" ht="13" customHeight="1" x14ac:dyDescent="0.3">
      <c r="B60" s="2"/>
      <c r="C60" s="186"/>
      <c r="E60" s="272"/>
      <c r="G60" s="3"/>
      <c r="H60" s="3"/>
      <c r="I60" s="119"/>
      <c r="J60" s="3"/>
      <c r="K60" s="8"/>
      <c r="L60" s="8"/>
      <c r="M60" s="8"/>
      <c r="N60" s="8"/>
      <c r="O60" s="2" t="s">
        <v>223</v>
      </c>
      <c r="P60" s="12">
        <f>P12+P17+P21+P27+P33+P40+P36+P53+P57+P45</f>
        <v>160408.86999999997</v>
      </c>
      <c r="Q60" s="12">
        <f>Q12+Q17+Q21+Q27+Q33+Q40+Q36+Q53+Q57+Q45</f>
        <v>51180</v>
      </c>
      <c r="R60" s="12">
        <f t="shared" ref="R60:S60" si="95">R12+R17+R21+R27+R33+R40+R36+R53+R57+R45</f>
        <v>8020.4435000000012</v>
      </c>
      <c r="S60" s="12">
        <f t="shared" si="95"/>
        <v>109228.87</v>
      </c>
    </row>
    <row r="61" spans="2:22" hidden="1" x14ac:dyDescent="0.35">
      <c r="B61" s="2"/>
      <c r="C61" s="6"/>
      <c r="F61" s="2"/>
      <c r="G61" s="3"/>
      <c r="H61" s="3"/>
      <c r="I61" s="119"/>
      <c r="J61" s="13"/>
      <c r="K61" s="14"/>
      <c r="L61" s="8"/>
      <c r="M61" s="8"/>
      <c r="N61" s="8"/>
      <c r="O61" s="8"/>
      <c r="P61" s="8"/>
      <c r="Q61" s="15"/>
      <c r="R61" s="8"/>
      <c r="S61" s="15"/>
    </row>
    <row r="62" spans="2:22" hidden="1" x14ac:dyDescent="0.35">
      <c r="K62" s="5"/>
      <c r="L62" s="11"/>
      <c r="O62" t="s">
        <v>224</v>
      </c>
      <c r="P62" s="16">
        <f>K76+K84+K92</f>
        <v>160408.86999999997</v>
      </c>
      <c r="Q62" s="16">
        <f>Q109</f>
        <v>51180</v>
      </c>
      <c r="S62" s="5"/>
    </row>
    <row r="63" spans="2:22" hidden="1" x14ac:dyDescent="0.35">
      <c r="K63" s="5"/>
      <c r="L63" s="11"/>
      <c r="O63" s="20" t="s">
        <v>225</v>
      </c>
      <c r="P63" s="16">
        <f>P60-P62</f>
        <v>0</v>
      </c>
      <c r="Q63" s="19">
        <f>Q62-Q60</f>
        <v>0</v>
      </c>
      <c r="S63" s="5"/>
    </row>
    <row r="64" spans="2:22" hidden="1" x14ac:dyDescent="0.35">
      <c r="K64" s="5"/>
      <c r="L64" s="11"/>
      <c r="P64" s="16"/>
      <c r="S64" s="5"/>
    </row>
    <row r="65" spans="2:21" hidden="1" x14ac:dyDescent="0.35">
      <c r="K65" s="5"/>
      <c r="L65" s="11"/>
      <c r="P65" s="16"/>
      <c r="Q65" s="16"/>
      <c r="R65" s="5"/>
      <c r="S65" s="5"/>
    </row>
    <row r="66" spans="2:21" hidden="1" x14ac:dyDescent="0.35">
      <c r="K66" s="5"/>
      <c r="L66" s="11"/>
      <c r="P66" s="16"/>
      <c r="Q66" s="16"/>
      <c r="R66" s="5"/>
      <c r="S66" s="5"/>
    </row>
    <row r="67" spans="2:21" hidden="1" x14ac:dyDescent="0.35">
      <c r="K67" s="5"/>
      <c r="L67" s="122"/>
      <c r="P67" s="16"/>
      <c r="Q67" s="16"/>
      <c r="S67" s="5"/>
    </row>
    <row r="68" spans="2:21" ht="15" hidden="1" thickBot="1" x14ac:dyDescent="0.4">
      <c r="B68" s="17" t="s">
        <v>210</v>
      </c>
      <c r="C68" s="18"/>
      <c r="D68" s="18"/>
      <c r="E68" s="272"/>
      <c r="F68" s="18"/>
      <c r="G68" s="18"/>
      <c r="H68" s="18"/>
      <c r="I68" s="18"/>
      <c r="J68" s="18"/>
      <c r="K68" s="18"/>
      <c r="L68" s="19"/>
      <c r="P68" s="18"/>
      <c r="R68" s="18"/>
    </row>
    <row r="69" spans="2:21" hidden="1" x14ac:dyDescent="0.35">
      <c r="B69" s="18"/>
      <c r="C69" s="21" t="s">
        <v>230</v>
      </c>
      <c r="D69" s="22"/>
      <c r="E69" s="270"/>
      <c r="F69" s="23"/>
      <c r="G69" s="24"/>
      <c r="H69" s="24"/>
      <c r="I69" s="25"/>
      <c r="J69" s="25"/>
      <c r="K69" s="26"/>
      <c r="L69" s="26"/>
      <c r="M69" s="26"/>
      <c r="N69" s="26"/>
      <c r="O69" s="27"/>
      <c r="P69" s="27"/>
      <c r="Q69" s="28"/>
      <c r="R69" s="29"/>
    </row>
    <row r="70" spans="2:21" ht="17" hidden="1" x14ac:dyDescent="0.6">
      <c r="B70" s="18"/>
      <c r="C70" s="30" t="s">
        <v>231</v>
      </c>
      <c r="D70" s="31"/>
      <c r="E70" s="274"/>
      <c r="F70" s="32"/>
      <c r="G70" s="31" t="s">
        <v>232</v>
      </c>
      <c r="H70" s="33"/>
      <c r="I70" s="34" t="s">
        <v>150</v>
      </c>
      <c r="J70" s="34"/>
      <c r="K70" s="34" t="s">
        <v>2</v>
      </c>
      <c r="L70" s="35" t="s">
        <v>121</v>
      </c>
      <c r="M70" s="35" t="s">
        <v>9</v>
      </c>
      <c r="N70" s="35"/>
      <c r="O70" s="31" t="s">
        <v>233</v>
      </c>
      <c r="P70" s="31"/>
      <c r="Q70" s="36" t="s">
        <v>234</v>
      </c>
      <c r="R70" s="29"/>
    </row>
    <row r="71" spans="2:21" hidden="1" x14ac:dyDescent="0.35">
      <c r="B71" s="18"/>
      <c r="C71" s="610" t="s">
        <v>287</v>
      </c>
      <c r="D71" s="611"/>
      <c r="E71" s="611"/>
      <c r="F71" s="120"/>
      <c r="G71" s="38" t="s">
        <v>168</v>
      </c>
      <c r="H71" s="39"/>
      <c r="I71" s="39">
        <f>SUMIF($F$9:$F$50,C71,$I$9:$I$50)</f>
        <v>11.5</v>
      </c>
      <c r="J71" s="39"/>
      <c r="K71" s="39">
        <f>SUMIF($F$9:$F$50,C71,$N$9:$N$50)</f>
        <v>11305.363886938288</v>
      </c>
      <c r="L71" s="39">
        <f>SUMIF($F$9:$F$50,C71,$L$9:$L$50)</f>
        <v>422.625</v>
      </c>
      <c r="M71" s="39">
        <f>K71+L71</f>
        <v>11727.988886938288</v>
      </c>
      <c r="N71" s="39"/>
      <c r="O71" s="39">
        <v>270</v>
      </c>
      <c r="P71" s="39"/>
      <c r="Q71" s="40">
        <f>I71*O71</f>
        <v>3105</v>
      </c>
      <c r="R71" s="29"/>
    </row>
    <row r="72" spans="2:21" hidden="1" x14ac:dyDescent="0.35">
      <c r="B72" s="18"/>
      <c r="C72" s="610" t="s">
        <v>284</v>
      </c>
      <c r="D72" s="611"/>
      <c r="E72" s="611"/>
      <c r="F72" s="121"/>
      <c r="G72" s="38" t="s">
        <v>169</v>
      </c>
      <c r="H72" s="39"/>
      <c r="I72" s="39">
        <f>SUMIF($F$9:$F$50,C72,$I$9:$I$50)</f>
        <v>104.25</v>
      </c>
      <c r="J72" s="39"/>
      <c r="K72" s="39">
        <f t="shared" ref="K72:K74" si="96">SUMIF($F$9:$F$50,C72,$N$9:$N$50)</f>
        <v>75614.833036631462</v>
      </c>
      <c r="L72" s="39">
        <f>SUMIF($F$9:$F$50,C72,$L$9:$L$50)</f>
        <v>2814.75</v>
      </c>
      <c r="M72" s="39">
        <f t="shared" ref="M72" si="97">K72+L72</f>
        <v>78429.583036631462</v>
      </c>
      <c r="N72" s="39"/>
      <c r="O72" s="39">
        <v>270</v>
      </c>
      <c r="P72" s="39"/>
      <c r="Q72" s="40">
        <f t="shared" ref="Q72:Q75" si="98">I72*O72</f>
        <v>28147.5</v>
      </c>
      <c r="R72" s="29"/>
    </row>
    <row r="73" spans="2:21" hidden="1" x14ac:dyDescent="0.35">
      <c r="B73" s="18"/>
      <c r="C73" s="611" t="s">
        <v>285</v>
      </c>
      <c r="D73" s="611"/>
      <c r="E73" s="611"/>
      <c r="F73" s="32"/>
      <c r="G73" s="38" t="s">
        <v>164</v>
      </c>
      <c r="H73" s="39"/>
      <c r="I73" s="39">
        <f>SUMIF($F$9:$F$50,C73,$I$9:$I$50)</f>
        <v>86</v>
      </c>
      <c r="J73" s="39"/>
      <c r="K73" s="39">
        <f t="shared" si="96"/>
        <v>46367.438568582023</v>
      </c>
      <c r="L73" s="39">
        <f>SUMIF($F$9:$F$50,C73,$L$9:$L$50)</f>
        <v>1720</v>
      </c>
      <c r="M73" s="39">
        <f t="shared" ref="M73" si="99">K73+L73</f>
        <v>48087.438568582023</v>
      </c>
      <c r="N73" s="39"/>
      <c r="O73" s="39">
        <v>120</v>
      </c>
      <c r="P73" s="39"/>
      <c r="Q73" s="40">
        <f t="shared" si="98"/>
        <v>10320</v>
      </c>
      <c r="R73" s="29"/>
    </row>
    <row r="74" spans="2:21" hidden="1" x14ac:dyDescent="0.35">
      <c r="B74" s="18"/>
      <c r="C74" s="611" t="s">
        <v>290</v>
      </c>
      <c r="D74" s="611"/>
      <c r="E74" s="611"/>
      <c r="F74" s="32"/>
      <c r="G74" s="38" t="s">
        <v>165</v>
      </c>
      <c r="H74" s="39"/>
      <c r="I74" s="39">
        <f>SUMIF($F$9:$F$50,C74,$I$9:$I$50)</f>
        <v>5</v>
      </c>
      <c r="J74" s="39"/>
      <c r="K74" s="39">
        <f t="shared" si="96"/>
        <v>567.79996833046471</v>
      </c>
      <c r="L74" s="39">
        <f>SUMIF($F$9:$F$50,C74,$L$9:$L$50)</f>
        <v>21.25</v>
      </c>
      <c r="M74" s="39">
        <f t="shared" ref="M74" si="100">K74+L74</f>
        <v>589.04996833046471</v>
      </c>
      <c r="N74" s="39"/>
      <c r="O74" s="39">
        <v>45</v>
      </c>
      <c r="P74" s="39"/>
      <c r="Q74" s="40">
        <f t="shared" si="98"/>
        <v>225</v>
      </c>
      <c r="R74" s="29"/>
    </row>
    <row r="75" spans="2:21" hidden="1" x14ac:dyDescent="0.35">
      <c r="B75" s="18"/>
      <c r="C75" s="37"/>
      <c r="D75" s="32"/>
      <c r="E75" s="274"/>
      <c r="F75" s="32"/>
      <c r="G75" s="38"/>
      <c r="H75" s="39"/>
      <c r="I75" s="39"/>
      <c r="J75" s="39"/>
      <c r="K75" s="39"/>
      <c r="L75" s="39"/>
      <c r="M75" s="39"/>
      <c r="N75" s="39"/>
      <c r="O75" s="39"/>
      <c r="P75" s="39"/>
      <c r="Q75" s="40">
        <f t="shared" si="98"/>
        <v>0</v>
      </c>
      <c r="R75" s="29"/>
    </row>
    <row r="76" spans="2:21" ht="15" hidden="1" thickBot="1" x14ac:dyDescent="0.4">
      <c r="B76" s="18"/>
      <c r="C76" s="41" t="s">
        <v>223</v>
      </c>
      <c r="D76" s="42"/>
      <c r="E76" s="275"/>
      <c r="F76" s="42"/>
      <c r="G76" s="43"/>
      <c r="H76" s="42"/>
      <c r="I76" s="44">
        <f>SUM(I71:I75)</f>
        <v>206.75</v>
      </c>
      <c r="J76" s="45"/>
      <c r="K76" s="44">
        <f>SUM(K71:K75)</f>
        <v>133855.43546048223</v>
      </c>
      <c r="L76" s="44">
        <f t="shared" ref="L76:M76" si="101">SUM(L71:L75)</f>
        <v>4978.625</v>
      </c>
      <c r="M76" s="44">
        <f t="shared" si="101"/>
        <v>138834.06046048223</v>
      </c>
      <c r="N76" s="44"/>
      <c r="O76" s="46"/>
      <c r="P76" s="46"/>
      <c r="Q76" s="48">
        <f>SUM(Q71:Q75)</f>
        <v>41797.5</v>
      </c>
      <c r="R76" s="29"/>
      <c r="S76" s="5"/>
    </row>
    <row r="77" spans="2:21" hidden="1" x14ac:dyDescent="0.35">
      <c r="B77" s="18"/>
      <c r="C77" s="18"/>
      <c r="D77" s="18"/>
      <c r="E77" s="272"/>
      <c r="F77" s="18"/>
      <c r="G77" s="18"/>
      <c r="H77" s="18"/>
      <c r="I77" s="19"/>
      <c r="J77" s="18"/>
      <c r="K77" s="19"/>
      <c r="L77" s="19"/>
      <c r="M77" s="19"/>
      <c r="N77" s="19"/>
      <c r="O77" s="18"/>
      <c r="P77" s="18"/>
      <c r="Q77" s="18"/>
      <c r="R77" s="19"/>
      <c r="S77" s="47"/>
      <c r="T77" s="47"/>
      <c r="U77" s="47"/>
    </row>
    <row r="78" spans="2:21" ht="15" hidden="1" thickBot="1" x14ac:dyDescent="0.4">
      <c r="B78" s="17" t="s">
        <v>298</v>
      </c>
      <c r="C78" s="18"/>
      <c r="D78" s="18"/>
      <c r="E78" s="272"/>
      <c r="F78" s="18"/>
      <c r="G78" s="18"/>
      <c r="H78" s="18"/>
      <c r="I78" s="18"/>
      <c r="J78" s="18"/>
      <c r="K78" s="18"/>
      <c r="L78" s="18"/>
      <c r="M78" s="20" t="s">
        <v>225</v>
      </c>
      <c r="N78" s="20"/>
      <c r="O78" s="18"/>
      <c r="P78" s="18"/>
      <c r="Q78" s="19"/>
      <c r="R78" s="19"/>
    </row>
    <row r="79" spans="2:21" hidden="1" x14ac:dyDescent="0.35">
      <c r="B79" s="18"/>
      <c r="C79" s="21" t="s">
        <v>230</v>
      </c>
      <c r="D79" s="22"/>
      <c r="E79" s="270"/>
      <c r="F79" s="23"/>
      <c r="G79" s="24"/>
      <c r="H79" s="24"/>
      <c r="I79" s="25"/>
      <c r="J79" s="25"/>
      <c r="K79" s="26"/>
      <c r="L79" s="26"/>
      <c r="M79" s="26"/>
      <c r="N79" s="26"/>
      <c r="O79" s="27"/>
      <c r="P79" s="27"/>
      <c r="Q79" s="28"/>
      <c r="R79" s="19"/>
    </row>
    <row r="80" spans="2:21" ht="17" hidden="1" x14ac:dyDescent="0.6">
      <c r="B80" s="18"/>
      <c r="C80" s="30" t="s">
        <v>231</v>
      </c>
      <c r="D80" s="31"/>
      <c r="E80" s="274"/>
      <c r="F80" s="32"/>
      <c r="G80" s="31" t="s">
        <v>232</v>
      </c>
      <c r="H80" s="33"/>
      <c r="I80" s="34" t="s">
        <v>150</v>
      </c>
      <c r="J80" s="34"/>
      <c r="K80" s="34" t="s">
        <v>2</v>
      </c>
      <c r="L80" s="35" t="s">
        <v>121</v>
      </c>
      <c r="M80" s="35" t="s">
        <v>9</v>
      </c>
      <c r="N80" s="35"/>
      <c r="O80" s="31" t="s">
        <v>233</v>
      </c>
      <c r="P80" s="31"/>
      <c r="Q80" s="36" t="s">
        <v>234</v>
      </c>
      <c r="R80" s="19"/>
    </row>
    <row r="81" spans="2:18" hidden="1" x14ac:dyDescent="0.35">
      <c r="B81" s="18"/>
      <c r="C81" s="610" t="s">
        <v>287</v>
      </c>
      <c r="D81" s="611"/>
      <c r="E81" s="611"/>
      <c r="F81" s="32"/>
      <c r="G81" s="38" t="s">
        <v>168</v>
      </c>
      <c r="H81" s="39"/>
      <c r="I81" s="39">
        <f>SUMIF($F$51:$F$52,C81,$I$51:$I$52)</f>
        <v>4.25</v>
      </c>
      <c r="J81" s="39"/>
      <c r="K81" s="39">
        <f>SUMIF($F$51:$F$52,C81,$N$51:$N$52)</f>
        <v>4130.5348342263896</v>
      </c>
      <c r="L81" s="39">
        <f>SUMIF($F$51:$F$52,C81,$L$51:$L$52)</f>
        <v>156.1875</v>
      </c>
      <c r="M81" s="39">
        <f>K81+L81</f>
        <v>4286.7223342263896</v>
      </c>
      <c r="N81" s="39"/>
      <c r="O81" s="39">
        <v>270</v>
      </c>
      <c r="P81" s="39"/>
      <c r="Q81" s="40">
        <f>I81*O81</f>
        <v>1147.5</v>
      </c>
      <c r="R81" s="19"/>
    </row>
    <row r="82" spans="2:18" hidden="1" x14ac:dyDescent="0.35">
      <c r="B82" s="18"/>
      <c r="C82" s="610" t="s">
        <v>284</v>
      </c>
      <c r="D82" s="611"/>
      <c r="E82" s="611"/>
      <c r="F82" s="32"/>
      <c r="G82" s="38" t="s">
        <v>169</v>
      </c>
      <c r="H82" s="39"/>
      <c r="I82" s="39">
        <f>SUMIF($F$51:$F$52,C82,$I$51:$I$52)</f>
        <v>19.5</v>
      </c>
      <c r="J82" s="39"/>
      <c r="K82" s="39">
        <f>SUMIF($F$51:$F$52,C82,$N$51:$N$52)</f>
        <v>13923.81970529136</v>
      </c>
      <c r="L82" s="39">
        <f>SUMIF($F$51:$F$52,C82,$L$51:$L$52)</f>
        <v>526.5</v>
      </c>
      <c r="M82" s="39">
        <f t="shared" ref="M82" si="102">K82+L82</f>
        <v>14450.31970529136</v>
      </c>
      <c r="N82" s="39"/>
      <c r="O82" s="39">
        <v>270</v>
      </c>
      <c r="P82" s="39"/>
      <c r="Q82" s="40">
        <f t="shared" ref="Q82" si="103">I82*O82</f>
        <v>5265</v>
      </c>
      <c r="R82" s="19"/>
    </row>
    <row r="83" spans="2:18" hidden="1" x14ac:dyDescent="0.35">
      <c r="B83" s="18"/>
      <c r="C83" s="37"/>
      <c r="D83" s="32"/>
      <c r="E83" s="274"/>
      <c r="F83" s="32"/>
      <c r="G83" s="38"/>
      <c r="H83" s="39"/>
      <c r="I83" s="39"/>
      <c r="J83" s="39"/>
      <c r="K83" s="39"/>
      <c r="L83" s="39"/>
      <c r="M83" s="39"/>
      <c r="N83" s="39"/>
      <c r="O83" s="39"/>
      <c r="P83" s="39"/>
      <c r="Q83" s="40"/>
      <c r="R83" s="19"/>
    </row>
    <row r="84" spans="2:18" ht="15" hidden="1" thickBot="1" x14ac:dyDescent="0.4">
      <c r="B84" s="18"/>
      <c r="C84" s="41" t="s">
        <v>223</v>
      </c>
      <c r="D84" s="42"/>
      <c r="E84" s="275"/>
      <c r="F84" s="42"/>
      <c r="G84" s="43"/>
      <c r="H84" s="42"/>
      <c r="I84" s="44">
        <f>SUM(I81:I83)</f>
        <v>23.75</v>
      </c>
      <c r="J84" s="44">
        <f t="shared" ref="J84:M84" si="104">SUM(J81:J83)</f>
        <v>0</v>
      </c>
      <c r="K84" s="44">
        <f t="shared" si="104"/>
        <v>18054.35453951775</v>
      </c>
      <c r="L84" s="44">
        <f t="shared" si="104"/>
        <v>682.6875</v>
      </c>
      <c r="M84" s="44">
        <f t="shared" si="104"/>
        <v>18737.04203951775</v>
      </c>
      <c r="N84" s="44"/>
      <c r="O84" s="46"/>
      <c r="P84" s="46"/>
      <c r="Q84" s="48">
        <f>SUM(Q81:Q83)</f>
        <v>6412.5</v>
      </c>
      <c r="R84" s="19"/>
    </row>
    <row r="85" spans="2:18" hidden="1" x14ac:dyDescent="0.35">
      <c r="B85" s="18"/>
      <c r="R85" s="18"/>
    </row>
    <row r="86" spans="2:18" ht="15" hidden="1" thickBot="1" x14ac:dyDescent="0.4">
      <c r="B86" s="17" t="s">
        <v>299</v>
      </c>
      <c r="C86" s="18"/>
      <c r="D86" s="18"/>
      <c r="E86" s="272"/>
      <c r="F86" s="18"/>
      <c r="G86" s="18"/>
      <c r="H86" s="18"/>
      <c r="I86" s="18"/>
      <c r="J86" s="18"/>
      <c r="K86" s="18"/>
      <c r="L86" s="18"/>
      <c r="M86" s="20" t="s">
        <v>225</v>
      </c>
      <c r="N86" s="20"/>
      <c r="O86" s="18"/>
      <c r="P86" s="18"/>
      <c r="Q86" s="19"/>
      <c r="R86" s="18"/>
    </row>
    <row r="87" spans="2:18" hidden="1" x14ac:dyDescent="0.35">
      <c r="B87" s="18"/>
      <c r="C87" s="21" t="s">
        <v>230</v>
      </c>
      <c r="D87" s="22"/>
      <c r="E87" s="270"/>
      <c r="F87" s="23"/>
      <c r="G87" s="24"/>
      <c r="H87" s="24"/>
      <c r="I87" s="25"/>
      <c r="J87" s="25"/>
      <c r="K87" s="26"/>
      <c r="L87" s="26"/>
      <c r="M87" s="26"/>
      <c r="N87" s="26"/>
      <c r="O87" s="27"/>
      <c r="P87" s="27"/>
      <c r="Q87" s="28"/>
      <c r="R87" s="18"/>
    </row>
    <row r="88" spans="2:18" ht="17" hidden="1" x14ac:dyDescent="0.6">
      <c r="B88" s="18"/>
      <c r="C88" s="30" t="s">
        <v>231</v>
      </c>
      <c r="D88" s="31"/>
      <c r="E88" s="274"/>
      <c r="F88" s="32"/>
      <c r="G88" s="31" t="s">
        <v>232</v>
      </c>
      <c r="H88" s="33"/>
      <c r="I88" s="34" t="s">
        <v>150</v>
      </c>
      <c r="J88" s="34"/>
      <c r="K88" s="34" t="s">
        <v>2</v>
      </c>
      <c r="L88" s="35" t="s">
        <v>121</v>
      </c>
      <c r="M88" s="35" t="s">
        <v>9</v>
      </c>
      <c r="N88" s="35"/>
      <c r="O88" s="31" t="s">
        <v>233</v>
      </c>
      <c r="P88" s="31"/>
      <c r="Q88" s="36" t="s">
        <v>234</v>
      </c>
      <c r="R88" s="18"/>
    </row>
    <row r="89" spans="2:18" hidden="1" x14ac:dyDescent="0.35">
      <c r="B89" s="18"/>
      <c r="C89" s="610" t="s">
        <v>287</v>
      </c>
      <c r="D89" s="611"/>
      <c r="E89" s="611"/>
      <c r="F89" s="32"/>
      <c r="G89" s="38" t="s">
        <v>168</v>
      </c>
      <c r="H89" s="39"/>
      <c r="I89" s="39">
        <f>SUMIF($F$55:$F$56,C89,$I$55:$I$56)</f>
        <v>2.5</v>
      </c>
      <c r="J89" s="39"/>
      <c r="K89" s="39">
        <f>SUMIF($F$55:$F$56,C89,$N$55:$N$56)</f>
        <v>2429.7253208868146</v>
      </c>
      <c r="L89" s="39">
        <f>SUMIF($F$55:$F$56,C89,$L$55:$L$56)</f>
        <v>91.875</v>
      </c>
      <c r="M89" s="39">
        <f>K89+L89</f>
        <v>2521.6003208868146</v>
      </c>
      <c r="N89" s="39"/>
      <c r="O89" s="39">
        <v>270</v>
      </c>
      <c r="P89" s="39"/>
      <c r="Q89" s="40">
        <f>I89*O89</f>
        <v>675</v>
      </c>
      <c r="R89" s="18"/>
    </row>
    <row r="90" spans="2:18" hidden="1" x14ac:dyDescent="0.35">
      <c r="B90" s="18"/>
      <c r="C90" s="610" t="s">
        <v>284</v>
      </c>
      <c r="D90" s="611"/>
      <c r="E90" s="611"/>
      <c r="F90" s="32"/>
      <c r="G90" s="38" t="s">
        <v>169</v>
      </c>
      <c r="H90" s="39"/>
      <c r="I90" s="39">
        <f>SUMIF($F$55:$F$56,C90,$I$55:$I$56)</f>
        <v>8.5</v>
      </c>
      <c r="J90" s="39"/>
      <c r="K90" s="39">
        <f>SUMIF($F$55:$F$56,C90,$N$55:$N$56)</f>
        <v>6069.3546791131857</v>
      </c>
      <c r="L90" s="39">
        <f>SUMIF($F$55:$F$56,C90,$L$55:$L$56)</f>
        <v>229.5</v>
      </c>
      <c r="M90" s="39">
        <f>K90+L90</f>
        <v>6298.8546791131857</v>
      </c>
      <c r="N90" s="39"/>
      <c r="O90" s="39">
        <v>270</v>
      </c>
      <c r="P90" s="39"/>
      <c r="Q90" s="40">
        <f t="shared" ref="Q90" si="105">I90*O90</f>
        <v>2295</v>
      </c>
      <c r="R90" s="18"/>
    </row>
    <row r="91" spans="2:18" hidden="1" x14ac:dyDescent="0.35">
      <c r="B91" s="18"/>
      <c r="C91" s="37"/>
      <c r="D91" s="32"/>
      <c r="E91" s="274"/>
      <c r="F91" s="32"/>
      <c r="G91" s="38"/>
      <c r="H91" s="39"/>
      <c r="I91" s="39"/>
      <c r="J91" s="39"/>
      <c r="K91" s="39"/>
      <c r="L91" s="39"/>
      <c r="M91" s="39"/>
      <c r="N91" s="39"/>
      <c r="O91" s="39"/>
      <c r="P91" s="39"/>
      <c r="Q91" s="40"/>
      <c r="R91" s="18"/>
    </row>
    <row r="92" spans="2:18" ht="15" hidden="1" thickBot="1" x14ac:dyDescent="0.4">
      <c r="B92" s="18"/>
      <c r="C92" s="41" t="s">
        <v>223</v>
      </c>
      <c r="D92" s="42"/>
      <c r="E92" s="275"/>
      <c r="F92" s="42"/>
      <c r="G92" s="43"/>
      <c r="H92" s="42"/>
      <c r="I92" s="44">
        <f>SUM(I89:I91)</f>
        <v>11</v>
      </c>
      <c r="J92" s="44">
        <f t="shared" ref="J92:M92" si="106">SUM(J89:J91)</f>
        <v>0</v>
      </c>
      <c r="K92" s="44">
        <f t="shared" si="106"/>
        <v>8499.08</v>
      </c>
      <c r="L92" s="44">
        <f t="shared" si="106"/>
        <v>321.375</v>
      </c>
      <c r="M92" s="44">
        <f t="shared" si="106"/>
        <v>8820.4549999999999</v>
      </c>
      <c r="N92" s="44"/>
      <c r="O92" s="46"/>
      <c r="P92" s="46"/>
      <c r="Q92" s="48">
        <f>SUM(Q89:Q91)</f>
        <v>2970</v>
      </c>
      <c r="R92" s="18"/>
    </row>
    <row r="93" spans="2:18" hidden="1" x14ac:dyDescent="0.35">
      <c r="B93" s="18"/>
      <c r="R93" s="18"/>
    </row>
    <row r="94" spans="2:18" ht="15" hidden="1" thickBot="1" x14ac:dyDescent="0.4">
      <c r="B94" s="18"/>
      <c r="C94" s="17" t="s">
        <v>226</v>
      </c>
      <c r="D94" s="49"/>
      <c r="E94" s="27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2:18" ht="15" hidden="1" thickBot="1" x14ac:dyDescent="0.4">
      <c r="B95" s="18"/>
      <c r="C95" s="21" t="s">
        <v>230</v>
      </c>
      <c r="D95" s="22"/>
      <c r="E95" s="271"/>
      <c r="F95" s="50"/>
      <c r="G95" s="23"/>
      <c r="H95" s="24"/>
      <c r="I95" s="24"/>
      <c r="J95" s="25"/>
      <c r="K95" s="25"/>
      <c r="L95" s="26"/>
      <c r="M95" s="26"/>
      <c r="N95" s="26"/>
      <c r="O95" s="26"/>
      <c r="P95" s="604" t="s">
        <v>237</v>
      </c>
      <c r="Q95" s="605"/>
      <c r="R95" s="606"/>
    </row>
    <row r="96" spans="2:18" ht="17" hidden="1" x14ac:dyDescent="0.6">
      <c r="B96" s="18"/>
      <c r="C96" s="51" t="s">
        <v>238</v>
      </c>
      <c r="D96" s="31"/>
      <c r="E96" s="274"/>
      <c r="F96" s="32"/>
      <c r="G96" s="32"/>
      <c r="H96" s="31"/>
      <c r="I96" s="33"/>
      <c r="J96" s="33" t="s">
        <v>239</v>
      </c>
      <c r="K96" s="33" t="s">
        <v>240</v>
      </c>
      <c r="L96" s="33" t="s">
        <v>241</v>
      </c>
      <c r="M96" s="35"/>
      <c r="N96" s="35"/>
      <c r="O96" s="35"/>
      <c r="P96" s="52"/>
      <c r="Q96" s="33"/>
      <c r="R96" s="36"/>
    </row>
    <row r="97" spans="2:18" ht="15" hidden="1" x14ac:dyDescent="0.4">
      <c r="B97" s="18"/>
      <c r="C97" s="53" t="s">
        <v>242</v>
      </c>
      <c r="D97" s="54"/>
      <c r="E97" s="274"/>
      <c r="F97" s="32"/>
      <c r="G97" s="32"/>
      <c r="H97" s="55"/>
      <c r="I97" s="55"/>
      <c r="J97" s="55"/>
      <c r="K97" s="55"/>
      <c r="L97" s="55">
        <f>J97*K97</f>
        <v>0</v>
      </c>
      <c r="M97" s="56"/>
      <c r="N97" s="56"/>
      <c r="O97" s="56"/>
      <c r="P97" s="57"/>
      <c r="Q97" s="55"/>
      <c r="R97" s="40">
        <f>L97</f>
        <v>0</v>
      </c>
    </row>
    <row r="98" spans="2:18" ht="15" hidden="1" x14ac:dyDescent="0.4">
      <c r="B98" s="18"/>
      <c r="C98" s="53" t="s">
        <v>243</v>
      </c>
      <c r="D98" s="54"/>
      <c r="E98" s="274"/>
      <c r="F98" s="32"/>
      <c r="G98" s="32"/>
      <c r="H98" s="55"/>
      <c r="I98" s="55"/>
      <c r="J98" s="55"/>
      <c r="K98" s="55"/>
      <c r="L98" s="55">
        <f t="shared" ref="L98:L103" si="107">J98*K98</f>
        <v>0</v>
      </c>
      <c r="M98" s="56"/>
      <c r="N98" s="56"/>
      <c r="O98" s="56"/>
      <c r="P98" s="57"/>
      <c r="Q98" s="55"/>
      <c r="R98" s="40">
        <f t="shared" ref="R98:R106" si="108">L98</f>
        <v>0</v>
      </c>
    </row>
    <row r="99" spans="2:18" ht="15" hidden="1" x14ac:dyDescent="0.4">
      <c r="B99" s="18"/>
      <c r="C99" s="53" t="s">
        <v>244</v>
      </c>
      <c r="D99" s="54"/>
      <c r="E99" s="274"/>
      <c r="F99" s="32"/>
      <c r="G99" s="32"/>
      <c r="H99" s="55"/>
      <c r="I99" s="55"/>
      <c r="J99" s="55"/>
      <c r="K99" s="55"/>
      <c r="L99" s="55">
        <f t="shared" si="107"/>
        <v>0</v>
      </c>
      <c r="M99" s="56"/>
      <c r="N99" s="56"/>
      <c r="O99" s="56"/>
      <c r="P99" s="57"/>
      <c r="Q99" s="55"/>
      <c r="R99" s="40">
        <f t="shared" si="108"/>
        <v>0</v>
      </c>
    </row>
    <row r="100" spans="2:18" ht="15" hidden="1" x14ac:dyDescent="0.4">
      <c r="B100" s="18"/>
      <c r="C100" s="53" t="s">
        <v>245</v>
      </c>
      <c r="D100" s="54"/>
      <c r="E100" s="274"/>
      <c r="F100" s="32"/>
      <c r="G100" s="32"/>
      <c r="H100" s="55"/>
      <c r="I100" s="55"/>
      <c r="J100" s="55"/>
      <c r="K100" s="55"/>
      <c r="L100" s="55">
        <f t="shared" si="107"/>
        <v>0</v>
      </c>
      <c r="M100" s="56"/>
      <c r="N100" s="56"/>
      <c r="O100" s="56"/>
      <c r="P100" s="57"/>
      <c r="Q100" s="55"/>
      <c r="R100" s="40">
        <f t="shared" si="108"/>
        <v>0</v>
      </c>
    </row>
    <row r="101" spans="2:18" ht="15" hidden="1" x14ac:dyDescent="0.4">
      <c r="B101" s="18"/>
      <c r="C101" s="53" t="s">
        <v>247</v>
      </c>
      <c r="D101" s="54"/>
      <c r="E101" s="274"/>
      <c r="F101" s="32"/>
      <c r="G101" s="32"/>
      <c r="H101" s="55"/>
      <c r="I101" s="55"/>
      <c r="J101" s="55"/>
      <c r="K101" s="55"/>
      <c r="L101" s="55">
        <f t="shared" si="107"/>
        <v>0</v>
      </c>
      <c r="M101" s="56"/>
      <c r="N101" s="56"/>
      <c r="O101" s="56"/>
      <c r="P101" s="57"/>
      <c r="Q101" s="55"/>
      <c r="R101" s="40">
        <f t="shared" si="108"/>
        <v>0</v>
      </c>
    </row>
    <row r="102" spans="2:18" ht="15" hidden="1" x14ac:dyDescent="0.4">
      <c r="B102" s="18"/>
      <c r="C102" s="53" t="s">
        <v>248</v>
      </c>
      <c r="D102" s="54"/>
      <c r="E102" s="274"/>
      <c r="F102" s="32"/>
      <c r="G102" s="32"/>
      <c r="H102" s="55"/>
      <c r="I102" s="55"/>
      <c r="J102" s="55"/>
      <c r="K102" s="55"/>
      <c r="L102" s="55">
        <f t="shared" si="107"/>
        <v>0</v>
      </c>
      <c r="M102" s="56"/>
      <c r="N102" s="56"/>
      <c r="O102" s="56"/>
      <c r="P102" s="57"/>
      <c r="Q102" s="55"/>
      <c r="R102" s="40">
        <f t="shared" si="108"/>
        <v>0</v>
      </c>
    </row>
    <row r="103" spans="2:18" ht="15" hidden="1" x14ac:dyDescent="0.4">
      <c r="B103" s="18"/>
      <c r="C103" s="53" t="s">
        <v>179</v>
      </c>
      <c r="D103" s="54"/>
      <c r="E103" s="274"/>
      <c r="F103" s="32"/>
      <c r="G103" s="32"/>
      <c r="H103" s="55"/>
      <c r="I103" s="55"/>
      <c r="J103" s="55"/>
      <c r="K103" s="55"/>
      <c r="L103" s="55">
        <f t="shared" si="107"/>
        <v>0</v>
      </c>
      <c r="M103" s="56"/>
      <c r="N103" s="56"/>
      <c r="O103" s="56"/>
      <c r="P103" s="57"/>
      <c r="Q103" s="55"/>
      <c r="R103" s="40">
        <f t="shared" si="108"/>
        <v>0</v>
      </c>
    </row>
    <row r="104" spans="2:18" ht="15" hidden="1" x14ac:dyDescent="0.4">
      <c r="B104" s="18"/>
      <c r="C104" s="53" t="s">
        <v>249</v>
      </c>
      <c r="D104" s="54"/>
      <c r="E104" s="274"/>
      <c r="F104" s="32"/>
      <c r="G104" s="32"/>
      <c r="H104" s="55"/>
      <c r="I104" s="55"/>
      <c r="J104" s="55"/>
      <c r="K104" s="55"/>
      <c r="L104" s="55"/>
      <c r="M104" s="56"/>
      <c r="N104" s="56"/>
      <c r="O104" s="56"/>
      <c r="P104" s="57"/>
      <c r="Q104" s="55"/>
      <c r="R104" s="40">
        <f t="shared" si="108"/>
        <v>0</v>
      </c>
    </row>
    <row r="105" spans="2:18" ht="15" hidden="1" x14ac:dyDescent="0.4">
      <c r="B105" s="18"/>
      <c r="C105" s="53" t="s">
        <v>251</v>
      </c>
      <c r="D105" s="54"/>
      <c r="E105" s="274"/>
      <c r="F105" s="32"/>
      <c r="G105" s="32"/>
      <c r="H105" s="55"/>
      <c r="I105" s="55"/>
      <c r="J105" s="55"/>
      <c r="K105" s="55"/>
      <c r="L105" s="55"/>
      <c r="M105" s="56"/>
      <c r="N105" s="56"/>
      <c r="O105" s="56"/>
      <c r="P105" s="57"/>
      <c r="Q105" s="55"/>
      <c r="R105" s="40">
        <f t="shared" si="108"/>
        <v>0</v>
      </c>
    </row>
    <row r="106" spans="2:18" ht="15" hidden="1" x14ac:dyDescent="0.4">
      <c r="B106" s="18"/>
      <c r="C106" s="53" t="s">
        <v>226</v>
      </c>
      <c r="D106" s="54"/>
      <c r="E106" s="274"/>
      <c r="F106" s="32"/>
      <c r="G106" s="32"/>
      <c r="H106" s="55"/>
      <c r="I106" s="55"/>
      <c r="J106" s="55"/>
      <c r="K106" s="55"/>
      <c r="L106" s="55"/>
      <c r="M106" s="56"/>
      <c r="N106" s="56"/>
      <c r="O106" s="56"/>
      <c r="P106" s="57"/>
      <c r="Q106" s="55"/>
      <c r="R106" s="40">
        <f t="shared" si="108"/>
        <v>0</v>
      </c>
    </row>
    <row r="107" spans="2:18" ht="15" hidden="1" thickBot="1" x14ac:dyDescent="0.4">
      <c r="B107" s="18"/>
      <c r="C107" s="58" t="s">
        <v>223</v>
      </c>
      <c r="D107" s="59"/>
      <c r="E107" s="276"/>
      <c r="F107" s="60"/>
      <c r="G107" s="60"/>
      <c r="H107" s="44"/>
      <c r="I107" s="44"/>
      <c r="J107" s="44"/>
      <c r="K107" s="44"/>
      <c r="L107" s="44"/>
      <c r="M107" s="44"/>
      <c r="N107" s="44"/>
      <c r="O107" s="44"/>
      <c r="P107" s="61"/>
      <c r="Q107" s="44"/>
      <c r="R107" s="48">
        <f>SUM(R97:R106)</f>
        <v>0</v>
      </c>
    </row>
    <row r="108" spans="2:18" hidden="1" x14ac:dyDescent="0.35"/>
    <row r="109" spans="2:18" hidden="1" x14ac:dyDescent="0.35">
      <c r="C109" s="62" t="s">
        <v>252</v>
      </c>
      <c r="D109" s="62"/>
      <c r="E109" s="277"/>
      <c r="F109" s="62"/>
      <c r="G109" s="63"/>
      <c r="H109" s="63"/>
      <c r="I109" s="64">
        <f>I76+I84+I92</f>
        <v>241.5</v>
      </c>
      <c r="J109" s="63"/>
      <c r="K109" s="64"/>
      <c r="L109" s="64"/>
      <c r="M109" s="64"/>
      <c r="N109" s="64"/>
      <c r="O109" s="63"/>
      <c r="P109" s="63"/>
      <c r="Q109" s="64">
        <f>Q76+Q84+R107+Q92</f>
        <v>51180</v>
      </c>
    </row>
    <row r="110" spans="2:18" hidden="1" x14ac:dyDescent="0.35">
      <c r="C110" s="18" t="s">
        <v>253</v>
      </c>
      <c r="D110" s="18"/>
      <c r="E110" s="272"/>
      <c r="F110" s="18"/>
      <c r="G110" s="18"/>
      <c r="H110" s="18"/>
      <c r="I110" s="65"/>
      <c r="J110" s="18"/>
      <c r="K110" s="65"/>
      <c r="L110" s="65"/>
      <c r="M110" s="65"/>
      <c r="N110" s="65"/>
      <c r="O110" s="18"/>
      <c r="P110" s="18"/>
      <c r="Q110" s="66"/>
    </row>
    <row r="111" spans="2:18" hidden="1" x14ac:dyDescent="0.35">
      <c r="C111" s="18" t="s">
        <v>254</v>
      </c>
      <c r="D111" s="18"/>
      <c r="E111" s="272"/>
      <c r="F111" s="18"/>
      <c r="G111" s="18"/>
      <c r="H111" s="18"/>
      <c r="I111" s="65"/>
      <c r="J111" s="18"/>
      <c r="K111" s="65"/>
      <c r="L111" s="65"/>
      <c r="M111" s="65"/>
      <c r="N111" s="65"/>
      <c r="O111" s="18"/>
      <c r="P111" s="18"/>
      <c r="Q111" s="19"/>
    </row>
    <row r="112" spans="2:18" hidden="1" x14ac:dyDescent="0.35"/>
    <row r="113" hidden="1" x14ac:dyDescent="0.35"/>
    <row r="114" hidden="1" x14ac:dyDescent="0.35"/>
    <row r="115" hidden="1" x14ac:dyDescent="0.35"/>
  </sheetData>
  <mergeCells count="15">
    <mergeCell ref="B5:S5"/>
    <mergeCell ref="B2:S2"/>
    <mergeCell ref="B3:S3"/>
    <mergeCell ref="B4:S4"/>
    <mergeCell ref="P95:R95"/>
    <mergeCell ref="K7:M7"/>
    <mergeCell ref="N7:S7"/>
    <mergeCell ref="C71:E71"/>
    <mergeCell ref="C72:E72"/>
    <mergeCell ref="C73:E73"/>
    <mergeCell ref="C74:E74"/>
    <mergeCell ref="C81:E81"/>
    <mergeCell ref="C82:E82"/>
    <mergeCell ref="C89:E89"/>
    <mergeCell ref="C90:E90"/>
  </mergeCells>
  <pageMargins left="0.7" right="0.7" top="0.75" bottom="0.75" header="0.3" footer="0.3"/>
  <pageSetup scale="4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80843-837A-4555-97C4-BAFDE35AC14B}">
  <sheetPr>
    <pageSetUpPr fitToPage="1"/>
  </sheetPr>
  <dimension ref="B1:S85"/>
  <sheetViews>
    <sheetView showOutlineSymbols="0" showWhiteSpace="0" topLeftCell="A23" zoomScale="90" zoomScaleNormal="90" workbookViewId="0">
      <selection activeCell="M74" sqref="M74"/>
    </sheetView>
    <sheetView view="pageBreakPreview" topLeftCell="A47" zoomScale="90" zoomScaleNormal="80" zoomScaleSheetLayoutView="90" workbookViewId="1">
      <selection activeCell="G51" sqref="G51"/>
    </sheetView>
  </sheetViews>
  <sheetFormatPr defaultColWidth="8.7265625" defaultRowHeight="14" x14ac:dyDescent="0.3"/>
  <cols>
    <col min="1" max="1" width="9.26953125" style="84" customWidth="1"/>
    <col min="2" max="2" width="28.7265625" style="84" customWidth="1"/>
    <col min="3" max="3" width="24.54296875" style="84" customWidth="1"/>
    <col min="4" max="4" width="16.1796875" style="159" customWidth="1"/>
    <col min="5" max="5" width="20" style="84" customWidth="1"/>
    <col min="6" max="6" width="40.453125" style="84" customWidth="1"/>
    <col min="7" max="7" width="13.26953125" style="84" customWidth="1"/>
    <col min="8" max="8" width="9.7265625" style="84" bestFit="1" customWidth="1"/>
    <col min="9" max="9" width="8.7265625" style="84"/>
    <col min="10" max="10" width="14.54296875" style="84" customWidth="1"/>
    <col min="11" max="11" width="15.81640625" style="84" customWidth="1"/>
    <col min="12" max="12" width="18.54296875" style="84" customWidth="1"/>
    <col min="13" max="13" width="10.81640625" style="84" customWidth="1"/>
    <col min="14" max="14" width="13.81640625" style="84" customWidth="1"/>
    <col min="15" max="15" width="11.7265625" style="84" customWidth="1"/>
    <col min="16" max="16" width="14.26953125" style="84" customWidth="1"/>
    <col min="17" max="18" width="10" style="84" bestFit="1" customWidth="1"/>
    <col min="19" max="16384" width="8.7265625" style="84"/>
  </cols>
  <sheetData>
    <row r="1" spans="2:19" s="192" customFormat="1" ht="15" customHeight="1" x14ac:dyDescent="0.35">
      <c r="B1" s="193" t="s">
        <v>195</v>
      </c>
    </row>
    <row r="2" spans="2:19" s="192" customFormat="1" ht="15" customHeight="1" x14ac:dyDescent="0.35">
      <c r="B2" s="615" t="s">
        <v>486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200"/>
      <c r="R2" s="200"/>
      <c r="S2" s="200"/>
    </row>
    <row r="3" spans="2:19" s="192" customFormat="1" ht="15" customHeight="1" x14ac:dyDescent="0.35">
      <c r="B3" s="615" t="s">
        <v>487</v>
      </c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  <c r="O3" s="615"/>
      <c r="P3" s="615"/>
      <c r="Q3" s="200"/>
      <c r="R3" s="200"/>
      <c r="S3" s="200"/>
    </row>
    <row r="4" spans="2:19" s="192" customFormat="1" ht="15" customHeight="1" x14ac:dyDescent="0.35">
      <c r="B4" s="615"/>
      <c r="C4" s="615"/>
      <c r="D4" s="615"/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200"/>
      <c r="R4" s="200"/>
      <c r="S4" s="200"/>
    </row>
    <row r="5" spans="2:19" s="192" customFormat="1" ht="15" customHeight="1" x14ac:dyDescent="0.35">
      <c r="B5" s="615" t="s">
        <v>479</v>
      </c>
      <c r="C5" s="615"/>
      <c r="D5" s="615"/>
      <c r="E5" s="615"/>
      <c r="F5" s="615"/>
      <c r="G5" s="615"/>
      <c r="H5" s="615"/>
      <c r="I5" s="615"/>
      <c r="J5" s="615"/>
      <c r="K5" s="615"/>
      <c r="L5" s="615"/>
      <c r="M5" s="615"/>
      <c r="N5" s="615"/>
      <c r="O5" s="615"/>
      <c r="P5" s="615"/>
      <c r="Q5" s="200"/>
      <c r="R5" s="200"/>
      <c r="S5" s="200"/>
    </row>
    <row r="6" spans="2:19" s="192" customFormat="1" ht="8.5" customHeight="1" x14ac:dyDescent="0.35"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200"/>
      <c r="R6" s="200"/>
      <c r="S6" s="200"/>
    </row>
    <row r="7" spans="2:19" s="192" customFormat="1" ht="15" customHeight="1" x14ac:dyDescent="0.35">
      <c r="B7" s="193" t="s">
        <v>551</v>
      </c>
      <c r="D7" s="279"/>
    </row>
    <row r="8" spans="2:19" ht="42" x14ac:dyDescent="0.3">
      <c r="B8" s="204" t="s">
        <v>1</v>
      </c>
      <c r="C8" s="204" t="s">
        <v>399</v>
      </c>
      <c r="D8" s="204" t="s">
        <v>303</v>
      </c>
      <c r="E8" s="204" t="s">
        <v>304</v>
      </c>
      <c r="F8" s="204" t="s">
        <v>305</v>
      </c>
      <c r="G8" s="204" t="s">
        <v>306</v>
      </c>
      <c r="H8" s="204" t="s">
        <v>121</v>
      </c>
      <c r="I8" s="204" t="s">
        <v>307</v>
      </c>
      <c r="J8" s="204" t="s">
        <v>308</v>
      </c>
      <c r="K8" s="204" t="s">
        <v>309</v>
      </c>
      <c r="L8" s="204" t="s">
        <v>310</v>
      </c>
      <c r="M8" s="204" t="s">
        <v>311</v>
      </c>
      <c r="N8" s="204" t="s">
        <v>312</v>
      </c>
      <c r="O8" s="280" t="s">
        <v>313</v>
      </c>
      <c r="P8" s="281" t="s">
        <v>314</v>
      </c>
    </row>
    <row r="9" spans="2:19" ht="14.5" thickBot="1" x14ac:dyDescent="0.35">
      <c r="B9" s="282"/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282"/>
      <c r="O9" s="282"/>
      <c r="P9" s="282"/>
    </row>
    <row r="10" spans="2:19" s="106" customFormat="1" ht="26.15" customHeight="1" thickBot="1" x14ac:dyDescent="0.4">
      <c r="B10" s="612" t="s">
        <v>478</v>
      </c>
      <c r="C10" s="613"/>
      <c r="D10" s="613"/>
      <c r="E10" s="613"/>
      <c r="F10" s="613"/>
      <c r="G10" s="613"/>
      <c r="H10" s="613"/>
      <c r="I10" s="613"/>
      <c r="J10" s="613"/>
      <c r="K10" s="613"/>
      <c r="L10" s="613"/>
      <c r="M10" s="613"/>
      <c r="N10" s="613"/>
      <c r="O10" s="613"/>
      <c r="P10" s="614"/>
    </row>
    <row r="11" spans="2:19" ht="59.25" customHeight="1" x14ac:dyDescent="0.3">
      <c r="B11" s="76" t="s">
        <v>32</v>
      </c>
      <c r="C11" s="77" t="s">
        <v>82</v>
      </c>
      <c r="D11" s="78" t="s">
        <v>400</v>
      </c>
      <c r="E11" s="77" t="s">
        <v>401</v>
      </c>
      <c r="F11" s="78" t="s">
        <v>402</v>
      </c>
      <c r="G11" s="102">
        <v>1181.25</v>
      </c>
      <c r="H11" s="77">
        <f t="shared" ref="H11" si="0">K11-(K11/1.05)</f>
        <v>59.0625</v>
      </c>
      <c r="I11" s="77"/>
      <c r="J11" s="77">
        <f>G11-I11</f>
        <v>1181.25</v>
      </c>
      <c r="K11" s="77">
        <v>1240.3125</v>
      </c>
      <c r="L11" s="115" t="s">
        <v>403</v>
      </c>
      <c r="M11" s="80">
        <f>J11</f>
        <v>1181.25</v>
      </c>
      <c r="N11" s="77">
        <v>1</v>
      </c>
      <c r="O11" s="77">
        <f>IF((M11*N11)&gt;J11,J11,(M11*N11))</f>
        <v>1181.25</v>
      </c>
      <c r="P11" s="81">
        <f t="shared" ref="P11:P28" si="1">G11-O11</f>
        <v>0</v>
      </c>
    </row>
    <row r="12" spans="2:19" ht="76.900000000000006" customHeight="1" x14ac:dyDescent="0.3">
      <c r="B12" s="76" t="s">
        <v>404</v>
      </c>
      <c r="C12" s="82" t="s">
        <v>107</v>
      </c>
      <c r="D12" s="78" t="s">
        <v>405</v>
      </c>
      <c r="E12" s="77" t="s">
        <v>555</v>
      </c>
      <c r="F12" s="78" t="s">
        <v>406</v>
      </c>
      <c r="G12" s="102">
        <v>1964</v>
      </c>
      <c r="H12" s="77">
        <v>98.2</v>
      </c>
      <c r="I12" s="77"/>
      <c r="J12" s="77">
        <f t="shared" ref="J12:J28" si="2">G12-I12</f>
        <v>1964</v>
      </c>
      <c r="K12" s="77">
        <f>+J12+H12</f>
        <v>2062.1999999999998</v>
      </c>
      <c r="L12" s="116" t="s">
        <v>556</v>
      </c>
      <c r="M12" s="80">
        <f>J12</f>
        <v>1964</v>
      </c>
      <c r="N12" s="77">
        <v>1</v>
      </c>
      <c r="O12" s="77">
        <f t="shared" ref="O12:O28" si="3">IF((M12*N12)&gt;J12,J12,(M12*N12))</f>
        <v>1964</v>
      </c>
      <c r="P12" s="81">
        <f t="shared" si="1"/>
        <v>0</v>
      </c>
    </row>
    <row r="13" spans="2:19" ht="69.650000000000006" customHeight="1" x14ac:dyDescent="0.3">
      <c r="B13" s="76" t="s">
        <v>34</v>
      </c>
      <c r="C13" s="83">
        <v>3630</v>
      </c>
      <c r="D13" s="78" t="s">
        <v>407</v>
      </c>
      <c r="E13" s="77" t="s">
        <v>401</v>
      </c>
      <c r="F13" s="78" t="s">
        <v>408</v>
      </c>
      <c r="G13" s="102">
        <v>570.53</v>
      </c>
      <c r="H13" s="77">
        <f>+G13*0.05</f>
        <v>28.526499999999999</v>
      </c>
      <c r="I13" s="77"/>
      <c r="J13" s="77">
        <f t="shared" si="2"/>
        <v>570.53</v>
      </c>
      <c r="K13" s="77">
        <f>+J13+H13</f>
        <v>599.05649999999991</v>
      </c>
      <c r="L13" s="115" t="s">
        <v>403</v>
      </c>
      <c r="M13" s="80">
        <f>J13</f>
        <v>570.53</v>
      </c>
      <c r="N13" s="77">
        <v>1</v>
      </c>
      <c r="O13" s="77">
        <f t="shared" si="3"/>
        <v>570.53</v>
      </c>
      <c r="P13" s="81">
        <f t="shared" si="1"/>
        <v>0</v>
      </c>
    </row>
    <row r="14" spans="2:19" ht="12" customHeight="1" x14ac:dyDescent="0.3">
      <c r="B14" s="76"/>
      <c r="C14" s="83"/>
      <c r="D14" s="78"/>
      <c r="E14" s="77"/>
      <c r="F14" s="78"/>
      <c r="G14" s="102"/>
      <c r="H14" s="77"/>
      <c r="I14" s="77"/>
      <c r="J14" s="77"/>
      <c r="K14" s="77"/>
      <c r="L14" s="90"/>
      <c r="M14" s="80"/>
      <c r="N14" s="77"/>
      <c r="O14" s="77"/>
      <c r="P14" s="81">
        <f t="shared" si="1"/>
        <v>0</v>
      </c>
    </row>
    <row r="15" spans="2:19" ht="43.4" customHeight="1" x14ac:dyDescent="0.3">
      <c r="B15" s="129" t="s">
        <v>496</v>
      </c>
      <c r="C15" s="283" t="s">
        <v>495</v>
      </c>
      <c r="D15" s="102" t="s">
        <v>291</v>
      </c>
      <c r="E15" s="80" t="s">
        <v>180</v>
      </c>
      <c r="F15" s="102" t="s">
        <v>409</v>
      </c>
      <c r="G15" s="102">
        <v>82.86</v>
      </c>
      <c r="H15" s="80">
        <f>G15*0.05</f>
        <v>4.1429999999999998</v>
      </c>
      <c r="I15" s="80"/>
      <c r="J15" s="80">
        <f t="shared" si="2"/>
        <v>82.86</v>
      </c>
      <c r="K15" s="80">
        <f t="shared" ref="K15:K21" si="4">G15+H15</f>
        <v>87.003</v>
      </c>
      <c r="L15" s="90" t="s">
        <v>378</v>
      </c>
      <c r="M15" s="80">
        <f>G15</f>
        <v>82.86</v>
      </c>
      <c r="N15" s="80">
        <v>1</v>
      </c>
      <c r="O15" s="80">
        <f t="shared" si="3"/>
        <v>82.86</v>
      </c>
      <c r="P15" s="112">
        <f t="shared" si="1"/>
        <v>0</v>
      </c>
    </row>
    <row r="16" spans="2:19" ht="43.4" customHeight="1" x14ac:dyDescent="0.3">
      <c r="B16" s="129" t="s">
        <v>493</v>
      </c>
      <c r="C16" s="283" t="s">
        <v>494</v>
      </c>
      <c r="D16" s="102" t="s">
        <v>410</v>
      </c>
      <c r="E16" s="80" t="s">
        <v>385</v>
      </c>
      <c r="F16" s="102" t="s">
        <v>411</v>
      </c>
      <c r="G16" s="102">
        <f>39.47+7.46</f>
        <v>46.93</v>
      </c>
      <c r="H16" s="80">
        <v>1.97</v>
      </c>
      <c r="I16" s="80">
        <v>7.46</v>
      </c>
      <c r="J16" s="80">
        <f t="shared" si="2"/>
        <v>39.47</v>
      </c>
      <c r="K16" s="80">
        <f t="shared" si="4"/>
        <v>48.9</v>
      </c>
      <c r="L16" s="102" t="s">
        <v>384</v>
      </c>
      <c r="M16" s="80">
        <v>22.35</v>
      </c>
      <c r="N16" s="80">
        <v>2</v>
      </c>
      <c r="O16" s="80">
        <f t="shared" si="3"/>
        <v>39.47</v>
      </c>
      <c r="P16" s="112">
        <f t="shared" si="1"/>
        <v>7.4600000000000009</v>
      </c>
    </row>
    <row r="17" spans="2:16" ht="43.4" customHeight="1" x14ac:dyDescent="0.3">
      <c r="B17" s="129" t="s">
        <v>497</v>
      </c>
      <c r="C17" s="283" t="s">
        <v>498</v>
      </c>
      <c r="D17" s="102" t="s">
        <v>410</v>
      </c>
      <c r="E17" s="80" t="s">
        <v>412</v>
      </c>
      <c r="F17" s="102" t="s">
        <v>413</v>
      </c>
      <c r="G17" s="102">
        <f>86.5+16.34</f>
        <v>102.84</v>
      </c>
      <c r="H17" s="80">
        <v>4.32</v>
      </c>
      <c r="I17" s="80">
        <v>16.34</v>
      </c>
      <c r="J17" s="80">
        <f t="shared" si="2"/>
        <v>86.5</v>
      </c>
      <c r="K17" s="80">
        <f t="shared" si="4"/>
        <v>107.16</v>
      </c>
      <c r="L17" s="102" t="s">
        <v>384</v>
      </c>
      <c r="M17" s="80">
        <v>64.45</v>
      </c>
      <c r="N17" s="80">
        <v>2</v>
      </c>
      <c r="O17" s="80">
        <f t="shared" si="3"/>
        <v>86.5</v>
      </c>
      <c r="P17" s="112">
        <f t="shared" si="1"/>
        <v>16.340000000000003</v>
      </c>
    </row>
    <row r="18" spans="2:16" ht="43.4" customHeight="1" x14ac:dyDescent="0.3">
      <c r="B18" s="129" t="s">
        <v>344</v>
      </c>
      <c r="C18" s="283" t="s">
        <v>503</v>
      </c>
      <c r="D18" s="102" t="s">
        <v>414</v>
      </c>
      <c r="E18" s="80" t="s">
        <v>557</v>
      </c>
      <c r="F18" s="102" t="s">
        <v>415</v>
      </c>
      <c r="G18" s="102">
        <v>448</v>
      </c>
      <c r="H18" s="80">
        <f t="shared" ref="H18" si="5">G18*0.05</f>
        <v>22.400000000000002</v>
      </c>
      <c r="I18" s="80"/>
      <c r="J18" s="80">
        <f t="shared" si="2"/>
        <v>448</v>
      </c>
      <c r="K18" s="80">
        <f t="shared" si="4"/>
        <v>470.4</v>
      </c>
      <c r="L18" s="102" t="s">
        <v>373</v>
      </c>
      <c r="M18" s="80">
        <v>241</v>
      </c>
      <c r="N18" s="80">
        <v>2</v>
      </c>
      <c r="O18" s="80">
        <f t="shared" si="3"/>
        <v>448</v>
      </c>
      <c r="P18" s="112">
        <f t="shared" si="1"/>
        <v>0</v>
      </c>
    </row>
    <row r="19" spans="2:16" ht="43.4" customHeight="1" x14ac:dyDescent="0.3">
      <c r="B19" s="129" t="s">
        <v>499</v>
      </c>
      <c r="C19" s="80" t="s">
        <v>500</v>
      </c>
      <c r="D19" s="102" t="s">
        <v>416</v>
      </c>
      <c r="E19" s="80" t="s">
        <v>412</v>
      </c>
      <c r="F19" s="102" t="s">
        <v>417</v>
      </c>
      <c r="G19" s="102">
        <v>41.4</v>
      </c>
      <c r="H19" s="80">
        <v>0</v>
      </c>
      <c r="I19" s="80">
        <v>5.4</v>
      </c>
      <c r="J19" s="80">
        <f>G19-I19</f>
        <v>36</v>
      </c>
      <c r="K19" s="80">
        <f t="shared" si="4"/>
        <v>41.4</v>
      </c>
      <c r="L19" s="102" t="s">
        <v>384</v>
      </c>
      <c r="M19" s="80">
        <v>64.45</v>
      </c>
      <c r="N19" s="80">
        <v>2</v>
      </c>
      <c r="O19" s="80">
        <f t="shared" ref="O19" si="6">IF((M19*N19)&gt;J19,J19,(M19*N19))</f>
        <v>36</v>
      </c>
      <c r="P19" s="112">
        <f t="shared" ref="P19" si="7">G19-O19</f>
        <v>5.3999999999999986</v>
      </c>
    </row>
    <row r="20" spans="2:16" ht="43.4" customHeight="1" x14ac:dyDescent="0.3">
      <c r="B20" s="129" t="s">
        <v>323</v>
      </c>
      <c r="C20" s="80" t="s">
        <v>491</v>
      </c>
      <c r="D20" s="102" t="s">
        <v>291</v>
      </c>
      <c r="E20" s="80" t="s">
        <v>418</v>
      </c>
      <c r="F20" s="102" t="s">
        <v>419</v>
      </c>
      <c r="G20" s="102">
        <f>23.45-1.02</f>
        <v>22.43</v>
      </c>
      <c r="H20" s="80">
        <v>1.02</v>
      </c>
      <c r="I20" s="80">
        <v>2.13</v>
      </c>
      <c r="J20" s="80">
        <f t="shared" si="2"/>
        <v>20.3</v>
      </c>
      <c r="K20" s="80">
        <f t="shared" si="4"/>
        <v>23.45</v>
      </c>
      <c r="L20" s="102" t="s">
        <v>384</v>
      </c>
      <c r="M20" s="80">
        <v>24.35</v>
      </c>
      <c r="N20" s="80">
        <v>2</v>
      </c>
      <c r="O20" s="80">
        <f t="shared" si="3"/>
        <v>20.3</v>
      </c>
      <c r="P20" s="112">
        <f t="shared" si="1"/>
        <v>2.129999999999999</v>
      </c>
    </row>
    <row r="21" spans="2:16" ht="43.4" customHeight="1" x14ac:dyDescent="0.3">
      <c r="B21" s="129" t="s">
        <v>334</v>
      </c>
      <c r="C21" s="283" t="s">
        <v>492</v>
      </c>
      <c r="D21" s="102" t="s">
        <v>291</v>
      </c>
      <c r="E21" s="80" t="s">
        <v>385</v>
      </c>
      <c r="F21" s="102" t="s">
        <v>420</v>
      </c>
      <c r="G21" s="102">
        <f>73.1-2.95</f>
        <v>70.149999999999991</v>
      </c>
      <c r="H21" s="80">
        <v>2.95</v>
      </c>
      <c r="I21" s="80">
        <v>11.15</v>
      </c>
      <c r="J21" s="80">
        <f t="shared" si="2"/>
        <v>58.999999999999993</v>
      </c>
      <c r="K21" s="80">
        <f t="shared" si="4"/>
        <v>73.099999999999994</v>
      </c>
      <c r="L21" s="102" t="s">
        <v>384</v>
      </c>
      <c r="M21" s="80">
        <v>22.35</v>
      </c>
      <c r="N21" s="80">
        <v>3</v>
      </c>
      <c r="O21" s="80">
        <f t="shared" si="3"/>
        <v>58.999999999999993</v>
      </c>
      <c r="P21" s="112">
        <f>G21-O21</f>
        <v>11.149999999999999</v>
      </c>
    </row>
    <row r="22" spans="2:16" ht="12" customHeight="1" x14ac:dyDescent="0.3">
      <c r="B22" s="129"/>
      <c r="C22" s="80"/>
      <c r="D22" s="102"/>
      <c r="E22" s="80"/>
      <c r="F22" s="102"/>
      <c r="G22" s="102"/>
      <c r="H22" s="80"/>
      <c r="I22" s="80"/>
      <c r="J22" s="80"/>
      <c r="K22" s="80"/>
      <c r="L22" s="90"/>
      <c r="M22" s="80"/>
      <c r="N22" s="80"/>
      <c r="O22" s="80"/>
      <c r="P22" s="112"/>
    </row>
    <row r="23" spans="2:16" ht="58.5" customHeight="1" x14ac:dyDescent="0.3">
      <c r="B23" s="129" t="s">
        <v>427</v>
      </c>
      <c r="C23" s="283" t="s">
        <v>501</v>
      </c>
      <c r="D23" s="102" t="s">
        <v>421</v>
      </c>
      <c r="E23" s="80" t="s">
        <v>175</v>
      </c>
      <c r="F23" s="102" t="s">
        <v>422</v>
      </c>
      <c r="G23" s="102">
        <f>860+49.25+25</f>
        <v>934.25</v>
      </c>
      <c r="H23" s="80">
        <f>G23*0.05</f>
        <v>46.712500000000006</v>
      </c>
      <c r="I23" s="80"/>
      <c r="J23" s="80">
        <f t="shared" si="2"/>
        <v>934.25</v>
      </c>
      <c r="K23" s="80">
        <f>G23+H23</f>
        <v>980.96249999999998</v>
      </c>
      <c r="L23" s="90" t="s">
        <v>250</v>
      </c>
      <c r="M23" s="80">
        <f>G23/2</f>
        <v>467.125</v>
      </c>
      <c r="N23" s="80">
        <v>2</v>
      </c>
      <c r="O23" s="80">
        <f t="shared" si="3"/>
        <v>934.25</v>
      </c>
      <c r="P23" s="112">
        <f t="shared" si="1"/>
        <v>0</v>
      </c>
    </row>
    <row r="24" spans="2:16" ht="56.25" customHeight="1" x14ac:dyDescent="0.3">
      <c r="B24" s="129" t="s">
        <v>427</v>
      </c>
      <c r="C24" s="283" t="s">
        <v>502</v>
      </c>
      <c r="D24" s="102" t="s">
        <v>421</v>
      </c>
      <c r="E24" s="80" t="s">
        <v>175</v>
      </c>
      <c r="F24" s="102" t="s">
        <v>423</v>
      </c>
      <c r="G24" s="102">
        <f>888+49.25+9</f>
        <v>946.25</v>
      </c>
      <c r="H24" s="80">
        <f>G24*0.05</f>
        <v>47.3125</v>
      </c>
      <c r="I24" s="80"/>
      <c r="J24" s="80">
        <f t="shared" si="2"/>
        <v>946.25</v>
      </c>
      <c r="K24" s="80">
        <f t="shared" ref="K24:K28" si="8">G24+H24</f>
        <v>993.5625</v>
      </c>
      <c r="L24" s="90" t="s">
        <v>250</v>
      </c>
      <c r="M24" s="80">
        <f>G24/2</f>
        <v>473.125</v>
      </c>
      <c r="N24" s="80">
        <v>2</v>
      </c>
      <c r="O24" s="80">
        <f t="shared" si="3"/>
        <v>946.25</v>
      </c>
      <c r="P24" s="112">
        <f t="shared" si="1"/>
        <v>0</v>
      </c>
    </row>
    <row r="25" spans="2:16" ht="42" x14ac:dyDescent="0.3">
      <c r="B25" s="129" t="s">
        <v>344</v>
      </c>
      <c r="C25" s="283" t="s">
        <v>504</v>
      </c>
      <c r="D25" s="102" t="s">
        <v>414</v>
      </c>
      <c r="E25" s="80" t="s">
        <v>557</v>
      </c>
      <c r="F25" s="102" t="s">
        <v>424</v>
      </c>
      <c r="G25" s="102">
        <v>480</v>
      </c>
      <c r="H25" s="80">
        <f t="shared" ref="H25:H28" si="9">G25*0.05</f>
        <v>24</v>
      </c>
      <c r="I25" s="80"/>
      <c r="J25" s="80">
        <f t="shared" si="2"/>
        <v>480</v>
      </c>
      <c r="K25" s="80">
        <f t="shared" si="8"/>
        <v>504</v>
      </c>
      <c r="L25" s="102" t="s">
        <v>373</v>
      </c>
      <c r="M25" s="80">
        <v>241</v>
      </c>
      <c r="N25" s="80">
        <v>2</v>
      </c>
      <c r="O25" s="80">
        <f t="shared" si="3"/>
        <v>480</v>
      </c>
      <c r="P25" s="112">
        <f t="shared" si="1"/>
        <v>0</v>
      </c>
    </row>
    <row r="26" spans="2:16" x14ac:dyDescent="0.3">
      <c r="B26" s="129" t="s">
        <v>323</v>
      </c>
      <c r="C26" s="283" t="s">
        <v>505</v>
      </c>
      <c r="D26" s="102" t="s">
        <v>416</v>
      </c>
      <c r="E26" s="80" t="s">
        <v>418</v>
      </c>
      <c r="F26" s="102" t="s">
        <v>425</v>
      </c>
      <c r="G26" s="102">
        <v>11.4</v>
      </c>
      <c r="H26" s="80">
        <f t="shared" si="9"/>
        <v>0.57000000000000006</v>
      </c>
      <c r="I26" s="80"/>
      <c r="J26" s="80">
        <f t="shared" si="2"/>
        <v>11.4</v>
      </c>
      <c r="K26" s="80">
        <f>G26+H26</f>
        <v>11.97</v>
      </c>
      <c r="L26" s="90"/>
      <c r="M26" s="80">
        <v>24.35</v>
      </c>
      <c r="N26" s="80">
        <v>1</v>
      </c>
      <c r="O26" s="80">
        <f t="shared" si="3"/>
        <v>11.4</v>
      </c>
      <c r="P26" s="112">
        <f t="shared" si="1"/>
        <v>0</v>
      </c>
    </row>
    <row r="27" spans="2:16" x14ac:dyDescent="0.3">
      <c r="B27" s="129"/>
      <c r="C27" s="80"/>
      <c r="D27" s="102"/>
      <c r="E27" s="80"/>
      <c r="F27" s="102"/>
      <c r="G27" s="102"/>
      <c r="H27" s="80">
        <f t="shared" si="9"/>
        <v>0</v>
      </c>
      <c r="I27" s="80"/>
      <c r="J27" s="80">
        <f t="shared" si="2"/>
        <v>0</v>
      </c>
      <c r="K27" s="80">
        <f t="shared" si="8"/>
        <v>0</v>
      </c>
      <c r="L27" s="90"/>
      <c r="M27" s="80"/>
      <c r="N27" s="80"/>
      <c r="O27" s="80">
        <f t="shared" si="3"/>
        <v>0</v>
      </c>
      <c r="P27" s="112">
        <f t="shared" si="1"/>
        <v>0</v>
      </c>
    </row>
    <row r="28" spans="2:16" x14ac:dyDescent="0.3">
      <c r="B28" s="129"/>
      <c r="C28" s="80"/>
      <c r="D28" s="102"/>
      <c r="E28" s="80"/>
      <c r="F28" s="102"/>
      <c r="G28" s="102"/>
      <c r="H28" s="80">
        <f t="shared" si="9"/>
        <v>0</v>
      </c>
      <c r="I28" s="80"/>
      <c r="J28" s="80">
        <f t="shared" si="2"/>
        <v>0</v>
      </c>
      <c r="K28" s="80">
        <f t="shared" si="8"/>
        <v>0</v>
      </c>
      <c r="L28" s="90"/>
      <c r="M28" s="80"/>
      <c r="N28" s="80"/>
      <c r="O28" s="80">
        <f t="shared" si="3"/>
        <v>0</v>
      </c>
      <c r="P28" s="112">
        <f t="shared" si="1"/>
        <v>0</v>
      </c>
    </row>
    <row r="29" spans="2:16" ht="15" customHeight="1" thickBot="1" x14ac:dyDescent="0.35">
      <c r="B29" s="130" t="s">
        <v>252</v>
      </c>
      <c r="C29" s="87"/>
      <c r="D29" s="131"/>
      <c r="E29" s="87"/>
      <c r="F29" s="131"/>
      <c r="G29" s="131">
        <f>SUM(G11:G28)</f>
        <v>6902.2899999999991</v>
      </c>
      <c r="H29" s="131">
        <f>SUM(H11:H28)</f>
        <v>341.18699999999995</v>
      </c>
      <c r="I29" s="87"/>
      <c r="J29" s="131">
        <f>SUM(J11:J28)</f>
        <v>6859.8099999999995</v>
      </c>
      <c r="K29" s="131">
        <f>SUM(K11:K28)</f>
        <v>7243.476999999999</v>
      </c>
      <c r="L29" s="132"/>
      <c r="M29" s="87"/>
      <c r="N29" s="87"/>
      <c r="O29" s="131">
        <f>SUM(O11:O28)</f>
        <v>6859.8099999999995</v>
      </c>
      <c r="P29" s="133">
        <f>SUM(P11:P28)</f>
        <v>42.480000000000004</v>
      </c>
    </row>
    <row r="32" spans="2:16" ht="14.5" thickBot="1" x14ac:dyDescent="0.35"/>
    <row r="33" spans="2:18" ht="25.4" customHeight="1" thickBot="1" x14ac:dyDescent="0.35">
      <c r="B33" s="612" t="s">
        <v>426</v>
      </c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4"/>
    </row>
    <row r="34" spans="2:18" ht="42" x14ac:dyDescent="0.3">
      <c r="B34" s="134" t="s">
        <v>1</v>
      </c>
      <c r="C34" s="135" t="s">
        <v>399</v>
      </c>
      <c r="D34" s="135" t="s">
        <v>303</v>
      </c>
      <c r="E34" s="135" t="s">
        <v>304</v>
      </c>
      <c r="F34" s="135" t="s">
        <v>305</v>
      </c>
      <c r="G34" s="135" t="s">
        <v>306</v>
      </c>
      <c r="H34" s="135" t="s">
        <v>121</v>
      </c>
      <c r="I34" s="135" t="s">
        <v>307</v>
      </c>
      <c r="J34" s="135" t="s">
        <v>308</v>
      </c>
      <c r="K34" s="135" t="s">
        <v>309</v>
      </c>
      <c r="L34" s="136" t="s">
        <v>310</v>
      </c>
      <c r="M34" s="135" t="s">
        <v>311</v>
      </c>
      <c r="N34" s="135" t="s">
        <v>312</v>
      </c>
      <c r="O34" s="135" t="s">
        <v>313</v>
      </c>
      <c r="P34" s="137" t="s">
        <v>314</v>
      </c>
    </row>
    <row r="35" spans="2:18" ht="63.75" customHeight="1" x14ac:dyDescent="0.3">
      <c r="B35" s="129" t="s">
        <v>427</v>
      </c>
      <c r="C35" s="118">
        <v>235313469</v>
      </c>
      <c r="D35" s="102" t="s">
        <v>428</v>
      </c>
      <c r="E35" s="80" t="s">
        <v>175</v>
      </c>
      <c r="F35" s="102" t="s">
        <v>429</v>
      </c>
      <c r="G35" s="102">
        <f>648+25.5+49.25</f>
        <v>722.75</v>
      </c>
      <c r="H35" s="80">
        <f>34.86+1.28</f>
        <v>36.14</v>
      </c>
      <c r="I35" s="80"/>
      <c r="J35" s="80">
        <f t="shared" ref="J35:J67" si="10">G35-I35</f>
        <v>722.75</v>
      </c>
      <c r="K35" s="80">
        <f t="shared" ref="K35:K71" si="11">G35+H35</f>
        <v>758.89</v>
      </c>
      <c r="L35" s="90" t="s">
        <v>250</v>
      </c>
      <c r="M35" s="80">
        <f>G35/2</f>
        <v>361.375</v>
      </c>
      <c r="N35" s="80">
        <v>2</v>
      </c>
      <c r="O35" s="90">
        <f>IF((M35*N35)&gt;J35,J35,(M35*N35))</f>
        <v>722.75</v>
      </c>
      <c r="P35" s="104">
        <f t="shared" ref="P35:P66" si="12">G35-O35</f>
        <v>0</v>
      </c>
    </row>
    <row r="36" spans="2:18" ht="69.75" customHeight="1" x14ac:dyDescent="0.3">
      <c r="B36" s="129" t="s">
        <v>344</v>
      </c>
      <c r="C36" s="284" t="s">
        <v>507</v>
      </c>
      <c r="D36" s="102" t="s">
        <v>430</v>
      </c>
      <c r="E36" s="80" t="s">
        <v>557</v>
      </c>
      <c r="F36" s="102" t="s">
        <v>431</v>
      </c>
      <c r="G36" s="102">
        <f>1455.3/1.05</f>
        <v>1386</v>
      </c>
      <c r="H36" s="80">
        <f t="shared" ref="H36:H41" si="13">G36*0.05</f>
        <v>69.3</v>
      </c>
      <c r="I36" s="80"/>
      <c r="J36" s="80">
        <f t="shared" si="10"/>
        <v>1386</v>
      </c>
      <c r="K36" s="80">
        <f t="shared" si="11"/>
        <v>1455.3</v>
      </c>
      <c r="L36" s="90"/>
      <c r="M36" s="80">
        <v>208</v>
      </c>
      <c r="N36" s="80">
        <v>7</v>
      </c>
      <c r="O36" s="90">
        <f>IF((M36*N36)&gt;J36,J36,(M36*N36))</f>
        <v>1386</v>
      </c>
      <c r="P36" s="104">
        <f t="shared" si="12"/>
        <v>0</v>
      </c>
    </row>
    <row r="37" spans="2:18" ht="69.75" customHeight="1" x14ac:dyDescent="0.3">
      <c r="B37" s="129" t="s">
        <v>514</v>
      </c>
      <c r="C37" s="284" t="s">
        <v>506</v>
      </c>
      <c r="D37" s="138" t="s">
        <v>432</v>
      </c>
      <c r="E37" s="80" t="s">
        <v>179</v>
      </c>
      <c r="F37" s="102" t="s">
        <v>433</v>
      </c>
      <c r="G37" s="102">
        <f>80/1.05+12.8</f>
        <v>88.990476190476187</v>
      </c>
      <c r="H37" s="80">
        <f>(G37-12.8)*0.05</f>
        <v>3.8095238095238098</v>
      </c>
      <c r="I37" s="80">
        <v>12.8</v>
      </c>
      <c r="J37" s="80">
        <f t="shared" si="10"/>
        <v>76.19047619047619</v>
      </c>
      <c r="K37" s="80">
        <f t="shared" si="11"/>
        <v>92.8</v>
      </c>
      <c r="L37" s="90"/>
      <c r="M37" s="80">
        <v>76.19</v>
      </c>
      <c r="N37" s="80">
        <v>1</v>
      </c>
      <c r="O37" s="90">
        <f>IF((M37*N37)&gt;J37,J37,(M37*N37))</f>
        <v>76.19</v>
      </c>
      <c r="P37" s="104">
        <f t="shared" si="12"/>
        <v>12.800476190476189</v>
      </c>
    </row>
    <row r="38" spans="2:18" ht="69.75" customHeight="1" x14ac:dyDescent="0.3">
      <c r="B38" s="129" t="s">
        <v>435</v>
      </c>
      <c r="C38" s="284" t="s">
        <v>510</v>
      </c>
      <c r="D38" s="102" t="s">
        <v>330</v>
      </c>
      <c r="E38" s="80" t="s">
        <v>412</v>
      </c>
      <c r="F38" s="102" t="s">
        <v>508</v>
      </c>
      <c r="G38" s="102">
        <f>32.6-1.35</f>
        <v>31.25</v>
      </c>
      <c r="H38" s="80">
        <v>1.35</v>
      </c>
      <c r="I38" s="80">
        <v>4.26</v>
      </c>
      <c r="J38" s="80">
        <f t="shared" si="10"/>
        <v>26.990000000000002</v>
      </c>
      <c r="K38" s="80">
        <f t="shared" si="11"/>
        <v>32.6</v>
      </c>
      <c r="L38" s="90"/>
      <c r="M38" s="80">
        <v>64.45</v>
      </c>
      <c r="N38" s="80">
        <v>0.5</v>
      </c>
      <c r="O38" s="90">
        <f t="shared" ref="O38:O41" si="14">IF((M38*N38)&gt;J38,J38,(M38*N38))</f>
        <v>26.990000000000002</v>
      </c>
      <c r="P38" s="104">
        <f t="shared" si="12"/>
        <v>4.259999999999998</v>
      </c>
    </row>
    <row r="39" spans="2:18" ht="69.75" customHeight="1" x14ac:dyDescent="0.3">
      <c r="B39" s="129" t="s">
        <v>512</v>
      </c>
      <c r="C39" s="284" t="s">
        <v>511</v>
      </c>
      <c r="D39" s="102" t="s">
        <v>330</v>
      </c>
      <c r="E39" s="80" t="s">
        <v>412</v>
      </c>
      <c r="F39" s="102" t="s">
        <v>558</v>
      </c>
      <c r="G39" s="102">
        <v>22.98</v>
      </c>
      <c r="H39" s="80">
        <v>0.85</v>
      </c>
      <c r="I39" s="80"/>
      <c r="J39" s="80">
        <f t="shared" si="10"/>
        <v>22.98</v>
      </c>
      <c r="K39" s="80">
        <f t="shared" si="11"/>
        <v>23.830000000000002</v>
      </c>
      <c r="L39" s="90"/>
      <c r="M39" s="80">
        <v>64.45</v>
      </c>
      <c r="N39" s="80">
        <v>0.5</v>
      </c>
      <c r="O39" s="90">
        <f t="shared" si="14"/>
        <v>22.98</v>
      </c>
      <c r="P39" s="104">
        <f t="shared" si="12"/>
        <v>0</v>
      </c>
    </row>
    <row r="40" spans="2:18" ht="69.75" customHeight="1" x14ac:dyDescent="0.3">
      <c r="B40" s="129" t="s">
        <v>364</v>
      </c>
      <c r="C40" s="284" t="s">
        <v>513</v>
      </c>
      <c r="D40" s="102" t="s">
        <v>330</v>
      </c>
      <c r="E40" s="80" t="s">
        <v>385</v>
      </c>
      <c r="F40" s="102" t="s">
        <v>509</v>
      </c>
      <c r="G40" s="102">
        <f>9.44/1.05</f>
        <v>8.9904761904761905</v>
      </c>
      <c r="H40" s="80">
        <f t="shared" si="13"/>
        <v>0.44952380952380955</v>
      </c>
      <c r="I40" s="80"/>
      <c r="J40" s="80">
        <f t="shared" si="10"/>
        <v>8.9904761904761905</v>
      </c>
      <c r="K40" s="80">
        <f t="shared" si="11"/>
        <v>9.44</v>
      </c>
      <c r="L40" s="90"/>
      <c r="M40" s="80">
        <v>22.35</v>
      </c>
      <c r="N40" s="80">
        <v>1</v>
      </c>
      <c r="O40" s="90">
        <f t="shared" si="14"/>
        <v>8.9904761904761905</v>
      </c>
      <c r="P40" s="104">
        <f t="shared" si="12"/>
        <v>0</v>
      </c>
    </row>
    <row r="41" spans="2:18" ht="69.75" customHeight="1" x14ac:dyDescent="0.3">
      <c r="B41" s="129" t="s">
        <v>515</v>
      </c>
      <c r="C41" s="118" t="s">
        <v>515</v>
      </c>
      <c r="D41" s="102" t="s">
        <v>335</v>
      </c>
      <c r="E41" s="80" t="s">
        <v>179</v>
      </c>
      <c r="F41" s="102" t="s">
        <v>436</v>
      </c>
      <c r="G41" s="102">
        <f>(78.67+14)/1.05</f>
        <v>88.257142857142853</v>
      </c>
      <c r="H41" s="80">
        <f t="shared" si="13"/>
        <v>4.4128571428571428</v>
      </c>
      <c r="I41" s="80">
        <v>14</v>
      </c>
      <c r="J41" s="80">
        <f t="shared" si="10"/>
        <v>74.257142857142853</v>
      </c>
      <c r="K41" s="80">
        <f t="shared" si="11"/>
        <v>92.67</v>
      </c>
      <c r="L41" s="90"/>
      <c r="M41" s="80">
        <v>74.260000000000005</v>
      </c>
      <c r="N41" s="80">
        <v>1</v>
      </c>
      <c r="O41" s="90">
        <f t="shared" si="14"/>
        <v>74.257142857142853</v>
      </c>
      <c r="P41" s="104">
        <f t="shared" si="12"/>
        <v>14</v>
      </c>
      <c r="Q41" s="92"/>
      <c r="R41" s="92"/>
    </row>
    <row r="42" spans="2:18" ht="28" x14ac:dyDescent="0.3">
      <c r="B42" s="129" t="s">
        <v>427</v>
      </c>
      <c r="C42" s="118">
        <v>235313468</v>
      </c>
      <c r="D42" s="102" t="s">
        <v>428</v>
      </c>
      <c r="E42" s="80" t="s">
        <v>175</v>
      </c>
      <c r="F42" s="102" t="s">
        <v>422</v>
      </c>
      <c r="G42" s="102">
        <f>648+49.25+25.5</f>
        <v>722.75</v>
      </c>
      <c r="H42" s="80">
        <f>34.86+1.28</f>
        <v>36.14</v>
      </c>
      <c r="I42" s="80"/>
      <c r="J42" s="80">
        <f t="shared" ref="J42" si="15">G42-I42</f>
        <v>722.75</v>
      </c>
      <c r="K42" s="80">
        <f t="shared" si="11"/>
        <v>758.89</v>
      </c>
      <c r="L42" s="90" t="s">
        <v>250</v>
      </c>
      <c r="M42" s="80">
        <f>G42/2</f>
        <v>361.375</v>
      </c>
      <c r="N42" s="80">
        <v>2</v>
      </c>
      <c r="O42" s="90">
        <f>IF((M42*N42)&gt;J42,J42,(M42*N42))</f>
        <v>722.75</v>
      </c>
      <c r="P42" s="104">
        <f t="shared" si="12"/>
        <v>0</v>
      </c>
    </row>
    <row r="43" spans="2:18" ht="57.75" customHeight="1" x14ac:dyDescent="0.3">
      <c r="B43" s="129" t="s">
        <v>344</v>
      </c>
      <c r="C43" s="118">
        <v>273152953</v>
      </c>
      <c r="D43" s="102" t="s">
        <v>430</v>
      </c>
      <c r="E43" s="80" t="s">
        <v>557</v>
      </c>
      <c r="F43" s="102" t="s">
        <v>437</v>
      </c>
      <c r="G43" s="102">
        <f>198*7</f>
        <v>1386</v>
      </c>
      <c r="H43" s="80">
        <f t="shared" ref="H43:H63" si="16">G43*0.05</f>
        <v>69.3</v>
      </c>
      <c r="I43" s="80"/>
      <c r="J43" s="80">
        <f t="shared" ref="J43:J63" si="17">G43-I43</f>
        <v>1386</v>
      </c>
      <c r="K43" s="80">
        <f t="shared" si="11"/>
        <v>1455.3</v>
      </c>
      <c r="L43" s="90"/>
      <c r="M43" s="80">
        <v>208</v>
      </c>
      <c r="N43" s="80">
        <v>7</v>
      </c>
      <c r="O43" s="90">
        <f t="shared" ref="O43:O64" si="18">IF((M43*N43)&gt;J43,J43,(M43*N43))</f>
        <v>1386</v>
      </c>
      <c r="P43" s="104">
        <f t="shared" ref="P43:P64" si="19">G43-O43</f>
        <v>0</v>
      </c>
    </row>
    <row r="44" spans="2:18" ht="57.75" customHeight="1" x14ac:dyDescent="0.3">
      <c r="B44" s="129" t="s">
        <v>522</v>
      </c>
      <c r="C44" s="118">
        <v>17725</v>
      </c>
      <c r="D44" s="102" t="s">
        <v>430</v>
      </c>
      <c r="E44" s="80" t="s">
        <v>180</v>
      </c>
      <c r="F44" s="102" t="s">
        <v>438</v>
      </c>
      <c r="G44" s="102">
        <v>138.1</v>
      </c>
      <c r="H44" s="80">
        <v>6.9</v>
      </c>
      <c r="I44" s="80"/>
      <c r="J44" s="80">
        <f t="shared" ref="J44:J45" si="20">G44-I44</f>
        <v>138.1</v>
      </c>
      <c r="K44" s="80">
        <f t="shared" ref="K44:K45" si="21">G44+H44</f>
        <v>145</v>
      </c>
      <c r="L44" s="90"/>
      <c r="M44" s="80">
        <v>138</v>
      </c>
      <c r="N44" s="80">
        <v>7</v>
      </c>
      <c r="O44" s="90">
        <f t="shared" si="18"/>
        <v>138.1</v>
      </c>
      <c r="P44" s="104"/>
    </row>
    <row r="45" spans="2:18" ht="57.75" customHeight="1" x14ac:dyDescent="0.3">
      <c r="B45" s="129" t="s">
        <v>323</v>
      </c>
      <c r="C45" s="118" t="s">
        <v>525</v>
      </c>
      <c r="D45" s="102" t="s">
        <v>329</v>
      </c>
      <c r="E45" s="80" t="s">
        <v>418</v>
      </c>
      <c r="F45" s="102" t="s">
        <v>516</v>
      </c>
      <c r="G45" s="102">
        <f>18.2+1.91</f>
        <v>20.11</v>
      </c>
      <c r="H45" s="80">
        <v>0.91</v>
      </c>
      <c r="I45" s="80">
        <v>1.91</v>
      </c>
      <c r="J45" s="80">
        <f t="shared" si="20"/>
        <v>18.2</v>
      </c>
      <c r="K45" s="80">
        <f t="shared" si="21"/>
        <v>21.02</v>
      </c>
      <c r="L45" s="90"/>
      <c r="M45" s="80">
        <v>24.35</v>
      </c>
      <c r="N45" s="80">
        <v>2</v>
      </c>
      <c r="O45" s="90">
        <f t="shared" si="18"/>
        <v>18.2</v>
      </c>
      <c r="P45" s="104">
        <f>G45-O45</f>
        <v>1.9100000000000001</v>
      </c>
    </row>
    <row r="46" spans="2:18" ht="57.75" customHeight="1" x14ac:dyDescent="0.3">
      <c r="B46" s="129" t="s">
        <v>439</v>
      </c>
      <c r="C46" s="118" t="s">
        <v>521</v>
      </c>
      <c r="D46" s="102" t="s">
        <v>320</v>
      </c>
      <c r="E46" s="80" t="s">
        <v>412</v>
      </c>
      <c r="F46" s="102" t="s">
        <v>517</v>
      </c>
      <c r="G46" s="102">
        <f>123+24.6</f>
        <v>147.6</v>
      </c>
      <c r="H46" s="80">
        <v>6.15</v>
      </c>
      <c r="I46" s="80">
        <v>24.6</v>
      </c>
      <c r="J46" s="80">
        <f t="shared" ref="J46" si="22">G46-I46</f>
        <v>123</v>
      </c>
      <c r="K46" s="80">
        <f t="shared" ref="K46" si="23">G46+H46</f>
        <v>153.75</v>
      </c>
      <c r="L46" s="90"/>
      <c r="M46" s="80">
        <v>64.45</v>
      </c>
      <c r="N46" s="80">
        <v>3</v>
      </c>
      <c r="O46" s="90">
        <f t="shared" ref="O46" si="24">IF((M46*N46)&gt;J46,J46,(M46*N46))</f>
        <v>123</v>
      </c>
      <c r="P46" s="104">
        <f t="shared" ref="P46" si="25">G46-O46</f>
        <v>24.599999999999994</v>
      </c>
    </row>
    <row r="47" spans="2:18" ht="57.75" customHeight="1" x14ac:dyDescent="0.3">
      <c r="B47" s="129" t="s">
        <v>440</v>
      </c>
      <c r="C47" s="118" t="s">
        <v>523</v>
      </c>
      <c r="D47" s="102" t="s">
        <v>327</v>
      </c>
      <c r="E47" s="80" t="s">
        <v>412</v>
      </c>
      <c r="F47" s="102" t="s">
        <v>518</v>
      </c>
      <c r="G47" s="102">
        <f>159+33.39</f>
        <v>192.39</v>
      </c>
      <c r="H47" s="80">
        <v>7.95</v>
      </c>
      <c r="I47" s="80">
        <v>33.39</v>
      </c>
      <c r="J47" s="80">
        <f t="shared" ref="J47" si="26">G47-I47</f>
        <v>159</v>
      </c>
      <c r="K47" s="80">
        <f t="shared" ref="K47" si="27">G47+H47</f>
        <v>200.33999999999997</v>
      </c>
      <c r="L47" s="90"/>
      <c r="M47" s="80">
        <v>64.45</v>
      </c>
      <c r="N47" s="80">
        <v>4</v>
      </c>
      <c r="O47" s="90">
        <f t="shared" ref="O47" si="28">IF((M47*N47)&gt;J47,J47,(M47*N47))</f>
        <v>159</v>
      </c>
      <c r="P47" s="104">
        <f t="shared" ref="P47" si="29">G47-O47</f>
        <v>33.389999999999986</v>
      </c>
    </row>
    <row r="48" spans="2:18" ht="57.75" customHeight="1" x14ac:dyDescent="0.3">
      <c r="B48" s="129" t="s">
        <v>441</v>
      </c>
      <c r="C48" s="118" t="s">
        <v>524</v>
      </c>
      <c r="D48" s="102" t="s">
        <v>351</v>
      </c>
      <c r="E48" s="80" t="s">
        <v>412</v>
      </c>
      <c r="F48" s="102" t="s">
        <v>519</v>
      </c>
      <c r="G48" s="102">
        <f>233+44.04</f>
        <v>277.04000000000002</v>
      </c>
      <c r="H48" s="80">
        <v>11.65</v>
      </c>
      <c r="I48" s="80">
        <v>44.04</v>
      </c>
      <c r="J48" s="80">
        <f t="shared" ref="J48:J49" si="30">G48-I48</f>
        <v>233.00000000000003</v>
      </c>
      <c r="K48" s="80">
        <f t="shared" ref="K48:K49" si="31">G48+H48</f>
        <v>288.69</v>
      </c>
      <c r="L48" s="90"/>
      <c r="M48" s="80">
        <v>64.45</v>
      </c>
      <c r="N48" s="80">
        <v>5</v>
      </c>
      <c r="O48" s="90">
        <f t="shared" ref="O48" si="32">IF((M48*N48)&gt;J48,J48,(M48*N48))</f>
        <v>233.00000000000003</v>
      </c>
      <c r="P48" s="104">
        <f t="shared" ref="P48" si="33">G48-O48</f>
        <v>44.039999999999992</v>
      </c>
    </row>
    <row r="49" spans="2:18" ht="57.75" customHeight="1" x14ac:dyDescent="0.3">
      <c r="B49" s="129" t="s">
        <v>334</v>
      </c>
      <c r="C49" s="118">
        <v>91464006</v>
      </c>
      <c r="D49" s="102" t="s">
        <v>351</v>
      </c>
      <c r="E49" s="80" t="s">
        <v>418</v>
      </c>
      <c r="F49" s="102" t="s">
        <v>520</v>
      </c>
      <c r="G49" s="102">
        <f>62.4+13.1</f>
        <v>75.5</v>
      </c>
      <c r="H49" s="80">
        <v>3.12</v>
      </c>
      <c r="I49" s="80">
        <v>13.1</v>
      </c>
      <c r="J49" s="80">
        <f t="shared" si="30"/>
        <v>62.4</v>
      </c>
      <c r="K49" s="80">
        <f t="shared" si="31"/>
        <v>78.62</v>
      </c>
      <c r="L49" s="90"/>
      <c r="M49" s="80">
        <v>24.35</v>
      </c>
      <c r="N49" s="80">
        <v>3</v>
      </c>
      <c r="O49" s="90">
        <f t="shared" ref="O49" si="34">IF((M49*N49)&gt;J49,J49,(M49*N49))</f>
        <v>62.4</v>
      </c>
      <c r="P49" s="104">
        <f t="shared" ref="P49" si="35">G49-O49</f>
        <v>13.100000000000001</v>
      </c>
      <c r="R49" s="92"/>
    </row>
    <row r="50" spans="2:18" ht="54.75" customHeight="1" x14ac:dyDescent="0.3">
      <c r="B50" s="129" t="s">
        <v>427</v>
      </c>
      <c r="C50" s="118">
        <v>235313470</v>
      </c>
      <c r="D50" s="102" t="s">
        <v>428</v>
      </c>
      <c r="E50" s="80" t="s">
        <v>175</v>
      </c>
      <c r="F50" s="102" t="s">
        <v>442</v>
      </c>
      <c r="G50" s="102">
        <f>648+25.5+49.25</f>
        <v>722.75</v>
      </c>
      <c r="H50" s="80">
        <f>34.86+1.28</f>
        <v>36.14</v>
      </c>
      <c r="I50" s="80"/>
      <c r="J50" s="80">
        <f t="shared" si="17"/>
        <v>722.75</v>
      </c>
      <c r="K50" s="80">
        <f t="shared" si="11"/>
        <v>758.89</v>
      </c>
      <c r="L50" s="90" t="s">
        <v>250</v>
      </c>
      <c r="M50" s="80">
        <f>G50/2</f>
        <v>361.375</v>
      </c>
      <c r="N50" s="80">
        <v>2</v>
      </c>
      <c r="O50" s="90">
        <f>IF((M50*N50)&gt;J50,J50,(M50*N50))</f>
        <v>722.75</v>
      </c>
      <c r="P50" s="104">
        <f t="shared" si="19"/>
        <v>0</v>
      </c>
    </row>
    <row r="51" spans="2:18" ht="34.4" customHeight="1" x14ac:dyDescent="0.3">
      <c r="B51" s="129" t="s">
        <v>344</v>
      </c>
      <c r="C51" s="118">
        <v>273157136</v>
      </c>
      <c r="D51" s="102" t="s">
        <v>430</v>
      </c>
      <c r="E51" s="80" t="s">
        <v>557</v>
      </c>
      <c r="F51" s="102" t="s">
        <v>443</v>
      </c>
      <c r="G51" s="102">
        <f>216*7</f>
        <v>1512</v>
      </c>
      <c r="H51" s="80">
        <f t="shared" ref="H51" si="36">G51*0.05</f>
        <v>75.600000000000009</v>
      </c>
      <c r="I51" s="80"/>
      <c r="J51" s="80">
        <f t="shared" ref="J51" si="37">G51-I51</f>
        <v>1512</v>
      </c>
      <c r="K51" s="80">
        <f t="shared" si="11"/>
        <v>1587.6</v>
      </c>
      <c r="L51" s="90"/>
      <c r="M51" s="80">
        <v>208</v>
      </c>
      <c r="N51" s="80">
        <v>7</v>
      </c>
      <c r="O51" s="90">
        <f t="shared" ref="O51" si="38">IF((M51*N51)&gt;J51,J51,(M51*N51))</f>
        <v>1456</v>
      </c>
      <c r="P51" s="104">
        <f t="shared" ref="P51" si="39">G51-O51</f>
        <v>56</v>
      </c>
    </row>
    <row r="52" spans="2:18" ht="34.4" customHeight="1" x14ac:dyDescent="0.3">
      <c r="B52" s="129" t="s">
        <v>323</v>
      </c>
      <c r="C52" s="118" t="s">
        <v>528</v>
      </c>
      <c r="D52" s="102" t="s">
        <v>294</v>
      </c>
      <c r="E52" s="80" t="s">
        <v>418</v>
      </c>
      <c r="F52" s="102" t="s">
        <v>516</v>
      </c>
      <c r="G52" s="102">
        <f>15.95+1.68</f>
        <v>17.63</v>
      </c>
      <c r="H52" s="80">
        <v>0.8</v>
      </c>
      <c r="I52" s="80">
        <v>1.68</v>
      </c>
      <c r="J52" s="80">
        <f t="shared" ref="J52:J58" si="40">G52-I52</f>
        <v>15.95</v>
      </c>
      <c r="K52" s="80">
        <f t="shared" ref="K52:K58" si="41">G52+H52</f>
        <v>18.43</v>
      </c>
      <c r="L52" s="90"/>
      <c r="M52" s="80">
        <v>24.35</v>
      </c>
      <c r="N52" s="80">
        <v>2</v>
      </c>
      <c r="O52" s="90">
        <f t="shared" ref="O52" si="42">IF((M52*N52)&gt;J52,J52,(M52*N52))</f>
        <v>15.95</v>
      </c>
      <c r="P52" s="104">
        <f t="shared" ref="P52" si="43">G52-O52</f>
        <v>1.6799999999999997</v>
      </c>
    </row>
    <row r="53" spans="2:18" ht="34.4" customHeight="1" x14ac:dyDescent="0.3">
      <c r="B53" s="129" t="s">
        <v>323</v>
      </c>
      <c r="C53" s="118" t="s">
        <v>531</v>
      </c>
      <c r="D53" s="102" t="s">
        <v>320</v>
      </c>
      <c r="E53" s="80" t="s">
        <v>418</v>
      </c>
      <c r="F53" s="102" t="s">
        <v>516</v>
      </c>
      <c r="G53" s="102">
        <f>3.9+1</f>
        <v>4.9000000000000004</v>
      </c>
      <c r="H53" s="80">
        <v>0.2</v>
      </c>
      <c r="I53" s="80">
        <v>1</v>
      </c>
      <c r="J53" s="80">
        <f t="shared" si="40"/>
        <v>3.9000000000000004</v>
      </c>
      <c r="K53" s="80">
        <f t="shared" si="41"/>
        <v>5.1000000000000005</v>
      </c>
      <c r="L53" s="90"/>
      <c r="M53" s="80">
        <v>24.35</v>
      </c>
      <c r="N53" s="80">
        <v>0.5</v>
      </c>
      <c r="O53" s="90">
        <f t="shared" ref="O53" si="44">IF((M53*N53)&gt;J53,J53,(M53*N53))</f>
        <v>3.9000000000000004</v>
      </c>
      <c r="P53" s="104">
        <f t="shared" ref="P53" si="45">G53-O53</f>
        <v>1</v>
      </c>
    </row>
    <row r="54" spans="2:18" ht="34.4" customHeight="1" x14ac:dyDescent="0.3">
      <c r="B54" s="129" t="s">
        <v>323</v>
      </c>
      <c r="C54" s="118" t="s">
        <v>530</v>
      </c>
      <c r="D54" s="102" t="s">
        <v>320</v>
      </c>
      <c r="E54" s="80" t="s">
        <v>418</v>
      </c>
      <c r="F54" s="102" t="s">
        <v>516</v>
      </c>
      <c r="G54" s="102">
        <f>7.05+1</f>
        <v>8.0500000000000007</v>
      </c>
      <c r="H54" s="80">
        <v>0.35</v>
      </c>
      <c r="I54" s="80">
        <v>1</v>
      </c>
      <c r="J54" s="80">
        <f t="shared" si="40"/>
        <v>7.0500000000000007</v>
      </c>
      <c r="K54" s="80">
        <f t="shared" si="41"/>
        <v>8.4</v>
      </c>
      <c r="L54" s="90"/>
      <c r="M54" s="80">
        <v>24.35</v>
      </c>
      <c r="N54" s="80">
        <v>0.5</v>
      </c>
      <c r="O54" s="90">
        <f t="shared" ref="O54" si="46">IF((M54*N54)&gt;J54,J54,(M54*N54))</f>
        <v>7.0500000000000007</v>
      </c>
      <c r="P54" s="104">
        <f t="shared" ref="P54" si="47">G54-O54</f>
        <v>1</v>
      </c>
    </row>
    <row r="55" spans="2:18" ht="34.4" customHeight="1" x14ac:dyDescent="0.3">
      <c r="B55" s="129" t="s">
        <v>352</v>
      </c>
      <c r="C55" s="118">
        <v>55375</v>
      </c>
      <c r="D55" s="102" t="s">
        <v>330</v>
      </c>
      <c r="E55" s="80" t="s">
        <v>385</v>
      </c>
      <c r="F55" s="102" t="s">
        <v>526</v>
      </c>
      <c r="G55" s="102">
        <f>25.99+3.9</f>
        <v>29.889999999999997</v>
      </c>
      <c r="H55" s="80">
        <v>1.3</v>
      </c>
      <c r="I55" s="80">
        <v>3.9</v>
      </c>
      <c r="J55" s="80">
        <f t="shared" si="40"/>
        <v>25.99</v>
      </c>
      <c r="K55" s="80">
        <f t="shared" si="41"/>
        <v>31.189999999999998</v>
      </c>
      <c r="L55" s="90"/>
      <c r="M55" s="80">
        <v>22.35</v>
      </c>
      <c r="N55" s="80">
        <v>1</v>
      </c>
      <c r="O55" s="90">
        <f t="shared" ref="O55" si="48">IF((M55*N55)&gt;J55,J55,(M55*N55))</f>
        <v>22.35</v>
      </c>
      <c r="P55" s="104">
        <f t="shared" ref="P55" si="49">G55-O55</f>
        <v>7.5399999999999956</v>
      </c>
    </row>
    <row r="56" spans="2:18" ht="34.4" customHeight="1" x14ac:dyDescent="0.3">
      <c r="B56" s="129" t="s">
        <v>439</v>
      </c>
      <c r="C56" s="118" t="s">
        <v>527</v>
      </c>
      <c r="D56" s="102" t="s">
        <v>330</v>
      </c>
      <c r="E56" s="80" t="s">
        <v>412</v>
      </c>
      <c r="F56" s="102" t="s">
        <v>517</v>
      </c>
      <c r="G56" s="102">
        <f>32+6</f>
        <v>38</v>
      </c>
      <c r="H56" s="80">
        <v>1.6</v>
      </c>
      <c r="I56" s="80">
        <v>6</v>
      </c>
      <c r="J56" s="80">
        <f t="shared" si="40"/>
        <v>32</v>
      </c>
      <c r="K56" s="80">
        <f t="shared" si="41"/>
        <v>39.6</v>
      </c>
      <c r="L56" s="90"/>
      <c r="M56" s="80">
        <v>64.45</v>
      </c>
      <c r="N56" s="80">
        <v>1</v>
      </c>
      <c r="O56" s="90">
        <f t="shared" ref="O56" si="50">IF((M56*N56)&gt;J56,J56,(M56*N56))</f>
        <v>32</v>
      </c>
      <c r="P56" s="104">
        <f t="shared" ref="P56" si="51">G56-O56</f>
        <v>6</v>
      </c>
    </row>
    <row r="57" spans="2:18" ht="34.4" customHeight="1" x14ac:dyDescent="0.3">
      <c r="B57" s="129" t="s">
        <v>323</v>
      </c>
      <c r="C57" s="118" t="s">
        <v>529</v>
      </c>
      <c r="D57" s="102" t="s">
        <v>351</v>
      </c>
      <c r="E57" s="80" t="s">
        <v>418</v>
      </c>
      <c r="F57" s="102" t="s">
        <v>516</v>
      </c>
      <c r="G57" s="102">
        <f>10.95+1.15</f>
        <v>12.1</v>
      </c>
      <c r="H57" s="80">
        <v>0.55000000000000004</v>
      </c>
      <c r="I57" s="80">
        <v>1.1499999999999999</v>
      </c>
      <c r="J57" s="80">
        <f t="shared" si="40"/>
        <v>10.95</v>
      </c>
      <c r="K57" s="80">
        <f t="shared" si="41"/>
        <v>12.65</v>
      </c>
      <c r="L57" s="90"/>
      <c r="M57" s="80">
        <v>24.34</v>
      </c>
      <c r="N57" s="80">
        <v>2</v>
      </c>
      <c r="O57" s="90">
        <f t="shared" ref="O57" si="52">IF((M57*N57)&gt;J57,J57,(M57*N57))</f>
        <v>10.95</v>
      </c>
      <c r="P57" s="104">
        <f t="shared" ref="P57:P58" si="53">G57-O57</f>
        <v>1.1500000000000004</v>
      </c>
    </row>
    <row r="58" spans="2:18" ht="34.4" customHeight="1" x14ac:dyDescent="0.3">
      <c r="B58" s="129" t="s">
        <v>532</v>
      </c>
      <c r="C58" s="118" t="s">
        <v>532</v>
      </c>
      <c r="D58" s="102" t="s">
        <v>351</v>
      </c>
      <c r="E58" s="80" t="s">
        <v>179</v>
      </c>
      <c r="F58" s="102" t="s">
        <v>444</v>
      </c>
      <c r="G58" s="102">
        <f>37.3+2+3.25+0.3</f>
        <v>42.849999999999994</v>
      </c>
      <c r="H58" s="101">
        <v>2.14</v>
      </c>
      <c r="I58" s="77">
        <v>0</v>
      </c>
      <c r="J58" s="101">
        <f t="shared" si="40"/>
        <v>42.849999999999994</v>
      </c>
      <c r="K58" s="101">
        <f t="shared" si="41"/>
        <v>44.989999999999995</v>
      </c>
      <c r="L58" s="79"/>
      <c r="M58" s="80">
        <v>44.99</v>
      </c>
      <c r="N58" s="77">
        <v>1</v>
      </c>
      <c r="O58" s="79">
        <f>IF((M58*N58)&gt;J58,J58,(M58*N58))</f>
        <v>42.849999999999994</v>
      </c>
      <c r="P58" s="104">
        <f t="shared" si="53"/>
        <v>0</v>
      </c>
    </row>
    <row r="59" spans="2:18" ht="28.75" customHeight="1" x14ac:dyDescent="0.3">
      <c r="B59" s="129" t="s">
        <v>445</v>
      </c>
      <c r="C59" s="118">
        <v>92391</v>
      </c>
      <c r="D59" s="78" t="s">
        <v>446</v>
      </c>
      <c r="E59" s="80" t="s">
        <v>242</v>
      </c>
      <c r="F59" s="78" t="s">
        <v>447</v>
      </c>
      <c r="G59" s="78">
        <v>769.73</v>
      </c>
      <c r="H59" s="101">
        <v>37.99</v>
      </c>
      <c r="I59" s="77"/>
      <c r="J59" s="101">
        <f t="shared" si="17"/>
        <v>769.73</v>
      </c>
      <c r="K59" s="101">
        <f t="shared" si="11"/>
        <v>807.72</v>
      </c>
      <c r="L59" s="79" t="s">
        <v>448</v>
      </c>
      <c r="M59" s="80">
        <v>0.1</v>
      </c>
      <c r="N59" s="117">
        <v>10129</v>
      </c>
      <c r="O59" s="79">
        <f t="shared" si="18"/>
        <v>769.73</v>
      </c>
      <c r="P59" s="104">
        <f t="shared" si="19"/>
        <v>0</v>
      </c>
    </row>
    <row r="60" spans="2:18" x14ac:dyDescent="0.3">
      <c r="B60" s="129" t="s">
        <v>449</v>
      </c>
      <c r="C60" s="118">
        <v>2052617</v>
      </c>
      <c r="D60" s="78" t="s">
        <v>450</v>
      </c>
      <c r="E60" s="80" t="s">
        <v>451</v>
      </c>
      <c r="F60" s="78" t="s">
        <v>452</v>
      </c>
      <c r="G60" s="78">
        <v>141.27000000000001</v>
      </c>
      <c r="H60" s="101">
        <f t="shared" si="16"/>
        <v>7.0635000000000012</v>
      </c>
      <c r="I60" s="77"/>
      <c r="J60" s="101">
        <f t="shared" si="17"/>
        <v>141.27000000000001</v>
      </c>
      <c r="K60" s="101">
        <f t="shared" si="11"/>
        <v>148.33350000000002</v>
      </c>
      <c r="L60" s="79" t="s">
        <v>453</v>
      </c>
      <c r="M60" s="80">
        <v>13.19</v>
      </c>
      <c r="N60" s="77">
        <v>7</v>
      </c>
      <c r="O60" s="79">
        <f t="shared" si="18"/>
        <v>92.33</v>
      </c>
      <c r="P60" s="104">
        <f t="shared" si="19"/>
        <v>48.940000000000012</v>
      </c>
    </row>
    <row r="61" spans="2:18" x14ac:dyDescent="0.3">
      <c r="B61" s="129" t="s">
        <v>454</v>
      </c>
      <c r="C61" s="118">
        <v>64679</v>
      </c>
      <c r="D61" s="78" t="s">
        <v>329</v>
      </c>
      <c r="E61" s="80" t="s">
        <v>385</v>
      </c>
      <c r="F61" s="78" t="s">
        <v>533</v>
      </c>
      <c r="G61" s="78">
        <f>325+51.19</f>
        <v>376.19</v>
      </c>
      <c r="H61" s="101">
        <v>16.25</v>
      </c>
      <c r="I61" s="77">
        <v>51.19</v>
      </c>
      <c r="J61" s="101">
        <f>G61-I61</f>
        <v>325</v>
      </c>
      <c r="K61" s="101">
        <f t="shared" si="11"/>
        <v>392.44</v>
      </c>
      <c r="L61" s="79"/>
      <c r="M61" s="80">
        <v>22.35</v>
      </c>
      <c r="N61" s="77">
        <v>15</v>
      </c>
      <c r="O61" s="79">
        <f t="shared" si="18"/>
        <v>325</v>
      </c>
      <c r="P61" s="104">
        <f t="shared" si="19"/>
        <v>51.19</v>
      </c>
    </row>
    <row r="62" spans="2:18" x14ac:dyDescent="0.3">
      <c r="B62" s="129" t="s">
        <v>455</v>
      </c>
      <c r="C62" s="118">
        <v>426146</v>
      </c>
      <c r="D62" s="78" t="s">
        <v>456</v>
      </c>
      <c r="E62" s="80" t="s">
        <v>451</v>
      </c>
      <c r="F62" s="78" t="s">
        <v>452</v>
      </c>
      <c r="G62" s="78">
        <v>94.8</v>
      </c>
      <c r="H62" s="101">
        <f t="shared" si="16"/>
        <v>4.74</v>
      </c>
      <c r="I62" s="77"/>
      <c r="J62" s="101">
        <f t="shared" si="17"/>
        <v>94.8</v>
      </c>
      <c r="K62" s="101">
        <f t="shared" si="11"/>
        <v>99.539999999999992</v>
      </c>
      <c r="L62" s="79" t="s">
        <v>453</v>
      </c>
      <c r="M62" s="80">
        <v>25.5</v>
      </c>
      <c r="N62" s="77">
        <v>2</v>
      </c>
      <c r="O62" s="79">
        <f t="shared" si="18"/>
        <v>51</v>
      </c>
      <c r="P62" s="104">
        <f t="shared" si="19"/>
        <v>43.8</v>
      </c>
    </row>
    <row r="63" spans="2:18" x14ac:dyDescent="0.3">
      <c r="B63" s="129" t="s">
        <v>445</v>
      </c>
      <c r="C63" s="118">
        <v>91870</v>
      </c>
      <c r="D63" s="78" t="s">
        <v>456</v>
      </c>
      <c r="E63" s="80" t="s">
        <v>242</v>
      </c>
      <c r="F63" s="127" t="s">
        <v>447</v>
      </c>
      <c r="G63" s="78">
        <v>5165.2</v>
      </c>
      <c r="H63" s="101">
        <f t="shared" si="16"/>
        <v>258.26</v>
      </c>
      <c r="I63" s="77"/>
      <c r="J63" s="101">
        <f t="shared" si="17"/>
        <v>5165.2</v>
      </c>
      <c r="K63" s="101">
        <f t="shared" si="11"/>
        <v>5423.46</v>
      </c>
      <c r="L63" s="79" t="s">
        <v>448</v>
      </c>
      <c r="M63" s="80">
        <v>0.1</v>
      </c>
      <c r="N63" s="128">
        <f>8800+1704</f>
        <v>10504</v>
      </c>
      <c r="O63" s="79">
        <f>IF((M63*N63)&gt;J63,J63,(M63*N63))</f>
        <v>1050.4000000000001</v>
      </c>
      <c r="P63" s="104">
        <f t="shared" si="19"/>
        <v>4114.7999999999993</v>
      </c>
    </row>
    <row r="64" spans="2:18" x14ac:dyDescent="0.3">
      <c r="B64" s="76" t="s">
        <v>543</v>
      </c>
      <c r="C64" s="83">
        <v>63862</v>
      </c>
      <c r="D64" s="78" t="s">
        <v>294</v>
      </c>
      <c r="E64" s="80" t="s">
        <v>385</v>
      </c>
      <c r="F64" s="78" t="s">
        <v>543</v>
      </c>
      <c r="G64" s="78">
        <v>533.72</v>
      </c>
      <c r="H64" s="101">
        <v>22.1</v>
      </c>
      <c r="I64" s="77">
        <v>69.62</v>
      </c>
      <c r="J64" s="101">
        <f>G64-I64-H64</f>
        <v>442</v>
      </c>
      <c r="K64" s="101">
        <f>G64+H64</f>
        <v>555.82000000000005</v>
      </c>
      <c r="L64" s="79"/>
      <c r="M64" s="80">
        <v>22.35</v>
      </c>
      <c r="N64" s="77">
        <v>17</v>
      </c>
      <c r="O64" s="79">
        <f t="shared" si="18"/>
        <v>379.95000000000005</v>
      </c>
      <c r="P64" s="104">
        <f t="shared" si="19"/>
        <v>153.76999999999998</v>
      </c>
    </row>
    <row r="65" spans="2:16" x14ac:dyDescent="0.3">
      <c r="B65" s="76" t="s">
        <v>449</v>
      </c>
      <c r="C65" s="83" t="s">
        <v>544</v>
      </c>
      <c r="D65" s="102" t="s">
        <v>450</v>
      </c>
      <c r="E65" s="80" t="s">
        <v>242</v>
      </c>
      <c r="F65" s="102" t="s">
        <v>447</v>
      </c>
      <c r="G65" s="102">
        <v>496.91</v>
      </c>
      <c r="H65" s="101">
        <v>24.85</v>
      </c>
      <c r="I65" s="80"/>
      <c r="J65" s="101">
        <f t="shared" si="10"/>
        <v>496.91</v>
      </c>
      <c r="K65" s="101">
        <f t="shared" si="11"/>
        <v>521.76</v>
      </c>
      <c r="L65" s="79" t="s">
        <v>448</v>
      </c>
      <c r="M65" s="80">
        <v>0.1</v>
      </c>
      <c r="N65" s="314">
        <v>2923</v>
      </c>
      <c r="O65" s="79">
        <f>IF((M65*N65)&gt;J65,J65,(M65*N65))</f>
        <v>292.3</v>
      </c>
      <c r="P65" s="104">
        <f t="shared" si="12"/>
        <v>204.61</v>
      </c>
    </row>
    <row r="66" spans="2:16" x14ac:dyDescent="0.3">
      <c r="B66" s="76"/>
      <c r="C66" s="83"/>
      <c r="D66" s="78"/>
      <c r="E66" s="80"/>
      <c r="F66" s="78"/>
      <c r="G66" s="78"/>
      <c r="H66" s="101">
        <f t="shared" ref="H66:H67" si="54">G66*0.05</f>
        <v>0</v>
      </c>
      <c r="I66" s="77"/>
      <c r="J66" s="101">
        <f t="shared" si="10"/>
        <v>0</v>
      </c>
      <c r="K66" s="101">
        <f t="shared" si="11"/>
        <v>0</v>
      </c>
      <c r="L66" s="79"/>
      <c r="M66" s="80"/>
      <c r="N66" s="77"/>
      <c r="O66" s="79">
        <f>IF((M66*N66)&gt;J66,J66,(M66*N66))</f>
        <v>0</v>
      </c>
      <c r="P66" s="104">
        <f t="shared" si="12"/>
        <v>0</v>
      </c>
    </row>
    <row r="67" spans="2:16" x14ac:dyDescent="0.3">
      <c r="B67" s="76"/>
      <c r="C67" s="83"/>
      <c r="D67" s="78"/>
      <c r="E67" s="77"/>
      <c r="F67" s="78"/>
      <c r="G67" s="78"/>
      <c r="H67" s="101">
        <f t="shared" si="54"/>
        <v>0</v>
      </c>
      <c r="I67" s="77"/>
      <c r="J67" s="101">
        <f t="shared" si="10"/>
        <v>0</v>
      </c>
      <c r="K67" s="101">
        <f t="shared" si="11"/>
        <v>0</v>
      </c>
      <c r="L67" s="79"/>
      <c r="M67" s="80"/>
      <c r="N67" s="77"/>
      <c r="O67" s="79">
        <f>IF((M67*N67)&gt;J67,J67,(M67*N67))</f>
        <v>0</v>
      </c>
      <c r="P67" s="104">
        <f>G67-O67</f>
        <v>0</v>
      </c>
    </row>
    <row r="68" spans="2:16" x14ac:dyDescent="0.3">
      <c r="B68" s="76"/>
      <c r="C68" s="83"/>
      <c r="D68" s="78"/>
      <c r="E68" s="77"/>
      <c r="F68" s="78"/>
      <c r="G68" s="78"/>
      <c r="H68" s="101"/>
      <c r="I68" s="77"/>
      <c r="J68" s="101"/>
      <c r="K68" s="101">
        <f t="shared" si="11"/>
        <v>0</v>
      </c>
      <c r="L68" s="79"/>
      <c r="M68" s="80"/>
      <c r="N68" s="77"/>
      <c r="O68" s="79"/>
      <c r="P68" s="104"/>
    </row>
    <row r="69" spans="2:16" x14ac:dyDescent="0.3">
      <c r="B69" s="76"/>
      <c r="C69" s="83"/>
      <c r="D69" s="78"/>
      <c r="E69" s="80"/>
      <c r="F69" s="78"/>
      <c r="G69" s="78"/>
      <c r="H69" s="101">
        <f t="shared" ref="H69:H71" si="55">G69*0.05</f>
        <v>0</v>
      </c>
      <c r="I69" s="77"/>
      <c r="J69" s="101">
        <f t="shared" ref="J69:J71" si="56">G69-I69</f>
        <v>0</v>
      </c>
      <c r="K69" s="101">
        <f t="shared" si="11"/>
        <v>0</v>
      </c>
      <c r="L69" s="79"/>
      <c r="M69" s="80"/>
      <c r="N69" s="77"/>
      <c r="O69" s="79">
        <f>IF((M69*N69)&gt;J69,J69,(M69*N69))</f>
        <v>0</v>
      </c>
      <c r="P69" s="104">
        <f t="shared" ref="P69:P71" si="57">G69-O69</f>
        <v>0</v>
      </c>
    </row>
    <row r="70" spans="2:16" x14ac:dyDescent="0.3">
      <c r="B70" s="76"/>
      <c r="C70" s="83"/>
      <c r="D70" s="78"/>
      <c r="E70" s="80"/>
      <c r="F70" s="78"/>
      <c r="G70" s="78"/>
      <c r="H70" s="101">
        <f t="shared" si="55"/>
        <v>0</v>
      </c>
      <c r="I70" s="77"/>
      <c r="J70" s="101">
        <f t="shared" si="56"/>
        <v>0</v>
      </c>
      <c r="K70" s="101">
        <f t="shared" si="11"/>
        <v>0</v>
      </c>
      <c r="L70" s="79"/>
      <c r="M70" s="80"/>
      <c r="N70" s="77"/>
      <c r="O70" s="79">
        <f>IF((M70*N70)&gt;J70,J70,(M70*N70))</f>
        <v>0</v>
      </c>
      <c r="P70" s="104">
        <f t="shared" si="57"/>
        <v>0</v>
      </c>
    </row>
    <row r="71" spans="2:16" x14ac:dyDescent="0.3">
      <c r="B71" s="76"/>
      <c r="C71" s="83"/>
      <c r="D71" s="78"/>
      <c r="E71" s="80"/>
      <c r="F71" s="78"/>
      <c r="G71" s="78"/>
      <c r="H71" s="101">
        <f t="shared" si="55"/>
        <v>0</v>
      </c>
      <c r="I71" s="77"/>
      <c r="J71" s="101">
        <f t="shared" si="56"/>
        <v>0</v>
      </c>
      <c r="K71" s="101">
        <f t="shared" si="11"/>
        <v>0</v>
      </c>
      <c r="L71" s="79"/>
      <c r="M71" s="80"/>
      <c r="N71" s="77"/>
      <c r="O71" s="79">
        <f t="shared" ref="O71" si="58">IF((M71*N71)&gt;J71,J71,(M71*N71))</f>
        <v>0</v>
      </c>
      <c r="P71" s="104">
        <f t="shared" si="57"/>
        <v>0</v>
      </c>
    </row>
    <row r="72" spans="2:16" ht="14.5" thickBot="1" x14ac:dyDescent="0.35">
      <c r="B72" s="85" t="s">
        <v>252</v>
      </c>
      <c r="C72" s="86"/>
      <c r="D72" s="88"/>
      <c r="E72" s="87"/>
      <c r="F72" s="88"/>
      <c r="G72" s="88">
        <f>SUM(G35:G71)</f>
        <v>15274.698095238096</v>
      </c>
      <c r="H72" s="88">
        <f>SUM(H35:H71)</f>
        <v>748.36540476190487</v>
      </c>
      <c r="I72" s="86"/>
      <c r="J72" s="88">
        <f>SUM(J35:J71)</f>
        <v>14968.958095238093</v>
      </c>
      <c r="K72" s="88">
        <f>SUM(K35:K71)</f>
        <v>16023.063500000002</v>
      </c>
      <c r="L72" s="89"/>
      <c r="M72" s="87"/>
      <c r="N72" s="86"/>
      <c r="O72" s="97">
        <f>SUM(O35:O71)</f>
        <v>10435.117619047618</v>
      </c>
      <c r="P72" s="98">
        <f>SUM(P35:P71)</f>
        <v>4839.5804761904756</v>
      </c>
    </row>
    <row r="74" spans="2:16" x14ac:dyDescent="0.3">
      <c r="G74" s="92"/>
      <c r="O74" s="201">
        <f>O72+O29</f>
        <v>17294.927619047616</v>
      </c>
    </row>
    <row r="76" spans="2:16" x14ac:dyDescent="0.3">
      <c r="N76" s="84" t="s">
        <v>175</v>
      </c>
      <c r="O76" s="92">
        <f>+O23+O24+O35+O42+O50</f>
        <v>4048.75</v>
      </c>
    </row>
    <row r="77" spans="2:16" x14ac:dyDescent="0.3">
      <c r="N77" s="84" t="s">
        <v>557</v>
      </c>
      <c r="O77" s="92">
        <f>+O18+O25+O36+O43+O51</f>
        <v>5156</v>
      </c>
    </row>
    <row r="78" spans="2:16" x14ac:dyDescent="0.3">
      <c r="N78" s="84" t="s">
        <v>434</v>
      </c>
      <c r="O78" s="92">
        <f>+O16+O17+O19+O20+O21+O26+O38+O39+O40+O45+O46+O47+O48+O49+O52+O53+O54+O55+O56+O57+O61+O64</f>
        <v>1704.3804761904764</v>
      </c>
    </row>
    <row r="79" spans="2:16" x14ac:dyDescent="0.3">
      <c r="N79" s="84" t="s">
        <v>179</v>
      </c>
      <c r="O79" s="92">
        <f>+O37+O41+O58</f>
        <v>193.29714285714286</v>
      </c>
    </row>
    <row r="80" spans="2:16" x14ac:dyDescent="0.3">
      <c r="N80" s="84" t="s">
        <v>180</v>
      </c>
      <c r="O80" s="92">
        <f>+O15+O44</f>
        <v>220.95999999999998</v>
      </c>
    </row>
    <row r="81" spans="13:15" x14ac:dyDescent="0.3">
      <c r="N81" s="84" t="s">
        <v>242</v>
      </c>
      <c r="O81" s="92">
        <f>+O59+O63+O65</f>
        <v>2112.4300000000003</v>
      </c>
    </row>
    <row r="82" spans="13:15" x14ac:dyDescent="0.3">
      <c r="M82" s="84" t="s">
        <v>457</v>
      </c>
      <c r="N82" s="84" t="s">
        <v>189</v>
      </c>
      <c r="O82" s="92">
        <f>+O11+O13</f>
        <v>1751.78</v>
      </c>
    </row>
    <row r="83" spans="13:15" x14ac:dyDescent="0.3">
      <c r="N83" s="84" t="s">
        <v>190</v>
      </c>
      <c r="O83" s="92">
        <f>+O12</f>
        <v>1964</v>
      </c>
    </row>
    <row r="84" spans="13:15" x14ac:dyDescent="0.3">
      <c r="N84" s="84" t="s">
        <v>458</v>
      </c>
      <c r="O84" s="92">
        <f>+O62+O60</f>
        <v>143.32999999999998</v>
      </c>
    </row>
    <row r="85" spans="13:15" x14ac:dyDescent="0.3">
      <c r="O85" s="92">
        <f>SUM(O76:O84)</f>
        <v>17294.927619047623</v>
      </c>
    </row>
  </sheetData>
  <mergeCells count="6">
    <mergeCell ref="B33:P33"/>
    <mergeCell ref="B2:P2"/>
    <mergeCell ref="B3:P3"/>
    <mergeCell ref="B4:P4"/>
    <mergeCell ref="B5:P5"/>
    <mergeCell ref="B10:P10"/>
  </mergeCells>
  <pageMargins left="0.7" right="0.7" top="0.75" bottom="0.75" header="0.3" footer="0.3"/>
  <pageSetup scale="45" fitToHeight="0" orientation="landscape" r:id="rId1"/>
  <rowBreaks count="2" manualBreakCount="2">
    <brk id="31" max="16383" man="1"/>
    <brk id="48" max="15" man="1"/>
  </rowBreaks>
  <ignoredErrors>
    <ignoredError sqref="C15:C25 C36:C4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E6C1-C629-41C4-AE73-4016FDDD7031}">
  <dimension ref="B2:K69"/>
  <sheetViews>
    <sheetView showOutlineSymbols="0" showWhiteSpace="0" topLeftCell="A37" workbookViewId="0">
      <selection activeCell="K51" sqref="K51"/>
    </sheetView>
    <sheetView workbookViewId="1">
      <selection activeCell="E15" sqref="E15"/>
    </sheetView>
  </sheetViews>
  <sheetFormatPr defaultRowHeight="14.5" x14ac:dyDescent="0.35"/>
  <cols>
    <col min="3" max="3" width="23.54296875" bestFit="1" customWidth="1"/>
    <col min="4" max="4" width="14.7265625" style="69" customWidth="1"/>
  </cols>
  <sheetData>
    <row r="2" spans="2:11" x14ac:dyDescent="0.35">
      <c r="B2" s="1" t="s">
        <v>459</v>
      </c>
      <c r="K2" s="75" t="s">
        <v>460</v>
      </c>
    </row>
    <row r="4" spans="2:11" x14ac:dyDescent="0.35">
      <c r="B4" s="1" t="s">
        <v>461</v>
      </c>
      <c r="C4" s="1"/>
      <c r="D4" s="70"/>
    </row>
    <row r="5" spans="2:11" x14ac:dyDescent="0.35">
      <c r="B5" s="1"/>
      <c r="C5" s="1" t="s">
        <v>462</v>
      </c>
      <c r="D5" s="70" t="s">
        <v>463</v>
      </c>
    </row>
    <row r="6" spans="2:11" x14ac:dyDescent="0.35">
      <c r="C6" t="s">
        <v>464</v>
      </c>
      <c r="D6" s="69">
        <v>140</v>
      </c>
    </row>
    <row r="7" spans="2:11" x14ac:dyDescent="0.35">
      <c r="C7" t="s">
        <v>465</v>
      </c>
      <c r="D7" s="69">
        <v>240</v>
      </c>
    </row>
    <row r="8" spans="2:11" x14ac:dyDescent="0.35">
      <c r="C8" t="s">
        <v>466</v>
      </c>
      <c r="D8" s="69">
        <v>280</v>
      </c>
    </row>
    <row r="9" spans="2:11" x14ac:dyDescent="0.35">
      <c r="C9" t="s">
        <v>467</v>
      </c>
      <c r="D9" s="69">
        <v>320</v>
      </c>
    </row>
    <row r="10" spans="2:11" x14ac:dyDescent="0.35">
      <c r="C10" t="s">
        <v>468</v>
      </c>
      <c r="D10" s="69">
        <v>350</v>
      </c>
    </row>
    <row r="13" spans="2:11" x14ac:dyDescent="0.35">
      <c r="B13" s="1" t="s">
        <v>469</v>
      </c>
    </row>
    <row r="14" spans="2:11" x14ac:dyDescent="0.35">
      <c r="C14" s="1" t="s">
        <v>144</v>
      </c>
      <c r="D14" s="70" t="s">
        <v>463</v>
      </c>
    </row>
    <row r="15" spans="2:11" x14ac:dyDescent="0.35">
      <c r="C15" t="s">
        <v>465</v>
      </c>
      <c r="D15" s="69">
        <v>120</v>
      </c>
    </row>
    <row r="16" spans="2:11" x14ac:dyDescent="0.35">
      <c r="C16" t="s">
        <v>466</v>
      </c>
      <c r="D16" s="69">
        <v>160</v>
      </c>
    </row>
    <row r="17" spans="2:4" x14ac:dyDescent="0.35">
      <c r="C17" t="s">
        <v>467</v>
      </c>
      <c r="D17" s="69">
        <v>230</v>
      </c>
    </row>
    <row r="18" spans="2:4" x14ac:dyDescent="0.35">
      <c r="C18" t="s">
        <v>468</v>
      </c>
      <c r="D18" s="69">
        <v>270</v>
      </c>
    </row>
    <row r="19" spans="2:4" x14ac:dyDescent="0.35">
      <c r="C19" t="s">
        <v>470</v>
      </c>
      <c r="D19" s="69">
        <v>45</v>
      </c>
    </row>
    <row r="22" spans="2:4" x14ac:dyDescent="0.35">
      <c r="B22" s="1" t="s">
        <v>471</v>
      </c>
    </row>
    <row r="23" spans="2:4" x14ac:dyDescent="0.35">
      <c r="C23" t="s">
        <v>322</v>
      </c>
      <c r="D23" s="69">
        <v>23.3</v>
      </c>
    </row>
    <row r="24" spans="2:4" x14ac:dyDescent="0.35">
      <c r="C24" t="s">
        <v>333</v>
      </c>
      <c r="D24" s="69">
        <v>21.3</v>
      </c>
    </row>
    <row r="25" spans="2:4" x14ac:dyDescent="0.35">
      <c r="C25" t="s">
        <v>331</v>
      </c>
      <c r="D25" s="69">
        <v>61.45</v>
      </c>
    </row>
    <row r="49" spans="3:3" x14ac:dyDescent="0.35">
      <c r="C49" s="75" t="s">
        <v>472</v>
      </c>
    </row>
    <row r="69" spans="3:3" x14ac:dyDescent="0.35">
      <c r="C69" s="75" t="s">
        <v>473</v>
      </c>
    </row>
  </sheetData>
  <hyperlinks>
    <hyperlink ref="C69" r:id="rId1" location="canadian" xr:uid="{EE62DDD8-DE59-40D1-B0AA-1B70753CD0AE}"/>
    <hyperlink ref="C49" r:id="rId2" xr:uid="{0BD4B29A-7A61-41EF-B680-C489674F282E}"/>
    <hyperlink ref="K2" r:id="rId3" xr:uid="{7A5CF2C8-8ECB-47A8-8D8A-F50645359602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1A59-67D0-48CD-A2F7-029CB2D10197}">
  <dimension ref="A3:O56"/>
  <sheetViews>
    <sheetView topLeftCell="A31" workbookViewId="0">
      <selection activeCell="K47" sqref="K47:K52"/>
    </sheetView>
    <sheetView workbookViewId="1"/>
  </sheetViews>
  <sheetFormatPr defaultRowHeight="14.5" x14ac:dyDescent="0.35"/>
  <cols>
    <col min="1" max="1" width="36.26953125" style="11" bestFit="1" customWidth="1"/>
    <col min="2" max="2" width="17.26953125" style="11" bestFit="1" customWidth="1"/>
    <col min="3" max="3" width="9.54296875" style="11" bestFit="1" customWidth="1"/>
    <col min="4" max="4" width="9.81640625" style="11" bestFit="1" customWidth="1"/>
    <col min="5" max="5" width="9.26953125" style="11" bestFit="1" customWidth="1"/>
    <col min="6" max="6" width="10.453125" style="11" bestFit="1" customWidth="1"/>
    <col min="7" max="7" width="9.453125" style="11" bestFit="1" customWidth="1"/>
    <col min="8" max="8" width="10.453125" style="11" bestFit="1" customWidth="1"/>
    <col min="9" max="9" width="9.26953125" style="11" bestFit="1" customWidth="1"/>
    <col min="10" max="10" width="7.453125" style="11" bestFit="1" customWidth="1"/>
    <col min="11" max="11" width="11.7265625" style="11" bestFit="1" customWidth="1"/>
    <col min="13" max="13" width="12.453125" bestFit="1" customWidth="1"/>
  </cols>
  <sheetData>
    <row r="3" spans="1:13" x14ac:dyDescent="0.35">
      <c r="A3" s="123" t="s">
        <v>61</v>
      </c>
      <c r="B3" s="123" t="s">
        <v>62</v>
      </c>
      <c r="C3"/>
      <c r="D3"/>
      <c r="E3"/>
      <c r="F3"/>
      <c r="G3"/>
      <c r="H3"/>
      <c r="I3"/>
      <c r="J3"/>
      <c r="K3"/>
    </row>
    <row r="4" spans="1:13" x14ac:dyDescent="0.35">
      <c r="A4" s="123" t="s">
        <v>63</v>
      </c>
      <c r="B4" t="s">
        <v>64</v>
      </c>
      <c r="C4" t="s">
        <v>65</v>
      </c>
      <c r="D4" t="s">
        <v>66</v>
      </c>
      <c r="E4" t="s">
        <v>67</v>
      </c>
      <c r="F4" t="s">
        <v>68</v>
      </c>
      <c r="G4" t="s">
        <v>69</v>
      </c>
      <c r="H4" t="s">
        <v>70</v>
      </c>
      <c r="I4" t="s">
        <v>71</v>
      </c>
      <c r="J4" t="s">
        <v>72</v>
      </c>
      <c r="K4" t="s">
        <v>73</v>
      </c>
    </row>
    <row r="5" spans="1:13" x14ac:dyDescent="0.35">
      <c r="A5" s="95" t="s">
        <v>74</v>
      </c>
      <c r="B5"/>
      <c r="C5"/>
      <c r="D5">
        <v>33787.759999999995</v>
      </c>
      <c r="E5"/>
      <c r="F5">
        <v>37202.6</v>
      </c>
      <c r="G5"/>
      <c r="H5">
        <v>121853.18</v>
      </c>
      <c r="I5">
        <v>65387.96</v>
      </c>
      <c r="J5"/>
      <c r="K5">
        <v>258231.49999999997</v>
      </c>
      <c r="M5" t="s">
        <v>75</v>
      </c>
    </row>
    <row r="6" spans="1:13" x14ac:dyDescent="0.35">
      <c r="A6" s="124" t="s">
        <v>76</v>
      </c>
      <c r="B6" s="146"/>
      <c r="C6" s="146"/>
      <c r="D6" s="146">
        <v>29089.439999999999</v>
      </c>
      <c r="E6" s="146"/>
      <c r="F6" s="146"/>
      <c r="G6" s="146"/>
      <c r="H6" s="146"/>
      <c r="I6" s="146"/>
      <c r="J6" s="146"/>
      <c r="K6" s="146">
        <v>29089.439999999999</v>
      </c>
    </row>
    <row r="7" spans="1:13" x14ac:dyDescent="0.35">
      <c r="A7" s="124" t="s">
        <v>77</v>
      </c>
      <c r="B7" s="146"/>
      <c r="C7" s="146"/>
      <c r="D7" s="146">
        <v>4698.32</v>
      </c>
      <c r="E7" s="146"/>
      <c r="F7" s="146"/>
      <c r="G7" s="146"/>
      <c r="H7" s="146"/>
      <c r="I7" s="146"/>
      <c r="J7" s="146"/>
      <c r="K7" s="146">
        <v>4698.32</v>
      </c>
    </row>
    <row r="8" spans="1:13" x14ac:dyDescent="0.35">
      <c r="A8" s="124" t="s">
        <v>78</v>
      </c>
      <c r="B8" s="146"/>
      <c r="C8" s="146"/>
      <c r="D8" s="146"/>
      <c r="E8" s="146"/>
      <c r="F8" s="146">
        <v>37202.6</v>
      </c>
      <c r="G8" s="146"/>
      <c r="H8" s="146"/>
      <c r="I8" s="146"/>
      <c r="J8" s="146"/>
      <c r="K8" s="146">
        <v>37202.6</v>
      </c>
    </row>
    <row r="9" spans="1:13" x14ac:dyDescent="0.35">
      <c r="A9" s="124" t="s">
        <v>79</v>
      </c>
      <c r="B9" s="146"/>
      <c r="C9" s="146"/>
      <c r="D9" s="146"/>
      <c r="E9" s="146"/>
      <c r="F9" s="146"/>
      <c r="G9" s="146"/>
      <c r="H9" s="146">
        <v>121853.18</v>
      </c>
      <c r="I9" s="146"/>
      <c r="J9" s="146"/>
      <c r="K9" s="146">
        <v>121853.18</v>
      </c>
    </row>
    <row r="10" spans="1:13" x14ac:dyDescent="0.35">
      <c r="A10" s="124" t="s">
        <v>80</v>
      </c>
      <c r="B10" s="146"/>
      <c r="C10" s="146"/>
      <c r="D10" s="146"/>
      <c r="E10" s="146"/>
      <c r="F10" s="146"/>
      <c r="G10" s="146"/>
      <c r="H10" s="146"/>
      <c r="I10" s="146">
        <v>65387.96</v>
      </c>
      <c r="J10" s="146"/>
      <c r="K10" s="146">
        <v>65387.96</v>
      </c>
    </row>
    <row r="11" spans="1:13" x14ac:dyDescent="0.35">
      <c r="A11" s="95" t="s">
        <v>81</v>
      </c>
      <c r="B11"/>
      <c r="C11">
        <v>1181.25</v>
      </c>
      <c r="D11"/>
      <c r="E11"/>
      <c r="F11"/>
      <c r="G11"/>
      <c r="H11"/>
      <c r="I11"/>
      <c r="J11"/>
      <c r="K11">
        <v>1181.25</v>
      </c>
    </row>
    <row r="12" spans="1:13" x14ac:dyDescent="0.35">
      <c r="A12" s="124" t="s">
        <v>82</v>
      </c>
      <c r="B12" s="146"/>
      <c r="C12" s="146">
        <v>1181.25</v>
      </c>
      <c r="D12" s="146"/>
      <c r="E12" s="146"/>
      <c r="F12" s="146"/>
      <c r="G12" s="146"/>
      <c r="H12" s="146"/>
      <c r="I12" s="146"/>
      <c r="J12" s="146"/>
      <c r="K12" s="146">
        <v>1181.25</v>
      </c>
    </row>
    <row r="13" spans="1:13" x14ac:dyDescent="0.35">
      <c r="A13" s="95" t="s">
        <v>83</v>
      </c>
      <c r="B13">
        <v>71563.05</v>
      </c>
      <c r="C13">
        <v>367.5</v>
      </c>
      <c r="D13">
        <v>-54893.049999999996</v>
      </c>
      <c r="E13">
        <v>73684.179999999993</v>
      </c>
      <c r="F13">
        <v>70157.5</v>
      </c>
      <c r="G13">
        <v>30367.5</v>
      </c>
      <c r="H13">
        <v>7200.48</v>
      </c>
      <c r="I13"/>
      <c r="J13"/>
      <c r="K13">
        <v>198447.16</v>
      </c>
      <c r="M13" t="s">
        <v>75</v>
      </c>
    </row>
    <row r="14" spans="1:13" x14ac:dyDescent="0.35">
      <c r="A14" s="124" t="s">
        <v>84</v>
      </c>
      <c r="B14" s="146"/>
      <c r="C14" s="146"/>
      <c r="D14" s="146"/>
      <c r="E14" s="146">
        <v>6012.5</v>
      </c>
      <c r="F14" s="146"/>
      <c r="G14" s="146"/>
      <c r="H14" s="146"/>
      <c r="I14" s="146"/>
      <c r="J14" s="146"/>
      <c r="K14" s="146">
        <v>6012.5</v>
      </c>
    </row>
    <row r="15" spans="1:13" x14ac:dyDescent="0.35">
      <c r="A15" s="124" t="s">
        <v>85</v>
      </c>
      <c r="B15" s="146">
        <v>16670</v>
      </c>
      <c r="C15" s="146"/>
      <c r="D15" s="146"/>
      <c r="E15" s="146"/>
      <c r="F15" s="146"/>
      <c r="G15" s="146"/>
      <c r="H15" s="146"/>
      <c r="I15" s="146"/>
      <c r="J15" s="146"/>
      <c r="K15" s="146">
        <v>16670</v>
      </c>
    </row>
    <row r="16" spans="1:13" x14ac:dyDescent="0.35">
      <c r="A16" s="124" t="s">
        <v>86</v>
      </c>
      <c r="B16" s="146"/>
      <c r="C16" s="146"/>
      <c r="D16" s="146"/>
      <c r="E16" s="146">
        <v>1327.5</v>
      </c>
      <c r="F16" s="146"/>
      <c r="G16" s="146"/>
      <c r="H16" s="146"/>
      <c r="I16" s="146"/>
      <c r="J16" s="146"/>
      <c r="K16" s="146">
        <v>1327.5</v>
      </c>
    </row>
    <row r="17" spans="1:13" x14ac:dyDescent="0.35">
      <c r="A17" s="124" t="s">
        <v>87</v>
      </c>
      <c r="B17" s="146"/>
      <c r="C17" s="146"/>
      <c r="D17" s="146"/>
      <c r="E17" s="146">
        <v>26111.68</v>
      </c>
      <c r="F17" s="146"/>
      <c r="G17" s="146"/>
      <c r="H17" s="146"/>
      <c r="I17" s="146"/>
      <c r="J17" s="146"/>
      <c r="K17" s="146">
        <v>26111.68</v>
      </c>
    </row>
    <row r="18" spans="1:13" x14ac:dyDescent="0.35">
      <c r="A18" s="124" t="s">
        <v>88</v>
      </c>
      <c r="B18" s="146"/>
      <c r="C18" s="146">
        <v>367.5</v>
      </c>
      <c r="D18" s="146"/>
      <c r="E18" s="146"/>
      <c r="F18" s="146"/>
      <c r="G18" s="146"/>
      <c r="H18" s="146"/>
      <c r="I18" s="146"/>
      <c r="J18" s="146"/>
      <c r="K18" s="146">
        <v>367.5</v>
      </c>
    </row>
    <row r="19" spans="1:13" x14ac:dyDescent="0.35">
      <c r="A19" s="124" t="s">
        <v>89</v>
      </c>
      <c r="B19" s="146"/>
      <c r="C19" s="146"/>
      <c r="D19" s="146"/>
      <c r="E19" s="146"/>
      <c r="F19" s="146">
        <v>21467.5</v>
      </c>
      <c r="G19" s="146"/>
      <c r="H19" s="146"/>
      <c r="I19" s="146"/>
      <c r="J19" s="146"/>
      <c r="K19" s="146">
        <v>21467.5</v>
      </c>
    </row>
    <row r="20" spans="1:13" x14ac:dyDescent="0.35">
      <c r="A20" s="124" t="s">
        <v>90</v>
      </c>
      <c r="B20" s="146"/>
      <c r="C20" s="146"/>
      <c r="D20" s="146"/>
      <c r="E20" s="146">
        <v>22872.5</v>
      </c>
      <c r="F20" s="146"/>
      <c r="G20" s="146"/>
      <c r="H20" s="146"/>
      <c r="I20" s="146"/>
      <c r="J20" s="146"/>
      <c r="K20" s="146">
        <v>22872.5</v>
      </c>
    </row>
    <row r="21" spans="1:13" x14ac:dyDescent="0.35">
      <c r="A21" s="124" t="s">
        <v>91</v>
      </c>
      <c r="B21" s="146"/>
      <c r="C21" s="146"/>
      <c r="D21" s="146"/>
      <c r="E21" s="146">
        <v>17360</v>
      </c>
      <c r="F21" s="146"/>
      <c r="G21" s="146"/>
      <c r="H21" s="146"/>
      <c r="I21" s="146"/>
      <c r="J21" s="146"/>
      <c r="K21" s="146">
        <v>17360</v>
      </c>
    </row>
    <row r="22" spans="1:13" x14ac:dyDescent="0.35">
      <c r="A22" s="124" t="s">
        <v>92</v>
      </c>
      <c r="B22" s="146"/>
      <c r="C22" s="146"/>
      <c r="D22" s="146"/>
      <c r="E22" s="146"/>
      <c r="F22" s="146">
        <v>48690</v>
      </c>
      <c r="G22" s="146"/>
      <c r="H22" s="146"/>
      <c r="I22" s="146"/>
      <c r="J22" s="146"/>
      <c r="K22" s="146">
        <v>48690</v>
      </c>
    </row>
    <row r="23" spans="1:13" x14ac:dyDescent="0.35">
      <c r="A23" s="124" t="s">
        <v>93</v>
      </c>
      <c r="B23" s="146"/>
      <c r="C23" s="146"/>
      <c r="D23" s="146"/>
      <c r="E23" s="146"/>
      <c r="F23" s="146"/>
      <c r="G23" s="146">
        <v>30367.5</v>
      </c>
      <c r="H23" s="146"/>
      <c r="I23" s="146"/>
      <c r="J23" s="146"/>
      <c r="K23" s="146">
        <v>30367.5</v>
      </c>
    </row>
    <row r="24" spans="1:13" x14ac:dyDescent="0.35">
      <c r="A24" s="124" t="s">
        <v>94</v>
      </c>
      <c r="B24" s="146"/>
      <c r="C24" s="146"/>
      <c r="D24" s="146"/>
      <c r="E24" s="146"/>
      <c r="F24" s="146"/>
      <c r="G24" s="146"/>
      <c r="H24" s="146">
        <v>7200.48</v>
      </c>
      <c r="I24" s="146"/>
      <c r="J24" s="146"/>
      <c r="K24" s="146">
        <v>7200.48</v>
      </c>
    </row>
    <row r="25" spans="1:13" x14ac:dyDescent="0.35">
      <c r="A25" s="124" t="s">
        <v>95</v>
      </c>
      <c r="B25" s="146">
        <v>14708.88</v>
      </c>
      <c r="C25" s="146"/>
      <c r="D25" s="146">
        <v>-14708.88</v>
      </c>
      <c r="E25" s="146"/>
      <c r="F25" s="146"/>
      <c r="G25" s="146"/>
      <c r="H25" s="146"/>
      <c r="I25" s="146"/>
      <c r="J25" s="146"/>
      <c r="K25" s="146">
        <v>0</v>
      </c>
    </row>
    <row r="26" spans="1:13" x14ac:dyDescent="0.35">
      <c r="A26" s="124" t="s">
        <v>96</v>
      </c>
      <c r="B26" s="146">
        <v>8453.32</v>
      </c>
      <c r="C26" s="146"/>
      <c r="D26" s="146">
        <v>-8453.32</v>
      </c>
      <c r="E26" s="146"/>
      <c r="F26" s="146"/>
      <c r="G26" s="146"/>
      <c r="H26" s="146"/>
      <c r="I26" s="146"/>
      <c r="J26" s="146"/>
      <c r="K26" s="146">
        <v>0</v>
      </c>
    </row>
    <row r="27" spans="1:13" x14ac:dyDescent="0.35">
      <c r="A27" s="124" t="s">
        <v>97</v>
      </c>
      <c r="B27" s="146">
        <v>17628.25</v>
      </c>
      <c r="C27" s="146"/>
      <c r="D27" s="146">
        <v>-17628.25</v>
      </c>
      <c r="E27" s="146"/>
      <c r="F27" s="146"/>
      <c r="G27" s="146"/>
      <c r="H27" s="146"/>
      <c r="I27" s="146"/>
      <c r="J27" s="146"/>
      <c r="K27" s="146">
        <v>0</v>
      </c>
    </row>
    <row r="28" spans="1:13" x14ac:dyDescent="0.35">
      <c r="A28" s="124" t="s">
        <v>98</v>
      </c>
      <c r="B28" s="146">
        <v>14102.6</v>
      </c>
      <c r="C28" s="146"/>
      <c r="D28" s="146">
        <v>-14102.6</v>
      </c>
      <c r="E28" s="146"/>
      <c r="F28" s="146"/>
      <c r="G28" s="146"/>
      <c r="H28" s="146"/>
      <c r="I28" s="146"/>
      <c r="J28" s="146"/>
      <c r="K28" s="146">
        <v>0</v>
      </c>
    </row>
    <row r="29" spans="1:13" x14ac:dyDescent="0.35">
      <c r="A29" s="95" t="s">
        <v>99</v>
      </c>
      <c r="B29"/>
      <c r="C29"/>
      <c r="D29">
        <v>56338.259999999995</v>
      </c>
      <c r="E29">
        <v>47348.070000000007</v>
      </c>
      <c r="F29">
        <v>746.28</v>
      </c>
      <c r="G29"/>
      <c r="H29">
        <v>55976.26</v>
      </c>
      <c r="I29"/>
      <c r="J29"/>
      <c r="K29">
        <v>160408.87</v>
      </c>
      <c r="M29">
        <v>164610.32</v>
      </c>
    </row>
    <row r="30" spans="1:13" x14ac:dyDescent="0.35">
      <c r="A30" s="124" t="s">
        <v>95</v>
      </c>
      <c r="B30" s="146"/>
      <c r="C30" s="146"/>
      <c r="D30" s="146">
        <v>15096.13</v>
      </c>
      <c r="E30" s="146"/>
      <c r="F30" s="146"/>
      <c r="G30" s="146"/>
      <c r="H30" s="146"/>
      <c r="I30" s="146"/>
      <c r="J30" s="146"/>
      <c r="K30" s="146">
        <v>15096.13</v>
      </c>
    </row>
    <row r="31" spans="1:13" x14ac:dyDescent="0.35">
      <c r="A31" s="124" t="s">
        <v>96</v>
      </c>
      <c r="B31" s="146"/>
      <c r="C31" s="146"/>
      <c r="D31" s="146">
        <v>8675.8799999999992</v>
      </c>
      <c r="E31" s="146"/>
      <c r="F31" s="146"/>
      <c r="G31" s="146"/>
      <c r="H31" s="146"/>
      <c r="I31" s="146"/>
      <c r="J31" s="146"/>
      <c r="K31" s="146">
        <v>8675.8799999999992</v>
      </c>
    </row>
    <row r="32" spans="1:13" x14ac:dyDescent="0.35">
      <c r="A32" s="124" t="s">
        <v>97</v>
      </c>
      <c r="B32" s="146"/>
      <c r="C32" s="146"/>
      <c r="D32" s="146">
        <v>18092.36</v>
      </c>
      <c r="E32" s="146"/>
      <c r="F32" s="146"/>
      <c r="G32" s="146"/>
      <c r="H32" s="146"/>
      <c r="I32" s="146"/>
      <c r="J32" s="146"/>
      <c r="K32" s="146">
        <v>18092.36</v>
      </c>
    </row>
    <row r="33" spans="1:15" x14ac:dyDescent="0.35">
      <c r="A33" s="124" t="s">
        <v>98</v>
      </c>
      <c r="B33" s="146"/>
      <c r="C33" s="146"/>
      <c r="D33" s="146">
        <v>14473.89</v>
      </c>
      <c r="E33" s="146"/>
      <c r="F33" s="146"/>
      <c r="G33" s="146"/>
      <c r="H33" s="146"/>
      <c r="I33" s="146"/>
      <c r="J33" s="146"/>
      <c r="K33" s="146">
        <v>14473.89</v>
      </c>
    </row>
    <row r="34" spans="1:15" x14ac:dyDescent="0.35">
      <c r="A34" s="124" t="s">
        <v>100</v>
      </c>
      <c r="B34" s="146"/>
      <c r="C34" s="146"/>
      <c r="D34" s="146"/>
      <c r="E34" s="146">
        <v>19652.830000000002</v>
      </c>
      <c r="F34" s="146"/>
      <c r="G34" s="146"/>
      <c r="H34" s="146"/>
      <c r="I34" s="146"/>
      <c r="J34" s="146"/>
      <c r="K34" s="146">
        <v>19652.830000000002</v>
      </c>
    </row>
    <row r="35" spans="1:15" x14ac:dyDescent="0.35">
      <c r="A35" s="124" t="s">
        <v>101</v>
      </c>
      <c r="B35" s="146"/>
      <c r="C35" s="146"/>
      <c r="D35" s="146"/>
      <c r="E35" s="146"/>
      <c r="F35" s="146">
        <v>746.28</v>
      </c>
      <c r="G35" s="146"/>
      <c r="H35" s="146"/>
      <c r="I35" s="146"/>
      <c r="J35" s="146"/>
      <c r="K35" s="146">
        <v>746.28</v>
      </c>
    </row>
    <row r="36" spans="1:15" x14ac:dyDescent="0.35">
      <c r="A36" s="124" t="s">
        <v>102</v>
      </c>
      <c r="B36" s="146"/>
      <c r="C36" s="146"/>
      <c r="D36" s="146"/>
      <c r="E36" s="146">
        <v>27695.24</v>
      </c>
      <c r="F36" s="146"/>
      <c r="G36" s="146"/>
      <c r="H36" s="146"/>
      <c r="I36" s="146"/>
      <c r="J36" s="146"/>
      <c r="K36" s="146">
        <v>27695.24</v>
      </c>
    </row>
    <row r="37" spans="1:15" x14ac:dyDescent="0.35">
      <c r="A37" s="124" t="s">
        <v>103</v>
      </c>
      <c r="B37" s="146"/>
      <c r="C37" s="146"/>
      <c r="D37" s="146"/>
      <c r="E37" s="146"/>
      <c r="F37" s="146"/>
      <c r="G37" s="146"/>
      <c r="H37" s="146">
        <v>7993.3</v>
      </c>
      <c r="I37" s="146"/>
      <c r="J37" s="146"/>
      <c r="K37" s="146">
        <v>7993.3</v>
      </c>
    </row>
    <row r="38" spans="1:15" x14ac:dyDescent="0.35">
      <c r="A38" s="124" t="s">
        <v>104</v>
      </c>
      <c r="B38" s="146"/>
      <c r="C38" s="146"/>
      <c r="D38" s="146"/>
      <c r="E38" s="146"/>
      <c r="F38" s="146"/>
      <c r="G38" s="146"/>
      <c r="H38" s="146">
        <v>39483.879999999997</v>
      </c>
      <c r="I38" s="146"/>
      <c r="J38" s="146"/>
      <c r="K38" s="146">
        <v>39483.879999999997</v>
      </c>
    </row>
    <row r="39" spans="1:15" x14ac:dyDescent="0.35">
      <c r="A39" s="124" t="s">
        <v>105</v>
      </c>
      <c r="B39" s="146"/>
      <c r="C39" s="146"/>
      <c r="D39" s="146"/>
      <c r="E39" s="146"/>
      <c r="F39" s="146"/>
      <c r="G39" s="146"/>
      <c r="H39" s="146">
        <v>8499.08</v>
      </c>
      <c r="I39" s="146"/>
      <c r="J39" s="146"/>
      <c r="K39" s="146">
        <v>8499.08</v>
      </c>
    </row>
    <row r="40" spans="1:15" x14ac:dyDescent="0.35">
      <c r="A40" s="95" t="s">
        <v>106</v>
      </c>
      <c r="B40"/>
      <c r="C40">
        <v>1749.71</v>
      </c>
      <c r="D40"/>
      <c r="E40"/>
      <c r="F40"/>
      <c r="G40"/>
      <c r="H40"/>
      <c r="I40"/>
      <c r="J40"/>
      <c r="K40">
        <v>1749.71</v>
      </c>
    </row>
    <row r="41" spans="1:15" x14ac:dyDescent="0.35">
      <c r="A41" s="125" t="s">
        <v>107</v>
      </c>
      <c r="B41" s="147"/>
      <c r="C41" s="147">
        <v>1749.71</v>
      </c>
      <c r="D41" s="147"/>
      <c r="E41" s="147"/>
      <c r="F41" s="147"/>
      <c r="G41" s="147"/>
      <c r="H41" s="147"/>
      <c r="I41" s="147"/>
      <c r="J41" s="147"/>
      <c r="K41" s="147">
        <v>1749.71</v>
      </c>
    </row>
    <row r="42" spans="1:15" x14ac:dyDescent="0.35">
      <c r="A42" s="95" t="s">
        <v>108</v>
      </c>
      <c r="B42"/>
      <c r="C42">
        <v>570.53</v>
      </c>
      <c r="D42"/>
      <c r="E42"/>
      <c r="F42"/>
      <c r="G42"/>
      <c r="H42"/>
      <c r="I42"/>
      <c r="J42"/>
      <c r="K42">
        <v>570.53</v>
      </c>
    </row>
    <row r="43" spans="1:15" x14ac:dyDescent="0.35">
      <c r="A43" s="124" t="s">
        <v>109</v>
      </c>
      <c r="B43" s="146"/>
      <c r="C43" s="146">
        <v>570.53</v>
      </c>
      <c r="D43" s="146"/>
      <c r="E43" s="146"/>
      <c r="F43" s="146"/>
      <c r="G43" s="146"/>
      <c r="H43" s="146"/>
      <c r="I43" s="146"/>
      <c r="J43" s="146"/>
      <c r="K43" s="146">
        <v>570.53</v>
      </c>
    </row>
    <row r="44" spans="1:15" x14ac:dyDescent="0.35">
      <c r="A44" s="95" t="s">
        <v>110</v>
      </c>
      <c r="B44"/>
      <c r="C44"/>
      <c r="D44"/>
      <c r="E44"/>
      <c r="F44"/>
      <c r="G44"/>
      <c r="H44"/>
      <c r="I44">
        <v>1141.44</v>
      </c>
      <c r="J44"/>
      <c r="K44">
        <v>1141.44</v>
      </c>
    </row>
    <row r="45" spans="1:15" x14ac:dyDescent="0.35">
      <c r="A45" s="96" t="s">
        <v>111</v>
      </c>
      <c r="B45"/>
      <c r="C45"/>
      <c r="D45"/>
      <c r="E45"/>
      <c r="F45"/>
      <c r="G45"/>
      <c r="H45"/>
      <c r="I45">
        <v>1141.44</v>
      </c>
      <c r="J45"/>
      <c r="K45">
        <v>1141.44</v>
      </c>
    </row>
    <row r="46" spans="1:15" x14ac:dyDescent="0.35">
      <c r="A46" s="95" t="s">
        <v>72</v>
      </c>
      <c r="B46"/>
      <c r="C46"/>
      <c r="D46">
        <v>3182.75</v>
      </c>
      <c r="E46">
        <v>5575.75</v>
      </c>
      <c r="F46">
        <v>2177.2600000000002</v>
      </c>
      <c r="G46">
        <v>23380.539999999997</v>
      </c>
      <c r="H46">
        <v>-16045</v>
      </c>
      <c r="I46">
        <v>42.85</v>
      </c>
      <c r="J46"/>
      <c r="K46">
        <v>18314.149999999998</v>
      </c>
    </row>
    <row r="47" spans="1:15" x14ac:dyDescent="0.35">
      <c r="A47" s="124" t="s">
        <v>51</v>
      </c>
      <c r="B47" s="146"/>
      <c r="C47" s="146"/>
      <c r="D47" s="146"/>
      <c r="E47" s="146">
        <v>5165.1899999999996</v>
      </c>
      <c r="F47" s="146"/>
      <c r="G47" s="146"/>
      <c r="H47" s="146"/>
      <c r="I47" s="146"/>
      <c r="J47" s="146"/>
      <c r="K47" s="146">
        <v>5165.1899999999996</v>
      </c>
    </row>
    <row r="48" spans="1:15" x14ac:dyDescent="0.35">
      <c r="A48" s="124" t="s">
        <v>53</v>
      </c>
      <c r="B48" s="146"/>
      <c r="C48" s="146"/>
      <c r="D48" s="146"/>
      <c r="E48" s="146"/>
      <c r="F48" s="146"/>
      <c r="G48" s="146">
        <v>383.09</v>
      </c>
      <c r="H48" s="146"/>
      <c r="I48" s="146"/>
      <c r="J48" s="146"/>
      <c r="K48" s="146">
        <v>383.09</v>
      </c>
      <c r="L48" t="s">
        <v>112</v>
      </c>
      <c r="M48" t="s">
        <v>113</v>
      </c>
      <c r="N48">
        <v>376.19</v>
      </c>
      <c r="O48">
        <f>+K48-N48</f>
        <v>6.8999999999999773</v>
      </c>
    </row>
    <row r="49" spans="1:15" x14ac:dyDescent="0.35">
      <c r="A49" s="124" t="s">
        <v>54</v>
      </c>
      <c r="B49" s="146"/>
      <c r="C49" s="146"/>
      <c r="D49" s="146"/>
      <c r="E49" s="146"/>
      <c r="F49" s="146"/>
      <c r="G49" s="146">
        <v>758.18</v>
      </c>
      <c r="H49" s="146"/>
      <c r="I49" s="146"/>
      <c r="J49" s="146"/>
      <c r="K49" s="146">
        <v>758.18</v>
      </c>
      <c r="L49" t="s">
        <v>114</v>
      </c>
      <c r="M49" t="s">
        <v>115</v>
      </c>
    </row>
    <row r="50" spans="1:15" x14ac:dyDescent="0.35">
      <c r="A50" s="124" t="s">
        <v>55</v>
      </c>
      <c r="B50" s="146"/>
      <c r="C50" s="146"/>
      <c r="D50" s="146"/>
      <c r="E50" s="146"/>
      <c r="F50" s="146"/>
      <c r="G50" s="146">
        <v>94.8</v>
      </c>
      <c r="H50" s="146"/>
      <c r="I50" s="146"/>
      <c r="J50" s="146"/>
      <c r="K50" s="146">
        <v>94.8</v>
      </c>
      <c r="L50" t="s">
        <v>116</v>
      </c>
      <c r="M50" t="s">
        <v>113</v>
      </c>
    </row>
    <row r="51" spans="1:15" x14ac:dyDescent="0.35">
      <c r="A51" s="124" t="s">
        <v>56</v>
      </c>
      <c r="B51" s="146"/>
      <c r="C51" s="146"/>
      <c r="D51" s="146"/>
      <c r="E51" s="146"/>
      <c r="F51" s="146"/>
      <c r="G51" s="146">
        <v>769.25</v>
      </c>
      <c r="H51" s="146"/>
      <c r="I51" s="146"/>
      <c r="J51" s="146"/>
      <c r="K51" s="146">
        <v>769.25</v>
      </c>
      <c r="L51" t="s">
        <v>116</v>
      </c>
      <c r="M51" t="s">
        <v>113</v>
      </c>
      <c r="N51">
        <v>769.63</v>
      </c>
      <c r="O51">
        <f>+K51-N51</f>
        <v>-0.37999999999999545</v>
      </c>
    </row>
    <row r="52" spans="1:15" x14ac:dyDescent="0.35">
      <c r="A52" s="96" t="s">
        <v>72</v>
      </c>
      <c r="B52"/>
      <c r="C52"/>
      <c r="D52">
        <v>3182.75</v>
      </c>
      <c r="E52">
        <v>410.56</v>
      </c>
      <c r="F52">
        <v>2177.2600000000002</v>
      </c>
      <c r="G52">
        <v>21375.219999999998</v>
      </c>
      <c r="H52">
        <v>-16045</v>
      </c>
      <c r="I52">
        <v>42.85</v>
      </c>
      <c r="J52"/>
      <c r="K52">
        <v>11143.639999999998</v>
      </c>
    </row>
    <row r="53" spans="1:15" x14ac:dyDescent="0.35">
      <c r="A53" s="95" t="s">
        <v>73</v>
      </c>
      <c r="B53">
        <v>71563.05</v>
      </c>
      <c r="C53">
        <v>3868.99</v>
      </c>
      <c r="D53">
        <v>38415.72</v>
      </c>
      <c r="E53">
        <v>126608</v>
      </c>
      <c r="F53">
        <v>110283.64</v>
      </c>
      <c r="G53">
        <v>53748.039999999994</v>
      </c>
      <c r="H53">
        <v>168984.91999999998</v>
      </c>
      <c r="I53">
        <v>66572.25</v>
      </c>
      <c r="J53"/>
      <c r="K53">
        <v>640044.61</v>
      </c>
    </row>
    <row r="56" spans="1:15" x14ac:dyDescent="0.35">
      <c r="F56" s="11">
        <f>SUM(C47:I51)</f>
        <v>7170.51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DA0C-486E-4A31-BC66-B817043EF5D3}">
  <sheetPr>
    <pageSetUpPr fitToPage="1"/>
  </sheetPr>
  <dimension ref="A1:Q31"/>
  <sheetViews>
    <sheetView zoomScaleNormal="100" workbookViewId="0">
      <selection activeCell="E7" sqref="E7:F8"/>
    </sheetView>
    <sheetView workbookViewId="1">
      <selection activeCell="M8" sqref="M8"/>
    </sheetView>
  </sheetViews>
  <sheetFormatPr defaultRowHeight="13" x14ac:dyDescent="0.3"/>
  <cols>
    <col min="1" max="1" width="5.54296875" style="149" customWidth="1"/>
    <col min="2" max="2" width="13.81640625" style="149" customWidth="1"/>
    <col min="3" max="3" width="16.54296875" style="149" customWidth="1"/>
    <col min="4" max="4" width="6.54296875" style="149" customWidth="1"/>
    <col min="5" max="6" width="10.54296875" style="149" customWidth="1"/>
    <col min="7" max="7" width="18" style="149" customWidth="1"/>
    <col min="8" max="8" width="18.54296875" style="149" customWidth="1"/>
    <col min="9" max="9" width="5.81640625" style="149" customWidth="1"/>
    <col min="10" max="10" width="19.54296875" style="149" customWidth="1"/>
    <col min="11" max="11" width="1.1796875" style="149" customWidth="1"/>
    <col min="12" max="257" width="9.1796875" style="149"/>
    <col min="258" max="258" width="5.54296875" style="149" customWidth="1"/>
    <col min="259" max="259" width="10.54296875" style="149" customWidth="1"/>
    <col min="260" max="260" width="16.54296875" style="149" customWidth="1"/>
    <col min="261" max="261" width="6.54296875" style="149" customWidth="1"/>
    <col min="262" max="263" width="10.54296875" style="149" customWidth="1"/>
    <col min="264" max="266" width="20.54296875" style="149" customWidth="1"/>
    <col min="267" max="513" width="9.1796875" style="149"/>
    <col min="514" max="514" width="5.54296875" style="149" customWidth="1"/>
    <col min="515" max="515" width="10.54296875" style="149" customWidth="1"/>
    <col min="516" max="516" width="16.54296875" style="149" customWidth="1"/>
    <col min="517" max="517" width="6.54296875" style="149" customWidth="1"/>
    <col min="518" max="519" width="10.54296875" style="149" customWidth="1"/>
    <col min="520" max="522" width="20.54296875" style="149" customWidth="1"/>
    <col min="523" max="769" width="9.1796875" style="149"/>
    <col min="770" max="770" width="5.54296875" style="149" customWidth="1"/>
    <col min="771" max="771" width="10.54296875" style="149" customWidth="1"/>
    <col min="772" max="772" width="16.54296875" style="149" customWidth="1"/>
    <col min="773" max="773" width="6.54296875" style="149" customWidth="1"/>
    <col min="774" max="775" width="10.54296875" style="149" customWidth="1"/>
    <col min="776" max="778" width="20.54296875" style="149" customWidth="1"/>
    <col min="779" max="1025" width="9.1796875" style="149"/>
    <col min="1026" max="1026" width="5.54296875" style="149" customWidth="1"/>
    <col min="1027" max="1027" width="10.54296875" style="149" customWidth="1"/>
    <col min="1028" max="1028" width="16.54296875" style="149" customWidth="1"/>
    <col min="1029" max="1029" width="6.54296875" style="149" customWidth="1"/>
    <col min="1030" max="1031" width="10.54296875" style="149" customWidth="1"/>
    <col min="1032" max="1034" width="20.54296875" style="149" customWidth="1"/>
    <col min="1035" max="1281" width="9.1796875" style="149"/>
    <col min="1282" max="1282" width="5.54296875" style="149" customWidth="1"/>
    <col min="1283" max="1283" width="10.54296875" style="149" customWidth="1"/>
    <col min="1284" max="1284" width="16.54296875" style="149" customWidth="1"/>
    <col min="1285" max="1285" width="6.54296875" style="149" customWidth="1"/>
    <col min="1286" max="1287" width="10.54296875" style="149" customWidth="1"/>
    <col min="1288" max="1290" width="20.54296875" style="149" customWidth="1"/>
    <col min="1291" max="1537" width="9.1796875" style="149"/>
    <col min="1538" max="1538" width="5.54296875" style="149" customWidth="1"/>
    <col min="1539" max="1539" width="10.54296875" style="149" customWidth="1"/>
    <col min="1540" max="1540" width="16.54296875" style="149" customWidth="1"/>
    <col min="1541" max="1541" width="6.54296875" style="149" customWidth="1"/>
    <col min="1542" max="1543" width="10.54296875" style="149" customWidth="1"/>
    <col min="1544" max="1546" width="20.54296875" style="149" customWidth="1"/>
    <col min="1547" max="1793" width="9.1796875" style="149"/>
    <col min="1794" max="1794" width="5.54296875" style="149" customWidth="1"/>
    <col min="1795" max="1795" width="10.54296875" style="149" customWidth="1"/>
    <col min="1796" max="1796" width="16.54296875" style="149" customWidth="1"/>
    <col min="1797" max="1797" width="6.54296875" style="149" customWidth="1"/>
    <col min="1798" max="1799" width="10.54296875" style="149" customWidth="1"/>
    <col min="1800" max="1802" width="20.54296875" style="149" customWidth="1"/>
    <col min="1803" max="2049" width="9.1796875" style="149"/>
    <col min="2050" max="2050" width="5.54296875" style="149" customWidth="1"/>
    <col min="2051" max="2051" width="10.54296875" style="149" customWidth="1"/>
    <col min="2052" max="2052" width="16.54296875" style="149" customWidth="1"/>
    <col min="2053" max="2053" width="6.54296875" style="149" customWidth="1"/>
    <col min="2054" max="2055" width="10.54296875" style="149" customWidth="1"/>
    <col min="2056" max="2058" width="20.54296875" style="149" customWidth="1"/>
    <col min="2059" max="2305" width="9.1796875" style="149"/>
    <col min="2306" max="2306" width="5.54296875" style="149" customWidth="1"/>
    <col min="2307" max="2307" width="10.54296875" style="149" customWidth="1"/>
    <col min="2308" max="2308" width="16.54296875" style="149" customWidth="1"/>
    <col min="2309" max="2309" width="6.54296875" style="149" customWidth="1"/>
    <col min="2310" max="2311" width="10.54296875" style="149" customWidth="1"/>
    <col min="2312" max="2314" width="20.54296875" style="149" customWidth="1"/>
    <col min="2315" max="2561" width="9.1796875" style="149"/>
    <col min="2562" max="2562" width="5.54296875" style="149" customWidth="1"/>
    <col min="2563" max="2563" width="10.54296875" style="149" customWidth="1"/>
    <col min="2564" max="2564" width="16.54296875" style="149" customWidth="1"/>
    <col min="2565" max="2565" width="6.54296875" style="149" customWidth="1"/>
    <col min="2566" max="2567" width="10.54296875" style="149" customWidth="1"/>
    <col min="2568" max="2570" width="20.54296875" style="149" customWidth="1"/>
    <col min="2571" max="2817" width="9.1796875" style="149"/>
    <col min="2818" max="2818" width="5.54296875" style="149" customWidth="1"/>
    <col min="2819" max="2819" width="10.54296875" style="149" customWidth="1"/>
    <col min="2820" max="2820" width="16.54296875" style="149" customWidth="1"/>
    <col min="2821" max="2821" width="6.54296875" style="149" customWidth="1"/>
    <col min="2822" max="2823" width="10.54296875" style="149" customWidth="1"/>
    <col min="2824" max="2826" width="20.54296875" style="149" customWidth="1"/>
    <col min="2827" max="3073" width="9.1796875" style="149"/>
    <col min="3074" max="3074" width="5.54296875" style="149" customWidth="1"/>
    <col min="3075" max="3075" width="10.54296875" style="149" customWidth="1"/>
    <col min="3076" max="3076" width="16.54296875" style="149" customWidth="1"/>
    <col min="3077" max="3077" width="6.54296875" style="149" customWidth="1"/>
    <col min="3078" max="3079" width="10.54296875" style="149" customWidth="1"/>
    <col min="3080" max="3082" width="20.54296875" style="149" customWidth="1"/>
    <col min="3083" max="3329" width="9.1796875" style="149"/>
    <col min="3330" max="3330" width="5.54296875" style="149" customWidth="1"/>
    <col min="3331" max="3331" width="10.54296875" style="149" customWidth="1"/>
    <col min="3332" max="3332" width="16.54296875" style="149" customWidth="1"/>
    <col min="3333" max="3333" width="6.54296875" style="149" customWidth="1"/>
    <col min="3334" max="3335" width="10.54296875" style="149" customWidth="1"/>
    <col min="3336" max="3338" width="20.54296875" style="149" customWidth="1"/>
    <col min="3339" max="3585" width="9.1796875" style="149"/>
    <col min="3586" max="3586" width="5.54296875" style="149" customWidth="1"/>
    <col min="3587" max="3587" width="10.54296875" style="149" customWidth="1"/>
    <col min="3588" max="3588" width="16.54296875" style="149" customWidth="1"/>
    <col min="3589" max="3589" width="6.54296875" style="149" customWidth="1"/>
    <col min="3590" max="3591" width="10.54296875" style="149" customWidth="1"/>
    <col min="3592" max="3594" width="20.54296875" style="149" customWidth="1"/>
    <col min="3595" max="3841" width="9.1796875" style="149"/>
    <col min="3842" max="3842" width="5.54296875" style="149" customWidth="1"/>
    <col min="3843" max="3843" width="10.54296875" style="149" customWidth="1"/>
    <col min="3844" max="3844" width="16.54296875" style="149" customWidth="1"/>
    <col min="3845" max="3845" width="6.54296875" style="149" customWidth="1"/>
    <col min="3846" max="3847" width="10.54296875" style="149" customWidth="1"/>
    <col min="3848" max="3850" width="20.54296875" style="149" customWidth="1"/>
    <col min="3851" max="4097" width="9.1796875" style="149"/>
    <col min="4098" max="4098" width="5.54296875" style="149" customWidth="1"/>
    <col min="4099" max="4099" width="10.54296875" style="149" customWidth="1"/>
    <col min="4100" max="4100" width="16.54296875" style="149" customWidth="1"/>
    <col min="4101" max="4101" width="6.54296875" style="149" customWidth="1"/>
    <col min="4102" max="4103" width="10.54296875" style="149" customWidth="1"/>
    <col min="4104" max="4106" width="20.54296875" style="149" customWidth="1"/>
    <col min="4107" max="4353" width="9.1796875" style="149"/>
    <col min="4354" max="4354" width="5.54296875" style="149" customWidth="1"/>
    <col min="4355" max="4355" width="10.54296875" style="149" customWidth="1"/>
    <col min="4356" max="4356" width="16.54296875" style="149" customWidth="1"/>
    <col min="4357" max="4357" width="6.54296875" style="149" customWidth="1"/>
    <col min="4358" max="4359" width="10.54296875" style="149" customWidth="1"/>
    <col min="4360" max="4362" width="20.54296875" style="149" customWidth="1"/>
    <col min="4363" max="4609" width="9.1796875" style="149"/>
    <col min="4610" max="4610" width="5.54296875" style="149" customWidth="1"/>
    <col min="4611" max="4611" width="10.54296875" style="149" customWidth="1"/>
    <col min="4612" max="4612" width="16.54296875" style="149" customWidth="1"/>
    <col min="4613" max="4613" width="6.54296875" style="149" customWidth="1"/>
    <col min="4614" max="4615" width="10.54296875" style="149" customWidth="1"/>
    <col min="4616" max="4618" width="20.54296875" style="149" customWidth="1"/>
    <col min="4619" max="4865" width="9.1796875" style="149"/>
    <col min="4866" max="4866" width="5.54296875" style="149" customWidth="1"/>
    <col min="4867" max="4867" width="10.54296875" style="149" customWidth="1"/>
    <col min="4868" max="4868" width="16.54296875" style="149" customWidth="1"/>
    <col min="4869" max="4869" width="6.54296875" style="149" customWidth="1"/>
    <col min="4870" max="4871" width="10.54296875" style="149" customWidth="1"/>
    <col min="4872" max="4874" width="20.54296875" style="149" customWidth="1"/>
    <col min="4875" max="5121" width="9.1796875" style="149"/>
    <col min="5122" max="5122" width="5.54296875" style="149" customWidth="1"/>
    <col min="5123" max="5123" width="10.54296875" style="149" customWidth="1"/>
    <col min="5124" max="5124" width="16.54296875" style="149" customWidth="1"/>
    <col min="5125" max="5125" width="6.54296875" style="149" customWidth="1"/>
    <col min="5126" max="5127" width="10.54296875" style="149" customWidth="1"/>
    <col min="5128" max="5130" width="20.54296875" style="149" customWidth="1"/>
    <col min="5131" max="5377" width="9.1796875" style="149"/>
    <col min="5378" max="5378" width="5.54296875" style="149" customWidth="1"/>
    <col min="5379" max="5379" width="10.54296875" style="149" customWidth="1"/>
    <col min="5380" max="5380" width="16.54296875" style="149" customWidth="1"/>
    <col min="5381" max="5381" width="6.54296875" style="149" customWidth="1"/>
    <col min="5382" max="5383" width="10.54296875" style="149" customWidth="1"/>
    <col min="5384" max="5386" width="20.54296875" style="149" customWidth="1"/>
    <col min="5387" max="5633" width="9.1796875" style="149"/>
    <col min="5634" max="5634" width="5.54296875" style="149" customWidth="1"/>
    <col min="5635" max="5635" width="10.54296875" style="149" customWidth="1"/>
    <col min="5636" max="5636" width="16.54296875" style="149" customWidth="1"/>
    <col min="5637" max="5637" width="6.54296875" style="149" customWidth="1"/>
    <col min="5638" max="5639" width="10.54296875" style="149" customWidth="1"/>
    <col min="5640" max="5642" width="20.54296875" style="149" customWidth="1"/>
    <col min="5643" max="5889" width="9.1796875" style="149"/>
    <col min="5890" max="5890" width="5.54296875" style="149" customWidth="1"/>
    <col min="5891" max="5891" width="10.54296875" style="149" customWidth="1"/>
    <col min="5892" max="5892" width="16.54296875" style="149" customWidth="1"/>
    <col min="5893" max="5893" width="6.54296875" style="149" customWidth="1"/>
    <col min="5894" max="5895" width="10.54296875" style="149" customWidth="1"/>
    <col min="5896" max="5898" width="20.54296875" style="149" customWidth="1"/>
    <col min="5899" max="6145" width="9.1796875" style="149"/>
    <col min="6146" max="6146" width="5.54296875" style="149" customWidth="1"/>
    <col min="6147" max="6147" width="10.54296875" style="149" customWidth="1"/>
    <col min="6148" max="6148" width="16.54296875" style="149" customWidth="1"/>
    <col min="6149" max="6149" width="6.54296875" style="149" customWidth="1"/>
    <col min="6150" max="6151" width="10.54296875" style="149" customWidth="1"/>
    <col min="6152" max="6154" width="20.54296875" style="149" customWidth="1"/>
    <col min="6155" max="6401" width="9.1796875" style="149"/>
    <col min="6402" max="6402" width="5.54296875" style="149" customWidth="1"/>
    <col min="6403" max="6403" width="10.54296875" style="149" customWidth="1"/>
    <col min="6404" max="6404" width="16.54296875" style="149" customWidth="1"/>
    <col min="6405" max="6405" width="6.54296875" style="149" customWidth="1"/>
    <col min="6406" max="6407" width="10.54296875" style="149" customWidth="1"/>
    <col min="6408" max="6410" width="20.54296875" style="149" customWidth="1"/>
    <col min="6411" max="6657" width="9.1796875" style="149"/>
    <col min="6658" max="6658" width="5.54296875" style="149" customWidth="1"/>
    <col min="6659" max="6659" width="10.54296875" style="149" customWidth="1"/>
    <col min="6660" max="6660" width="16.54296875" style="149" customWidth="1"/>
    <col min="6661" max="6661" width="6.54296875" style="149" customWidth="1"/>
    <col min="6662" max="6663" width="10.54296875" style="149" customWidth="1"/>
    <col min="6664" max="6666" width="20.54296875" style="149" customWidth="1"/>
    <col min="6667" max="6913" width="9.1796875" style="149"/>
    <col min="6914" max="6914" width="5.54296875" style="149" customWidth="1"/>
    <col min="6915" max="6915" width="10.54296875" style="149" customWidth="1"/>
    <col min="6916" max="6916" width="16.54296875" style="149" customWidth="1"/>
    <col min="6917" max="6917" width="6.54296875" style="149" customWidth="1"/>
    <col min="6918" max="6919" width="10.54296875" style="149" customWidth="1"/>
    <col min="6920" max="6922" width="20.54296875" style="149" customWidth="1"/>
    <col min="6923" max="7169" width="9.1796875" style="149"/>
    <col min="7170" max="7170" width="5.54296875" style="149" customWidth="1"/>
    <col min="7171" max="7171" width="10.54296875" style="149" customWidth="1"/>
    <col min="7172" max="7172" width="16.54296875" style="149" customWidth="1"/>
    <col min="7173" max="7173" width="6.54296875" style="149" customWidth="1"/>
    <col min="7174" max="7175" width="10.54296875" style="149" customWidth="1"/>
    <col min="7176" max="7178" width="20.54296875" style="149" customWidth="1"/>
    <col min="7179" max="7425" width="9.1796875" style="149"/>
    <col min="7426" max="7426" width="5.54296875" style="149" customWidth="1"/>
    <col min="7427" max="7427" width="10.54296875" style="149" customWidth="1"/>
    <col min="7428" max="7428" width="16.54296875" style="149" customWidth="1"/>
    <col min="7429" max="7429" width="6.54296875" style="149" customWidth="1"/>
    <col min="7430" max="7431" width="10.54296875" style="149" customWidth="1"/>
    <col min="7432" max="7434" width="20.54296875" style="149" customWidth="1"/>
    <col min="7435" max="7681" width="9.1796875" style="149"/>
    <col min="7682" max="7682" width="5.54296875" style="149" customWidth="1"/>
    <col min="7683" max="7683" width="10.54296875" style="149" customWidth="1"/>
    <col min="7684" max="7684" width="16.54296875" style="149" customWidth="1"/>
    <col min="7685" max="7685" width="6.54296875" style="149" customWidth="1"/>
    <col min="7686" max="7687" width="10.54296875" style="149" customWidth="1"/>
    <col min="7688" max="7690" width="20.54296875" style="149" customWidth="1"/>
    <col min="7691" max="7937" width="9.1796875" style="149"/>
    <col min="7938" max="7938" width="5.54296875" style="149" customWidth="1"/>
    <col min="7939" max="7939" width="10.54296875" style="149" customWidth="1"/>
    <col min="7940" max="7940" width="16.54296875" style="149" customWidth="1"/>
    <col min="7941" max="7941" width="6.54296875" style="149" customWidth="1"/>
    <col min="7942" max="7943" width="10.54296875" style="149" customWidth="1"/>
    <col min="7944" max="7946" width="20.54296875" style="149" customWidth="1"/>
    <col min="7947" max="8193" width="9.1796875" style="149"/>
    <col min="8194" max="8194" width="5.54296875" style="149" customWidth="1"/>
    <col min="8195" max="8195" width="10.54296875" style="149" customWidth="1"/>
    <col min="8196" max="8196" width="16.54296875" style="149" customWidth="1"/>
    <col min="8197" max="8197" width="6.54296875" style="149" customWidth="1"/>
    <col min="8198" max="8199" width="10.54296875" style="149" customWidth="1"/>
    <col min="8200" max="8202" width="20.54296875" style="149" customWidth="1"/>
    <col min="8203" max="8449" width="9.1796875" style="149"/>
    <col min="8450" max="8450" width="5.54296875" style="149" customWidth="1"/>
    <col min="8451" max="8451" width="10.54296875" style="149" customWidth="1"/>
    <col min="8452" max="8452" width="16.54296875" style="149" customWidth="1"/>
    <col min="8453" max="8453" width="6.54296875" style="149" customWidth="1"/>
    <col min="8454" max="8455" width="10.54296875" style="149" customWidth="1"/>
    <col min="8456" max="8458" width="20.54296875" style="149" customWidth="1"/>
    <col min="8459" max="8705" width="9.1796875" style="149"/>
    <col min="8706" max="8706" width="5.54296875" style="149" customWidth="1"/>
    <col min="8707" max="8707" width="10.54296875" style="149" customWidth="1"/>
    <col min="8708" max="8708" width="16.54296875" style="149" customWidth="1"/>
    <col min="8709" max="8709" width="6.54296875" style="149" customWidth="1"/>
    <col min="8710" max="8711" width="10.54296875" style="149" customWidth="1"/>
    <col min="8712" max="8714" width="20.54296875" style="149" customWidth="1"/>
    <col min="8715" max="8961" width="9.1796875" style="149"/>
    <col min="8962" max="8962" width="5.54296875" style="149" customWidth="1"/>
    <col min="8963" max="8963" width="10.54296875" style="149" customWidth="1"/>
    <col min="8964" max="8964" width="16.54296875" style="149" customWidth="1"/>
    <col min="8965" max="8965" width="6.54296875" style="149" customWidth="1"/>
    <col min="8966" max="8967" width="10.54296875" style="149" customWidth="1"/>
    <col min="8968" max="8970" width="20.54296875" style="149" customWidth="1"/>
    <col min="8971" max="9217" width="9.1796875" style="149"/>
    <col min="9218" max="9218" width="5.54296875" style="149" customWidth="1"/>
    <col min="9219" max="9219" width="10.54296875" style="149" customWidth="1"/>
    <col min="9220" max="9220" width="16.54296875" style="149" customWidth="1"/>
    <col min="9221" max="9221" width="6.54296875" style="149" customWidth="1"/>
    <col min="9222" max="9223" width="10.54296875" style="149" customWidth="1"/>
    <col min="9224" max="9226" width="20.54296875" style="149" customWidth="1"/>
    <col min="9227" max="9473" width="9.1796875" style="149"/>
    <col min="9474" max="9474" width="5.54296875" style="149" customWidth="1"/>
    <col min="9475" max="9475" width="10.54296875" style="149" customWidth="1"/>
    <col min="9476" max="9476" width="16.54296875" style="149" customWidth="1"/>
    <col min="9477" max="9477" width="6.54296875" style="149" customWidth="1"/>
    <col min="9478" max="9479" width="10.54296875" style="149" customWidth="1"/>
    <col min="9480" max="9482" width="20.54296875" style="149" customWidth="1"/>
    <col min="9483" max="9729" width="9.1796875" style="149"/>
    <col min="9730" max="9730" width="5.54296875" style="149" customWidth="1"/>
    <col min="9731" max="9731" width="10.54296875" style="149" customWidth="1"/>
    <col min="9732" max="9732" width="16.54296875" style="149" customWidth="1"/>
    <col min="9733" max="9733" width="6.54296875" style="149" customWidth="1"/>
    <col min="9734" max="9735" width="10.54296875" style="149" customWidth="1"/>
    <col min="9736" max="9738" width="20.54296875" style="149" customWidth="1"/>
    <col min="9739" max="9985" width="9.1796875" style="149"/>
    <col min="9986" max="9986" width="5.54296875" style="149" customWidth="1"/>
    <col min="9987" max="9987" width="10.54296875" style="149" customWidth="1"/>
    <col min="9988" max="9988" width="16.54296875" style="149" customWidth="1"/>
    <col min="9989" max="9989" width="6.54296875" style="149" customWidth="1"/>
    <col min="9990" max="9991" width="10.54296875" style="149" customWidth="1"/>
    <col min="9992" max="9994" width="20.54296875" style="149" customWidth="1"/>
    <col min="9995" max="10241" width="9.1796875" style="149"/>
    <col min="10242" max="10242" width="5.54296875" style="149" customWidth="1"/>
    <col min="10243" max="10243" width="10.54296875" style="149" customWidth="1"/>
    <col min="10244" max="10244" width="16.54296875" style="149" customWidth="1"/>
    <col min="10245" max="10245" width="6.54296875" style="149" customWidth="1"/>
    <col min="10246" max="10247" width="10.54296875" style="149" customWidth="1"/>
    <col min="10248" max="10250" width="20.54296875" style="149" customWidth="1"/>
    <col min="10251" max="10497" width="9.1796875" style="149"/>
    <col min="10498" max="10498" width="5.54296875" style="149" customWidth="1"/>
    <col min="10499" max="10499" width="10.54296875" style="149" customWidth="1"/>
    <col min="10500" max="10500" width="16.54296875" style="149" customWidth="1"/>
    <col min="10501" max="10501" width="6.54296875" style="149" customWidth="1"/>
    <col min="10502" max="10503" width="10.54296875" style="149" customWidth="1"/>
    <col min="10504" max="10506" width="20.54296875" style="149" customWidth="1"/>
    <col min="10507" max="10753" width="9.1796875" style="149"/>
    <col min="10754" max="10754" width="5.54296875" style="149" customWidth="1"/>
    <col min="10755" max="10755" width="10.54296875" style="149" customWidth="1"/>
    <col min="10756" max="10756" width="16.54296875" style="149" customWidth="1"/>
    <col min="10757" max="10757" width="6.54296875" style="149" customWidth="1"/>
    <col min="10758" max="10759" width="10.54296875" style="149" customWidth="1"/>
    <col min="10760" max="10762" width="20.54296875" style="149" customWidth="1"/>
    <col min="10763" max="11009" width="9.1796875" style="149"/>
    <col min="11010" max="11010" width="5.54296875" style="149" customWidth="1"/>
    <col min="11011" max="11011" width="10.54296875" style="149" customWidth="1"/>
    <col min="11012" max="11012" width="16.54296875" style="149" customWidth="1"/>
    <col min="11013" max="11013" width="6.54296875" style="149" customWidth="1"/>
    <col min="11014" max="11015" width="10.54296875" style="149" customWidth="1"/>
    <col min="11016" max="11018" width="20.54296875" style="149" customWidth="1"/>
    <col min="11019" max="11265" width="9.1796875" style="149"/>
    <col min="11266" max="11266" width="5.54296875" style="149" customWidth="1"/>
    <col min="11267" max="11267" width="10.54296875" style="149" customWidth="1"/>
    <col min="11268" max="11268" width="16.54296875" style="149" customWidth="1"/>
    <col min="11269" max="11269" width="6.54296875" style="149" customWidth="1"/>
    <col min="11270" max="11271" width="10.54296875" style="149" customWidth="1"/>
    <col min="11272" max="11274" width="20.54296875" style="149" customWidth="1"/>
    <col min="11275" max="11521" width="9.1796875" style="149"/>
    <col min="11522" max="11522" width="5.54296875" style="149" customWidth="1"/>
    <col min="11523" max="11523" width="10.54296875" style="149" customWidth="1"/>
    <col min="11524" max="11524" width="16.54296875" style="149" customWidth="1"/>
    <col min="11525" max="11525" width="6.54296875" style="149" customWidth="1"/>
    <col min="11526" max="11527" width="10.54296875" style="149" customWidth="1"/>
    <col min="11528" max="11530" width="20.54296875" style="149" customWidth="1"/>
    <col min="11531" max="11777" width="9.1796875" style="149"/>
    <col min="11778" max="11778" width="5.54296875" style="149" customWidth="1"/>
    <col min="11779" max="11779" width="10.54296875" style="149" customWidth="1"/>
    <col min="11780" max="11780" width="16.54296875" style="149" customWidth="1"/>
    <col min="11781" max="11781" width="6.54296875" style="149" customWidth="1"/>
    <col min="11782" max="11783" width="10.54296875" style="149" customWidth="1"/>
    <col min="11784" max="11786" width="20.54296875" style="149" customWidth="1"/>
    <col min="11787" max="12033" width="9.1796875" style="149"/>
    <col min="12034" max="12034" width="5.54296875" style="149" customWidth="1"/>
    <col min="12035" max="12035" width="10.54296875" style="149" customWidth="1"/>
    <col min="12036" max="12036" width="16.54296875" style="149" customWidth="1"/>
    <col min="12037" max="12037" width="6.54296875" style="149" customWidth="1"/>
    <col min="12038" max="12039" width="10.54296875" style="149" customWidth="1"/>
    <col min="12040" max="12042" width="20.54296875" style="149" customWidth="1"/>
    <col min="12043" max="12289" width="9.1796875" style="149"/>
    <col min="12290" max="12290" width="5.54296875" style="149" customWidth="1"/>
    <col min="12291" max="12291" width="10.54296875" style="149" customWidth="1"/>
    <col min="12292" max="12292" width="16.54296875" style="149" customWidth="1"/>
    <col min="12293" max="12293" width="6.54296875" style="149" customWidth="1"/>
    <col min="12294" max="12295" width="10.54296875" style="149" customWidth="1"/>
    <col min="12296" max="12298" width="20.54296875" style="149" customWidth="1"/>
    <col min="12299" max="12545" width="9.1796875" style="149"/>
    <col min="12546" max="12546" width="5.54296875" style="149" customWidth="1"/>
    <col min="12547" max="12547" width="10.54296875" style="149" customWidth="1"/>
    <col min="12548" max="12548" width="16.54296875" style="149" customWidth="1"/>
    <col min="12549" max="12549" width="6.54296875" style="149" customWidth="1"/>
    <col min="12550" max="12551" width="10.54296875" style="149" customWidth="1"/>
    <col min="12552" max="12554" width="20.54296875" style="149" customWidth="1"/>
    <col min="12555" max="12801" width="9.1796875" style="149"/>
    <col min="12802" max="12802" width="5.54296875" style="149" customWidth="1"/>
    <col min="12803" max="12803" width="10.54296875" style="149" customWidth="1"/>
    <col min="12804" max="12804" width="16.54296875" style="149" customWidth="1"/>
    <col min="12805" max="12805" width="6.54296875" style="149" customWidth="1"/>
    <col min="12806" max="12807" width="10.54296875" style="149" customWidth="1"/>
    <col min="12808" max="12810" width="20.54296875" style="149" customWidth="1"/>
    <col min="12811" max="13057" width="9.1796875" style="149"/>
    <col min="13058" max="13058" width="5.54296875" style="149" customWidth="1"/>
    <col min="13059" max="13059" width="10.54296875" style="149" customWidth="1"/>
    <col min="13060" max="13060" width="16.54296875" style="149" customWidth="1"/>
    <col min="13061" max="13061" width="6.54296875" style="149" customWidth="1"/>
    <col min="13062" max="13063" width="10.54296875" style="149" customWidth="1"/>
    <col min="13064" max="13066" width="20.54296875" style="149" customWidth="1"/>
    <col min="13067" max="13313" width="9.1796875" style="149"/>
    <col min="13314" max="13314" width="5.54296875" style="149" customWidth="1"/>
    <col min="13315" max="13315" width="10.54296875" style="149" customWidth="1"/>
    <col min="13316" max="13316" width="16.54296875" style="149" customWidth="1"/>
    <col min="13317" max="13317" width="6.54296875" style="149" customWidth="1"/>
    <col min="13318" max="13319" width="10.54296875" style="149" customWidth="1"/>
    <col min="13320" max="13322" width="20.54296875" style="149" customWidth="1"/>
    <col min="13323" max="13569" width="9.1796875" style="149"/>
    <col min="13570" max="13570" width="5.54296875" style="149" customWidth="1"/>
    <col min="13571" max="13571" width="10.54296875" style="149" customWidth="1"/>
    <col min="13572" max="13572" width="16.54296875" style="149" customWidth="1"/>
    <col min="13573" max="13573" width="6.54296875" style="149" customWidth="1"/>
    <col min="13574" max="13575" width="10.54296875" style="149" customWidth="1"/>
    <col min="13576" max="13578" width="20.54296875" style="149" customWidth="1"/>
    <col min="13579" max="13825" width="9.1796875" style="149"/>
    <col min="13826" max="13826" width="5.54296875" style="149" customWidth="1"/>
    <col min="13827" max="13827" width="10.54296875" style="149" customWidth="1"/>
    <col min="13828" max="13828" width="16.54296875" style="149" customWidth="1"/>
    <col min="13829" max="13829" width="6.54296875" style="149" customWidth="1"/>
    <col min="13830" max="13831" width="10.54296875" style="149" customWidth="1"/>
    <col min="13832" max="13834" width="20.54296875" style="149" customWidth="1"/>
    <col min="13835" max="14081" width="9.1796875" style="149"/>
    <col min="14082" max="14082" width="5.54296875" style="149" customWidth="1"/>
    <col min="14083" max="14083" width="10.54296875" style="149" customWidth="1"/>
    <col min="14084" max="14084" width="16.54296875" style="149" customWidth="1"/>
    <col min="14085" max="14085" width="6.54296875" style="149" customWidth="1"/>
    <col min="14086" max="14087" width="10.54296875" style="149" customWidth="1"/>
    <col min="14088" max="14090" width="20.54296875" style="149" customWidth="1"/>
    <col min="14091" max="14337" width="9.1796875" style="149"/>
    <col min="14338" max="14338" width="5.54296875" style="149" customWidth="1"/>
    <col min="14339" max="14339" width="10.54296875" style="149" customWidth="1"/>
    <col min="14340" max="14340" width="16.54296875" style="149" customWidth="1"/>
    <col min="14341" max="14341" width="6.54296875" style="149" customWidth="1"/>
    <col min="14342" max="14343" width="10.54296875" style="149" customWidth="1"/>
    <col min="14344" max="14346" width="20.54296875" style="149" customWidth="1"/>
    <col min="14347" max="14593" width="9.1796875" style="149"/>
    <col min="14594" max="14594" width="5.54296875" style="149" customWidth="1"/>
    <col min="14595" max="14595" width="10.54296875" style="149" customWidth="1"/>
    <col min="14596" max="14596" width="16.54296875" style="149" customWidth="1"/>
    <col min="14597" max="14597" width="6.54296875" style="149" customWidth="1"/>
    <col min="14598" max="14599" width="10.54296875" style="149" customWidth="1"/>
    <col min="14600" max="14602" width="20.54296875" style="149" customWidth="1"/>
    <col min="14603" max="14849" width="9.1796875" style="149"/>
    <col min="14850" max="14850" width="5.54296875" style="149" customWidth="1"/>
    <col min="14851" max="14851" width="10.54296875" style="149" customWidth="1"/>
    <col min="14852" max="14852" width="16.54296875" style="149" customWidth="1"/>
    <col min="14853" max="14853" width="6.54296875" style="149" customWidth="1"/>
    <col min="14854" max="14855" width="10.54296875" style="149" customWidth="1"/>
    <col min="14856" max="14858" width="20.54296875" style="149" customWidth="1"/>
    <col min="14859" max="15105" width="9.1796875" style="149"/>
    <col min="15106" max="15106" width="5.54296875" style="149" customWidth="1"/>
    <col min="15107" max="15107" width="10.54296875" style="149" customWidth="1"/>
    <col min="15108" max="15108" width="16.54296875" style="149" customWidth="1"/>
    <col min="15109" max="15109" width="6.54296875" style="149" customWidth="1"/>
    <col min="15110" max="15111" width="10.54296875" style="149" customWidth="1"/>
    <col min="15112" max="15114" width="20.54296875" style="149" customWidth="1"/>
    <col min="15115" max="15361" width="9.1796875" style="149"/>
    <col min="15362" max="15362" width="5.54296875" style="149" customWidth="1"/>
    <col min="15363" max="15363" width="10.54296875" style="149" customWidth="1"/>
    <col min="15364" max="15364" width="16.54296875" style="149" customWidth="1"/>
    <col min="15365" max="15365" width="6.54296875" style="149" customWidth="1"/>
    <col min="15366" max="15367" width="10.54296875" style="149" customWidth="1"/>
    <col min="15368" max="15370" width="20.54296875" style="149" customWidth="1"/>
    <col min="15371" max="15617" width="9.1796875" style="149"/>
    <col min="15618" max="15618" width="5.54296875" style="149" customWidth="1"/>
    <col min="15619" max="15619" width="10.54296875" style="149" customWidth="1"/>
    <col min="15620" max="15620" width="16.54296875" style="149" customWidth="1"/>
    <col min="15621" max="15621" width="6.54296875" style="149" customWidth="1"/>
    <col min="15622" max="15623" width="10.54296875" style="149" customWidth="1"/>
    <col min="15624" max="15626" width="20.54296875" style="149" customWidth="1"/>
    <col min="15627" max="15873" width="9.1796875" style="149"/>
    <col min="15874" max="15874" width="5.54296875" style="149" customWidth="1"/>
    <col min="15875" max="15875" width="10.54296875" style="149" customWidth="1"/>
    <col min="15876" max="15876" width="16.54296875" style="149" customWidth="1"/>
    <col min="15877" max="15877" width="6.54296875" style="149" customWidth="1"/>
    <col min="15878" max="15879" width="10.54296875" style="149" customWidth="1"/>
    <col min="15880" max="15882" width="20.54296875" style="149" customWidth="1"/>
    <col min="15883" max="16129" width="9.1796875" style="149"/>
    <col min="16130" max="16130" width="5.54296875" style="149" customWidth="1"/>
    <col min="16131" max="16131" width="10.54296875" style="149" customWidth="1"/>
    <col min="16132" max="16132" width="16.54296875" style="149" customWidth="1"/>
    <col min="16133" max="16133" width="6.54296875" style="149" customWidth="1"/>
    <col min="16134" max="16135" width="10.54296875" style="149" customWidth="1"/>
    <col min="16136" max="16138" width="20.54296875" style="149" customWidth="1"/>
    <col min="16139" max="16384" width="9.1796875" style="149"/>
  </cols>
  <sheetData>
    <row r="1" spans="1:17" ht="18" x14ac:dyDescent="0.4">
      <c r="A1" s="409"/>
      <c r="B1" s="409"/>
      <c r="C1" s="409"/>
      <c r="D1" s="409"/>
      <c r="E1" s="410" t="s">
        <v>117</v>
      </c>
      <c r="F1" s="411"/>
      <c r="G1" s="411"/>
      <c r="H1" s="411"/>
      <c r="I1" s="411"/>
      <c r="J1" s="411"/>
    </row>
    <row r="2" spans="1:17" ht="18" x14ac:dyDescent="0.4">
      <c r="A2" s="409"/>
      <c r="B2" s="412"/>
      <c r="C2" s="412"/>
      <c r="D2" s="412"/>
      <c r="F2" s="413"/>
      <c r="G2" s="413"/>
      <c r="H2" s="410" t="s">
        <v>118</v>
      </c>
      <c r="I2" s="410"/>
      <c r="J2" s="411"/>
    </row>
    <row r="3" spans="1:17" ht="20.5" thickBot="1" x14ac:dyDescent="0.45">
      <c r="A3" s="408"/>
      <c r="B3" s="408"/>
      <c r="C3" s="408"/>
      <c r="D3" s="408"/>
      <c r="E3" s="408"/>
      <c r="F3" s="408"/>
      <c r="G3" s="408"/>
      <c r="H3" s="408"/>
      <c r="I3" s="408"/>
      <c r="J3" s="408"/>
      <c r="Q3" s="150"/>
    </row>
    <row r="4" spans="1:17" s="151" customFormat="1" ht="13.5" customHeight="1" x14ac:dyDescent="0.3">
      <c r="A4" s="414"/>
      <c r="B4" s="414"/>
      <c r="C4" s="414"/>
      <c r="D4" s="414"/>
      <c r="E4" s="415" t="s">
        <v>119</v>
      </c>
      <c r="F4" s="416"/>
      <c r="G4" s="421" t="s">
        <v>120</v>
      </c>
      <c r="H4" s="329" t="s">
        <v>121</v>
      </c>
      <c r="I4" s="422" t="s">
        <v>122</v>
      </c>
      <c r="J4" s="423"/>
    </row>
    <row r="5" spans="1:17" s="151" customFormat="1" ht="18" x14ac:dyDescent="0.4">
      <c r="A5" s="285"/>
      <c r="B5" s="428" t="s">
        <v>551</v>
      </c>
      <c r="C5" s="428"/>
      <c r="D5" s="377"/>
      <c r="E5" s="417"/>
      <c r="F5" s="418"/>
      <c r="G5" s="417"/>
      <c r="H5" s="429" t="s">
        <v>123</v>
      </c>
      <c r="I5" s="424"/>
      <c r="J5" s="425"/>
      <c r="L5" s="410"/>
      <c r="M5" s="411"/>
      <c r="N5" s="411"/>
      <c r="O5" s="411"/>
    </row>
    <row r="6" spans="1:17" ht="15" thickBot="1" x14ac:dyDescent="0.4">
      <c r="A6" s="431"/>
      <c r="B6" s="431"/>
      <c r="C6" s="431"/>
      <c r="D6" s="432"/>
      <c r="E6" s="419"/>
      <c r="F6" s="420"/>
      <c r="G6" s="419"/>
      <c r="H6" s="430"/>
      <c r="I6" s="426"/>
      <c r="J6" s="427"/>
    </row>
    <row r="7" spans="1:17" ht="14.5" x14ac:dyDescent="0.3">
      <c r="A7" s="433" t="s">
        <v>5</v>
      </c>
      <c r="B7" s="434"/>
      <c r="C7" s="434"/>
      <c r="D7" s="435"/>
      <c r="E7" s="436">
        <f>'02 Summary - Prof. Fees'!M23</f>
        <v>152834</v>
      </c>
      <c r="F7" s="437"/>
      <c r="G7" s="440">
        <f>'03 Summary - Disb.'!B26</f>
        <v>5503.5399999999991</v>
      </c>
      <c r="H7" s="442">
        <v>0</v>
      </c>
      <c r="I7" s="443">
        <f>SUM(E7:H8)</f>
        <v>158337.54</v>
      </c>
      <c r="J7" s="444"/>
    </row>
    <row r="8" spans="1:17" ht="14.5" x14ac:dyDescent="0.35">
      <c r="A8" s="447"/>
      <c r="B8" s="448"/>
      <c r="C8" s="448"/>
      <c r="D8" s="449"/>
      <c r="E8" s="438"/>
      <c r="F8" s="439"/>
      <c r="G8" s="441"/>
      <c r="H8" s="441"/>
      <c r="I8" s="445"/>
      <c r="J8" s="446"/>
    </row>
    <row r="9" spans="1:17" ht="14.5" x14ac:dyDescent="0.3">
      <c r="A9" s="450" t="s">
        <v>6</v>
      </c>
      <c r="B9" s="451"/>
      <c r="C9" s="451"/>
      <c r="D9" s="452"/>
      <c r="E9" s="453">
        <f>'02 Summary - Prof. Fees'!M45</f>
        <v>81615</v>
      </c>
      <c r="F9" s="454"/>
      <c r="G9" s="442">
        <f>'03 Summary - Disb.'!C26</f>
        <v>2577.6</v>
      </c>
      <c r="H9" s="442">
        <v>0</v>
      </c>
      <c r="I9" s="455">
        <f>SUM(E9:H10)</f>
        <v>84192.6</v>
      </c>
      <c r="J9" s="456"/>
    </row>
    <row r="10" spans="1:17" ht="14.5" x14ac:dyDescent="0.35">
      <c r="A10" s="447"/>
      <c r="B10" s="448"/>
      <c r="C10" s="448"/>
      <c r="D10" s="449"/>
      <c r="E10" s="438"/>
      <c r="F10" s="439"/>
      <c r="G10" s="441"/>
      <c r="H10" s="441"/>
      <c r="I10" s="445"/>
      <c r="J10" s="446"/>
    </row>
    <row r="11" spans="1:17" ht="14.5" x14ac:dyDescent="0.3">
      <c r="A11" s="450" t="s">
        <v>7</v>
      </c>
      <c r="B11" s="451"/>
      <c r="C11" s="451"/>
      <c r="D11" s="452"/>
      <c r="E11" s="453">
        <f>'02 Summary - Prof. Fees'!M76</f>
        <v>51180</v>
      </c>
      <c r="F11" s="454"/>
      <c r="G11" s="442">
        <v>0</v>
      </c>
      <c r="H11" s="442">
        <v>0</v>
      </c>
      <c r="I11" s="455">
        <f>SUM(E11:H12)</f>
        <v>51180</v>
      </c>
      <c r="J11" s="456"/>
    </row>
    <row r="12" spans="1:17" ht="14.5" x14ac:dyDescent="0.35">
      <c r="A12" s="447"/>
      <c r="B12" s="448"/>
      <c r="C12" s="448"/>
      <c r="D12" s="449"/>
      <c r="E12" s="438"/>
      <c r="F12" s="439"/>
      <c r="G12" s="441"/>
      <c r="H12" s="441"/>
      <c r="I12" s="445"/>
      <c r="J12" s="446"/>
    </row>
    <row r="13" spans="1:17" ht="14.5" x14ac:dyDescent="0.3">
      <c r="A13" s="450" t="s">
        <v>124</v>
      </c>
      <c r="B13" s="451"/>
      <c r="C13" s="451"/>
      <c r="D13" s="452"/>
      <c r="E13" s="453">
        <v>0</v>
      </c>
      <c r="F13" s="454"/>
      <c r="G13" s="442">
        <f>'03 Summary - Disb.'!D26</f>
        <v>17294.93</v>
      </c>
      <c r="H13" s="460">
        <v>0</v>
      </c>
      <c r="I13" s="462">
        <f>SUM(E13:H14)</f>
        <v>17294.93</v>
      </c>
      <c r="J13" s="463"/>
    </row>
    <row r="14" spans="1:17" ht="15" thickBot="1" x14ac:dyDescent="0.4">
      <c r="A14" s="466"/>
      <c r="B14" s="467"/>
      <c r="C14" s="467"/>
      <c r="D14" s="468"/>
      <c r="E14" s="457"/>
      <c r="F14" s="458"/>
      <c r="G14" s="459"/>
      <c r="H14" s="461"/>
      <c r="I14" s="464"/>
      <c r="J14" s="465"/>
    </row>
    <row r="15" spans="1:17" ht="14.5" hidden="1" x14ac:dyDescent="0.3">
      <c r="A15" s="469" t="s">
        <v>125</v>
      </c>
      <c r="B15" s="470"/>
      <c r="C15" s="470"/>
      <c r="D15" s="471"/>
      <c r="E15" s="472"/>
      <c r="F15" s="473"/>
      <c r="G15" s="475"/>
      <c r="H15" s="475"/>
      <c r="I15" s="476">
        <f>SUM(E15:H16)</f>
        <v>0</v>
      </c>
      <c r="J15" s="477"/>
    </row>
    <row r="16" spans="1:17" ht="14.5" hidden="1" x14ac:dyDescent="0.35">
      <c r="A16" s="447"/>
      <c r="B16" s="448"/>
      <c r="C16" s="448"/>
      <c r="D16" s="478"/>
      <c r="E16" s="474"/>
      <c r="F16" s="439"/>
      <c r="G16" s="441"/>
      <c r="H16" s="441"/>
      <c r="I16" s="445"/>
      <c r="J16" s="446"/>
    </row>
    <row r="17" spans="1:13" ht="14.5" hidden="1" x14ac:dyDescent="0.3">
      <c r="A17" s="450" t="s">
        <v>125</v>
      </c>
      <c r="B17" s="451"/>
      <c r="C17" s="451"/>
      <c r="D17" s="479"/>
      <c r="E17" s="480"/>
      <c r="F17" s="454"/>
      <c r="G17" s="442"/>
      <c r="H17" s="442"/>
      <c r="I17" s="462">
        <f>SUM(E17:H18)</f>
        <v>0</v>
      </c>
      <c r="J17" s="463"/>
    </row>
    <row r="18" spans="1:13" ht="14.5" hidden="1" x14ac:dyDescent="0.35">
      <c r="A18" s="447"/>
      <c r="B18" s="448"/>
      <c r="C18" s="448"/>
      <c r="D18" s="478"/>
      <c r="E18" s="474"/>
      <c r="F18" s="439"/>
      <c r="G18" s="441"/>
      <c r="H18" s="441"/>
      <c r="I18" s="481"/>
      <c r="J18" s="482"/>
    </row>
    <row r="19" spans="1:13" ht="14.5" hidden="1" x14ac:dyDescent="0.3">
      <c r="A19" s="450" t="s">
        <v>125</v>
      </c>
      <c r="B19" s="451"/>
      <c r="C19" s="451"/>
      <c r="D19" s="479"/>
      <c r="E19" s="480"/>
      <c r="F19" s="454"/>
      <c r="G19" s="442"/>
      <c r="H19" s="442"/>
      <c r="I19" s="455">
        <f>SUM(E19:H20)</f>
        <v>0</v>
      </c>
      <c r="J19" s="456"/>
    </row>
    <row r="20" spans="1:13" ht="14.5" hidden="1" x14ac:dyDescent="0.35">
      <c r="A20" s="447"/>
      <c r="B20" s="448"/>
      <c r="C20" s="448"/>
      <c r="D20" s="478"/>
      <c r="E20" s="474"/>
      <c r="F20" s="439"/>
      <c r="G20" s="441"/>
      <c r="H20" s="441"/>
      <c r="I20" s="445"/>
      <c r="J20" s="446"/>
    </row>
    <row r="21" spans="1:13" ht="14.5" hidden="1" x14ac:dyDescent="0.3">
      <c r="A21" s="450" t="s">
        <v>125</v>
      </c>
      <c r="B21" s="451"/>
      <c r="C21" s="451"/>
      <c r="D21" s="479"/>
      <c r="E21" s="480"/>
      <c r="F21" s="454"/>
      <c r="G21" s="442"/>
      <c r="H21" s="442"/>
      <c r="I21" s="455">
        <f>SUM(E21:H22)</f>
        <v>0</v>
      </c>
      <c r="J21" s="456"/>
    </row>
    <row r="22" spans="1:13" ht="14.5" hidden="1" x14ac:dyDescent="0.35">
      <c r="A22" s="447"/>
      <c r="B22" s="448"/>
      <c r="C22" s="448"/>
      <c r="D22" s="478"/>
      <c r="E22" s="474"/>
      <c r="F22" s="439"/>
      <c r="G22" s="441"/>
      <c r="H22" s="441"/>
      <c r="I22" s="445"/>
      <c r="J22" s="446"/>
    </row>
    <row r="23" spans="1:13" ht="14.5" hidden="1" x14ac:dyDescent="0.3">
      <c r="A23" s="450" t="s">
        <v>125</v>
      </c>
      <c r="B23" s="451"/>
      <c r="C23" s="451"/>
      <c r="D23" s="479"/>
      <c r="E23" s="480"/>
      <c r="F23" s="454"/>
      <c r="G23" s="442"/>
      <c r="H23" s="442"/>
      <c r="I23" s="455">
        <f>SUM(E23:H24)</f>
        <v>0</v>
      </c>
      <c r="J23" s="456"/>
    </row>
    <row r="24" spans="1:13" ht="15" hidden="1" thickBot="1" x14ac:dyDescent="0.4">
      <c r="A24" s="466"/>
      <c r="B24" s="467"/>
      <c r="C24" s="467"/>
      <c r="D24" s="486"/>
      <c r="E24" s="483"/>
      <c r="F24" s="458"/>
      <c r="G24" s="459"/>
      <c r="H24" s="459"/>
      <c r="I24" s="484"/>
      <c r="J24" s="485"/>
    </row>
    <row r="25" spans="1:13" ht="20.149999999999999" customHeight="1" thickBot="1" x14ac:dyDescent="0.35">
      <c r="A25" s="492" t="s">
        <v>126</v>
      </c>
      <c r="B25" s="492"/>
      <c r="C25" s="492"/>
      <c r="D25" s="493"/>
      <c r="E25" s="494">
        <f>SUM(E7:F24)</f>
        <v>285629</v>
      </c>
      <c r="F25" s="495"/>
      <c r="G25" s="152">
        <f>SUM(G7:G24)</f>
        <v>25376.07</v>
      </c>
      <c r="H25" s="152">
        <f>SUM(H7:H24)</f>
        <v>0</v>
      </c>
      <c r="I25" s="496">
        <f>SUM(I7:J24)</f>
        <v>311005.07</v>
      </c>
      <c r="J25" s="497"/>
      <c r="K25" s="153"/>
    </row>
    <row r="26" spans="1:13" ht="20" x14ac:dyDescent="0.4">
      <c r="A26" s="408"/>
      <c r="B26" s="408"/>
      <c r="C26" s="408"/>
      <c r="D26" s="412"/>
      <c r="E26" s="412"/>
      <c r="F26" s="412"/>
      <c r="G26" s="412"/>
      <c r="H26" s="412"/>
      <c r="I26" s="412"/>
      <c r="J26" s="412"/>
    </row>
    <row r="27" spans="1:13" ht="20.149999999999999" customHeight="1" x14ac:dyDescent="0.35">
      <c r="A27" s="488" t="s">
        <v>127</v>
      </c>
      <c r="B27" s="488"/>
      <c r="C27" s="498" t="s">
        <v>171</v>
      </c>
      <c r="D27" s="498"/>
      <c r="E27" s="498"/>
      <c r="F27" s="498"/>
      <c r="G27" s="154" t="s">
        <v>129</v>
      </c>
      <c r="H27" s="499" t="s">
        <v>171</v>
      </c>
      <c r="I27" s="499"/>
      <c r="J27" s="499"/>
      <c r="K27"/>
      <c r="L27"/>
      <c r="M27"/>
    </row>
    <row r="28" spans="1:13" ht="20.149999999999999" customHeight="1" x14ac:dyDescent="0.35">
      <c r="A28" s="488" t="s">
        <v>130</v>
      </c>
      <c r="B28" s="489"/>
      <c r="C28" s="503" t="s">
        <v>131</v>
      </c>
      <c r="D28" s="503"/>
      <c r="E28" s="503"/>
      <c r="F28" s="503"/>
      <c r="G28" s="154" t="s">
        <v>132</v>
      </c>
      <c r="H28" s="487" t="s">
        <v>133</v>
      </c>
      <c r="I28" s="487"/>
      <c r="J28" s="487"/>
      <c r="K28"/>
      <c r="L28"/>
      <c r="M28"/>
    </row>
    <row r="29" spans="1:13" ht="20.149999999999999" customHeight="1" x14ac:dyDescent="0.35">
      <c r="A29" s="488" t="s">
        <v>134</v>
      </c>
      <c r="B29" s="489"/>
      <c r="C29" s="490" t="s">
        <v>481</v>
      </c>
      <c r="D29" s="490"/>
      <c r="E29" s="490"/>
      <c r="F29" s="490"/>
      <c r="G29" s="154" t="s">
        <v>135</v>
      </c>
      <c r="H29" s="491"/>
      <c r="I29" s="491"/>
      <c r="J29" s="491"/>
      <c r="K29"/>
      <c r="L29"/>
      <c r="M29"/>
    </row>
    <row r="30" spans="1:13" ht="20.149999999999999" customHeight="1" x14ac:dyDescent="0.35">
      <c r="A30" s="488" t="s">
        <v>136</v>
      </c>
      <c r="B30" s="489"/>
      <c r="C30" s="157" t="s">
        <v>137</v>
      </c>
      <c r="D30" s="158" t="s">
        <v>138</v>
      </c>
      <c r="E30" s="500"/>
      <c r="F30" s="500"/>
      <c r="G30" s="155"/>
      <c r="H30" s="155"/>
      <c r="I30" s="155"/>
      <c r="J30" s="155"/>
      <c r="K30"/>
      <c r="L30"/>
      <c r="M30"/>
    </row>
    <row r="31" spans="1:13" ht="20.149999999999999" customHeight="1" x14ac:dyDescent="0.35">
      <c r="A31" s="488" t="s">
        <v>139</v>
      </c>
      <c r="B31" s="489"/>
      <c r="C31" s="501" t="s">
        <v>140</v>
      </c>
      <c r="D31" s="502"/>
      <c r="E31" s="502"/>
      <c r="F31" s="502"/>
      <c r="G31" s="156"/>
      <c r="H31" s="156"/>
      <c r="I31" s="156"/>
      <c r="J31" s="156"/>
    </row>
  </sheetData>
  <mergeCells count="85">
    <mergeCell ref="A30:B30"/>
    <mergeCell ref="E30:F30"/>
    <mergeCell ref="A31:B31"/>
    <mergeCell ref="C31:F31"/>
    <mergeCell ref="A28:B28"/>
    <mergeCell ref="C28:F28"/>
    <mergeCell ref="H28:J28"/>
    <mergeCell ref="A29:B29"/>
    <mergeCell ref="C29:F29"/>
    <mergeCell ref="H29:J29"/>
    <mergeCell ref="A25:D25"/>
    <mergeCell ref="E25:F25"/>
    <mergeCell ref="I25:J25"/>
    <mergeCell ref="A26:J26"/>
    <mergeCell ref="A27:B27"/>
    <mergeCell ref="C27:F27"/>
    <mergeCell ref="H27:J27"/>
    <mergeCell ref="A23:D23"/>
    <mergeCell ref="E23:F24"/>
    <mergeCell ref="G23:G24"/>
    <mergeCell ref="H23:H24"/>
    <mergeCell ref="I23:J24"/>
    <mergeCell ref="A24:D24"/>
    <mergeCell ref="A21:D21"/>
    <mergeCell ref="E21:F22"/>
    <mergeCell ref="G21:G22"/>
    <mergeCell ref="H21:H22"/>
    <mergeCell ref="I21:J22"/>
    <mergeCell ref="A22:D22"/>
    <mergeCell ref="A19:D19"/>
    <mergeCell ref="E19:F20"/>
    <mergeCell ref="G19:G20"/>
    <mergeCell ref="H19:H20"/>
    <mergeCell ref="I19:J20"/>
    <mergeCell ref="A20:D20"/>
    <mergeCell ref="A17:D17"/>
    <mergeCell ref="E17:F18"/>
    <mergeCell ref="G17:G18"/>
    <mergeCell ref="H17:H18"/>
    <mergeCell ref="I17:J18"/>
    <mergeCell ref="A18:D18"/>
    <mergeCell ref="A15:D15"/>
    <mergeCell ref="E15:F16"/>
    <mergeCell ref="G15:G16"/>
    <mergeCell ref="H15:H16"/>
    <mergeCell ref="I15:J16"/>
    <mergeCell ref="A16:D16"/>
    <mergeCell ref="A13:D13"/>
    <mergeCell ref="E13:F14"/>
    <mergeCell ref="G13:G14"/>
    <mergeCell ref="H13:H14"/>
    <mergeCell ref="I13:J14"/>
    <mergeCell ref="A14:D14"/>
    <mergeCell ref="A11:D11"/>
    <mergeCell ref="E11:F12"/>
    <mergeCell ref="G11:G12"/>
    <mergeCell ref="H11:H12"/>
    <mergeCell ref="I11:J12"/>
    <mergeCell ref="A12:D12"/>
    <mergeCell ref="A9:D9"/>
    <mergeCell ref="E9:F10"/>
    <mergeCell ref="G9:G10"/>
    <mergeCell ref="H9:H10"/>
    <mergeCell ref="I9:J10"/>
    <mergeCell ref="A10:D10"/>
    <mergeCell ref="L5:O5"/>
    <mergeCell ref="A6:D6"/>
    <mergeCell ref="A7:D7"/>
    <mergeCell ref="E7:F8"/>
    <mergeCell ref="G7:G8"/>
    <mergeCell ref="H7:H8"/>
    <mergeCell ref="I7:J8"/>
    <mergeCell ref="A8:D8"/>
    <mergeCell ref="A4:D4"/>
    <mergeCell ref="E4:F6"/>
    <mergeCell ref="G4:G6"/>
    <mergeCell ref="I4:J6"/>
    <mergeCell ref="B5:C5"/>
    <mergeCell ref="H5:H6"/>
    <mergeCell ref="A3:J3"/>
    <mergeCell ref="A1:D1"/>
    <mergeCell ref="E1:J1"/>
    <mergeCell ref="A2:D2"/>
    <mergeCell ref="F2:G2"/>
    <mergeCell ref="H2:J2"/>
  </mergeCells>
  <hyperlinks>
    <hyperlink ref="C31" r:id="rId1" xr:uid="{678DD211-06BB-4197-AE47-9409E1DFBD28}"/>
  </hyperlinks>
  <pageMargins left="0.7" right="0.7" top="0.75" bottom="0.75" header="0.3" footer="0.3"/>
  <pageSetup scale="95" orientation="landscape" r:id="rId2"/>
  <ignoredErrors>
    <ignoredError sqref="E7:G14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209AC-FB44-471F-9744-FE6A7767FB6A}">
  <dimension ref="A1:T103"/>
  <sheetViews>
    <sheetView topLeftCell="A53" zoomScaleNormal="100" workbookViewId="0">
      <selection activeCell="Q68" sqref="A68:XFD73"/>
    </sheetView>
    <sheetView tabSelected="1" workbookViewId="1">
      <selection activeCell="R19" sqref="R19"/>
    </sheetView>
  </sheetViews>
  <sheetFormatPr defaultRowHeight="12.5" x14ac:dyDescent="0.25"/>
  <cols>
    <col min="1" max="1" width="5.54296875" style="333" customWidth="1"/>
    <col min="2" max="2" width="6.453125" style="333" customWidth="1"/>
    <col min="3" max="3" width="16.54296875" style="333" customWidth="1"/>
    <col min="4" max="4" width="11.54296875" style="333" customWidth="1"/>
    <col min="5" max="6" width="10.54296875" style="333" customWidth="1"/>
    <col min="7" max="7" width="18" style="333" customWidth="1"/>
    <col min="8" max="8" width="16.54296875" style="333" customWidth="1"/>
    <col min="9" max="9" width="10.7265625" style="333" bestFit="1" customWidth="1"/>
    <col min="10" max="10" width="19.54296875" style="333" customWidth="1"/>
    <col min="11" max="11" width="10.7265625" style="333" bestFit="1" customWidth="1"/>
    <col min="12" max="12" width="8.81640625" style="333" bestFit="1" customWidth="1"/>
    <col min="13" max="13" width="11.81640625" style="333" bestFit="1" customWidth="1"/>
    <col min="14" max="14" width="12.26953125" style="333" customWidth="1"/>
    <col min="15" max="15" width="9.1796875" style="333"/>
    <col min="16" max="16" width="9.54296875" style="333" bestFit="1" customWidth="1"/>
    <col min="17" max="18" width="9.1796875" style="333"/>
    <col min="19" max="19" width="11.1796875" style="333" customWidth="1"/>
    <col min="20" max="257" width="9.1796875" style="333"/>
    <col min="258" max="258" width="5.54296875" style="333" customWidth="1"/>
    <col min="259" max="259" width="10.54296875" style="333" customWidth="1"/>
    <col min="260" max="260" width="16.54296875" style="333" customWidth="1"/>
    <col min="261" max="261" width="6.54296875" style="333" customWidth="1"/>
    <col min="262" max="263" width="10.54296875" style="333" customWidth="1"/>
    <col min="264" max="266" width="20.54296875" style="333" customWidth="1"/>
    <col min="267" max="513" width="9.1796875" style="333"/>
    <col min="514" max="514" width="5.54296875" style="333" customWidth="1"/>
    <col min="515" max="515" width="10.54296875" style="333" customWidth="1"/>
    <col min="516" max="516" width="16.54296875" style="333" customWidth="1"/>
    <col min="517" max="517" width="6.54296875" style="333" customWidth="1"/>
    <col min="518" max="519" width="10.54296875" style="333" customWidth="1"/>
    <col min="520" max="522" width="20.54296875" style="333" customWidth="1"/>
    <col min="523" max="769" width="9.1796875" style="333"/>
    <col min="770" max="770" width="5.54296875" style="333" customWidth="1"/>
    <col min="771" max="771" width="10.54296875" style="333" customWidth="1"/>
    <col min="772" max="772" width="16.54296875" style="333" customWidth="1"/>
    <col min="773" max="773" width="6.54296875" style="333" customWidth="1"/>
    <col min="774" max="775" width="10.54296875" style="333" customWidth="1"/>
    <col min="776" max="778" width="20.54296875" style="333" customWidth="1"/>
    <col min="779" max="1025" width="9.1796875" style="333"/>
    <col min="1026" max="1026" width="5.54296875" style="333" customWidth="1"/>
    <col min="1027" max="1027" width="10.54296875" style="333" customWidth="1"/>
    <col min="1028" max="1028" width="16.54296875" style="333" customWidth="1"/>
    <col min="1029" max="1029" width="6.54296875" style="333" customWidth="1"/>
    <col min="1030" max="1031" width="10.54296875" style="333" customWidth="1"/>
    <col min="1032" max="1034" width="20.54296875" style="333" customWidth="1"/>
    <col min="1035" max="1281" width="9.1796875" style="333"/>
    <col min="1282" max="1282" width="5.54296875" style="333" customWidth="1"/>
    <col min="1283" max="1283" width="10.54296875" style="333" customWidth="1"/>
    <col min="1284" max="1284" width="16.54296875" style="333" customWidth="1"/>
    <col min="1285" max="1285" width="6.54296875" style="333" customWidth="1"/>
    <col min="1286" max="1287" width="10.54296875" style="333" customWidth="1"/>
    <col min="1288" max="1290" width="20.54296875" style="333" customWidth="1"/>
    <col min="1291" max="1537" width="9.1796875" style="333"/>
    <col min="1538" max="1538" width="5.54296875" style="333" customWidth="1"/>
    <col min="1539" max="1539" width="10.54296875" style="333" customWidth="1"/>
    <col min="1540" max="1540" width="16.54296875" style="333" customWidth="1"/>
    <col min="1541" max="1541" width="6.54296875" style="333" customWidth="1"/>
    <col min="1542" max="1543" width="10.54296875" style="333" customWidth="1"/>
    <col min="1544" max="1546" width="20.54296875" style="333" customWidth="1"/>
    <col min="1547" max="1793" width="9.1796875" style="333"/>
    <col min="1794" max="1794" width="5.54296875" style="333" customWidth="1"/>
    <col min="1795" max="1795" width="10.54296875" style="333" customWidth="1"/>
    <col min="1796" max="1796" width="16.54296875" style="333" customWidth="1"/>
    <col min="1797" max="1797" width="6.54296875" style="333" customWidth="1"/>
    <col min="1798" max="1799" width="10.54296875" style="333" customWidth="1"/>
    <col min="1800" max="1802" width="20.54296875" style="333" customWidth="1"/>
    <col min="1803" max="2049" width="9.1796875" style="333"/>
    <col min="2050" max="2050" width="5.54296875" style="333" customWidth="1"/>
    <col min="2051" max="2051" width="10.54296875" style="333" customWidth="1"/>
    <col min="2052" max="2052" width="16.54296875" style="333" customWidth="1"/>
    <col min="2053" max="2053" width="6.54296875" style="333" customWidth="1"/>
    <col min="2054" max="2055" width="10.54296875" style="333" customWidth="1"/>
    <col min="2056" max="2058" width="20.54296875" style="333" customWidth="1"/>
    <col min="2059" max="2305" width="9.1796875" style="333"/>
    <col min="2306" max="2306" width="5.54296875" style="333" customWidth="1"/>
    <col min="2307" max="2307" width="10.54296875" style="333" customWidth="1"/>
    <col min="2308" max="2308" width="16.54296875" style="333" customWidth="1"/>
    <col min="2309" max="2309" width="6.54296875" style="333" customWidth="1"/>
    <col min="2310" max="2311" width="10.54296875" style="333" customWidth="1"/>
    <col min="2312" max="2314" width="20.54296875" style="333" customWidth="1"/>
    <col min="2315" max="2561" width="9.1796875" style="333"/>
    <col min="2562" max="2562" width="5.54296875" style="333" customWidth="1"/>
    <col min="2563" max="2563" width="10.54296875" style="333" customWidth="1"/>
    <col min="2564" max="2564" width="16.54296875" style="333" customWidth="1"/>
    <col min="2565" max="2565" width="6.54296875" style="333" customWidth="1"/>
    <col min="2566" max="2567" width="10.54296875" style="333" customWidth="1"/>
    <col min="2568" max="2570" width="20.54296875" style="333" customWidth="1"/>
    <col min="2571" max="2817" width="9.1796875" style="333"/>
    <col min="2818" max="2818" width="5.54296875" style="333" customWidth="1"/>
    <col min="2819" max="2819" width="10.54296875" style="333" customWidth="1"/>
    <col min="2820" max="2820" width="16.54296875" style="333" customWidth="1"/>
    <col min="2821" max="2821" width="6.54296875" style="333" customWidth="1"/>
    <col min="2822" max="2823" width="10.54296875" style="333" customWidth="1"/>
    <col min="2824" max="2826" width="20.54296875" style="333" customWidth="1"/>
    <col min="2827" max="3073" width="9.1796875" style="333"/>
    <col min="3074" max="3074" width="5.54296875" style="333" customWidth="1"/>
    <col min="3075" max="3075" width="10.54296875" style="333" customWidth="1"/>
    <col min="3076" max="3076" width="16.54296875" style="333" customWidth="1"/>
    <col min="3077" max="3077" width="6.54296875" style="333" customWidth="1"/>
    <col min="3078" max="3079" width="10.54296875" style="333" customWidth="1"/>
    <col min="3080" max="3082" width="20.54296875" style="333" customWidth="1"/>
    <col min="3083" max="3329" width="9.1796875" style="333"/>
    <col min="3330" max="3330" width="5.54296875" style="333" customWidth="1"/>
    <col min="3331" max="3331" width="10.54296875" style="333" customWidth="1"/>
    <col min="3332" max="3332" width="16.54296875" style="333" customWidth="1"/>
    <col min="3333" max="3333" width="6.54296875" style="333" customWidth="1"/>
    <col min="3334" max="3335" width="10.54296875" style="333" customWidth="1"/>
    <col min="3336" max="3338" width="20.54296875" style="333" customWidth="1"/>
    <col min="3339" max="3585" width="9.1796875" style="333"/>
    <col min="3586" max="3586" width="5.54296875" style="333" customWidth="1"/>
    <col min="3587" max="3587" width="10.54296875" style="333" customWidth="1"/>
    <col min="3588" max="3588" width="16.54296875" style="333" customWidth="1"/>
    <col min="3589" max="3589" width="6.54296875" style="333" customWidth="1"/>
    <col min="3590" max="3591" width="10.54296875" style="333" customWidth="1"/>
    <col min="3592" max="3594" width="20.54296875" style="333" customWidth="1"/>
    <col min="3595" max="3841" width="9.1796875" style="333"/>
    <col min="3842" max="3842" width="5.54296875" style="333" customWidth="1"/>
    <col min="3843" max="3843" width="10.54296875" style="333" customWidth="1"/>
    <col min="3844" max="3844" width="16.54296875" style="333" customWidth="1"/>
    <col min="3845" max="3845" width="6.54296875" style="333" customWidth="1"/>
    <col min="3846" max="3847" width="10.54296875" style="333" customWidth="1"/>
    <col min="3848" max="3850" width="20.54296875" style="333" customWidth="1"/>
    <col min="3851" max="4097" width="9.1796875" style="333"/>
    <col min="4098" max="4098" width="5.54296875" style="333" customWidth="1"/>
    <col min="4099" max="4099" width="10.54296875" style="333" customWidth="1"/>
    <col min="4100" max="4100" width="16.54296875" style="333" customWidth="1"/>
    <col min="4101" max="4101" width="6.54296875" style="333" customWidth="1"/>
    <col min="4102" max="4103" width="10.54296875" style="333" customWidth="1"/>
    <col min="4104" max="4106" width="20.54296875" style="333" customWidth="1"/>
    <col min="4107" max="4353" width="9.1796875" style="333"/>
    <col min="4354" max="4354" width="5.54296875" style="333" customWidth="1"/>
    <col min="4355" max="4355" width="10.54296875" style="333" customWidth="1"/>
    <col min="4356" max="4356" width="16.54296875" style="333" customWidth="1"/>
    <col min="4357" max="4357" width="6.54296875" style="333" customWidth="1"/>
    <col min="4358" max="4359" width="10.54296875" style="333" customWidth="1"/>
    <col min="4360" max="4362" width="20.54296875" style="333" customWidth="1"/>
    <col min="4363" max="4609" width="9.1796875" style="333"/>
    <col min="4610" max="4610" width="5.54296875" style="333" customWidth="1"/>
    <col min="4611" max="4611" width="10.54296875" style="333" customWidth="1"/>
    <col min="4612" max="4612" width="16.54296875" style="333" customWidth="1"/>
    <col min="4613" max="4613" width="6.54296875" style="333" customWidth="1"/>
    <col min="4614" max="4615" width="10.54296875" style="333" customWidth="1"/>
    <col min="4616" max="4618" width="20.54296875" style="333" customWidth="1"/>
    <col min="4619" max="4865" width="9.1796875" style="333"/>
    <col min="4866" max="4866" width="5.54296875" style="333" customWidth="1"/>
    <col min="4867" max="4867" width="10.54296875" style="333" customWidth="1"/>
    <col min="4868" max="4868" width="16.54296875" style="333" customWidth="1"/>
    <col min="4869" max="4869" width="6.54296875" style="333" customWidth="1"/>
    <col min="4870" max="4871" width="10.54296875" style="333" customWidth="1"/>
    <col min="4872" max="4874" width="20.54296875" style="333" customWidth="1"/>
    <col min="4875" max="5121" width="9.1796875" style="333"/>
    <col min="5122" max="5122" width="5.54296875" style="333" customWidth="1"/>
    <col min="5123" max="5123" width="10.54296875" style="333" customWidth="1"/>
    <col min="5124" max="5124" width="16.54296875" style="333" customWidth="1"/>
    <col min="5125" max="5125" width="6.54296875" style="333" customWidth="1"/>
    <col min="5126" max="5127" width="10.54296875" style="333" customWidth="1"/>
    <col min="5128" max="5130" width="20.54296875" style="333" customWidth="1"/>
    <col min="5131" max="5377" width="9.1796875" style="333"/>
    <col min="5378" max="5378" width="5.54296875" style="333" customWidth="1"/>
    <col min="5379" max="5379" width="10.54296875" style="333" customWidth="1"/>
    <col min="5380" max="5380" width="16.54296875" style="333" customWidth="1"/>
    <col min="5381" max="5381" width="6.54296875" style="333" customWidth="1"/>
    <col min="5382" max="5383" width="10.54296875" style="333" customWidth="1"/>
    <col min="5384" max="5386" width="20.54296875" style="333" customWidth="1"/>
    <col min="5387" max="5633" width="9.1796875" style="333"/>
    <col min="5634" max="5634" width="5.54296875" style="333" customWidth="1"/>
    <col min="5635" max="5635" width="10.54296875" style="333" customWidth="1"/>
    <col min="5636" max="5636" width="16.54296875" style="333" customWidth="1"/>
    <col min="5637" max="5637" width="6.54296875" style="333" customWidth="1"/>
    <col min="5638" max="5639" width="10.54296875" style="333" customWidth="1"/>
    <col min="5640" max="5642" width="20.54296875" style="333" customWidth="1"/>
    <col min="5643" max="5889" width="9.1796875" style="333"/>
    <col min="5890" max="5890" width="5.54296875" style="333" customWidth="1"/>
    <col min="5891" max="5891" width="10.54296875" style="333" customWidth="1"/>
    <col min="5892" max="5892" width="16.54296875" style="333" customWidth="1"/>
    <col min="5893" max="5893" width="6.54296875" style="333" customWidth="1"/>
    <col min="5894" max="5895" width="10.54296875" style="333" customWidth="1"/>
    <col min="5896" max="5898" width="20.54296875" style="333" customWidth="1"/>
    <col min="5899" max="6145" width="9.1796875" style="333"/>
    <col min="6146" max="6146" width="5.54296875" style="333" customWidth="1"/>
    <col min="6147" max="6147" width="10.54296875" style="333" customWidth="1"/>
    <col min="6148" max="6148" width="16.54296875" style="333" customWidth="1"/>
    <col min="6149" max="6149" width="6.54296875" style="333" customWidth="1"/>
    <col min="6150" max="6151" width="10.54296875" style="333" customWidth="1"/>
    <col min="6152" max="6154" width="20.54296875" style="333" customWidth="1"/>
    <col min="6155" max="6401" width="9.1796875" style="333"/>
    <col min="6402" max="6402" width="5.54296875" style="333" customWidth="1"/>
    <col min="6403" max="6403" width="10.54296875" style="333" customWidth="1"/>
    <col min="6404" max="6404" width="16.54296875" style="333" customWidth="1"/>
    <col min="6405" max="6405" width="6.54296875" style="333" customWidth="1"/>
    <col min="6406" max="6407" width="10.54296875" style="333" customWidth="1"/>
    <col min="6408" max="6410" width="20.54296875" style="333" customWidth="1"/>
    <col min="6411" max="6657" width="9.1796875" style="333"/>
    <col min="6658" max="6658" width="5.54296875" style="333" customWidth="1"/>
    <col min="6659" max="6659" width="10.54296875" style="333" customWidth="1"/>
    <col min="6660" max="6660" width="16.54296875" style="333" customWidth="1"/>
    <col min="6661" max="6661" width="6.54296875" style="333" customWidth="1"/>
    <col min="6662" max="6663" width="10.54296875" style="333" customWidth="1"/>
    <col min="6664" max="6666" width="20.54296875" style="333" customWidth="1"/>
    <col min="6667" max="6913" width="9.1796875" style="333"/>
    <col min="6914" max="6914" width="5.54296875" style="333" customWidth="1"/>
    <col min="6915" max="6915" width="10.54296875" style="333" customWidth="1"/>
    <col min="6916" max="6916" width="16.54296875" style="333" customWidth="1"/>
    <col min="6917" max="6917" width="6.54296875" style="333" customWidth="1"/>
    <col min="6918" max="6919" width="10.54296875" style="333" customWidth="1"/>
    <col min="6920" max="6922" width="20.54296875" style="333" customWidth="1"/>
    <col min="6923" max="7169" width="9.1796875" style="333"/>
    <col min="7170" max="7170" width="5.54296875" style="333" customWidth="1"/>
    <col min="7171" max="7171" width="10.54296875" style="333" customWidth="1"/>
    <col min="7172" max="7172" width="16.54296875" style="333" customWidth="1"/>
    <col min="7173" max="7173" width="6.54296875" style="333" customWidth="1"/>
    <col min="7174" max="7175" width="10.54296875" style="333" customWidth="1"/>
    <col min="7176" max="7178" width="20.54296875" style="333" customWidth="1"/>
    <col min="7179" max="7425" width="9.1796875" style="333"/>
    <col min="7426" max="7426" width="5.54296875" style="333" customWidth="1"/>
    <col min="7427" max="7427" width="10.54296875" style="333" customWidth="1"/>
    <col min="7428" max="7428" width="16.54296875" style="333" customWidth="1"/>
    <col min="7429" max="7429" width="6.54296875" style="333" customWidth="1"/>
    <col min="7430" max="7431" width="10.54296875" style="333" customWidth="1"/>
    <col min="7432" max="7434" width="20.54296875" style="333" customWidth="1"/>
    <col min="7435" max="7681" width="9.1796875" style="333"/>
    <col min="7682" max="7682" width="5.54296875" style="333" customWidth="1"/>
    <col min="7683" max="7683" width="10.54296875" style="333" customWidth="1"/>
    <col min="7684" max="7684" width="16.54296875" style="333" customWidth="1"/>
    <col min="7685" max="7685" width="6.54296875" style="333" customWidth="1"/>
    <col min="7686" max="7687" width="10.54296875" style="333" customWidth="1"/>
    <col min="7688" max="7690" width="20.54296875" style="333" customWidth="1"/>
    <col min="7691" max="7937" width="9.1796875" style="333"/>
    <col min="7938" max="7938" width="5.54296875" style="333" customWidth="1"/>
    <col min="7939" max="7939" width="10.54296875" style="333" customWidth="1"/>
    <col min="7940" max="7940" width="16.54296875" style="333" customWidth="1"/>
    <col min="7941" max="7941" width="6.54296875" style="333" customWidth="1"/>
    <col min="7942" max="7943" width="10.54296875" style="333" customWidth="1"/>
    <col min="7944" max="7946" width="20.54296875" style="333" customWidth="1"/>
    <col min="7947" max="8193" width="9.1796875" style="333"/>
    <col min="8194" max="8194" width="5.54296875" style="333" customWidth="1"/>
    <col min="8195" max="8195" width="10.54296875" style="333" customWidth="1"/>
    <col min="8196" max="8196" width="16.54296875" style="333" customWidth="1"/>
    <col min="8197" max="8197" width="6.54296875" style="333" customWidth="1"/>
    <col min="8198" max="8199" width="10.54296875" style="333" customWidth="1"/>
    <col min="8200" max="8202" width="20.54296875" style="333" customWidth="1"/>
    <col min="8203" max="8449" width="9.1796875" style="333"/>
    <col min="8450" max="8450" width="5.54296875" style="333" customWidth="1"/>
    <col min="8451" max="8451" width="10.54296875" style="333" customWidth="1"/>
    <col min="8452" max="8452" width="16.54296875" style="333" customWidth="1"/>
    <col min="8453" max="8453" width="6.54296875" style="333" customWidth="1"/>
    <col min="8454" max="8455" width="10.54296875" style="333" customWidth="1"/>
    <col min="8456" max="8458" width="20.54296875" style="333" customWidth="1"/>
    <col min="8459" max="8705" width="9.1796875" style="333"/>
    <col min="8706" max="8706" width="5.54296875" style="333" customWidth="1"/>
    <col min="8707" max="8707" width="10.54296875" style="333" customWidth="1"/>
    <col min="8708" max="8708" width="16.54296875" style="333" customWidth="1"/>
    <col min="8709" max="8709" width="6.54296875" style="333" customWidth="1"/>
    <col min="8710" max="8711" width="10.54296875" style="333" customWidth="1"/>
    <col min="8712" max="8714" width="20.54296875" style="333" customWidth="1"/>
    <col min="8715" max="8961" width="9.1796875" style="333"/>
    <col min="8962" max="8962" width="5.54296875" style="333" customWidth="1"/>
    <col min="8963" max="8963" width="10.54296875" style="333" customWidth="1"/>
    <col min="8964" max="8964" width="16.54296875" style="333" customWidth="1"/>
    <col min="8965" max="8965" width="6.54296875" style="333" customWidth="1"/>
    <col min="8966" max="8967" width="10.54296875" style="333" customWidth="1"/>
    <col min="8968" max="8970" width="20.54296875" style="333" customWidth="1"/>
    <col min="8971" max="9217" width="9.1796875" style="333"/>
    <col min="9218" max="9218" width="5.54296875" style="333" customWidth="1"/>
    <col min="9219" max="9219" width="10.54296875" style="333" customWidth="1"/>
    <col min="9220" max="9220" width="16.54296875" style="333" customWidth="1"/>
    <col min="9221" max="9221" width="6.54296875" style="333" customWidth="1"/>
    <col min="9222" max="9223" width="10.54296875" style="333" customWidth="1"/>
    <col min="9224" max="9226" width="20.54296875" style="333" customWidth="1"/>
    <col min="9227" max="9473" width="9.1796875" style="333"/>
    <col min="9474" max="9474" width="5.54296875" style="333" customWidth="1"/>
    <col min="9475" max="9475" width="10.54296875" style="333" customWidth="1"/>
    <col min="9476" max="9476" width="16.54296875" style="333" customWidth="1"/>
    <col min="9477" max="9477" width="6.54296875" style="333" customWidth="1"/>
    <col min="9478" max="9479" width="10.54296875" style="333" customWidth="1"/>
    <col min="9480" max="9482" width="20.54296875" style="333" customWidth="1"/>
    <col min="9483" max="9729" width="9.1796875" style="333"/>
    <col min="9730" max="9730" width="5.54296875" style="333" customWidth="1"/>
    <col min="9731" max="9731" width="10.54296875" style="333" customWidth="1"/>
    <col min="9732" max="9732" width="16.54296875" style="333" customWidth="1"/>
    <col min="9733" max="9733" width="6.54296875" style="333" customWidth="1"/>
    <col min="9734" max="9735" width="10.54296875" style="333" customWidth="1"/>
    <col min="9736" max="9738" width="20.54296875" style="333" customWidth="1"/>
    <col min="9739" max="9985" width="9.1796875" style="333"/>
    <col min="9986" max="9986" width="5.54296875" style="333" customWidth="1"/>
    <col min="9987" max="9987" width="10.54296875" style="333" customWidth="1"/>
    <col min="9988" max="9988" width="16.54296875" style="333" customWidth="1"/>
    <col min="9989" max="9989" width="6.54296875" style="333" customWidth="1"/>
    <col min="9990" max="9991" width="10.54296875" style="333" customWidth="1"/>
    <col min="9992" max="9994" width="20.54296875" style="333" customWidth="1"/>
    <col min="9995" max="10241" width="9.1796875" style="333"/>
    <col min="10242" max="10242" width="5.54296875" style="333" customWidth="1"/>
    <col min="10243" max="10243" width="10.54296875" style="333" customWidth="1"/>
    <col min="10244" max="10244" width="16.54296875" style="333" customWidth="1"/>
    <col min="10245" max="10245" width="6.54296875" style="333" customWidth="1"/>
    <col min="10246" max="10247" width="10.54296875" style="333" customWidth="1"/>
    <col min="10248" max="10250" width="20.54296875" style="333" customWidth="1"/>
    <col min="10251" max="10497" width="9.1796875" style="333"/>
    <col min="10498" max="10498" width="5.54296875" style="333" customWidth="1"/>
    <col min="10499" max="10499" width="10.54296875" style="333" customWidth="1"/>
    <col min="10500" max="10500" width="16.54296875" style="333" customWidth="1"/>
    <col min="10501" max="10501" width="6.54296875" style="333" customWidth="1"/>
    <col min="10502" max="10503" width="10.54296875" style="333" customWidth="1"/>
    <col min="10504" max="10506" width="20.54296875" style="333" customWidth="1"/>
    <col min="10507" max="10753" width="9.1796875" style="333"/>
    <col min="10754" max="10754" width="5.54296875" style="333" customWidth="1"/>
    <col min="10755" max="10755" width="10.54296875" style="333" customWidth="1"/>
    <col min="10756" max="10756" width="16.54296875" style="333" customWidth="1"/>
    <col min="10757" max="10757" width="6.54296875" style="333" customWidth="1"/>
    <col min="10758" max="10759" width="10.54296875" style="333" customWidth="1"/>
    <col min="10760" max="10762" width="20.54296875" style="333" customWidth="1"/>
    <col min="10763" max="11009" width="9.1796875" style="333"/>
    <col min="11010" max="11010" width="5.54296875" style="333" customWidth="1"/>
    <col min="11011" max="11011" width="10.54296875" style="333" customWidth="1"/>
    <col min="11012" max="11012" width="16.54296875" style="333" customWidth="1"/>
    <col min="11013" max="11013" width="6.54296875" style="333" customWidth="1"/>
    <col min="11014" max="11015" width="10.54296875" style="333" customWidth="1"/>
    <col min="11016" max="11018" width="20.54296875" style="333" customWidth="1"/>
    <col min="11019" max="11265" width="9.1796875" style="333"/>
    <col min="11266" max="11266" width="5.54296875" style="333" customWidth="1"/>
    <col min="11267" max="11267" width="10.54296875" style="333" customWidth="1"/>
    <col min="11268" max="11268" width="16.54296875" style="333" customWidth="1"/>
    <col min="11269" max="11269" width="6.54296875" style="333" customWidth="1"/>
    <col min="11270" max="11271" width="10.54296875" style="333" customWidth="1"/>
    <col min="11272" max="11274" width="20.54296875" style="333" customWidth="1"/>
    <col min="11275" max="11521" width="9.1796875" style="333"/>
    <col min="11522" max="11522" width="5.54296875" style="333" customWidth="1"/>
    <col min="11523" max="11523" width="10.54296875" style="333" customWidth="1"/>
    <col min="11524" max="11524" width="16.54296875" style="333" customWidth="1"/>
    <col min="11525" max="11525" width="6.54296875" style="333" customWidth="1"/>
    <col min="11526" max="11527" width="10.54296875" style="333" customWidth="1"/>
    <col min="11528" max="11530" width="20.54296875" style="333" customWidth="1"/>
    <col min="11531" max="11777" width="9.1796875" style="333"/>
    <col min="11778" max="11778" width="5.54296875" style="333" customWidth="1"/>
    <col min="11779" max="11779" width="10.54296875" style="333" customWidth="1"/>
    <col min="11780" max="11780" width="16.54296875" style="333" customWidth="1"/>
    <col min="11781" max="11781" width="6.54296875" style="333" customWidth="1"/>
    <col min="11782" max="11783" width="10.54296875" style="333" customWidth="1"/>
    <col min="11784" max="11786" width="20.54296875" style="333" customWidth="1"/>
    <col min="11787" max="12033" width="9.1796875" style="333"/>
    <col min="12034" max="12034" width="5.54296875" style="333" customWidth="1"/>
    <col min="12035" max="12035" width="10.54296875" style="333" customWidth="1"/>
    <col min="12036" max="12036" width="16.54296875" style="333" customWidth="1"/>
    <col min="12037" max="12037" width="6.54296875" style="333" customWidth="1"/>
    <col min="12038" max="12039" width="10.54296875" style="333" customWidth="1"/>
    <col min="12040" max="12042" width="20.54296875" style="333" customWidth="1"/>
    <col min="12043" max="12289" width="9.1796875" style="333"/>
    <col min="12290" max="12290" width="5.54296875" style="333" customWidth="1"/>
    <col min="12291" max="12291" width="10.54296875" style="333" customWidth="1"/>
    <col min="12292" max="12292" width="16.54296875" style="333" customWidth="1"/>
    <col min="12293" max="12293" width="6.54296875" style="333" customWidth="1"/>
    <col min="12294" max="12295" width="10.54296875" style="333" customWidth="1"/>
    <col min="12296" max="12298" width="20.54296875" style="333" customWidth="1"/>
    <col min="12299" max="12545" width="9.1796875" style="333"/>
    <col min="12546" max="12546" width="5.54296875" style="333" customWidth="1"/>
    <col min="12547" max="12547" width="10.54296875" style="333" customWidth="1"/>
    <col min="12548" max="12548" width="16.54296875" style="333" customWidth="1"/>
    <col min="12549" max="12549" width="6.54296875" style="333" customWidth="1"/>
    <col min="12550" max="12551" width="10.54296875" style="333" customWidth="1"/>
    <col min="12552" max="12554" width="20.54296875" style="333" customWidth="1"/>
    <col min="12555" max="12801" width="9.1796875" style="333"/>
    <col min="12802" max="12802" width="5.54296875" style="333" customWidth="1"/>
    <col min="12803" max="12803" width="10.54296875" style="333" customWidth="1"/>
    <col min="12804" max="12804" width="16.54296875" style="333" customWidth="1"/>
    <col min="12805" max="12805" width="6.54296875" style="333" customWidth="1"/>
    <col min="12806" max="12807" width="10.54296875" style="333" customWidth="1"/>
    <col min="12808" max="12810" width="20.54296875" style="333" customWidth="1"/>
    <col min="12811" max="13057" width="9.1796875" style="333"/>
    <col min="13058" max="13058" width="5.54296875" style="333" customWidth="1"/>
    <col min="13059" max="13059" width="10.54296875" style="333" customWidth="1"/>
    <col min="13060" max="13060" width="16.54296875" style="333" customWidth="1"/>
    <col min="13061" max="13061" width="6.54296875" style="333" customWidth="1"/>
    <col min="13062" max="13063" width="10.54296875" style="333" customWidth="1"/>
    <col min="13064" max="13066" width="20.54296875" style="333" customWidth="1"/>
    <col min="13067" max="13313" width="9.1796875" style="333"/>
    <col min="13314" max="13314" width="5.54296875" style="333" customWidth="1"/>
    <col min="13315" max="13315" width="10.54296875" style="333" customWidth="1"/>
    <col min="13316" max="13316" width="16.54296875" style="333" customWidth="1"/>
    <col min="13317" max="13317" width="6.54296875" style="333" customWidth="1"/>
    <col min="13318" max="13319" width="10.54296875" style="333" customWidth="1"/>
    <col min="13320" max="13322" width="20.54296875" style="333" customWidth="1"/>
    <col min="13323" max="13569" width="9.1796875" style="333"/>
    <col min="13570" max="13570" width="5.54296875" style="333" customWidth="1"/>
    <col min="13571" max="13571" width="10.54296875" style="333" customWidth="1"/>
    <col min="13572" max="13572" width="16.54296875" style="333" customWidth="1"/>
    <col min="13573" max="13573" width="6.54296875" style="333" customWidth="1"/>
    <col min="13574" max="13575" width="10.54296875" style="333" customWidth="1"/>
    <col min="13576" max="13578" width="20.54296875" style="333" customWidth="1"/>
    <col min="13579" max="13825" width="9.1796875" style="333"/>
    <col min="13826" max="13826" width="5.54296875" style="333" customWidth="1"/>
    <col min="13827" max="13827" width="10.54296875" style="333" customWidth="1"/>
    <col min="13828" max="13828" width="16.54296875" style="333" customWidth="1"/>
    <col min="13829" max="13829" width="6.54296875" style="333" customWidth="1"/>
    <col min="13830" max="13831" width="10.54296875" style="333" customWidth="1"/>
    <col min="13832" max="13834" width="20.54296875" style="333" customWidth="1"/>
    <col min="13835" max="14081" width="9.1796875" style="333"/>
    <col min="14082" max="14082" width="5.54296875" style="333" customWidth="1"/>
    <col min="14083" max="14083" width="10.54296875" style="333" customWidth="1"/>
    <col min="14084" max="14084" width="16.54296875" style="333" customWidth="1"/>
    <col min="14085" max="14085" width="6.54296875" style="333" customWidth="1"/>
    <col min="14086" max="14087" width="10.54296875" style="333" customWidth="1"/>
    <col min="14088" max="14090" width="20.54296875" style="333" customWidth="1"/>
    <col min="14091" max="14337" width="9.1796875" style="333"/>
    <col min="14338" max="14338" width="5.54296875" style="333" customWidth="1"/>
    <col min="14339" max="14339" width="10.54296875" style="333" customWidth="1"/>
    <col min="14340" max="14340" width="16.54296875" style="333" customWidth="1"/>
    <col min="14341" max="14341" width="6.54296875" style="333" customWidth="1"/>
    <col min="14342" max="14343" width="10.54296875" style="333" customWidth="1"/>
    <col min="14344" max="14346" width="20.54296875" style="333" customWidth="1"/>
    <col min="14347" max="14593" width="9.1796875" style="333"/>
    <col min="14594" max="14594" width="5.54296875" style="333" customWidth="1"/>
    <col min="14595" max="14595" width="10.54296875" style="333" customWidth="1"/>
    <col min="14596" max="14596" width="16.54296875" style="333" customWidth="1"/>
    <col min="14597" max="14597" width="6.54296875" style="333" customWidth="1"/>
    <col min="14598" max="14599" width="10.54296875" style="333" customWidth="1"/>
    <col min="14600" max="14602" width="20.54296875" style="333" customWidth="1"/>
    <col min="14603" max="14849" width="9.1796875" style="333"/>
    <col min="14850" max="14850" width="5.54296875" style="333" customWidth="1"/>
    <col min="14851" max="14851" width="10.54296875" style="333" customWidth="1"/>
    <col min="14852" max="14852" width="16.54296875" style="333" customWidth="1"/>
    <col min="14853" max="14853" width="6.54296875" style="333" customWidth="1"/>
    <col min="14854" max="14855" width="10.54296875" style="333" customWidth="1"/>
    <col min="14856" max="14858" width="20.54296875" style="333" customWidth="1"/>
    <col min="14859" max="15105" width="9.1796875" style="333"/>
    <col min="15106" max="15106" width="5.54296875" style="333" customWidth="1"/>
    <col min="15107" max="15107" width="10.54296875" style="333" customWidth="1"/>
    <col min="15108" max="15108" width="16.54296875" style="333" customWidth="1"/>
    <col min="15109" max="15109" width="6.54296875" style="333" customWidth="1"/>
    <col min="15110" max="15111" width="10.54296875" style="333" customWidth="1"/>
    <col min="15112" max="15114" width="20.54296875" style="333" customWidth="1"/>
    <col min="15115" max="15361" width="9.1796875" style="333"/>
    <col min="15362" max="15362" width="5.54296875" style="333" customWidth="1"/>
    <col min="15363" max="15363" width="10.54296875" style="333" customWidth="1"/>
    <col min="15364" max="15364" width="16.54296875" style="333" customWidth="1"/>
    <col min="15365" max="15365" width="6.54296875" style="333" customWidth="1"/>
    <col min="15366" max="15367" width="10.54296875" style="333" customWidth="1"/>
    <col min="15368" max="15370" width="20.54296875" style="333" customWidth="1"/>
    <col min="15371" max="15617" width="9.1796875" style="333"/>
    <col min="15618" max="15618" width="5.54296875" style="333" customWidth="1"/>
    <col min="15619" max="15619" width="10.54296875" style="333" customWidth="1"/>
    <col min="15620" max="15620" width="16.54296875" style="333" customWidth="1"/>
    <col min="15621" max="15621" width="6.54296875" style="333" customWidth="1"/>
    <col min="15622" max="15623" width="10.54296875" style="333" customWidth="1"/>
    <col min="15624" max="15626" width="20.54296875" style="333" customWidth="1"/>
    <col min="15627" max="15873" width="9.1796875" style="333"/>
    <col min="15874" max="15874" width="5.54296875" style="333" customWidth="1"/>
    <col min="15875" max="15875" width="10.54296875" style="333" customWidth="1"/>
    <col min="15876" max="15876" width="16.54296875" style="333" customWidth="1"/>
    <col min="15877" max="15877" width="6.54296875" style="333" customWidth="1"/>
    <col min="15878" max="15879" width="10.54296875" style="333" customWidth="1"/>
    <col min="15880" max="15882" width="20.54296875" style="333" customWidth="1"/>
    <col min="15883" max="16129" width="9.1796875" style="333"/>
    <col min="16130" max="16130" width="5.54296875" style="333" customWidth="1"/>
    <col min="16131" max="16131" width="10.54296875" style="333" customWidth="1"/>
    <col min="16132" max="16132" width="16.54296875" style="333" customWidth="1"/>
    <col min="16133" max="16133" width="6.54296875" style="333" customWidth="1"/>
    <col min="16134" max="16135" width="10.54296875" style="333" customWidth="1"/>
    <col min="16136" max="16138" width="20.54296875" style="333" customWidth="1"/>
    <col min="16139" max="16384" width="9.1796875" style="333"/>
  </cols>
  <sheetData>
    <row r="1" spans="1:20" ht="18" x14ac:dyDescent="0.4">
      <c r="A1" s="505"/>
      <c r="B1" s="505"/>
      <c r="C1" s="505"/>
      <c r="D1" s="505"/>
      <c r="E1" s="334"/>
      <c r="F1" s="84"/>
      <c r="G1" s="84"/>
      <c r="H1" s="84"/>
      <c r="I1" s="84"/>
      <c r="J1" s="84"/>
      <c r="L1" s="506" t="s">
        <v>141</v>
      </c>
      <c r="M1" s="506"/>
      <c r="N1" s="506"/>
      <c r="O1" s="506"/>
      <c r="P1" s="506"/>
      <c r="Q1" s="334"/>
      <c r="R1" s="334"/>
      <c r="S1" s="334"/>
    </row>
    <row r="2" spans="1:20" ht="18" x14ac:dyDescent="0.4">
      <c r="A2" s="505"/>
      <c r="B2" s="507"/>
      <c r="C2" s="507"/>
      <c r="D2" s="507"/>
      <c r="F2" s="508"/>
      <c r="G2" s="508"/>
      <c r="H2" s="334"/>
      <c r="I2" s="334"/>
      <c r="J2" s="84"/>
      <c r="L2" s="506" t="s">
        <v>553</v>
      </c>
      <c r="M2" s="506"/>
      <c r="N2" s="506"/>
      <c r="O2" s="506"/>
      <c r="P2" s="506"/>
      <c r="Q2" s="334"/>
      <c r="R2" s="334"/>
      <c r="S2" s="334"/>
    </row>
    <row r="3" spans="1:20" ht="20" x14ac:dyDescent="0.4">
      <c r="A3" s="504" t="s">
        <v>485</v>
      </c>
      <c r="B3" s="504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335"/>
    </row>
    <row r="4" spans="1:20" ht="14.5" thickBot="1" x14ac:dyDescent="0.35">
      <c r="A4" s="336"/>
      <c r="B4" s="337"/>
      <c r="C4" s="337"/>
      <c r="D4" s="337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</row>
    <row r="5" spans="1:20" ht="14" x14ac:dyDescent="0.3">
      <c r="A5" s="338"/>
      <c r="B5" s="338"/>
      <c r="C5" s="338"/>
      <c r="D5" s="509" t="s">
        <v>142</v>
      </c>
      <c r="E5" s="510"/>
      <c r="F5" s="510"/>
      <c r="G5" s="510"/>
      <c r="H5" s="510"/>
      <c r="I5" s="510"/>
      <c r="J5" s="510"/>
      <c r="K5" s="510"/>
      <c r="L5" s="510"/>
      <c r="M5" s="510"/>
      <c r="N5" s="510"/>
      <c r="O5" s="510"/>
      <c r="P5" s="511"/>
      <c r="Q5" s="338"/>
      <c r="R5" s="338"/>
      <c r="S5" s="338"/>
      <c r="T5" s="338"/>
    </row>
    <row r="6" spans="1:20" ht="14" x14ac:dyDescent="0.3">
      <c r="A6" s="512" t="s">
        <v>551</v>
      </c>
      <c r="B6" s="512"/>
      <c r="C6" s="513"/>
      <c r="D6" s="514" t="s">
        <v>144</v>
      </c>
      <c r="E6" s="516" t="s">
        <v>145</v>
      </c>
      <c r="F6" s="518" t="s">
        <v>146</v>
      </c>
      <c r="G6" s="518"/>
      <c r="H6" s="518" t="s">
        <v>147</v>
      </c>
      <c r="I6" s="518"/>
      <c r="J6" s="518" t="s">
        <v>148</v>
      </c>
      <c r="K6" s="518"/>
      <c r="L6" s="518" t="s">
        <v>149</v>
      </c>
      <c r="M6" s="518"/>
      <c r="N6" s="330" t="s">
        <v>121</v>
      </c>
      <c r="O6" s="518" t="s">
        <v>9</v>
      </c>
      <c r="P6" s="519"/>
      <c r="Q6" s="339"/>
      <c r="R6" s="339"/>
      <c r="S6" s="339"/>
      <c r="T6" s="338"/>
    </row>
    <row r="7" spans="1:20" ht="52.5" thickBot="1" x14ac:dyDescent="0.35">
      <c r="A7" s="512"/>
      <c r="B7" s="512"/>
      <c r="C7" s="513"/>
      <c r="D7" s="515"/>
      <c r="E7" s="517"/>
      <c r="F7" s="332" t="s">
        <v>150</v>
      </c>
      <c r="G7" s="331" t="s">
        <v>151</v>
      </c>
      <c r="H7" s="332" t="s">
        <v>150</v>
      </c>
      <c r="I7" s="332" t="s">
        <v>151</v>
      </c>
      <c r="J7" s="332" t="s">
        <v>150</v>
      </c>
      <c r="K7" s="332" t="s">
        <v>151</v>
      </c>
      <c r="L7" s="332" t="s">
        <v>150</v>
      </c>
      <c r="M7" s="332" t="s">
        <v>151</v>
      </c>
      <c r="N7" s="331" t="s">
        <v>152</v>
      </c>
      <c r="O7" s="520" t="s">
        <v>153</v>
      </c>
      <c r="P7" s="521"/>
      <c r="Q7" s="339"/>
      <c r="R7" s="339"/>
      <c r="S7" s="339"/>
      <c r="T7" s="338"/>
    </row>
    <row r="8" spans="1:20" ht="14" x14ac:dyDescent="0.3">
      <c r="A8" s="522" t="s">
        <v>5</v>
      </c>
      <c r="B8" s="523"/>
      <c r="C8" s="523"/>
      <c r="D8" s="523"/>
      <c r="E8" s="523"/>
      <c r="F8" s="523"/>
      <c r="G8" s="523"/>
      <c r="H8" s="523"/>
      <c r="I8" s="523"/>
      <c r="J8" s="523"/>
      <c r="K8" s="523"/>
      <c r="L8" s="523"/>
      <c r="M8" s="523"/>
      <c r="N8" s="523"/>
      <c r="O8" s="523"/>
      <c r="P8" s="524"/>
      <c r="Q8" s="340"/>
      <c r="R8" s="340"/>
      <c r="S8" s="340"/>
      <c r="T8" s="338"/>
    </row>
    <row r="9" spans="1:20" ht="14" x14ac:dyDescent="0.3">
      <c r="A9" s="525" t="str">
        <f>'Summary of Legal Fees - BJ'!C68</f>
        <v>Tim Myers</v>
      </c>
      <c r="B9" s="526"/>
      <c r="C9" s="526"/>
      <c r="D9" s="527" t="s">
        <v>154</v>
      </c>
      <c r="E9" s="528">
        <v>320</v>
      </c>
      <c r="F9" s="529">
        <v>177.6</v>
      </c>
      <c r="G9" s="530">
        <f>F9*E9</f>
        <v>56832</v>
      </c>
      <c r="H9" s="531">
        <v>57.7</v>
      </c>
      <c r="I9" s="530">
        <f>H9*E9</f>
        <v>18464</v>
      </c>
      <c r="J9" s="532">
        <v>35.1</v>
      </c>
      <c r="K9" s="530">
        <f>J9*E9</f>
        <v>11232</v>
      </c>
      <c r="L9" s="535">
        <f>SUM(J9,H9,F9)</f>
        <v>270.39999999999998</v>
      </c>
      <c r="M9" s="530">
        <f t="shared" ref="M9" si="0">SUM(G9,I9,K9)</f>
        <v>86528</v>
      </c>
      <c r="N9" s="528"/>
      <c r="O9" s="530">
        <f>N9+M9</f>
        <v>86528</v>
      </c>
      <c r="P9" s="536"/>
      <c r="Q9" s="341"/>
      <c r="R9" s="341"/>
      <c r="S9" s="341"/>
      <c r="T9" s="338"/>
    </row>
    <row r="10" spans="1:20" ht="14" x14ac:dyDescent="0.3">
      <c r="A10" s="525"/>
      <c r="B10" s="526"/>
      <c r="C10" s="526"/>
      <c r="D10" s="527"/>
      <c r="E10" s="528"/>
      <c r="F10" s="529"/>
      <c r="G10" s="530"/>
      <c r="H10" s="531"/>
      <c r="I10" s="530"/>
      <c r="J10" s="532"/>
      <c r="K10" s="530"/>
      <c r="L10" s="535"/>
      <c r="M10" s="530"/>
      <c r="N10" s="528"/>
      <c r="O10" s="530"/>
      <c r="P10" s="536"/>
      <c r="Q10" s="341"/>
      <c r="R10" s="341"/>
      <c r="S10" s="341"/>
      <c r="T10" s="338"/>
    </row>
    <row r="11" spans="1:20" ht="14" x14ac:dyDescent="0.3">
      <c r="A11" s="525" t="str">
        <f>'Summary of Legal Fees - BJ'!C69</f>
        <v>Erin Anderson</v>
      </c>
      <c r="B11" s="526"/>
      <c r="C11" s="526"/>
      <c r="D11" s="527" t="s">
        <v>155</v>
      </c>
      <c r="E11" s="528">
        <v>240</v>
      </c>
      <c r="F11" s="532">
        <v>139.30000000000001</v>
      </c>
      <c r="G11" s="530">
        <f>F11*E11</f>
        <v>33432</v>
      </c>
      <c r="H11" s="531">
        <v>32.299999999999997</v>
      </c>
      <c r="I11" s="530">
        <f>H11*E11</f>
        <v>7751.9999999999991</v>
      </c>
      <c r="J11" s="532">
        <v>69.8</v>
      </c>
      <c r="K11" s="533">
        <f>J11*E11</f>
        <v>16752</v>
      </c>
      <c r="L11" s="535">
        <f t="shared" ref="L11" si="1">SUM(J11,H11,F11)</f>
        <v>241.4</v>
      </c>
      <c r="M11" s="533">
        <f t="shared" ref="M11" si="2">SUM(G11,I11,K11)</f>
        <v>57936</v>
      </c>
      <c r="N11" s="528"/>
      <c r="O11" s="533">
        <f t="shared" ref="O11" si="3">N11+M11</f>
        <v>57936</v>
      </c>
      <c r="P11" s="534"/>
      <c r="Q11" s="341"/>
      <c r="R11" s="341"/>
      <c r="S11" s="341"/>
      <c r="T11" s="338"/>
    </row>
    <row r="12" spans="1:20" ht="14" x14ac:dyDescent="0.3">
      <c r="A12" s="525"/>
      <c r="B12" s="526"/>
      <c r="C12" s="526"/>
      <c r="D12" s="527"/>
      <c r="E12" s="528"/>
      <c r="F12" s="532"/>
      <c r="G12" s="530"/>
      <c r="H12" s="531"/>
      <c r="I12" s="530"/>
      <c r="J12" s="532"/>
      <c r="K12" s="533"/>
      <c r="L12" s="535"/>
      <c r="M12" s="533"/>
      <c r="N12" s="528"/>
      <c r="O12" s="533"/>
      <c r="P12" s="534"/>
      <c r="Q12" s="341"/>
      <c r="R12" s="341"/>
      <c r="S12" s="341"/>
      <c r="T12" s="338"/>
    </row>
    <row r="13" spans="1:20" ht="14" x14ac:dyDescent="0.3">
      <c r="A13" s="525" t="str">
        <f>'Summary of Legal Fees - BJ'!C70</f>
        <v>L. Smith</v>
      </c>
      <c r="B13" s="526"/>
      <c r="C13" s="526"/>
      <c r="D13" s="527" t="s">
        <v>156</v>
      </c>
      <c r="E13" s="528">
        <v>350</v>
      </c>
      <c r="F13" s="532">
        <v>0.2</v>
      </c>
      <c r="G13" s="530">
        <f>F13*E13</f>
        <v>70</v>
      </c>
      <c r="H13" s="531"/>
      <c r="I13" s="533">
        <f>H13*E13</f>
        <v>0</v>
      </c>
      <c r="J13" s="532"/>
      <c r="K13" s="530">
        <f>J13*E13</f>
        <v>0</v>
      </c>
      <c r="L13" s="535">
        <f t="shared" ref="L13" si="4">SUM(J13,H13,F13)</f>
        <v>0.2</v>
      </c>
      <c r="M13" s="530">
        <f>SUM(G13,I13,K13)</f>
        <v>70</v>
      </c>
      <c r="N13" s="528"/>
      <c r="O13" s="530">
        <f t="shared" ref="O13" si="5">N13+M13</f>
        <v>70</v>
      </c>
      <c r="P13" s="536"/>
      <c r="Q13" s="341"/>
      <c r="R13" s="341"/>
      <c r="S13" s="341"/>
      <c r="T13" s="338"/>
    </row>
    <row r="14" spans="1:20" ht="14" x14ac:dyDescent="0.3">
      <c r="A14" s="525"/>
      <c r="B14" s="526"/>
      <c r="C14" s="526"/>
      <c r="D14" s="527"/>
      <c r="E14" s="528"/>
      <c r="F14" s="532"/>
      <c r="G14" s="530"/>
      <c r="H14" s="531"/>
      <c r="I14" s="533"/>
      <c r="J14" s="532"/>
      <c r="K14" s="530"/>
      <c r="L14" s="535"/>
      <c r="M14" s="530"/>
      <c r="N14" s="528"/>
      <c r="O14" s="530"/>
      <c r="P14" s="536"/>
      <c r="Q14" s="341"/>
      <c r="R14" s="341"/>
      <c r="S14" s="341"/>
      <c r="T14" s="338"/>
    </row>
    <row r="15" spans="1:20" ht="14" x14ac:dyDescent="0.3">
      <c r="A15" s="525" t="str">
        <f>'Summary of Legal Fees - BJ'!C71</f>
        <v>Nathan Green</v>
      </c>
      <c r="B15" s="526"/>
      <c r="C15" s="526"/>
      <c r="D15" s="527" t="s">
        <v>157</v>
      </c>
      <c r="E15" s="528">
        <v>240</v>
      </c>
      <c r="F15" s="532">
        <v>7.8</v>
      </c>
      <c r="G15" s="533">
        <f>F15*E15</f>
        <v>1872</v>
      </c>
      <c r="H15" s="531"/>
      <c r="I15" s="530">
        <f>H15*E15</f>
        <v>0</v>
      </c>
      <c r="J15" s="537">
        <v>6.9</v>
      </c>
      <c r="K15" s="530">
        <f>J15*E15</f>
        <v>1656</v>
      </c>
      <c r="L15" s="535">
        <f t="shared" ref="L15:L21" si="6">SUM(J15,H15,F15)</f>
        <v>14.7</v>
      </c>
      <c r="M15" s="533">
        <f>SUM(G15,I15,K15)</f>
        <v>3528</v>
      </c>
      <c r="N15" s="528"/>
      <c r="O15" s="533">
        <f t="shared" ref="O15" si="7">N15+M15</f>
        <v>3528</v>
      </c>
      <c r="P15" s="534"/>
      <c r="Q15" s="341"/>
      <c r="R15" s="341"/>
      <c r="S15" s="341"/>
      <c r="T15" s="338"/>
    </row>
    <row r="16" spans="1:20" ht="14" x14ac:dyDescent="0.3">
      <c r="A16" s="525"/>
      <c r="B16" s="526"/>
      <c r="C16" s="526"/>
      <c r="D16" s="527"/>
      <c r="E16" s="528"/>
      <c r="F16" s="532"/>
      <c r="G16" s="533"/>
      <c r="H16" s="531"/>
      <c r="I16" s="530"/>
      <c r="J16" s="537"/>
      <c r="K16" s="530"/>
      <c r="L16" s="535"/>
      <c r="M16" s="533"/>
      <c r="N16" s="528"/>
      <c r="O16" s="533"/>
      <c r="P16" s="534"/>
      <c r="Q16" s="341"/>
      <c r="R16" s="341"/>
      <c r="S16" s="341"/>
      <c r="T16" s="338"/>
    </row>
    <row r="17" spans="1:20" ht="14" x14ac:dyDescent="0.3">
      <c r="A17" s="525" t="s">
        <v>158</v>
      </c>
      <c r="B17" s="526"/>
      <c r="C17" s="526"/>
      <c r="D17" s="527" t="s">
        <v>154</v>
      </c>
      <c r="E17" s="528">
        <v>160</v>
      </c>
      <c r="F17" s="532">
        <v>6</v>
      </c>
      <c r="G17" s="530">
        <f>F17*E17</f>
        <v>960</v>
      </c>
      <c r="H17" s="531">
        <v>11</v>
      </c>
      <c r="I17" s="530">
        <f>H17*E17</f>
        <v>1760</v>
      </c>
      <c r="J17" s="537"/>
      <c r="K17" s="530">
        <f>J17*E17</f>
        <v>0</v>
      </c>
      <c r="L17" s="535">
        <f t="shared" si="6"/>
        <v>17</v>
      </c>
      <c r="M17" s="530">
        <f t="shared" ref="M17" si="8">SUM(G17,I17,K17)</f>
        <v>2720</v>
      </c>
      <c r="N17" s="528"/>
      <c r="O17" s="530">
        <f t="shared" ref="O17" si="9">N17+M17</f>
        <v>2720</v>
      </c>
      <c r="P17" s="536"/>
      <c r="Q17" s="341"/>
      <c r="R17" s="341"/>
      <c r="S17" s="341"/>
      <c r="T17" s="338"/>
    </row>
    <row r="18" spans="1:20" ht="14" x14ac:dyDescent="0.3">
      <c r="A18" s="525"/>
      <c r="B18" s="526"/>
      <c r="C18" s="526"/>
      <c r="D18" s="527"/>
      <c r="E18" s="528"/>
      <c r="F18" s="532"/>
      <c r="G18" s="530"/>
      <c r="H18" s="531"/>
      <c r="I18" s="530"/>
      <c r="J18" s="537"/>
      <c r="K18" s="530"/>
      <c r="L18" s="535"/>
      <c r="M18" s="530"/>
      <c r="N18" s="528"/>
      <c r="O18" s="530"/>
      <c r="P18" s="536"/>
      <c r="Q18" s="341"/>
      <c r="R18" s="341"/>
      <c r="S18" s="341"/>
      <c r="T18" s="338"/>
    </row>
    <row r="19" spans="1:20" ht="14" x14ac:dyDescent="0.3">
      <c r="A19" s="525" t="s">
        <v>159</v>
      </c>
      <c r="B19" s="526"/>
      <c r="C19" s="526"/>
      <c r="D19" s="527" t="s">
        <v>155</v>
      </c>
      <c r="E19" s="528">
        <v>120</v>
      </c>
      <c r="F19" s="532">
        <v>6.1</v>
      </c>
      <c r="G19" s="533">
        <f>F19*E19</f>
        <v>732</v>
      </c>
      <c r="H19" s="531">
        <v>11</v>
      </c>
      <c r="I19" s="530">
        <f>H19*E19</f>
        <v>1320</v>
      </c>
      <c r="J19" s="537"/>
      <c r="K19" s="533">
        <f>J19*E19</f>
        <v>0</v>
      </c>
      <c r="L19" s="535">
        <f t="shared" si="6"/>
        <v>17.100000000000001</v>
      </c>
      <c r="M19" s="533">
        <f t="shared" ref="M19" si="10">SUM(G19,I19,K19)</f>
        <v>2052</v>
      </c>
      <c r="N19" s="528"/>
      <c r="O19" s="530">
        <f t="shared" ref="O19" si="11">N19+M19</f>
        <v>2052</v>
      </c>
      <c r="P19" s="536"/>
      <c r="Q19" s="341"/>
      <c r="R19" s="341"/>
      <c r="S19" s="341"/>
      <c r="T19" s="338"/>
    </row>
    <row r="20" spans="1:20" ht="14.5" thickBot="1" x14ac:dyDescent="0.35">
      <c r="A20" s="538"/>
      <c r="B20" s="539"/>
      <c r="C20" s="539"/>
      <c r="D20" s="540"/>
      <c r="E20" s="541"/>
      <c r="F20" s="542"/>
      <c r="G20" s="543"/>
      <c r="H20" s="544"/>
      <c r="I20" s="558"/>
      <c r="J20" s="572"/>
      <c r="K20" s="543"/>
      <c r="L20" s="573"/>
      <c r="M20" s="543"/>
      <c r="N20" s="541"/>
      <c r="O20" s="558"/>
      <c r="P20" s="559"/>
      <c r="Q20" s="341"/>
      <c r="R20" s="341"/>
      <c r="S20" s="341"/>
      <c r="T20" s="338"/>
    </row>
    <row r="21" spans="1:20" ht="14.5" hidden="1" thickBot="1" x14ac:dyDescent="0.35">
      <c r="A21" s="560" t="s">
        <v>160</v>
      </c>
      <c r="B21" s="561"/>
      <c r="C21" s="561"/>
      <c r="D21" s="564"/>
      <c r="E21" s="549"/>
      <c r="F21" s="566"/>
      <c r="G21" s="547">
        <f>F21*E21</f>
        <v>0</v>
      </c>
      <c r="H21" s="568"/>
      <c r="I21" s="547">
        <f>H21*E21</f>
        <v>0</v>
      </c>
      <c r="J21" s="570"/>
      <c r="K21" s="547">
        <f>J21*E21</f>
        <v>0</v>
      </c>
      <c r="L21" s="545">
        <f t="shared" si="6"/>
        <v>0</v>
      </c>
      <c r="M21" s="547">
        <f t="shared" ref="M21" si="12">SUM(G21,I21,K21)</f>
        <v>0</v>
      </c>
      <c r="N21" s="549"/>
      <c r="O21" s="551">
        <f t="shared" ref="O21" si="13">N21+M21</f>
        <v>0</v>
      </c>
      <c r="P21" s="552"/>
      <c r="Q21" s="341"/>
      <c r="R21" s="341"/>
      <c r="S21" s="341"/>
      <c r="T21" s="338"/>
    </row>
    <row r="22" spans="1:20" ht="14.5" hidden="1" thickBot="1" x14ac:dyDescent="0.35">
      <c r="A22" s="562"/>
      <c r="B22" s="563"/>
      <c r="C22" s="563"/>
      <c r="D22" s="565"/>
      <c r="E22" s="550"/>
      <c r="F22" s="567"/>
      <c r="G22" s="548"/>
      <c r="H22" s="569"/>
      <c r="I22" s="548"/>
      <c r="J22" s="571"/>
      <c r="K22" s="548"/>
      <c r="L22" s="546"/>
      <c r="M22" s="548"/>
      <c r="N22" s="550"/>
      <c r="O22" s="553"/>
      <c r="P22" s="554"/>
      <c r="Q22" s="341"/>
      <c r="R22" s="341"/>
      <c r="S22" s="341"/>
      <c r="T22" s="338"/>
    </row>
    <row r="23" spans="1:20" ht="22" customHeight="1" thickBot="1" x14ac:dyDescent="0.35">
      <c r="A23" s="555" t="s">
        <v>161</v>
      </c>
      <c r="B23" s="555"/>
      <c r="C23" s="555"/>
      <c r="D23" s="555"/>
      <c r="E23" s="555"/>
      <c r="F23" s="352">
        <f t="shared" ref="F23:N23" si="14">SUM(F9:F22)</f>
        <v>337</v>
      </c>
      <c r="G23" s="353">
        <f t="shared" si="14"/>
        <v>93898</v>
      </c>
      <c r="H23" s="354">
        <f t="shared" si="14"/>
        <v>112</v>
      </c>
      <c r="I23" s="355">
        <f t="shared" si="14"/>
        <v>29296</v>
      </c>
      <c r="J23" s="356">
        <f t="shared" si="14"/>
        <v>111.80000000000001</v>
      </c>
      <c r="K23" s="355">
        <f t="shared" si="14"/>
        <v>29640</v>
      </c>
      <c r="L23" s="354">
        <f t="shared" si="14"/>
        <v>560.79999999999995</v>
      </c>
      <c r="M23" s="355">
        <f t="shared" si="14"/>
        <v>152834</v>
      </c>
      <c r="N23" s="355">
        <f t="shared" si="14"/>
        <v>0</v>
      </c>
      <c r="O23" s="556">
        <f>SUM(O9:P22)</f>
        <v>152834</v>
      </c>
      <c r="P23" s="557"/>
      <c r="Q23" s="338"/>
      <c r="R23" s="338"/>
      <c r="S23" s="338"/>
      <c r="T23" s="338"/>
    </row>
    <row r="24" spans="1:20" ht="22" customHeight="1" x14ac:dyDescent="0.3">
      <c r="A24" s="351"/>
      <c r="B24" s="351"/>
      <c r="C24" s="351"/>
      <c r="D24" s="351"/>
      <c r="E24" s="351"/>
      <c r="F24" s="370"/>
      <c r="G24" s="358"/>
      <c r="H24" s="371"/>
      <c r="I24" s="360"/>
      <c r="J24" s="372"/>
      <c r="K24" s="360"/>
      <c r="L24" s="371"/>
      <c r="M24" s="360"/>
      <c r="N24" s="360"/>
      <c r="O24" s="362"/>
      <c r="P24" s="363"/>
      <c r="Q24" s="338"/>
      <c r="R24" s="338"/>
      <c r="S24" s="338"/>
      <c r="T24" s="338"/>
    </row>
    <row r="25" spans="1:20" ht="22" customHeight="1" x14ac:dyDescent="0.35">
      <c r="A25" s="504" t="s">
        <v>484</v>
      </c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  <c r="N25" s="504"/>
      <c r="O25" s="504"/>
      <c r="P25" s="504"/>
      <c r="Q25" s="338"/>
      <c r="R25" s="338"/>
      <c r="S25" s="338"/>
      <c r="T25" s="338"/>
    </row>
    <row r="26" spans="1:20" ht="15" customHeight="1" thickBot="1" x14ac:dyDescent="0.35">
      <c r="A26" s="351"/>
      <c r="B26" s="351"/>
      <c r="C26" s="351"/>
      <c r="D26" s="351"/>
      <c r="E26" s="351"/>
      <c r="F26" s="357"/>
      <c r="G26" s="358"/>
      <c r="H26" s="359"/>
      <c r="I26" s="360"/>
      <c r="J26" s="361"/>
      <c r="K26" s="360"/>
      <c r="L26" s="359"/>
      <c r="M26" s="360"/>
      <c r="N26" s="360"/>
      <c r="O26" s="362"/>
      <c r="P26" s="363"/>
      <c r="Q26" s="338"/>
      <c r="R26" s="338"/>
      <c r="S26" s="338"/>
      <c r="T26" s="338"/>
    </row>
    <row r="27" spans="1:20" ht="14" x14ac:dyDescent="0.3">
      <c r="A27" s="337"/>
      <c r="B27" s="337"/>
      <c r="C27" s="337"/>
      <c r="D27" s="574" t="s">
        <v>142</v>
      </c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6"/>
      <c r="Q27" s="338"/>
      <c r="R27" s="338"/>
      <c r="S27" s="338"/>
      <c r="T27" s="338"/>
    </row>
    <row r="28" spans="1:20" ht="14" x14ac:dyDescent="0.3">
      <c r="A28" s="512" t="s">
        <v>551</v>
      </c>
      <c r="B28" s="512"/>
      <c r="C28" s="513"/>
      <c r="D28" s="514" t="s">
        <v>144</v>
      </c>
      <c r="E28" s="516" t="s">
        <v>145</v>
      </c>
      <c r="F28" s="518" t="s">
        <v>146</v>
      </c>
      <c r="G28" s="518"/>
      <c r="H28" s="518" t="s">
        <v>147</v>
      </c>
      <c r="I28" s="518"/>
      <c r="J28" s="518" t="s">
        <v>148</v>
      </c>
      <c r="K28" s="518"/>
      <c r="L28" s="518" t="s">
        <v>149</v>
      </c>
      <c r="M28" s="518"/>
      <c r="N28" s="330" t="s">
        <v>121</v>
      </c>
      <c r="O28" s="518" t="s">
        <v>9</v>
      </c>
      <c r="P28" s="519"/>
      <c r="Q28" s="338"/>
      <c r="R28" s="338"/>
      <c r="S28" s="338"/>
      <c r="T28" s="338"/>
    </row>
    <row r="29" spans="1:20" ht="52.5" thickBot="1" x14ac:dyDescent="0.35">
      <c r="A29" s="577"/>
      <c r="B29" s="577"/>
      <c r="C29" s="578"/>
      <c r="D29" s="515"/>
      <c r="E29" s="517"/>
      <c r="F29" s="332" t="s">
        <v>150</v>
      </c>
      <c r="G29" s="331" t="s">
        <v>151</v>
      </c>
      <c r="H29" s="332" t="s">
        <v>150</v>
      </c>
      <c r="I29" s="332" t="s">
        <v>151</v>
      </c>
      <c r="J29" s="332" t="s">
        <v>150</v>
      </c>
      <c r="K29" s="332" t="s">
        <v>151</v>
      </c>
      <c r="L29" s="332" t="s">
        <v>150</v>
      </c>
      <c r="M29" s="332" t="s">
        <v>151</v>
      </c>
      <c r="N29" s="331" t="s">
        <v>152</v>
      </c>
      <c r="O29" s="520" t="s">
        <v>153</v>
      </c>
      <c r="P29" s="521"/>
      <c r="Q29" s="338"/>
      <c r="R29" s="338"/>
      <c r="S29" s="338"/>
      <c r="T29" s="338"/>
    </row>
    <row r="30" spans="1:20" ht="14" x14ac:dyDescent="0.3">
      <c r="A30" s="522" t="s">
        <v>6</v>
      </c>
      <c r="B30" s="523"/>
      <c r="C30" s="523"/>
      <c r="D30" s="523"/>
      <c r="E30" s="523"/>
      <c r="F30" s="523"/>
      <c r="G30" s="523"/>
      <c r="H30" s="523"/>
      <c r="I30" s="523"/>
      <c r="J30" s="523"/>
      <c r="K30" s="523"/>
      <c r="L30" s="523"/>
      <c r="M30" s="523"/>
      <c r="N30" s="523"/>
      <c r="O30" s="523"/>
      <c r="P30" s="524"/>
      <c r="Q30" s="338"/>
      <c r="R30" s="338"/>
      <c r="S30" s="338"/>
      <c r="T30" s="338"/>
    </row>
    <row r="31" spans="1:20" ht="14" x14ac:dyDescent="0.3">
      <c r="A31" s="525" t="str">
        <f>'Summary of Concentric Advisors'!C79</f>
        <v>Larry Kennedy</v>
      </c>
      <c r="B31" s="526"/>
      <c r="C31" s="526"/>
      <c r="D31" s="527" t="s">
        <v>162</v>
      </c>
      <c r="E31" s="528">
        <v>270</v>
      </c>
      <c r="F31" s="529">
        <v>51.5</v>
      </c>
      <c r="G31" s="530">
        <f>F31*E31</f>
        <v>13905</v>
      </c>
      <c r="H31" s="531">
        <v>20</v>
      </c>
      <c r="I31" s="530">
        <f>H31*E31</f>
        <v>5400</v>
      </c>
      <c r="J31" s="532">
        <v>4</v>
      </c>
      <c r="K31" s="530">
        <f>J31*E31</f>
        <v>1080</v>
      </c>
      <c r="L31" s="535">
        <f>SUM(J31,H31,F31)</f>
        <v>75.5</v>
      </c>
      <c r="M31" s="530">
        <f t="shared" ref="M31" si="15">SUM(G31,I31,K31)</f>
        <v>20385</v>
      </c>
      <c r="N31" s="528"/>
      <c r="O31" s="530">
        <f>N31+M31</f>
        <v>20385</v>
      </c>
      <c r="P31" s="536"/>
      <c r="Q31" s="338"/>
      <c r="R31" s="338"/>
      <c r="S31" s="338"/>
      <c r="T31" s="338"/>
    </row>
    <row r="32" spans="1:20" ht="14" x14ac:dyDescent="0.3">
      <c r="A32" s="525"/>
      <c r="B32" s="526"/>
      <c r="C32" s="526"/>
      <c r="D32" s="527"/>
      <c r="E32" s="528"/>
      <c r="F32" s="529"/>
      <c r="G32" s="530"/>
      <c r="H32" s="531"/>
      <c r="I32" s="530"/>
      <c r="J32" s="532"/>
      <c r="K32" s="530"/>
      <c r="L32" s="535"/>
      <c r="M32" s="530"/>
      <c r="N32" s="528"/>
      <c r="O32" s="530"/>
      <c r="P32" s="536"/>
      <c r="Q32" s="338"/>
      <c r="R32" s="338"/>
      <c r="S32" s="338"/>
      <c r="T32" s="338"/>
    </row>
    <row r="33" spans="1:20" ht="14" x14ac:dyDescent="0.3">
      <c r="A33" s="525" t="str">
        <f>'Summary of Concentric Advisors'!C80</f>
        <v>Donna Bourne</v>
      </c>
      <c r="B33" s="526"/>
      <c r="C33" s="526"/>
      <c r="D33" s="527" t="s">
        <v>163</v>
      </c>
      <c r="E33" s="528">
        <v>270</v>
      </c>
      <c r="F33" s="532">
        <v>103.5</v>
      </c>
      <c r="G33" s="530">
        <f>F33*E33</f>
        <v>27945</v>
      </c>
      <c r="H33" s="531"/>
      <c r="I33" s="530">
        <f>H33*E33</f>
        <v>0</v>
      </c>
      <c r="J33" s="532">
        <v>1</v>
      </c>
      <c r="K33" s="533">
        <f>J33*E33</f>
        <v>270</v>
      </c>
      <c r="L33" s="535">
        <f t="shared" ref="L33" si="16">SUM(J33,H33,F33)</f>
        <v>104.5</v>
      </c>
      <c r="M33" s="533">
        <f t="shared" ref="M33" si="17">SUM(G33,I33,K33)</f>
        <v>28215</v>
      </c>
      <c r="N33" s="528"/>
      <c r="O33" s="533">
        <f t="shared" ref="O33" si="18">N33+M33</f>
        <v>28215</v>
      </c>
      <c r="P33" s="534"/>
      <c r="Q33" s="338"/>
      <c r="R33" s="338"/>
      <c r="S33" s="338"/>
      <c r="T33" s="338"/>
    </row>
    <row r="34" spans="1:20" ht="14" x14ac:dyDescent="0.3">
      <c r="A34" s="525"/>
      <c r="B34" s="526"/>
      <c r="C34" s="526"/>
      <c r="D34" s="527"/>
      <c r="E34" s="528"/>
      <c r="F34" s="532"/>
      <c r="G34" s="530"/>
      <c r="H34" s="531"/>
      <c r="I34" s="530"/>
      <c r="J34" s="532"/>
      <c r="K34" s="533"/>
      <c r="L34" s="535"/>
      <c r="M34" s="533"/>
      <c r="N34" s="528"/>
      <c r="O34" s="533"/>
      <c r="P34" s="534"/>
      <c r="Q34" s="338"/>
      <c r="R34" s="338"/>
      <c r="S34" s="338"/>
      <c r="T34" s="338"/>
    </row>
    <row r="35" spans="1:20" ht="14" x14ac:dyDescent="0.3">
      <c r="A35" s="525" t="str">
        <f>'Summary of Concentric Advisors'!C81</f>
        <v>Ryan Kennedy</v>
      </c>
      <c r="B35" s="526"/>
      <c r="C35" s="526"/>
      <c r="D35" s="527" t="s">
        <v>164</v>
      </c>
      <c r="E35" s="528">
        <v>120</v>
      </c>
      <c r="F35" s="532">
        <v>218.5</v>
      </c>
      <c r="G35" s="530">
        <f>F35*E35</f>
        <v>26220</v>
      </c>
      <c r="H35" s="531"/>
      <c r="I35" s="533">
        <f>H35*E35</f>
        <v>0</v>
      </c>
      <c r="J35" s="532">
        <v>0.5</v>
      </c>
      <c r="K35" s="530">
        <f>J35*E35</f>
        <v>60</v>
      </c>
      <c r="L35" s="535">
        <f t="shared" ref="L35" si="19">SUM(J35,H35,F35)</f>
        <v>219</v>
      </c>
      <c r="M35" s="530">
        <f>SUM(G35,I35,K35)</f>
        <v>26280</v>
      </c>
      <c r="N35" s="528"/>
      <c r="O35" s="530">
        <f t="shared" ref="O35" si="20">N35+M35</f>
        <v>26280</v>
      </c>
      <c r="P35" s="536"/>
      <c r="Q35" s="338"/>
      <c r="R35" s="338"/>
      <c r="S35" s="338"/>
      <c r="T35" s="338"/>
    </row>
    <row r="36" spans="1:20" ht="14" x14ac:dyDescent="0.3">
      <c r="A36" s="525"/>
      <c r="B36" s="526"/>
      <c r="C36" s="526"/>
      <c r="D36" s="527"/>
      <c r="E36" s="528"/>
      <c r="F36" s="532"/>
      <c r="G36" s="530"/>
      <c r="H36" s="531"/>
      <c r="I36" s="533"/>
      <c r="J36" s="532"/>
      <c r="K36" s="530"/>
      <c r="L36" s="535"/>
      <c r="M36" s="530"/>
      <c r="N36" s="528"/>
      <c r="O36" s="530"/>
      <c r="P36" s="536"/>
      <c r="Q36" s="338"/>
      <c r="R36" s="338"/>
      <c r="S36" s="338"/>
      <c r="T36" s="338"/>
    </row>
    <row r="37" spans="1:20" ht="14" x14ac:dyDescent="0.3">
      <c r="A37" s="525" t="str">
        <f>'Summary of Concentric Advisors'!C82</f>
        <v>Nico Serpico</v>
      </c>
      <c r="B37" s="526"/>
      <c r="C37" s="526"/>
      <c r="D37" s="527" t="s">
        <v>157</v>
      </c>
      <c r="E37" s="528">
        <v>120</v>
      </c>
      <c r="F37" s="532">
        <v>52</v>
      </c>
      <c r="G37" s="533">
        <f>F37*E37</f>
        <v>6240</v>
      </c>
      <c r="H37" s="531"/>
      <c r="I37" s="530">
        <f>H37*E37</f>
        <v>0</v>
      </c>
      <c r="J37" s="537"/>
      <c r="K37" s="530">
        <f>J37*E37</f>
        <v>0</v>
      </c>
      <c r="L37" s="535">
        <f t="shared" ref="L37" si="21">SUM(J37,H37,F37)</f>
        <v>52</v>
      </c>
      <c r="M37" s="533">
        <f>SUM(G37,I37,K37)</f>
        <v>6240</v>
      </c>
      <c r="N37" s="528"/>
      <c r="O37" s="533">
        <f t="shared" ref="O37" si="22">N37+M37</f>
        <v>6240</v>
      </c>
      <c r="P37" s="534"/>
      <c r="Q37" s="338"/>
      <c r="R37" s="338"/>
      <c r="S37" s="338"/>
      <c r="T37" s="338"/>
    </row>
    <row r="38" spans="1:20" ht="14" x14ac:dyDescent="0.3">
      <c r="A38" s="525"/>
      <c r="B38" s="526"/>
      <c r="C38" s="526"/>
      <c r="D38" s="527"/>
      <c r="E38" s="528"/>
      <c r="F38" s="532"/>
      <c r="G38" s="533"/>
      <c r="H38" s="531"/>
      <c r="I38" s="530"/>
      <c r="J38" s="537"/>
      <c r="K38" s="530"/>
      <c r="L38" s="535"/>
      <c r="M38" s="533"/>
      <c r="N38" s="528"/>
      <c r="O38" s="533"/>
      <c r="P38" s="534"/>
      <c r="Q38" s="338"/>
      <c r="R38" s="338"/>
      <c r="S38" s="338"/>
      <c r="T38" s="338"/>
    </row>
    <row r="39" spans="1:20" ht="14" x14ac:dyDescent="0.3">
      <c r="A39" s="525" t="str">
        <f>'Summary of Concentric Advisors'!C83</f>
        <v>Marites Arsenault</v>
      </c>
      <c r="B39" s="526"/>
      <c r="C39" s="526"/>
      <c r="D39" s="527" t="s">
        <v>165</v>
      </c>
      <c r="E39" s="528">
        <v>45</v>
      </c>
      <c r="F39" s="532">
        <v>11</v>
      </c>
      <c r="G39" s="530">
        <f>F39*E39</f>
        <v>495</v>
      </c>
      <c r="H39" s="531"/>
      <c r="I39" s="530">
        <f>H39*E39</f>
        <v>0</v>
      </c>
      <c r="J39" s="537"/>
      <c r="K39" s="530">
        <f>J39*E39</f>
        <v>0</v>
      </c>
      <c r="L39" s="535">
        <f t="shared" ref="L39" si="23">SUM(J39,H39,F39)</f>
        <v>11</v>
      </c>
      <c r="M39" s="530">
        <f t="shared" ref="M39" si="24">SUM(G39,I39,K39)</f>
        <v>495</v>
      </c>
      <c r="N39" s="528"/>
      <c r="O39" s="530">
        <f t="shared" ref="O39" si="25">N39+M39</f>
        <v>495</v>
      </c>
      <c r="P39" s="536"/>
      <c r="Q39" s="338"/>
      <c r="R39" s="338"/>
      <c r="S39" s="338"/>
      <c r="T39" s="338"/>
    </row>
    <row r="40" spans="1:20" ht="14.5" thickBot="1" x14ac:dyDescent="0.35">
      <c r="A40" s="538"/>
      <c r="B40" s="539"/>
      <c r="C40" s="539"/>
      <c r="D40" s="540"/>
      <c r="E40" s="541"/>
      <c r="F40" s="542"/>
      <c r="G40" s="558"/>
      <c r="H40" s="544"/>
      <c r="I40" s="558"/>
      <c r="J40" s="572"/>
      <c r="K40" s="558"/>
      <c r="L40" s="573"/>
      <c r="M40" s="558"/>
      <c r="N40" s="541"/>
      <c r="O40" s="558"/>
      <c r="P40" s="559"/>
      <c r="Q40" s="338"/>
      <c r="R40" s="338"/>
      <c r="S40" s="338"/>
      <c r="T40" s="338"/>
    </row>
    <row r="41" spans="1:20" ht="14" hidden="1" x14ac:dyDescent="0.3">
      <c r="A41" s="560" t="s">
        <v>160</v>
      </c>
      <c r="B41" s="561"/>
      <c r="C41" s="561"/>
      <c r="D41" s="564"/>
      <c r="E41" s="549"/>
      <c r="F41" s="566"/>
      <c r="G41" s="551">
        <f>F41*E41</f>
        <v>0</v>
      </c>
      <c r="H41" s="568"/>
      <c r="I41" s="547">
        <f>H41*E41</f>
        <v>0</v>
      </c>
      <c r="J41" s="570"/>
      <c r="K41" s="551">
        <f>J41*E41</f>
        <v>0</v>
      </c>
      <c r="L41" s="545">
        <f t="shared" ref="L41" si="26">SUM(J41,H41,F41)</f>
        <v>0</v>
      </c>
      <c r="M41" s="551">
        <f t="shared" ref="M41" si="27">SUM(G41,I41,K41)</f>
        <v>0</v>
      </c>
      <c r="N41" s="549"/>
      <c r="O41" s="547">
        <f t="shared" ref="O41" si="28">N41+M41</f>
        <v>0</v>
      </c>
      <c r="P41" s="579"/>
      <c r="Q41" s="338"/>
      <c r="R41" s="338"/>
      <c r="S41" s="338"/>
      <c r="T41" s="338"/>
    </row>
    <row r="42" spans="1:20" ht="14" hidden="1" x14ac:dyDescent="0.3">
      <c r="A42" s="525"/>
      <c r="B42" s="526"/>
      <c r="C42" s="526"/>
      <c r="D42" s="527"/>
      <c r="E42" s="528"/>
      <c r="F42" s="532"/>
      <c r="G42" s="533"/>
      <c r="H42" s="531"/>
      <c r="I42" s="530"/>
      <c r="J42" s="537"/>
      <c r="K42" s="533"/>
      <c r="L42" s="535"/>
      <c r="M42" s="533"/>
      <c r="N42" s="528"/>
      <c r="O42" s="530"/>
      <c r="P42" s="536"/>
      <c r="Q42" s="338"/>
      <c r="R42" s="338"/>
      <c r="S42" s="338"/>
      <c r="T42" s="338"/>
    </row>
    <row r="43" spans="1:20" ht="14" hidden="1" x14ac:dyDescent="0.3">
      <c r="A43" s="525" t="s">
        <v>160</v>
      </c>
      <c r="B43" s="526"/>
      <c r="C43" s="526"/>
      <c r="D43" s="527"/>
      <c r="E43" s="528"/>
      <c r="F43" s="532"/>
      <c r="G43" s="530">
        <f>F43*E43</f>
        <v>0</v>
      </c>
      <c r="H43" s="531"/>
      <c r="I43" s="530">
        <f>H43*E43</f>
        <v>0</v>
      </c>
      <c r="J43" s="537"/>
      <c r="K43" s="530">
        <f>J43*E43</f>
        <v>0</v>
      </c>
      <c r="L43" s="535">
        <f t="shared" ref="L43" si="29">SUM(J43,H43,F43)</f>
        <v>0</v>
      </c>
      <c r="M43" s="530">
        <f t="shared" ref="M43" si="30">SUM(G43,I43,K43)</f>
        <v>0</v>
      </c>
      <c r="N43" s="528"/>
      <c r="O43" s="533">
        <f t="shared" ref="O43" si="31">N43+M43</f>
        <v>0</v>
      </c>
      <c r="P43" s="534"/>
      <c r="Q43" s="338"/>
      <c r="R43" s="338"/>
      <c r="S43" s="338"/>
      <c r="T43" s="338"/>
    </row>
    <row r="44" spans="1:20" ht="14.5" hidden="1" thickBot="1" x14ac:dyDescent="0.35">
      <c r="A44" s="538"/>
      <c r="B44" s="539"/>
      <c r="C44" s="539"/>
      <c r="D44" s="540"/>
      <c r="E44" s="541"/>
      <c r="F44" s="542"/>
      <c r="G44" s="558"/>
      <c r="H44" s="544"/>
      <c r="I44" s="558"/>
      <c r="J44" s="572"/>
      <c r="K44" s="558"/>
      <c r="L44" s="573"/>
      <c r="M44" s="558"/>
      <c r="N44" s="541"/>
      <c r="O44" s="543"/>
      <c r="P44" s="582"/>
      <c r="Q44" s="338"/>
      <c r="R44" s="338"/>
      <c r="S44" s="338"/>
      <c r="T44" s="338"/>
    </row>
    <row r="45" spans="1:20" ht="22" customHeight="1" thickBot="1" x14ac:dyDescent="0.35">
      <c r="A45" s="583" t="s">
        <v>161</v>
      </c>
      <c r="B45" s="583"/>
      <c r="C45" s="583"/>
      <c r="D45" s="583"/>
      <c r="E45" s="583"/>
      <c r="F45" s="364">
        <f t="shared" ref="F45:N45" si="32">SUM(F31:F44)</f>
        <v>436.5</v>
      </c>
      <c r="G45" s="353">
        <f t="shared" si="32"/>
        <v>74805</v>
      </c>
      <c r="H45" s="365">
        <f t="shared" si="32"/>
        <v>20</v>
      </c>
      <c r="I45" s="355">
        <f t="shared" si="32"/>
        <v>5400</v>
      </c>
      <c r="J45" s="366">
        <f t="shared" si="32"/>
        <v>5.5</v>
      </c>
      <c r="K45" s="355">
        <f t="shared" si="32"/>
        <v>1410</v>
      </c>
      <c r="L45" s="365">
        <f t="shared" si="32"/>
        <v>462</v>
      </c>
      <c r="M45" s="355">
        <f t="shared" si="32"/>
        <v>81615</v>
      </c>
      <c r="N45" s="355">
        <f t="shared" si="32"/>
        <v>0</v>
      </c>
      <c r="O45" s="556">
        <f>SUM(O31:P44)</f>
        <v>81615</v>
      </c>
      <c r="P45" s="557"/>
      <c r="Q45" s="338"/>
      <c r="R45" s="338"/>
      <c r="S45" s="338"/>
      <c r="T45" s="338"/>
    </row>
    <row r="47" spans="1:20" ht="22" hidden="1" customHeight="1" thickBot="1" x14ac:dyDescent="0.35">
      <c r="B47" s="580" t="s">
        <v>166</v>
      </c>
      <c r="C47" s="580"/>
      <c r="D47" s="580"/>
      <c r="E47" s="580"/>
      <c r="F47" s="342"/>
      <c r="G47" s="343"/>
      <c r="H47" s="343"/>
      <c r="I47" s="343"/>
      <c r="J47" s="343"/>
      <c r="K47" s="343"/>
      <c r="L47" s="343"/>
      <c r="M47" s="343"/>
      <c r="N47" s="343"/>
      <c r="O47" s="343"/>
      <c r="P47" s="344"/>
    </row>
    <row r="48" spans="1:20" hidden="1" x14ac:dyDescent="0.25"/>
    <row r="49" spans="1:16" hidden="1" x14ac:dyDescent="0.25"/>
    <row r="50" spans="1:16" ht="20.149999999999999" hidden="1" customHeight="1" x14ac:dyDescent="0.35">
      <c r="C50" s="345" t="s">
        <v>127</v>
      </c>
      <c r="D50" s="346"/>
      <c r="E50" s="346"/>
      <c r="F50" s="346"/>
      <c r="G50" s="346"/>
      <c r="H50" s="581" t="s">
        <v>129</v>
      </c>
      <c r="I50" s="581"/>
      <c r="J50" s="347"/>
      <c r="K50" s="347"/>
      <c r="L50" s="347"/>
      <c r="M50" s="347"/>
      <c r="N50" s="347"/>
      <c r="O50" s="347"/>
      <c r="P50" s="347"/>
    </row>
    <row r="51" spans="1:16" ht="20.149999999999999" hidden="1" customHeight="1" x14ac:dyDescent="0.35">
      <c r="C51" s="345" t="s">
        <v>167</v>
      </c>
      <c r="D51" s="348"/>
      <c r="E51" s="348"/>
      <c r="F51" s="348"/>
      <c r="G51" s="348"/>
      <c r="H51" s="581" t="s">
        <v>132</v>
      </c>
      <c r="I51" s="581"/>
      <c r="J51" s="348"/>
      <c r="K51" s="348"/>
      <c r="L51" s="348"/>
      <c r="M51" s="348"/>
      <c r="N51" s="348"/>
      <c r="O51" s="348"/>
      <c r="P51" s="348"/>
    </row>
    <row r="52" spans="1:16" ht="14" x14ac:dyDescent="0.3">
      <c r="H52" s="338"/>
      <c r="I52" s="338"/>
      <c r="J52" s="338"/>
      <c r="K52" s="338"/>
      <c r="L52" s="338"/>
      <c r="M52" s="338"/>
      <c r="N52" s="338"/>
      <c r="O52" s="338"/>
      <c r="P52" s="338"/>
    </row>
    <row r="54" spans="1:16" ht="18" x14ac:dyDescent="0.4">
      <c r="A54" s="505"/>
      <c r="B54" s="505"/>
      <c r="C54" s="505"/>
      <c r="D54" s="505"/>
      <c r="E54" s="334"/>
      <c r="F54" s="84"/>
      <c r="G54" s="84"/>
      <c r="H54" s="84"/>
      <c r="I54" s="84"/>
      <c r="J54" s="84"/>
      <c r="L54" s="506" t="s">
        <v>141</v>
      </c>
      <c r="M54" s="506"/>
      <c r="N54" s="506"/>
      <c r="O54" s="506"/>
      <c r="P54" s="506"/>
    </row>
    <row r="55" spans="1:16" ht="18" x14ac:dyDescent="0.4">
      <c r="A55" s="505"/>
      <c r="B55" s="507"/>
      <c r="C55" s="507"/>
      <c r="D55" s="507"/>
      <c r="F55" s="508"/>
      <c r="G55" s="508"/>
      <c r="H55" s="334"/>
      <c r="I55" s="334"/>
      <c r="J55" s="84"/>
      <c r="L55" s="506" t="s">
        <v>554</v>
      </c>
      <c r="M55" s="506"/>
      <c r="N55" s="506"/>
      <c r="O55" s="506"/>
      <c r="P55" s="506"/>
    </row>
    <row r="56" spans="1:16" ht="15.5" x14ac:dyDescent="0.35">
      <c r="A56" s="504" t="s">
        <v>483</v>
      </c>
      <c r="B56" s="504"/>
      <c r="C56" s="504"/>
      <c r="D56" s="504"/>
      <c r="E56" s="504"/>
      <c r="F56" s="504"/>
      <c r="G56" s="504"/>
      <c r="H56" s="504"/>
      <c r="I56" s="504"/>
      <c r="J56" s="504"/>
      <c r="K56" s="504"/>
      <c r="L56" s="504"/>
      <c r="M56" s="504"/>
      <c r="N56" s="504"/>
      <c r="O56" s="504"/>
      <c r="P56" s="504"/>
    </row>
    <row r="57" spans="1:16" ht="14.5" thickBot="1" x14ac:dyDescent="0.35">
      <c r="A57" s="336"/>
      <c r="B57" s="337"/>
      <c r="C57" s="337"/>
      <c r="D57" s="337"/>
      <c r="E57" s="338"/>
      <c r="F57" s="338"/>
      <c r="G57" s="338"/>
      <c r="H57" s="338"/>
      <c r="I57" s="338"/>
      <c r="J57" s="338"/>
      <c r="K57" s="338"/>
      <c r="L57" s="338"/>
      <c r="M57" s="338"/>
      <c r="N57" s="338"/>
      <c r="O57" s="338"/>
      <c r="P57" s="338"/>
    </row>
    <row r="58" spans="1:16" ht="13" x14ac:dyDescent="0.3">
      <c r="A58" s="337"/>
      <c r="B58" s="337"/>
      <c r="C58" s="337"/>
      <c r="D58" s="574" t="s">
        <v>142</v>
      </c>
      <c r="E58" s="575"/>
      <c r="F58" s="575"/>
      <c r="G58" s="575"/>
      <c r="H58" s="575"/>
      <c r="I58" s="575"/>
      <c r="J58" s="575"/>
      <c r="K58" s="575"/>
      <c r="L58" s="575"/>
      <c r="M58" s="575"/>
      <c r="N58" s="575"/>
      <c r="O58" s="575"/>
      <c r="P58" s="576"/>
    </row>
    <row r="59" spans="1:16" ht="13" x14ac:dyDescent="0.3">
      <c r="A59" s="512" t="s">
        <v>552</v>
      </c>
      <c r="B59" s="512"/>
      <c r="C59" s="513"/>
      <c r="D59" s="514" t="s">
        <v>144</v>
      </c>
      <c r="E59" s="516" t="s">
        <v>145</v>
      </c>
      <c r="F59" s="518" t="s">
        <v>146</v>
      </c>
      <c r="G59" s="518"/>
      <c r="H59" s="518" t="s">
        <v>147</v>
      </c>
      <c r="I59" s="518"/>
      <c r="J59" s="518" t="s">
        <v>148</v>
      </c>
      <c r="K59" s="518"/>
      <c r="L59" s="518" t="s">
        <v>149</v>
      </c>
      <c r="M59" s="518"/>
      <c r="N59" s="330" t="s">
        <v>121</v>
      </c>
      <c r="O59" s="518" t="s">
        <v>9</v>
      </c>
      <c r="P59" s="519"/>
    </row>
    <row r="60" spans="1:16" ht="52.5" thickBot="1" x14ac:dyDescent="0.35">
      <c r="A60" s="577"/>
      <c r="B60" s="577"/>
      <c r="C60" s="578"/>
      <c r="D60" s="515"/>
      <c r="E60" s="517"/>
      <c r="F60" s="332" t="s">
        <v>150</v>
      </c>
      <c r="G60" s="331" t="s">
        <v>151</v>
      </c>
      <c r="H60" s="332" t="s">
        <v>150</v>
      </c>
      <c r="I60" s="332" t="s">
        <v>151</v>
      </c>
      <c r="J60" s="332" t="s">
        <v>150</v>
      </c>
      <c r="K60" s="332" t="s">
        <v>151</v>
      </c>
      <c r="L60" s="332" t="s">
        <v>150</v>
      </c>
      <c r="M60" s="332" t="s">
        <v>151</v>
      </c>
      <c r="N60" s="331" t="s">
        <v>152</v>
      </c>
      <c r="O60" s="520" t="s">
        <v>153</v>
      </c>
      <c r="P60" s="521"/>
    </row>
    <row r="61" spans="1:16" ht="13" customHeight="1" x14ac:dyDescent="0.3">
      <c r="A61" s="522" t="s">
        <v>7</v>
      </c>
      <c r="B61" s="523"/>
      <c r="C61" s="523"/>
      <c r="D61" s="523"/>
      <c r="E61" s="523"/>
      <c r="F61" s="523"/>
      <c r="G61" s="523"/>
      <c r="H61" s="523"/>
      <c r="I61" s="523"/>
      <c r="J61" s="523"/>
      <c r="K61" s="523"/>
      <c r="L61" s="523"/>
      <c r="M61" s="523"/>
      <c r="N61" s="523"/>
      <c r="O61" s="523"/>
      <c r="P61" s="524"/>
    </row>
    <row r="62" spans="1:16" ht="13" customHeight="1" x14ac:dyDescent="0.25">
      <c r="A62" s="525" t="str">
        <f>'Summary Concentric Energy'!F14</f>
        <v>James Coyne</v>
      </c>
      <c r="B62" s="526"/>
      <c r="C62" s="526"/>
      <c r="D62" s="527" t="s">
        <v>168</v>
      </c>
      <c r="E62" s="528">
        <v>270</v>
      </c>
      <c r="F62" s="529">
        <v>11.5</v>
      </c>
      <c r="G62" s="530">
        <f>F62*E62</f>
        <v>3105</v>
      </c>
      <c r="H62" s="531">
        <v>4.25</v>
      </c>
      <c r="I62" s="530">
        <f>H62*E62</f>
        <v>1147.5</v>
      </c>
      <c r="J62" s="532">
        <v>2.5</v>
      </c>
      <c r="K62" s="530">
        <f>J62*E62</f>
        <v>675</v>
      </c>
      <c r="L62" s="535">
        <f>SUM(J62,H62,F62)</f>
        <v>18.25</v>
      </c>
      <c r="M62" s="530">
        <f t="shared" ref="M62" si="33">SUM(G62,I62,K62)</f>
        <v>4927.5</v>
      </c>
      <c r="N62" s="528"/>
      <c r="O62" s="530">
        <f>N62+M62</f>
        <v>4927.5</v>
      </c>
      <c r="P62" s="536"/>
    </row>
    <row r="63" spans="1:16" ht="13" customHeight="1" x14ac:dyDescent="0.25">
      <c r="A63" s="525"/>
      <c r="B63" s="526"/>
      <c r="C63" s="526"/>
      <c r="D63" s="527"/>
      <c r="E63" s="528"/>
      <c r="F63" s="529"/>
      <c r="G63" s="530"/>
      <c r="H63" s="531"/>
      <c r="I63" s="530"/>
      <c r="J63" s="532"/>
      <c r="K63" s="530"/>
      <c r="L63" s="535"/>
      <c r="M63" s="530"/>
      <c r="N63" s="528"/>
      <c r="O63" s="530"/>
      <c r="P63" s="536"/>
    </row>
    <row r="64" spans="1:16" ht="13" customHeight="1" x14ac:dyDescent="0.25">
      <c r="A64" s="525" t="str">
        <f>'Summary Concentric Energy'!F15</f>
        <v>John Trogonoski</v>
      </c>
      <c r="B64" s="526"/>
      <c r="C64" s="526"/>
      <c r="D64" s="527" t="s">
        <v>169</v>
      </c>
      <c r="E64" s="528">
        <v>270</v>
      </c>
      <c r="F64" s="532">
        <v>104.25</v>
      </c>
      <c r="G64" s="530">
        <f>F64*E64</f>
        <v>28147.5</v>
      </c>
      <c r="H64" s="531">
        <v>19.5</v>
      </c>
      <c r="I64" s="530">
        <f>H64*E64</f>
        <v>5265</v>
      </c>
      <c r="J64" s="532">
        <v>8.5</v>
      </c>
      <c r="K64" s="533">
        <f>J64*E64</f>
        <v>2295</v>
      </c>
      <c r="L64" s="535">
        <f t="shared" ref="L64" si="34">SUM(J64,H64,F64)</f>
        <v>132.25</v>
      </c>
      <c r="M64" s="533">
        <f t="shared" ref="M64" si="35">SUM(G64,I64,K64)</f>
        <v>35707.5</v>
      </c>
      <c r="N64" s="528"/>
      <c r="O64" s="533">
        <f t="shared" ref="O64" si="36">N64+M64</f>
        <v>35707.5</v>
      </c>
      <c r="P64" s="534"/>
    </row>
    <row r="65" spans="1:16" ht="13" customHeight="1" x14ac:dyDescent="0.25">
      <c r="A65" s="525"/>
      <c r="B65" s="526"/>
      <c r="C65" s="526"/>
      <c r="D65" s="527"/>
      <c r="E65" s="528"/>
      <c r="F65" s="532"/>
      <c r="G65" s="530"/>
      <c r="H65" s="531"/>
      <c r="I65" s="530"/>
      <c r="J65" s="532"/>
      <c r="K65" s="533"/>
      <c r="L65" s="535"/>
      <c r="M65" s="533"/>
      <c r="N65" s="528"/>
      <c r="O65" s="533"/>
      <c r="P65" s="534"/>
    </row>
    <row r="66" spans="1:16" ht="13" customHeight="1" x14ac:dyDescent="0.25">
      <c r="A66" s="525" t="str">
        <f>'Summary Concentric Energy'!F16</f>
        <v>Bryan Hu</v>
      </c>
      <c r="B66" s="526"/>
      <c r="C66" s="526"/>
      <c r="D66" s="527" t="s">
        <v>164</v>
      </c>
      <c r="E66" s="528">
        <v>120</v>
      </c>
      <c r="F66" s="532">
        <v>86</v>
      </c>
      <c r="G66" s="530">
        <f>F66*E66</f>
        <v>10320</v>
      </c>
      <c r="H66" s="531"/>
      <c r="I66" s="533">
        <f>H66*E66</f>
        <v>0</v>
      </c>
      <c r="J66" s="532"/>
      <c r="K66" s="530">
        <f>J66*E66</f>
        <v>0</v>
      </c>
      <c r="L66" s="535">
        <f t="shared" ref="L66" si="37">SUM(J66,H66,F66)</f>
        <v>86</v>
      </c>
      <c r="M66" s="530">
        <f>SUM(G66,I66,K66)</f>
        <v>10320</v>
      </c>
      <c r="N66" s="528"/>
      <c r="O66" s="530">
        <f t="shared" ref="O66" si="38">N66+M66</f>
        <v>10320</v>
      </c>
      <c r="P66" s="536"/>
    </row>
    <row r="67" spans="1:16" ht="13" customHeight="1" x14ac:dyDescent="0.25">
      <c r="A67" s="525"/>
      <c r="B67" s="526"/>
      <c r="C67" s="526"/>
      <c r="D67" s="527"/>
      <c r="E67" s="528"/>
      <c r="F67" s="532"/>
      <c r="G67" s="530"/>
      <c r="H67" s="531"/>
      <c r="I67" s="533"/>
      <c r="J67" s="532"/>
      <c r="K67" s="530"/>
      <c r="L67" s="535"/>
      <c r="M67" s="530"/>
      <c r="N67" s="528"/>
      <c r="O67" s="530"/>
      <c r="P67" s="536"/>
    </row>
    <row r="68" spans="1:16" ht="13" customHeight="1" x14ac:dyDescent="0.25">
      <c r="A68" s="525" t="str">
        <f>'Summary Concentric Energy'!F26</f>
        <v>Jillian Barrile</v>
      </c>
      <c r="B68" s="526"/>
      <c r="C68" s="526"/>
      <c r="D68" s="527" t="s">
        <v>165</v>
      </c>
      <c r="E68" s="528">
        <v>45</v>
      </c>
      <c r="F68" s="532">
        <v>5</v>
      </c>
      <c r="G68" s="533">
        <f>F68*E68</f>
        <v>225</v>
      </c>
      <c r="H68" s="531"/>
      <c r="I68" s="530">
        <f>H68*E68</f>
        <v>0</v>
      </c>
      <c r="J68" s="537"/>
      <c r="K68" s="530">
        <f>J68*E68</f>
        <v>0</v>
      </c>
      <c r="L68" s="535">
        <f t="shared" ref="L68" si="39">SUM(J68,H68,F68)</f>
        <v>5</v>
      </c>
      <c r="M68" s="533">
        <f>SUM(G68,I68,K68)</f>
        <v>225</v>
      </c>
      <c r="N68" s="528"/>
      <c r="O68" s="533">
        <f t="shared" ref="O68" si="40">N68+M68</f>
        <v>225</v>
      </c>
      <c r="P68" s="534"/>
    </row>
    <row r="69" spans="1:16" ht="13" customHeight="1" thickBot="1" x14ac:dyDescent="0.3">
      <c r="A69" s="538"/>
      <c r="B69" s="539"/>
      <c r="C69" s="539"/>
      <c r="D69" s="540"/>
      <c r="E69" s="541"/>
      <c r="F69" s="542"/>
      <c r="G69" s="543"/>
      <c r="H69" s="544"/>
      <c r="I69" s="558"/>
      <c r="J69" s="572"/>
      <c r="K69" s="558"/>
      <c r="L69" s="573"/>
      <c r="M69" s="543"/>
      <c r="N69" s="541"/>
      <c r="O69" s="543"/>
      <c r="P69" s="582"/>
    </row>
    <row r="70" spans="1:16" hidden="1" x14ac:dyDescent="0.25">
      <c r="A70" s="560" t="s">
        <v>160</v>
      </c>
      <c r="B70" s="561"/>
      <c r="C70" s="561"/>
      <c r="D70" s="564"/>
      <c r="E70" s="549"/>
      <c r="F70" s="566"/>
      <c r="G70" s="547">
        <f>F70*E70</f>
        <v>0</v>
      </c>
      <c r="H70" s="568"/>
      <c r="I70" s="547">
        <f>H70*E70</f>
        <v>0</v>
      </c>
      <c r="J70" s="570"/>
      <c r="K70" s="547">
        <f>J70*E70</f>
        <v>0</v>
      </c>
      <c r="L70" s="545">
        <f t="shared" ref="L70" si="41">SUM(J70,H70,F70)</f>
        <v>0</v>
      </c>
      <c r="M70" s="547">
        <f t="shared" ref="M70" si="42">SUM(G70,I70,K70)</f>
        <v>0</v>
      </c>
      <c r="N70" s="549"/>
      <c r="O70" s="547">
        <f t="shared" ref="O70" si="43">N70+M70</f>
        <v>0</v>
      </c>
      <c r="P70" s="579"/>
    </row>
    <row r="71" spans="1:16" hidden="1" x14ac:dyDescent="0.25">
      <c r="A71" s="525"/>
      <c r="B71" s="526"/>
      <c r="C71" s="526"/>
      <c r="D71" s="527"/>
      <c r="E71" s="528"/>
      <c r="F71" s="532"/>
      <c r="G71" s="530"/>
      <c r="H71" s="531"/>
      <c r="I71" s="530"/>
      <c r="J71" s="537"/>
      <c r="K71" s="530"/>
      <c r="L71" s="535"/>
      <c r="M71" s="530"/>
      <c r="N71" s="528"/>
      <c r="O71" s="530"/>
      <c r="P71" s="536"/>
    </row>
    <row r="72" spans="1:16" hidden="1" x14ac:dyDescent="0.25">
      <c r="A72" s="525" t="s">
        <v>160</v>
      </c>
      <c r="B72" s="526"/>
      <c r="C72" s="526"/>
      <c r="D72" s="527"/>
      <c r="E72" s="528"/>
      <c r="F72" s="532"/>
      <c r="G72" s="533">
        <f>F72*E72</f>
        <v>0</v>
      </c>
      <c r="H72" s="531"/>
      <c r="I72" s="530">
        <f>H72*E72</f>
        <v>0</v>
      </c>
      <c r="J72" s="537"/>
      <c r="K72" s="533">
        <f>J72*E72</f>
        <v>0</v>
      </c>
      <c r="L72" s="535">
        <f t="shared" ref="L72" si="44">SUM(J72,H72,F72)</f>
        <v>0</v>
      </c>
      <c r="M72" s="533">
        <f t="shared" ref="M72" si="45">SUM(G72,I72,K72)</f>
        <v>0</v>
      </c>
      <c r="N72" s="528"/>
      <c r="O72" s="530">
        <f t="shared" ref="O72" si="46">N72+M72</f>
        <v>0</v>
      </c>
      <c r="P72" s="536"/>
    </row>
    <row r="73" spans="1:16" hidden="1" x14ac:dyDescent="0.25">
      <c r="A73" s="525"/>
      <c r="B73" s="526"/>
      <c r="C73" s="526"/>
      <c r="D73" s="527"/>
      <c r="E73" s="528"/>
      <c r="F73" s="532"/>
      <c r="G73" s="533"/>
      <c r="H73" s="531"/>
      <c r="I73" s="530"/>
      <c r="J73" s="537"/>
      <c r="K73" s="533"/>
      <c r="L73" s="535"/>
      <c r="M73" s="533"/>
      <c r="N73" s="528"/>
      <c r="O73" s="530"/>
      <c r="P73" s="536"/>
    </row>
    <row r="74" spans="1:16" hidden="1" x14ac:dyDescent="0.25">
      <c r="A74" s="525" t="s">
        <v>160</v>
      </c>
      <c r="B74" s="526"/>
      <c r="C74" s="526"/>
      <c r="D74" s="527"/>
      <c r="E74" s="528"/>
      <c r="F74" s="532"/>
      <c r="G74" s="530">
        <f>F74*E74</f>
        <v>0</v>
      </c>
      <c r="H74" s="531"/>
      <c r="I74" s="530">
        <f>H74*E74</f>
        <v>0</v>
      </c>
      <c r="J74" s="537"/>
      <c r="K74" s="530">
        <f>J74*E74</f>
        <v>0</v>
      </c>
      <c r="L74" s="535">
        <f t="shared" ref="L74" si="47">SUM(J74,H74,F74)</f>
        <v>0</v>
      </c>
      <c r="M74" s="530">
        <f t="shared" ref="M74" si="48">SUM(G74,I74,K74)</f>
        <v>0</v>
      </c>
      <c r="N74" s="528"/>
      <c r="O74" s="533">
        <f t="shared" ref="O74" si="49">N74+M74</f>
        <v>0</v>
      </c>
      <c r="P74" s="534"/>
    </row>
    <row r="75" spans="1:16" ht="13" hidden="1" thickBot="1" x14ac:dyDescent="0.3">
      <c r="A75" s="538"/>
      <c r="B75" s="539"/>
      <c r="C75" s="539"/>
      <c r="D75" s="540"/>
      <c r="E75" s="541"/>
      <c r="F75" s="542"/>
      <c r="G75" s="558"/>
      <c r="H75" s="544"/>
      <c r="I75" s="558"/>
      <c r="J75" s="572"/>
      <c r="K75" s="558"/>
      <c r="L75" s="573"/>
      <c r="M75" s="558"/>
      <c r="N75" s="541"/>
      <c r="O75" s="543"/>
      <c r="P75" s="582"/>
    </row>
    <row r="76" spans="1:16" ht="20.149999999999999" customHeight="1" thickBot="1" x14ac:dyDescent="0.35">
      <c r="A76" s="583" t="s">
        <v>161</v>
      </c>
      <c r="B76" s="583"/>
      <c r="C76" s="583"/>
      <c r="D76" s="583"/>
      <c r="E76" s="583"/>
      <c r="F76" s="352">
        <f t="shared" ref="F76:N76" si="50">SUM(F62:F75)</f>
        <v>206.75</v>
      </c>
      <c r="G76" s="353">
        <f t="shared" si="50"/>
        <v>41797.5</v>
      </c>
      <c r="H76" s="354">
        <f t="shared" si="50"/>
        <v>23.75</v>
      </c>
      <c r="I76" s="355">
        <f t="shared" si="50"/>
        <v>6412.5</v>
      </c>
      <c r="J76" s="356">
        <f t="shared" si="50"/>
        <v>11</v>
      </c>
      <c r="K76" s="355">
        <f t="shared" si="50"/>
        <v>2970</v>
      </c>
      <c r="L76" s="354">
        <f t="shared" si="50"/>
        <v>241.5</v>
      </c>
      <c r="M76" s="355">
        <f t="shared" si="50"/>
        <v>51180</v>
      </c>
      <c r="N76" s="355">
        <f t="shared" si="50"/>
        <v>0</v>
      </c>
      <c r="O76" s="556">
        <f>SUM(O62:P75)</f>
        <v>51180</v>
      </c>
      <c r="P76" s="557"/>
    </row>
    <row r="77" spans="1:16" ht="13" x14ac:dyDescent="0.3">
      <c r="A77" s="351"/>
      <c r="B77" s="351"/>
      <c r="C77" s="351"/>
      <c r="D77" s="351"/>
      <c r="E77" s="351"/>
      <c r="F77" s="357"/>
      <c r="G77" s="358"/>
      <c r="H77" s="359"/>
      <c r="I77" s="360"/>
      <c r="J77" s="361"/>
      <c r="K77" s="360"/>
      <c r="L77" s="359"/>
      <c r="M77" s="360"/>
      <c r="N77" s="360"/>
      <c r="O77" s="362"/>
      <c r="P77" s="363"/>
    </row>
    <row r="78" spans="1:16" ht="13" hidden="1" x14ac:dyDescent="0.3">
      <c r="A78" s="337"/>
      <c r="B78" s="337"/>
      <c r="C78" s="337"/>
      <c r="D78" s="574" t="s">
        <v>142</v>
      </c>
      <c r="E78" s="575"/>
      <c r="F78" s="575"/>
      <c r="G78" s="575"/>
      <c r="H78" s="575"/>
      <c r="I78" s="575"/>
      <c r="J78" s="575"/>
      <c r="K78" s="575"/>
      <c r="L78" s="575"/>
      <c r="M78" s="575"/>
      <c r="N78" s="575"/>
      <c r="O78" s="575"/>
      <c r="P78" s="576"/>
    </row>
    <row r="79" spans="1:16" ht="13" hidden="1" x14ac:dyDescent="0.3">
      <c r="A79" s="512" t="s">
        <v>143</v>
      </c>
      <c r="B79" s="512"/>
      <c r="C79" s="513"/>
      <c r="D79" s="514" t="s">
        <v>144</v>
      </c>
      <c r="E79" s="516" t="s">
        <v>145</v>
      </c>
      <c r="F79" s="518" t="s">
        <v>146</v>
      </c>
      <c r="G79" s="518"/>
      <c r="H79" s="518" t="s">
        <v>147</v>
      </c>
      <c r="I79" s="518"/>
      <c r="J79" s="518" t="s">
        <v>148</v>
      </c>
      <c r="K79" s="518"/>
      <c r="L79" s="518" t="s">
        <v>149</v>
      </c>
      <c r="M79" s="518"/>
      <c r="N79" s="330" t="s">
        <v>121</v>
      </c>
      <c r="O79" s="518" t="s">
        <v>9</v>
      </c>
      <c r="P79" s="519"/>
    </row>
    <row r="80" spans="1:16" ht="52.5" hidden="1" thickBot="1" x14ac:dyDescent="0.35">
      <c r="A80" s="577"/>
      <c r="B80" s="577"/>
      <c r="C80" s="578"/>
      <c r="D80" s="515"/>
      <c r="E80" s="517"/>
      <c r="F80" s="332" t="s">
        <v>150</v>
      </c>
      <c r="G80" s="331" t="s">
        <v>151</v>
      </c>
      <c r="H80" s="332" t="s">
        <v>150</v>
      </c>
      <c r="I80" s="332" t="s">
        <v>151</v>
      </c>
      <c r="J80" s="332" t="s">
        <v>150</v>
      </c>
      <c r="K80" s="332" t="s">
        <v>151</v>
      </c>
      <c r="L80" s="332" t="s">
        <v>150</v>
      </c>
      <c r="M80" s="332" t="s">
        <v>151</v>
      </c>
      <c r="N80" s="331" t="s">
        <v>152</v>
      </c>
      <c r="O80" s="520" t="s">
        <v>153</v>
      </c>
      <c r="P80" s="521"/>
    </row>
    <row r="81" spans="1:16" ht="13" hidden="1" x14ac:dyDescent="0.3">
      <c r="A81" s="522" t="s">
        <v>170</v>
      </c>
      <c r="B81" s="523"/>
      <c r="C81" s="523"/>
      <c r="D81" s="523"/>
      <c r="E81" s="523"/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4"/>
    </row>
    <row r="82" spans="1:16" hidden="1" x14ac:dyDescent="0.25">
      <c r="A82" s="525" t="s">
        <v>160</v>
      </c>
      <c r="B82" s="526"/>
      <c r="C82" s="526"/>
      <c r="D82" s="527"/>
      <c r="E82" s="528"/>
      <c r="F82" s="529"/>
      <c r="G82" s="530">
        <f>F82*E82</f>
        <v>0</v>
      </c>
      <c r="H82" s="531"/>
      <c r="I82" s="530">
        <f>H82*E82</f>
        <v>0</v>
      </c>
      <c r="J82" s="532"/>
      <c r="K82" s="530">
        <f>J82*E82</f>
        <v>0</v>
      </c>
      <c r="L82" s="535">
        <f>SUM(J82,H82,F82)</f>
        <v>0</v>
      </c>
      <c r="M82" s="530">
        <f t="shared" ref="M82" si="51">SUM(G82,I82,K82)</f>
        <v>0</v>
      </c>
      <c r="N82" s="528"/>
      <c r="O82" s="530">
        <f>N82+M82</f>
        <v>0</v>
      </c>
      <c r="P82" s="536"/>
    </row>
    <row r="83" spans="1:16" hidden="1" x14ac:dyDescent="0.25">
      <c r="A83" s="525"/>
      <c r="B83" s="526"/>
      <c r="C83" s="526"/>
      <c r="D83" s="527"/>
      <c r="E83" s="528"/>
      <c r="F83" s="529"/>
      <c r="G83" s="530"/>
      <c r="H83" s="531"/>
      <c r="I83" s="530"/>
      <c r="J83" s="532"/>
      <c r="K83" s="530"/>
      <c r="L83" s="535"/>
      <c r="M83" s="530"/>
      <c r="N83" s="528"/>
      <c r="O83" s="530"/>
      <c r="P83" s="536"/>
    </row>
    <row r="84" spans="1:16" hidden="1" x14ac:dyDescent="0.25">
      <c r="A84" s="525" t="s">
        <v>160</v>
      </c>
      <c r="B84" s="526"/>
      <c r="C84" s="526"/>
      <c r="D84" s="527"/>
      <c r="E84" s="528"/>
      <c r="F84" s="532"/>
      <c r="G84" s="530">
        <f>F84*E84</f>
        <v>0</v>
      </c>
      <c r="H84" s="531"/>
      <c r="I84" s="530">
        <f>H84*E84</f>
        <v>0</v>
      </c>
      <c r="J84" s="532"/>
      <c r="K84" s="533">
        <f>J84*E84</f>
        <v>0</v>
      </c>
      <c r="L84" s="535">
        <f t="shared" ref="L84" si="52">SUM(J84,H84,F84)</f>
        <v>0</v>
      </c>
      <c r="M84" s="533">
        <f t="shared" ref="M84" si="53">SUM(G84,I84,K84)</f>
        <v>0</v>
      </c>
      <c r="N84" s="528"/>
      <c r="O84" s="533">
        <f t="shared" ref="O84" si="54">N84+M84</f>
        <v>0</v>
      </c>
      <c r="P84" s="534"/>
    </row>
    <row r="85" spans="1:16" hidden="1" x14ac:dyDescent="0.25">
      <c r="A85" s="525"/>
      <c r="B85" s="526"/>
      <c r="C85" s="526"/>
      <c r="D85" s="527"/>
      <c r="E85" s="528"/>
      <c r="F85" s="532"/>
      <c r="G85" s="530"/>
      <c r="H85" s="531"/>
      <c r="I85" s="530"/>
      <c r="J85" s="532"/>
      <c r="K85" s="533"/>
      <c r="L85" s="535"/>
      <c r="M85" s="533"/>
      <c r="N85" s="528"/>
      <c r="O85" s="533"/>
      <c r="P85" s="534"/>
    </row>
    <row r="86" spans="1:16" hidden="1" x14ac:dyDescent="0.25">
      <c r="A86" s="525" t="s">
        <v>160</v>
      </c>
      <c r="B86" s="526"/>
      <c r="C86" s="526"/>
      <c r="D86" s="527"/>
      <c r="E86" s="528"/>
      <c r="F86" s="532"/>
      <c r="G86" s="530">
        <f>F86*E86</f>
        <v>0</v>
      </c>
      <c r="H86" s="531"/>
      <c r="I86" s="533">
        <f>H86*E86</f>
        <v>0</v>
      </c>
      <c r="J86" s="532"/>
      <c r="K86" s="530">
        <f>J86*E86</f>
        <v>0</v>
      </c>
      <c r="L86" s="535">
        <f t="shared" ref="L86" si="55">SUM(J86,H86,F86)</f>
        <v>0</v>
      </c>
      <c r="M86" s="530">
        <f>SUM(G86,I86,K86)</f>
        <v>0</v>
      </c>
      <c r="N86" s="528"/>
      <c r="O86" s="530">
        <f t="shared" ref="O86" si="56">N86+M86</f>
        <v>0</v>
      </c>
      <c r="P86" s="536"/>
    </row>
    <row r="87" spans="1:16" hidden="1" x14ac:dyDescent="0.25">
      <c r="A87" s="525"/>
      <c r="B87" s="526"/>
      <c r="C87" s="526"/>
      <c r="D87" s="527"/>
      <c r="E87" s="528"/>
      <c r="F87" s="532"/>
      <c r="G87" s="530"/>
      <c r="H87" s="531"/>
      <c r="I87" s="533"/>
      <c r="J87" s="532"/>
      <c r="K87" s="530"/>
      <c r="L87" s="535"/>
      <c r="M87" s="530"/>
      <c r="N87" s="528"/>
      <c r="O87" s="530"/>
      <c r="P87" s="536"/>
    </row>
    <row r="88" spans="1:16" hidden="1" x14ac:dyDescent="0.25">
      <c r="A88" s="525" t="s">
        <v>160</v>
      </c>
      <c r="B88" s="526"/>
      <c r="C88" s="526"/>
      <c r="D88" s="527"/>
      <c r="E88" s="528"/>
      <c r="F88" s="532"/>
      <c r="G88" s="533">
        <f>F88*E88</f>
        <v>0</v>
      </c>
      <c r="H88" s="531"/>
      <c r="I88" s="530">
        <f>H88*E88</f>
        <v>0</v>
      </c>
      <c r="J88" s="537"/>
      <c r="K88" s="530">
        <f>J88*E88</f>
        <v>0</v>
      </c>
      <c r="L88" s="535">
        <f t="shared" ref="L88" si="57">SUM(J88,H88,F88)</f>
        <v>0</v>
      </c>
      <c r="M88" s="533">
        <f>SUM(G88,I88,K88)</f>
        <v>0</v>
      </c>
      <c r="N88" s="528"/>
      <c r="O88" s="533">
        <f t="shared" ref="O88" si="58">N88+M88</f>
        <v>0</v>
      </c>
      <c r="P88" s="534"/>
    </row>
    <row r="89" spans="1:16" hidden="1" x14ac:dyDescent="0.25">
      <c r="A89" s="525"/>
      <c r="B89" s="526"/>
      <c r="C89" s="526"/>
      <c r="D89" s="527"/>
      <c r="E89" s="528"/>
      <c r="F89" s="532"/>
      <c r="G89" s="533"/>
      <c r="H89" s="531"/>
      <c r="I89" s="530"/>
      <c r="J89" s="537"/>
      <c r="K89" s="530"/>
      <c r="L89" s="535"/>
      <c r="M89" s="533"/>
      <c r="N89" s="528"/>
      <c r="O89" s="533"/>
      <c r="P89" s="534"/>
    </row>
    <row r="90" spans="1:16" hidden="1" x14ac:dyDescent="0.25">
      <c r="A90" s="525" t="s">
        <v>160</v>
      </c>
      <c r="B90" s="526"/>
      <c r="C90" s="526"/>
      <c r="D90" s="527"/>
      <c r="E90" s="528"/>
      <c r="F90" s="532"/>
      <c r="G90" s="530">
        <f>F90*E90</f>
        <v>0</v>
      </c>
      <c r="H90" s="531"/>
      <c r="I90" s="530">
        <f>H90*E90</f>
        <v>0</v>
      </c>
      <c r="J90" s="537"/>
      <c r="K90" s="530">
        <f>J90*E90</f>
        <v>0</v>
      </c>
      <c r="L90" s="535">
        <f t="shared" ref="L90" si="59">SUM(J90,H90,F90)</f>
        <v>0</v>
      </c>
      <c r="M90" s="530">
        <f t="shared" ref="M90" si="60">SUM(G90,I90,K90)</f>
        <v>0</v>
      </c>
      <c r="N90" s="528"/>
      <c r="O90" s="530">
        <f t="shared" ref="O90" si="61">N90+M90</f>
        <v>0</v>
      </c>
      <c r="P90" s="536"/>
    </row>
    <row r="91" spans="1:16" hidden="1" x14ac:dyDescent="0.25">
      <c r="A91" s="525"/>
      <c r="B91" s="526"/>
      <c r="C91" s="526"/>
      <c r="D91" s="527"/>
      <c r="E91" s="528"/>
      <c r="F91" s="532"/>
      <c r="G91" s="530"/>
      <c r="H91" s="531"/>
      <c r="I91" s="530"/>
      <c r="J91" s="537"/>
      <c r="K91" s="530"/>
      <c r="L91" s="535"/>
      <c r="M91" s="530"/>
      <c r="N91" s="528"/>
      <c r="O91" s="530"/>
      <c r="P91" s="536"/>
    </row>
    <row r="92" spans="1:16" hidden="1" x14ac:dyDescent="0.25">
      <c r="A92" s="525" t="s">
        <v>160</v>
      </c>
      <c r="B92" s="526"/>
      <c r="C92" s="526"/>
      <c r="D92" s="527"/>
      <c r="E92" s="528"/>
      <c r="F92" s="532"/>
      <c r="G92" s="533">
        <f>F92*E92</f>
        <v>0</v>
      </c>
      <c r="H92" s="531"/>
      <c r="I92" s="530">
        <f>H92*E92</f>
        <v>0</v>
      </c>
      <c r="J92" s="537"/>
      <c r="K92" s="533">
        <f>J92*E92</f>
        <v>0</v>
      </c>
      <c r="L92" s="535">
        <f t="shared" ref="L92" si="62">SUM(J92,H92,F92)</f>
        <v>0</v>
      </c>
      <c r="M92" s="533">
        <f t="shared" ref="M92" si="63">SUM(G92,I92,K92)</f>
        <v>0</v>
      </c>
      <c r="N92" s="528"/>
      <c r="O92" s="530">
        <f t="shared" ref="O92" si="64">N92+M92</f>
        <v>0</v>
      </c>
      <c r="P92" s="536"/>
    </row>
    <row r="93" spans="1:16" hidden="1" x14ac:dyDescent="0.25">
      <c r="A93" s="525"/>
      <c r="B93" s="526"/>
      <c r="C93" s="526"/>
      <c r="D93" s="527"/>
      <c r="E93" s="528"/>
      <c r="F93" s="532"/>
      <c r="G93" s="533"/>
      <c r="H93" s="531"/>
      <c r="I93" s="530"/>
      <c r="J93" s="537"/>
      <c r="K93" s="533"/>
      <c r="L93" s="535"/>
      <c r="M93" s="533"/>
      <c r="N93" s="528"/>
      <c r="O93" s="530"/>
      <c r="P93" s="536"/>
    </row>
    <row r="94" spans="1:16" hidden="1" x14ac:dyDescent="0.25">
      <c r="A94" s="525" t="s">
        <v>160</v>
      </c>
      <c r="B94" s="526"/>
      <c r="C94" s="526"/>
      <c r="D94" s="527"/>
      <c r="E94" s="528"/>
      <c r="F94" s="532"/>
      <c r="G94" s="530">
        <f>F94*E94</f>
        <v>0</v>
      </c>
      <c r="H94" s="531"/>
      <c r="I94" s="530">
        <f>H94*E94</f>
        <v>0</v>
      </c>
      <c r="J94" s="537"/>
      <c r="K94" s="530">
        <f>J94*E94</f>
        <v>0</v>
      </c>
      <c r="L94" s="535">
        <f t="shared" ref="L94" si="65">SUM(J94,H94,F94)</f>
        <v>0</v>
      </c>
      <c r="M94" s="530">
        <f t="shared" ref="M94" si="66">SUM(G94,I94,K94)</f>
        <v>0</v>
      </c>
      <c r="N94" s="528"/>
      <c r="O94" s="533">
        <f t="shared" ref="O94" si="67">N94+M94</f>
        <v>0</v>
      </c>
      <c r="P94" s="534"/>
    </row>
    <row r="95" spans="1:16" ht="13" hidden="1" thickBot="1" x14ac:dyDescent="0.3">
      <c r="A95" s="538"/>
      <c r="B95" s="539"/>
      <c r="C95" s="539"/>
      <c r="D95" s="540"/>
      <c r="E95" s="541"/>
      <c r="F95" s="542"/>
      <c r="G95" s="558"/>
      <c r="H95" s="544"/>
      <c r="I95" s="558"/>
      <c r="J95" s="572"/>
      <c r="K95" s="558"/>
      <c r="L95" s="573"/>
      <c r="M95" s="558"/>
      <c r="N95" s="541"/>
      <c r="O95" s="543"/>
      <c r="P95" s="582"/>
    </row>
    <row r="96" spans="1:16" ht="20.149999999999999" hidden="1" customHeight="1" thickBot="1" x14ac:dyDescent="0.35">
      <c r="A96" s="583" t="s">
        <v>161</v>
      </c>
      <c r="B96" s="583"/>
      <c r="C96" s="583"/>
      <c r="D96" s="583"/>
      <c r="E96" s="583"/>
      <c r="F96" s="364">
        <f t="shared" ref="F96:N96" si="68">SUM(F82:F95)</f>
        <v>0</v>
      </c>
      <c r="G96" s="353">
        <f t="shared" si="68"/>
        <v>0</v>
      </c>
      <c r="H96" s="365">
        <f t="shared" si="68"/>
        <v>0</v>
      </c>
      <c r="I96" s="355">
        <f t="shared" si="68"/>
        <v>0</v>
      </c>
      <c r="J96" s="366">
        <f t="shared" si="68"/>
        <v>0</v>
      </c>
      <c r="K96" s="355">
        <f t="shared" si="68"/>
        <v>0</v>
      </c>
      <c r="L96" s="365">
        <f t="shared" si="68"/>
        <v>0</v>
      </c>
      <c r="M96" s="355">
        <f t="shared" si="68"/>
        <v>0</v>
      </c>
      <c r="N96" s="355">
        <f t="shared" si="68"/>
        <v>0</v>
      </c>
      <c r="O96" s="556">
        <f>SUM(O82:P95)</f>
        <v>0</v>
      </c>
      <c r="P96" s="557"/>
    </row>
    <row r="97" spans="1:16" ht="20.149999999999999" customHeight="1" thickBot="1" x14ac:dyDescent="0.3"/>
    <row r="98" spans="1:16" ht="20.149999999999999" customHeight="1" thickBot="1" x14ac:dyDescent="0.35">
      <c r="B98" s="583" t="s">
        <v>166</v>
      </c>
      <c r="C98" s="583"/>
      <c r="D98" s="583"/>
      <c r="E98" s="583"/>
      <c r="F98" s="342"/>
      <c r="G98" s="349">
        <f>G23+G45+G76</f>
        <v>210500.5</v>
      </c>
      <c r="H98" s="343"/>
      <c r="I98" s="350">
        <f>I23+I45+I76</f>
        <v>41108.5</v>
      </c>
      <c r="J98" s="343"/>
      <c r="K98" s="350">
        <f>K23+K45+K76</f>
        <v>34020</v>
      </c>
      <c r="L98" s="343"/>
      <c r="M98" s="350">
        <f>M23+M45+M76</f>
        <v>285629</v>
      </c>
      <c r="N98" s="343"/>
      <c r="O98" s="584">
        <f>O23+O45+O76</f>
        <v>285629</v>
      </c>
      <c r="P98" s="585"/>
    </row>
    <row r="101" spans="1:16" ht="20.149999999999999" customHeight="1" x14ac:dyDescent="0.3">
      <c r="C101" s="351" t="s">
        <v>127</v>
      </c>
      <c r="D101" s="367" t="s">
        <v>171</v>
      </c>
      <c r="E101" s="367"/>
      <c r="F101" s="367"/>
      <c r="G101" s="367"/>
      <c r="H101" s="583" t="s">
        <v>129</v>
      </c>
      <c r="I101" s="583"/>
      <c r="J101" s="367" t="s">
        <v>171</v>
      </c>
      <c r="K101" s="368"/>
      <c r="L101" s="368"/>
      <c r="M101" s="368"/>
      <c r="N101" s="368"/>
      <c r="O101" s="368"/>
      <c r="P101" s="368"/>
    </row>
    <row r="102" spans="1:16" ht="20.149999999999999" customHeight="1" x14ac:dyDescent="0.3">
      <c r="C102" s="351" t="s">
        <v>167</v>
      </c>
      <c r="D102" s="369" t="s">
        <v>482</v>
      </c>
      <c r="E102" s="369"/>
      <c r="F102" s="369"/>
      <c r="G102" s="369"/>
      <c r="H102" s="583" t="s">
        <v>132</v>
      </c>
      <c r="I102" s="583"/>
      <c r="J102" s="369" t="s">
        <v>133</v>
      </c>
      <c r="K102" s="369"/>
      <c r="L102" s="369"/>
      <c r="M102" s="369"/>
      <c r="N102" s="369"/>
      <c r="O102" s="369"/>
      <c r="P102" s="369"/>
    </row>
    <row r="103" spans="1:16" x14ac:dyDescent="0.25">
      <c r="A103" s="337"/>
      <c r="B103" s="337"/>
      <c r="C103" s="337"/>
      <c r="D103" s="337"/>
      <c r="E103" s="337"/>
      <c r="F103" s="337"/>
      <c r="G103" s="337"/>
      <c r="H103" s="337"/>
      <c r="I103" s="337"/>
      <c r="J103" s="337"/>
      <c r="K103" s="337"/>
      <c r="L103" s="337"/>
      <c r="M103" s="337"/>
      <c r="N103" s="337"/>
      <c r="O103" s="337"/>
      <c r="P103" s="337"/>
    </row>
  </sheetData>
  <mergeCells count="436">
    <mergeCell ref="F90:F91"/>
    <mergeCell ref="G90:G91"/>
    <mergeCell ref="H90:H91"/>
    <mergeCell ref="I90:I91"/>
    <mergeCell ref="B98:E98"/>
    <mergeCell ref="H101:I101"/>
    <mergeCell ref="H102:I102"/>
    <mergeCell ref="O98:P98"/>
    <mergeCell ref="L94:L95"/>
    <mergeCell ref="M94:M95"/>
    <mergeCell ref="N94:N95"/>
    <mergeCell ref="O94:P95"/>
    <mergeCell ref="A96:E96"/>
    <mergeCell ref="O96:P96"/>
    <mergeCell ref="A94:C95"/>
    <mergeCell ref="D94:D95"/>
    <mergeCell ref="E94:E95"/>
    <mergeCell ref="F94:F95"/>
    <mergeCell ref="G94:G95"/>
    <mergeCell ref="H94:H95"/>
    <mergeCell ref="I94:I95"/>
    <mergeCell ref="J94:J95"/>
    <mergeCell ref="K94:K95"/>
    <mergeCell ref="A92:C93"/>
    <mergeCell ref="D92:D93"/>
    <mergeCell ref="E92:E93"/>
    <mergeCell ref="F92:F93"/>
    <mergeCell ref="G92:G93"/>
    <mergeCell ref="H92:H93"/>
    <mergeCell ref="O92:P93"/>
    <mergeCell ref="I92:I93"/>
    <mergeCell ref="J92:J93"/>
    <mergeCell ref="K92:K93"/>
    <mergeCell ref="L92:L93"/>
    <mergeCell ref="M92:M93"/>
    <mergeCell ref="N92:N93"/>
    <mergeCell ref="J90:J91"/>
    <mergeCell ref="K90:K91"/>
    <mergeCell ref="N86:N87"/>
    <mergeCell ref="O86:P87"/>
    <mergeCell ref="A88:C89"/>
    <mergeCell ref="D88:D89"/>
    <mergeCell ref="E88:E89"/>
    <mergeCell ref="F88:F89"/>
    <mergeCell ref="G88:G89"/>
    <mergeCell ref="H88:H89"/>
    <mergeCell ref="O88:P89"/>
    <mergeCell ref="I88:I89"/>
    <mergeCell ref="J88:J89"/>
    <mergeCell ref="K88:K89"/>
    <mergeCell ref="L88:L89"/>
    <mergeCell ref="M88:M89"/>
    <mergeCell ref="N88:N89"/>
    <mergeCell ref="L90:L91"/>
    <mergeCell ref="M90:M91"/>
    <mergeCell ref="N90:N91"/>
    <mergeCell ref="O90:P91"/>
    <mergeCell ref="A90:C91"/>
    <mergeCell ref="D90:D91"/>
    <mergeCell ref="E90:E91"/>
    <mergeCell ref="A84:C85"/>
    <mergeCell ref="D84:D85"/>
    <mergeCell ref="E84:E85"/>
    <mergeCell ref="F84:F85"/>
    <mergeCell ref="G84:G85"/>
    <mergeCell ref="H84:H85"/>
    <mergeCell ref="O84:P85"/>
    <mergeCell ref="A86:C87"/>
    <mergeCell ref="D86:D87"/>
    <mergeCell ref="E86:E87"/>
    <mergeCell ref="F86:F87"/>
    <mergeCell ref="G86:G87"/>
    <mergeCell ref="H86:H87"/>
    <mergeCell ref="I86:I87"/>
    <mergeCell ref="J86:J87"/>
    <mergeCell ref="K86:K87"/>
    <mergeCell ref="I84:I85"/>
    <mergeCell ref="J84:J85"/>
    <mergeCell ref="K84:K85"/>
    <mergeCell ref="L84:L85"/>
    <mergeCell ref="M84:M85"/>
    <mergeCell ref="N84:N85"/>
    <mergeCell ref="L86:L87"/>
    <mergeCell ref="M86:M87"/>
    <mergeCell ref="A81:P81"/>
    <mergeCell ref="A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P83"/>
    <mergeCell ref="D78:P78"/>
    <mergeCell ref="A79:C80"/>
    <mergeCell ref="D79:D80"/>
    <mergeCell ref="E79:E80"/>
    <mergeCell ref="F79:G79"/>
    <mergeCell ref="H79:I79"/>
    <mergeCell ref="J79:K79"/>
    <mergeCell ref="L79:M79"/>
    <mergeCell ref="O79:P79"/>
    <mergeCell ref="O80:P80"/>
    <mergeCell ref="K74:K75"/>
    <mergeCell ref="L74:L75"/>
    <mergeCell ref="M74:M75"/>
    <mergeCell ref="N74:N75"/>
    <mergeCell ref="O74:P75"/>
    <mergeCell ref="A76:E76"/>
    <mergeCell ref="O76:P76"/>
    <mergeCell ref="N72:N73"/>
    <mergeCell ref="O72:P73"/>
    <mergeCell ref="A74:C75"/>
    <mergeCell ref="D74:D75"/>
    <mergeCell ref="E74:E75"/>
    <mergeCell ref="F74:F75"/>
    <mergeCell ref="G74:G75"/>
    <mergeCell ref="H74:H75"/>
    <mergeCell ref="I74:I75"/>
    <mergeCell ref="J74:J75"/>
    <mergeCell ref="H72:H73"/>
    <mergeCell ref="I72:I73"/>
    <mergeCell ref="J72:J73"/>
    <mergeCell ref="K72:K73"/>
    <mergeCell ref="L72:L73"/>
    <mergeCell ref="M72:M73"/>
    <mergeCell ref="K70:K71"/>
    <mergeCell ref="L70:L71"/>
    <mergeCell ref="M70:M71"/>
    <mergeCell ref="N70:N71"/>
    <mergeCell ref="O70:P71"/>
    <mergeCell ref="A72:C73"/>
    <mergeCell ref="D72:D73"/>
    <mergeCell ref="E72:E73"/>
    <mergeCell ref="F72:F73"/>
    <mergeCell ref="G72:G73"/>
    <mergeCell ref="A70:C71"/>
    <mergeCell ref="D70:D71"/>
    <mergeCell ref="E70:E71"/>
    <mergeCell ref="F70:F71"/>
    <mergeCell ref="G70:G71"/>
    <mergeCell ref="H70:H71"/>
    <mergeCell ref="I70:I71"/>
    <mergeCell ref="J70:J71"/>
    <mergeCell ref="H68:H69"/>
    <mergeCell ref="I68:I69"/>
    <mergeCell ref="J68:J69"/>
    <mergeCell ref="N66:N67"/>
    <mergeCell ref="O66:P67"/>
    <mergeCell ref="A68:C69"/>
    <mergeCell ref="D68:D69"/>
    <mergeCell ref="E68:E69"/>
    <mergeCell ref="F68:F69"/>
    <mergeCell ref="G68:G69"/>
    <mergeCell ref="N68:N69"/>
    <mergeCell ref="O68:P69"/>
    <mergeCell ref="K68:K69"/>
    <mergeCell ref="L68:L69"/>
    <mergeCell ref="M68:M69"/>
    <mergeCell ref="A66:C67"/>
    <mergeCell ref="D66:D67"/>
    <mergeCell ref="E66:E67"/>
    <mergeCell ref="F66:F67"/>
    <mergeCell ref="G66:G67"/>
    <mergeCell ref="H66:H67"/>
    <mergeCell ref="I66:I67"/>
    <mergeCell ref="J66:J67"/>
    <mergeCell ref="H64:H65"/>
    <mergeCell ref="I64:I65"/>
    <mergeCell ref="J64:J65"/>
    <mergeCell ref="F59:G59"/>
    <mergeCell ref="H59:I59"/>
    <mergeCell ref="J59:K59"/>
    <mergeCell ref="L59:M59"/>
    <mergeCell ref="K66:K67"/>
    <mergeCell ref="L66:L67"/>
    <mergeCell ref="M66:M67"/>
    <mergeCell ref="O59:P59"/>
    <mergeCell ref="A64:C65"/>
    <mergeCell ref="D64:D65"/>
    <mergeCell ref="E64:E65"/>
    <mergeCell ref="F64:F65"/>
    <mergeCell ref="G64:G65"/>
    <mergeCell ref="N64:N65"/>
    <mergeCell ref="O64:P65"/>
    <mergeCell ref="K64:K65"/>
    <mergeCell ref="L64:L65"/>
    <mergeCell ref="M64:M65"/>
    <mergeCell ref="A61:P61"/>
    <mergeCell ref="A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P63"/>
    <mergeCell ref="O60:P60"/>
    <mergeCell ref="A55:D55"/>
    <mergeCell ref="F55:G55"/>
    <mergeCell ref="L55:P55"/>
    <mergeCell ref="L43:L44"/>
    <mergeCell ref="M43:M44"/>
    <mergeCell ref="N43:N44"/>
    <mergeCell ref="O43:P44"/>
    <mergeCell ref="A45:E45"/>
    <mergeCell ref="O45:P45"/>
    <mergeCell ref="A43:C44"/>
    <mergeCell ref="D43:D44"/>
    <mergeCell ref="E43:E44"/>
    <mergeCell ref="F43:F44"/>
    <mergeCell ref="G43:G44"/>
    <mergeCell ref="H43:H44"/>
    <mergeCell ref="I43:I44"/>
    <mergeCell ref="J43:J44"/>
    <mergeCell ref="K43:K44"/>
    <mergeCell ref="A56:P56"/>
    <mergeCell ref="D58:P58"/>
    <mergeCell ref="A59:C60"/>
    <mergeCell ref="D59:D60"/>
    <mergeCell ref="E59:E60"/>
    <mergeCell ref="F39:F40"/>
    <mergeCell ref="G39:G40"/>
    <mergeCell ref="H39:H40"/>
    <mergeCell ref="I39:I40"/>
    <mergeCell ref="B47:E47"/>
    <mergeCell ref="H50:I50"/>
    <mergeCell ref="H51:I51"/>
    <mergeCell ref="A54:D54"/>
    <mergeCell ref="L54:P54"/>
    <mergeCell ref="A41:C42"/>
    <mergeCell ref="D41:D42"/>
    <mergeCell ref="E41:E42"/>
    <mergeCell ref="F41:F42"/>
    <mergeCell ref="G41:G42"/>
    <mergeCell ref="H41:H42"/>
    <mergeCell ref="O41:P42"/>
    <mergeCell ref="I41:I42"/>
    <mergeCell ref="J41:J42"/>
    <mergeCell ref="K41:K42"/>
    <mergeCell ref="L41:L42"/>
    <mergeCell ref="M41:M42"/>
    <mergeCell ref="N41:N42"/>
    <mergeCell ref="O37:P38"/>
    <mergeCell ref="I37:I38"/>
    <mergeCell ref="J37:J38"/>
    <mergeCell ref="K37:K38"/>
    <mergeCell ref="L37:L38"/>
    <mergeCell ref="M37:M38"/>
    <mergeCell ref="N37:N38"/>
    <mergeCell ref="L39:L40"/>
    <mergeCell ref="M39:M40"/>
    <mergeCell ref="N39:N40"/>
    <mergeCell ref="O39:P40"/>
    <mergeCell ref="L35:L36"/>
    <mergeCell ref="M35:M36"/>
    <mergeCell ref="J39:J40"/>
    <mergeCell ref="K39:K40"/>
    <mergeCell ref="A37:C38"/>
    <mergeCell ref="D37:D38"/>
    <mergeCell ref="E37:E38"/>
    <mergeCell ref="F37:F38"/>
    <mergeCell ref="G37:G38"/>
    <mergeCell ref="H37:H38"/>
    <mergeCell ref="A39:C40"/>
    <mergeCell ref="D39:D40"/>
    <mergeCell ref="E39:E40"/>
    <mergeCell ref="A35:C36"/>
    <mergeCell ref="D35:D36"/>
    <mergeCell ref="E35:E36"/>
    <mergeCell ref="F35:F36"/>
    <mergeCell ref="G35:G36"/>
    <mergeCell ref="H35:H36"/>
    <mergeCell ref="I35:I36"/>
    <mergeCell ref="J35:J36"/>
    <mergeCell ref="K35:K36"/>
    <mergeCell ref="N31:N32"/>
    <mergeCell ref="O31:P32"/>
    <mergeCell ref="A33:C34"/>
    <mergeCell ref="D33:D34"/>
    <mergeCell ref="E33:E34"/>
    <mergeCell ref="F33:F34"/>
    <mergeCell ref="G33:G34"/>
    <mergeCell ref="H33:H34"/>
    <mergeCell ref="O33:P34"/>
    <mergeCell ref="I33:I34"/>
    <mergeCell ref="J33:J34"/>
    <mergeCell ref="K33:K34"/>
    <mergeCell ref="L33:L34"/>
    <mergeCell ref="M33:M34"/>
    <mergeCell ref="N33:N34"/>
    <mergeCell ref="N35:N36"/>
    <mergeCell ref="O35:P36"/>
    <mergeCell ref="D27:P27"/>
    <mergeCell ref="A28:C29"/>
    <mergeCell ref="D28:D29"/>
    <mergeCell ref="E28:E29"/>
    <mergeCell ref="F28:G28"/>
    <mergeCell ref="H28:I28"/>
    <mergeCell ref="J28:K28"/>
    <mergeCell ref="L28:M28"/>
    <mergeCell ref="O28:P28"/>
    <mergeCell ref="O29:P29"/>
    <mergeCell ref="A30:P30"/>
    <mergeCell ref="A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L21:L22"/>
    <mergeCell ref="M21:M22"/>
    <mergeCell ref="N21:N22"/>
    <mergeCell ref="O21:P22"/>
    <mergeCell ref="A23:E23"/>
    <mergeCell ref="O23:P23"/>
    <mergeCell ref="O19:P20"/>
    <mergeCell ref="A21:C22"/>
    <mergeCell ref="D21:D22"/>
    <mergeCell ref="E21:E22"/>
    <mergeCell ref="F21:F22"/>
    <mergeCell ref="G21:G22"/>
    <mergeCell ref="H21:H22"/>
    <mergeCell ref="I21:I22"/>
    <mergeCell ref="J21:J22"/>
    <mergeCell ref="K21:K22"/>
    <mergeCell ref="I19:I20"/>
    <mergeCell ref="J19:J20"/>
    <mergeCell ref="K19:K20"/>
    <mergeCell ref="L19:L20"/>
    <mergeCell ref="M19:M20"/>
    <mergeCell ref="N19:N20"/>
    <mergeCell ref="N17:N18"/>
    <mergeCell ref="O17:P18"/>
    <mergeCell ref="A19:C20"/>
    <mergeCell ref="D19:D20"/>
    <mergeCell ref="E19:E20"/>
    <mergeCell ref="F19:F20"/>
    <mergeCell ref="G19:G20"/>
    <mergeCell ref="H19:H20"/>
    <mergeCell ref="A17:C18"/>
    <mergeCell ref="D17:D18"/>
    <mergeCell ref="E17:E18"/>
    <mergeCell ref="F17:F18"/>
    <mergeCell ref="G17:G18"/>
    <mergeCell ref="H17:H18"/>
    <mergeCell ref="I17:I18"/>
    <mergeCell ref="J17:J18"/>
    <mergeCell ref="K17:K18"/>
    <mergeCell ref="A13:C14"/>
    <mergeCell ref="D13:D14"/>
    <mergeCell ref="E13:E14"/>
    <mergeCell ref="F13:F14"/>
    <mergeCell ref="G13:G14"/>
    <mergeCell ref="H13:H14"/>
    <mergeCell ref="I13:I14"/>
    <mergeCell ref="L17:L18"/>
    <mergeCell ref="M17:M18"/>
    <mergeCell ref="A15:C16"/>
    <mergeCell ref="D15:D16"/>
    <mergeCell ref="E15:E16"/>
    <mergeCell ref="F15:F16"/>
    <mergeCell ref="G15:G16"/>
    <mergeCell ref="H15:H16"/>
    <mergeCell ref="O15:P16"/>
    <mergeCell ref="I15:I16"/>
    <mergeCell ref="J15:J16"/>
    <mergeCell ref="K15:K16"/>
    <mergeCell ref="L15:L16"/>
    <mergeCell ref="M15:M16"/>
    <mergeCell ref="N15:N16"/>
    <mergeCell ref="J13:J14"/>
    <mergeCell ref="K13:K14"/>
    <mergeCell ref="I9:I10"/>
    <mergeCell ref="J9:J10"/>
    <mergeCell ref="K9:K10"/>
    <mergeCell ref="L9:L10"/>
    <mergeCell ref="M9:M10"/>
    <mergeCell ref="N9:N10"/>
    <mergeCell ref="O9:P10"/>
    <mergeCell ref="L13:L14"/>
    <mergeCell ref="M13:M14"/>
    <mergeCell ref="N13:N14"/>
    <mergeCell ref="O13:P14"/>
    <mergeCell ref="A11:C12"/>
    <mergeCell ref="D11:D12"/>
    <mergeCell ref="E11:E12"/>
    <mergeCell ref="F11:F12"/>
    <mergeCell ref="G11:G12"/>
    <mergeCell ref="H11:H12"/>
    <mergeCell ref="O11:P12"/>
    <mergeCell ref="I11:I12"/>
    <mergeCell ref="J11:J12"/>
    <mergeCell ref="K11:K12"/>
    <mergeCell ref="L11:L12"/>
    <mergeCell ref="M11:M12"/>
    <mergeCell ref="N11:N12"/>
    <mergeCell ref="A25:P25"/>
    <mergeCell ref="A3:P3"/>
    <mergeCell ref="A1:D1"/>
    <mergeCell ref="L1:P1"/>
    <mergeCell ref="A2:D2"/>
    <mergeCell ref="F2:G2"/>
    <mergeCell ref="L2:P2"/>
    <mergeCell ref="D5:P5"/>
    <mergeCell ref="A6:C7"/>
    <mergeCell ref="D6:D7"/>
    <mergeCell ref="E6:E7"/>
    <mergeCell ref="F6:G6"/>
    <mergeCell ref="H6:I6"/>
    <mergeCell ref="J6:K6"/>
    <mergeCell ref="L6:M6"/>
    <mergeCell ref="O6:P6"/>
    <mergeCell ref="O7:P7"/>
    <mergeCell ref="A8:P8"/>
    <mergeCell ref="A9:C10"/>
    <mergeCell ref="D9:D10"/>
    <mergeCell ref="E9:E10"/>
    <mergeCell ref="F9:F10"/>
    <mergeCell ref="G9:G10"/>
    <mergeCell ref="H9:H10"/>
  </mergeCells>
  <dataValidations count="1">
    <dataValidation type="list" allowBlank="1" showInputMessage="1" showErrorMessage="1" sqref="J51:P51 K102:P102" xr:uid="{A91C884A-2BD2-4ED7-BA9F-F495FD4BB744}">
      <formula1>ServiceType</formula1>
    </dataValidation>
  </dataValidations>
  <printOptions horizontalCentered="1"/>
  <pageMargins left="0.7" right="0.7" top="0.5" bottom="0.5" header="0.3" footer="0.3"/>
  <pageSetup scale="60" fitToHeight="0" orientation="landscape" r:id="rId1"/>
  <rowBreaks count="1" manualBreakCount="1">
    <brk id="52" max="15" man="1"/>
  </rowBreaks>
  <ignoredErrors>
    <ignoredError sqref="A68:D69 A62:C67 A9:C20 A31:C40" unlockedFormula="1"/>
    <ignoredError sqref="D62:D67 D9:D20" numberStoredAsText="1" unlockedFormula="1"/>
    <ignoredError sqref="D31:D4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0214-F269-4B1E-8E5E-C6ADA58954C5}">
  <sheetPr>
    <pageSetUpPr fitToPage="1"/>
  </sheetPr>
  <dimension ref="B1:S111"/>
  <sheetViews>
    <sheetView showOutlineSymbols="0" showWhiteSpace="0" topLeftCell="A112" workbookViewId="0">
      <selection activeCell="H8" sqref="H8"/>
    </sheetView>
    <sheetView zoomScale="80" zoomScaleNormal="80" workbookViewId="1">
      <selection activeCell="H32" sqref="H32"/>
    </sheetView>
  </sheetViews>
  <sheetFormatPr defaultColWidth="9.1796875" defaultRowHeight="14" x14ac:dyDescent="0.3"/>
  <cols>
    <col min="1" max="1" width="4.7265625" style="84" customWidth="1"/>
    <col min="2" max="2" width="22.26953125" style="84" customWidth="1"/>
    <col min="3" max="5" width="12.54296875" style="191" customWidth="1"/>
    <col min="6" max="6" width="34.1796875" style="84" bestFit="1" customWidth="1"/>
    <col min="7" max="13" width="13.54296875" style="84" customWidth="1"/>
    <col min="14" max="14" width="19.1796875" style="84" customWidth="1"/>
    <col min="15" max="18" width="13.54296875" style="84" customWidth="1"/>
    <col min="19" max="19" width="10.7265625" style="84" customWidth="1"/>
    <col min="20" max="20" width="10.81640625" style="84" customWidth="1"/>
    <col min="21" max="23" width="12.54296875" style="84" customWidth="1"/>
    <col min="24" max="24" width="19.453125" style="84" customWidth="1"/>
    <col min="25" max="32" width="11.81640625" style="84" customWidth="1"/>
    <col min="33" max="16384" width="9.1796875" style="84"/>
  </cols>
  <sheetData>
    <row r="1" spans="2:19" x14ac:dyDescent="0.3">
      <c r="B1" s="160" t="s">
        <v>195</v>
      </c>
      <c r="C1" s="190"/>
      <c r="D1" s="190"/>
      <c r="E1" s="19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</row>
    <row r="2" spans="2:19" x14ac:dyDescent="0.3">
      <c r="B2" s="589" t="s">
        <v>486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19" x14ac:dyDescent="0.3">
      <c r="B3" s="589" t="s">
        <v>487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19" x14ac:dyDescent="0.3"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</row>
    <row r="5" spans="2:19" x14ac:dyDescent="0.3">
      <c r="B5" s="589" t="s">
        <v>196</v>
      </c>
      <c r="C5" s="589"/>
      <c r="D5" s="589"/>
      <c r="E5" s="589"/>
      <c r="F5" s="589"/>
      <c r="G5" s="589"/>
      <c r="H5" s="589"/>
      <c r="I5" s="589"/>
      <c r="J5" s="589"/>
      <c r="K5" s="589"/>
      <c r="L5" s="589"/>
      <c r="M5" s="589"/>
      <c r="N5" s="589"/>
      <c r="O5" s="589"/>
      <c r="P5" s="589"/>
      <c r="Q5" s="589"/>
      <c r="R5" s="589"/>
    </row>
    <row r="6" spans="2:19" x14ac:dyDescent="0.3">
      <c r="B6" s="160" t="s">
        <v>551</v>
      </c>
      <c r="C6" s="252"/>
      <c r="D6" s="374"/>
    </row>
    <row r="7" spans="2:19" x14ac:dyDescent="0.3">
      <c r="B7" s="160"/>
      <c r="C7" s="252"/>
      <c r="D7" s="374"/>
    </row>
    <row r="8" spans="2:19" s="106" customFormat="1" ht="42" x14ac:dyDescent="0.35">
      <c r="B8" s="204" t="s">
        <v>197</v>
      </c>
      <c r="C8" s="204" t="s">
        <v>198</v>
      </c>
      <c r="D8" s="204" t="s">
        <v>199</v>
      </c>
      <c r="E8" s="204" t="s">
        <v>200</v>
      </c>
      <c r="F8" s="204" t="s">
        <v>201</v>
      </c>
      <c r="G8" s="204" t="s">
        <v>202</v>
      </c>
      <c r="H8" s="204" t="s">
        <v>203</v>
      </c>
      <c r="I8" s="204" t="s">
        <v>204</v>
      </c>
      <c r="J8" s="204" t="s">
        <v>205</v>
      </c>
      <c r="K8" s="204" t="s">
        <v>2</v>
      </c>
      <c r="L8" s="204" t="s">
        <v>121</v>
      </c>
      <c r="M8" s="204" t="s">
        <v>9</v>
      </c>
      <c r="N8" s="204" t="s">
        <v>206</v>
      </c>
      <c r="O8" s="204" t="s">
        <v>207</v>
      </c>
      <c r="P8" s="204" t="s">
        <v>208</v>
      </c>
      <c r="Q8" s="204" t="s">
        <v>121</v>
      </c>
      <c r="R8" s="204" t="s">
        <v>209</v>
      </c>
    </row>
    <row r="9" spans="2:19" x14ac:dyDescent="0.3">
      <c r="B9" s="205"/>
      <c r="C9" s="206"/>
      <c r="D9" s="206"/>
      <c r="E9" s="206"/>
      <c r="F9" s="205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</row>
    <row r="10" spans="2:19" x14ac:dyDescent="0.3">
      <c r="B10" s="205" t="s">
        <v>210</v>
      </c>
      <c r="C10" s="253" t="s">
        <v>211</v>
      </c>
      <c r="D10" s="207">
        <v>2023</v>
      </c>
      <c r="E10" s="207">
        <v>1524867</v>
      </c>
      <c r="F10" s="159" t="s">
        <v>212</v>
      </c>
      <c r="G10" s="84">
        <v>2013</v>
      </c>
      <c r="H10" s="207">
        <f>D10-G10</f>
        <v>10</v>
      </c>
      <c r="I10" s="178">
        <v>33.299999999999997</v>
      </c>
      <c r="J10" s="178">
        <f>760*0.870276884414594</f>
        <v>661.41043215509148</v>
      </c>
      <c r="K10" s="178">
        <f>J10*I10</f>
        <v>22024.967390764545</v>
      </c>
      <c r="L10" s="178">
        <f>K10*0.05</f>
        <v>1101.2483695382273</v>
      </c>
      <c r="M10" s="178">
        <f t="shared" ref="M10" si="0">K10+L10</f>
        <v>23126.215760302774</v>
      </c>
      <c r="N10" s="178">
        <f>'YUB Scale of Costs'!$D$9</f>
        <v>320</v>
      </c>
      <c r="O10" s="178">
        <f t="shared" ref="O10" si="1">K10</f>
        <v>22024.967390764545</v>
      </c>
      <c r="P10" s="178">
        <f>I10*N10</f>
        <v>10656</v>
      </c>
      <c r="Q10" s="178">
        <f t="shared" ref="Q10" si="2">L10</f>
        <v>1101.2483695382273</v>
      </c>
      <c r="R10" s="178">
        <f>I10*(J10-N10)</f>
        <v>11368.967390764545</v>
      </c>
      <c r="S10" s="92"/>
    </row>
    <row r="11" spans="2:19" x14ac:dyDescent="0.3">
      <c r="B11" s="205"/>
      <c r="C11" s="253"/>
      <c r="D11" s="207">
        <v>2023</v>
      </c>
      <c r="E11" s="207"/>
      <c r="F11" s="159" t="s">
        <v>213</v>
      </c>
      <c r="G11" s="84">
        <v>2022</v>
      </c>
      <c r="H11" s="207">
        <f>D11-G11</f>
        <v>1</v>
      </c>
      <c r="I11" s="178">
        <v>19.100000000000001</v>
      </c>
      <c r="J11" s="178">
        <f>425*0.870276884414594</f>
        <v>369.8676758762025</v>
      </c>
      <c r="K11" s="178">
        <f>J11*I11</f>
        <v>7064.4726092354686</v>
      </c>
      <c r="L11" s="178">
        <f>K11*0.05</f>
        <v>353.22363046177344</v>
      </c>
      <c r="M11" s="178">
        <f t="shared" ref="M11" si="3">K11+L11</f>
        <v>7417.6962396972422</v>
      </c>
      <c r="N11" s="178">
        <f>'YUB Scale of Costs'!$D$7</f>
        <v>240</v>
      </c>
      <c r="O11" s="178">
        <f t="shared" ref="O11" si="4">K11</f>
        <v>7064.4726092354686</v>
      </c>
      <c r="P11" s="178">
        <f>I11*N11</f>
        <v>4584</v>
      </c>
      <c r="Q11" s="178">
        <f t="shared" ref="Q11" si="5">L11</f>
        <v>353.22363046177344</v>
      </c>
      <c r="R11" s="178">
        <f>I11*(J11-N11)</f>
        <v>2480.4726092354681</v>
      </c>
    </row>
    <row r="12" spans="2:19" x14ac:dyDescent="0.3">
      <c r="B12" s="205"/>
      <c r="C12" s="254"/>
      <c r="F12" s="205"/>
      <c r="G12" s="206"/>
      <c r="H12" s="206"/>
      <c r="I12" s="206"/>
      <c r="J12" s="206"/>
      <c r="K12" s="208">
        <f>SUM(K10:K11)</f>
        <v>29089.440000000013</v>
      </c>
      <c r="L12" s="208">
        <f t="shared" ref="L12:M12" si="6">SUM(L10:L11)</f>
        <v>1454.4720000000007</v>
      </c>
      <c r="M12" s="208">
        <f t="shared" si="6"/>
        <v>30543.912000000015</v>
      </c>
      <c r="N12" s="208"/>
      <c r="O12" s="208">
        <f t="shared" ref="O12" si="7">SUM(O10:O11)</f>
        <v>29089.440000000013</v>
      </c>
      <c r="P12" s="208">
        <f t="shared" ref="P12" si="8">SUM(P10:P11)</f>
        <v>15240</v>
      </c>
      <c r="Q12" s="208">
        <f t="shared" ref="Q12" si="9">SUM(Q10:Q11)</f>
        <v>1454.4720000000007</v>
      </c>
      <c r="R12" s="208">
        <f t="shared" ref="R12" si="10">SUM(R10:R11)</f>
        <v>13849.440000000013</v>
      </c>
    </row>
    <row r="13" spans="2:19" x14ac:dyDescent="0.3">
      <c r="B13" s="205"/>
      <c r="C13" s="254"/>
      <c r="F13" s="205"/>
      <c r="G13" s="206"/>
      <c r="H13" s="206"/>
      <c r="I13" s="206"/>
      <c r="J13" s="206"/>
      <c r="K13" s="178"/>
      <c r="L13" s="178"/>
      <c r="M13" s="178"/>
      <c r="N13" s="178"/>
      <c r="O13" s="178"/>
      <c r="P13" s="178"/>
      <c r="Q13" s="178"/>
      <c r="R13" s="178"/>
    </row>
    <row r="14" spans="2:19" x14ac:dyDescent="0.3">
      <c r="J14" s="92"/>
      <c r="K14" s="92"/>
    </row>
    <row r="15" spans="2:19" x14ac:dyDescent="0.3">
      <c r="B15" s="205" t="s">
        <v>210</v>
      </c>
      <c r="C15" s="253" t="s">
        <v>214</v>
      </c>
      <c r="D15" s="207">
        <v>2023</v>
      </c>
      <c r="E15" s="207">
        <v>1527253</v>
      </c>
      <c r="F15" s="159" t="s">
        <v>212</v>
      </c>
      <c r="G15" s="84">
        <v>2013</v>
      </c>
      <c r="H15" s="207">
        <f>D15-G15</f>
        <v>10</v>
      </c>
      <c r="I15" s="178">
        <v>4.9000000000000004</v>
      </c>
      <c r="J15" s="178">
        <f>760*(1-0.12)</f>
        <v>668.8</v>
      </c>
      <c r="K15" s="178">
        <f>J15*I15</f>
        <v>3277.12</v>
      </c>
      <c r="L15" s="178">
        <f>K15*0.05</f>
        <v>163.85599999999999</v>
      </c>
      <c r="M15" s="178">
        <f t="shared" ref="M15:M16" si="11">K15+L15</f>
        <v>3440.9759999999997</v>
      </c>
      <c r="N15" s="178">
        <f>'YUB Scale of Costs'!$D$9</f>
        <v>320</v>
      </c>
      <c r="O15" s="178">
        <f t="shared" ref="O15:O16" si="12">K15</f>
        <v>3277.12</v>
      </c>
      <c r="P15" s="178">
        <f>I15*N15</f>
        <v>1568</v>
      </c>
      <c r="Q15" s="178">
        <f t="shared" ref="Q15:Q16" si="13">L15</f>
        <v>163.85599999999999</v>
      </c>
      <c r="R15" s="178">
        <f>I15*(J15-N15)</f>
        <v>1709.12</v>
      </c>
    </row>
    <row r="16" spans="2:19" x14ac:dyDescent="0.3">
      <c r="B16" s="205"/>
      <c r="C16" s="253"/>
      <c r="D16" s="207">
        <v>2023</v>
      </c>
      <c r="E16" s="207"/>
      <c r="F16" s="159" t="s">
        <v>213</v>
      </c>
      <c r="G16" s="84">
        <v>2022</v>
      </c>
      <c r="H16" s="207">
        <f>D16-G16</f>
        <v>1</v>
      </c>
      <c r="I16" s="178">
        <v>3.8</v>
      </c>
      <c r="J16" s="178">
        <f>425*(1-0.12)</f>
        <v>374</v>
      </c>
      <c r="K16" s="178">
        <f>J16*I16</f>
        <v>1421.2</v>
      </c>
      <c r="L16" s="178">
        <f>K16*0.05</f>
        <v>71.06</v>
      </c>
      <c r="M16" s="178">
        <f t="shared" si="11"/>
        <v>1492.26</v>
      </c>
      <c r="N16" s="178">
        <f>'YUB Scale of Costs'!$D$7</f>
        <v>240</v>
      </c>
      <c r="O16" s="178">
        <f t="shared" si="12"/>
        <v>1421.2</v>
      </c>
      <c r="P16" s="178">
        <f>I16*N16</f>
        <v>912</v>
      </c>
      <c r="Q16" s="178">
        <f t="shared" si="13"/>
        <v>71.06</v>
      </c>
      <c r="R16" s="178">
        <f>I16*(J16-N16)</f>
        <v>509.2</v>
      </c>
    </row>
    <row r="17" spans="2:18" x14ac:dyDescent="0.3">
      <c r="B17" s="205"/>
      <c r="C17" s="254"/>
      <c r="F17" s="205"/>
      <c r="G17" s="206"/>
      <c r="H17" s="206"/>
      <c r="I17" s="206"/>
      <c r="J17" s="206"/>
      <c r="K17" s="208">
        <f>SUM(K15:K16)</f>
        <v>4698.32</v>
      </c>
      <c r="L17" s="208">
        <f t="shared" ref="L17:M17" si="14">SUM(L15:L16)</f>
        <v>234.916</v>
      </c>
      <c r="M17" s="208">
        <f t="shared" si="14"/>
        <v>4933.2359999999999</v>
      </c>
      <c r="N17" s="208"/>
      <c r="O17" s="208">
        <f t="shared" ref="O17:R17" si="15">SUM(O15:O16)</f>
        <v>4698.32</v>
      </c>
      <c r="P17" s="208">
        <f t="shared" si="15"/>
        <v>2480</v>
      </c>
      <c r="Q17" s="208">
        <f t="shared" si="15"/>
        <v>234.916</v>
      </c>
      <c r="R17" s="208">
        <f t="shared" si="15"/>
        <v>2218.3199999999997</v>
      </c>
    </row>
    <row r="18" spans="2:18" x14ac:dyDescent="0.3">
      <c r="B18" s="205"/>
      <c r="C18" s="254"/>
      <c r="F18" s="205"/>
      <c r="G18" s="206"/>
      <c r="H18" s="206"/>
      <c r="I18" s="206"/>
      <c r="J18" s="206"/>
      <c r="K18" s="178"/>
      <c r="L18" s="178"/>
      <c r="M18" s="178"/>
      <c r="N18" s="178"/>
      <c r="O18" s="178"/>
      <c r="P18" s="178"/>
      <c r="Q18" s="178"/>
      <c r="R18" s="178"/>
    </row>
    <row r="19" spans="2:18" x14ac:dyDescent="0.3">
      <c r="B19" s="205" t="s">
        <v>146</v>
      </c>
      <c r="C19" s="254" t="s">
        <v>549</v>
      </c>
      <c r="D19" s="191">
        <v>2023</v>
      </c>
      <c r="E19" s="207">
        <v>1531331</v>
      </c>
      <c r="F19" s="159" t="s">
        <v>212</v>
      </c>
      <c r="G19" s="84">
        <v>2013</v>
      </c>
      <c r="H19" s="207">
        <f>D19-G19</f>
        <v>10</v>
      </c>
      <c r="I19" s="373">
        <v>5.6</v>
      </c>
      <c r="J19" s="182">
        <f>760*(1-0.12)</f>
        <v>668.8</v>
      </c>
      <c r="K19" s="182">
        <f>J19*I19</f>
        <v>3745.2799999999993</v>
      </c>
      <c r="L19" s="182">
        <f>K19*0.05</f>
        <v>187.26399999999998</v>
      </c>
      <c r="M19" s="182">
        <f>K19+L19</f>
        <v>3932.5439999999994</v>
      </c>
      <c r="N19" s="182">
        <v>320</v>
      </c>
      <c r="O19" s="182">
        <f>K19</f>
        <v>3745.2799999999993</v>
      </c>
      <c r="P19" s="373">
        <f>I19*N19</f>
        <v>1792</v>
      </c>
      <c r="Q19" s="182">
        <f>L19</f>
        <v>187.26399999999998</v>
      </c>
      <c r="R19" s="182">
        <f>I19*(J19-N19)</f>
        <v>1953.2799999999995</v>
      </c>
    </row>
    <row r="20" spans="2:18" x14ac:dyDescent="0.3">
      <c r="B20" s="205"/>
      <c r="C20" s="254"/>
      <c r="D20" s="191">
        <v>2023</v>
      </c>
      <c r="F20" s="159" t="s">
        <v>213</v>
      </c>
      <c r="G20" s="84">
        <v>2022</v>
      </c>
      <c r="H20" s="207">
        <f>D20-G20</f>
        <v>1</v>
      </c>
      <c r="I20" s="373">
        <v>4.5</v>
      </c>
      <c r="J20" s="182">
        <f>425*(1-0.12)</f>
        <v>374</v>
      </c>
      <c r="K20" s="182">
        <f>J20*I20</f>
        <v>1683</v>
      </c>
      <c r="L20" s="182">
        <f>K20*0.05</f>
        <v>84.15</v>
      </c>
      <c r="M20" s="182">
        <f>K20+L20</f>
        <v>1767.15</v>
      </c>
      <c r="N20" s="182">
        <v>240</v>
      </c>
      <c r="O20" s="182">
        <f>K20</f>
        <v>1683</v>
      </c>
      <c r="P20" s="373">
        <f>I20*N20</f>
        <v>1080</v>
      </c>
      <c r="Q20" s="182">
        <f>L20</f>
        <v>84.15</v>
      </c>
      <c r="R20" s="182">
        <f>I20*(J20-N20)</f>
        <v>603</v>
      </c>
    </row>
    <row r="21" spans="2:18" x14ac:dyDescent="0.3">
      <c r="B21" s="205"/>
      <c r="C21" s="254"/>
      <c r="F21" s="205"/>
      <c r="G21" s="206"/>
      <c r="H21" s="206"/>
      <c r="I21" s="206"/>
      <c r="J21" s="206"/>
      <c r="K21" s="266">
        <f>SUM(K19:K20)</f>
        <v>5428.2799999999988</v>
      </c>
      <c r="L21" s="266">
        <f>SUM(L19:L20)</f>
        <v>271.41399999999999</v>
      </c>
      <c r="M21" s="266">
        <f>SUM(M19:M20)</f>
        <v>5699.6939999999995</v>
      </c>
      <c r="N21" s="266"/>
      <c r="O21" s="266">
        <f>SUM(O19:O20)</f>
        <v>5428.2799999999988</v>
      </c>
      <c r="P21" s="208">
        <f>SUM(P19:P20)</f>
        <v>2872</v>
      </c>
      <c r="Q21" s="266">
        <f>SUM(Q19:Q20)</f>
        <v>271.41399999999999</v>
      </c>
      <c r="R21" s="266">
        <f>SUM(R19:R20)</f>
        <v>2556.2799999999997</v>
      </c>
    </row>
    <row r="22" spans="2:18" x14ac:dyDescent="0.3">
      <c r="B22" s="205"/>
      <c r="C22" s="254"/>
      <c r="F22" s="205"/>
      <c r="G22" s="206"/>
      <c r="H22" s="206"/>
      <c r="I22" s="206"/>
      <c r="J22" s="206"/>
      <c r="K22" s="178"/>
      <c r="L22" s="178"/>
      <c r="M22" s="178"/>
      <c r="N22" s="178"/>
      <c r="O22" s="178"/>
      <c r="P22" s="178"/>
      <c r="Q22" s="178"/>
      <c r="R22" s="178"/>
    </row>
    <row r="23" spans="2:18" x14ac:dyDescent="0.3">
      <c r="B23" s="205" t="s">
        <v>146</v>
      </c>
      <c r="C23" s="253" t="s">
        <v>215</v>
      </c>
      <c r="D23" s="207">
        <v>2023</v>
      </c>
      <c r="E23" s="207">
        <v>1535905</v>
      </c>
      <c r="F23" s="159" t="s">
        <v>212</v>
      </c>
      <c r="G23" s="84">
        <v>2013</v>
      </c>
      <c r="H23" s="207">
        <f>D23-G23</f>
        <v>10</v>
      </c>
      <c r="I23" s="178">
        <v>38.1</v>
      </c>
      <c r="J23" s="178">
        <f>760*(1-0.12)</f>
        <v>668.8</v>
      </c>
      <c r="K23" s="178">
        <f>J23*I23</f>
        <v>25481.279999999999</v>
      </c>
      <c r="L23" s="178">
        <f>K23*0.05</f>
        <v>1274.0640000000001</v>
      </c>
      <c r="M23" s="178">
        <f t="shared" ref="M23:M25" si="16">K23+L23</f>
        <v>26755.343999999997</v>
      </c>
      <c r="N23" s="178">
        <f>'YUB Scale of Costs'!$D$9</f>
        <v>320</v>
      </c>
      <c r="O23" s="178">
        <f t="shared" ref="O23:O26" si="17">K23</f>
        <v>25481.279999999999</v>
      </c>
      <c r="P23" s="178">
        <f>I23*N23</f>
        <v>12192</v>
      </c>
      <c r="Q23" s="178">
        <f t="shared" ref="Q23:Q26" si="18">L23</f>
        <v>1274.0640000000001</v>
      </c>
      <c r="R23" s="178">
        <f>I23*(J23-N23)</f>
        <v>13289.279999999999</v>
      </c>
    </row>
    <row r="24" spans="2:18" x14ac:dyDescent="0.3">
      <c r="B24" s="205"/>
      <c r="C24" s="253"/>
      <c r="D24" s="207">
        <v>2023</v>
      </c>
      <c r="E24" s="207"/>
      <c r="F24" s="159" t="s">
        <v>216</v>
      </c>
      <c r="G24" s="84">
        <v>1982</v>
      </c>
      <c r="H24" s="207">
        <f>D24-G24</f>
        <v>41</v>
      </c>
      <c r="I24" s="178">
        <v>0.2</v>
      </c>
      <c r="J24" s="178">
        <f>1270*(1-0.12)</f>
        <v>1117.5999999999999</v>
      </c>
      <c r="K24" s="178">
        <f>J24*I24</f>
        <v>223.51999999999998</v>
      </c>
      <c r="L24" s="178">
        <f>K24*0.05</f>
        <v>11.176</v>
      </c>
      <c r="M24" s="178">
        <f t="shared" ref="M24" si="19">K24+L24</f>
        <v>234.69599999999997</v>
      </c>
      <c r="N24" s="178">
        <f>'YUB Scale of Costs'!$D$10</f>
        <v>350</v>
      </c>
      <c r="O24" s="178">
        <f t="shared" ref="O24" si="20">K24</f>
        <v>223.51999999999998</v>
      </c>
      <c r="P24" s="178">
        <f>I24*N24</f>
        <v>70</v>
      </c>
      <c r="Q24" s="178">
        <f t="shared" ref="Q24" si="21">L24</f>
        <v>11.176</v>
      </c>
      <c r="R24" s="178">
        <f>I24*(J24-N24)</f>
        <v>153.51999999999998</v>
      </c>
    </row>
    <row r="25" spans="2:18" x14ac:dyDescent="0.3">
      <c r="B25" s="205"/>
      <c r="D25" s="207">
        <v>2023</v>
      </c>
      <c r="E25" s="207"/>
      <c r="F25" s="159" t="s">
        <v>213</v>
      </c>
      <c r="G25" s="84">
        <v>2022</v>
      </c>
      <c r="H25" s="207">
        <f>D25-G25</f>
        <v>1</v>
      </c>
      <c r="I25" s="178">
        <v>30.7</v>
      </c>
      <c r="J25" s="178">
        <f>425*(1-0.12)</f>
        <v>374</v>
      </c>
      <c r="K25" s="178">
        <f>J25*I25</f>
        <v>11481.8</v>
      </c>
      <c r="L25" s="178">
        <f>K25*0.05</f>
        <v>574.09</v>
      </c>
      <c r="M25" s="178">
        <f t="shared" si="16"/>
        <v>12055.89</v>
      </c>
      <c r="N25" s="178">
        <f>'YUB Scale of Costs'!$D$7</f>
        <v>240</v>
      </c>
      <c r="O25" s="178">
        <f t="shared" si="17"/>
        <v>11481.8</v>
      </c>
      <c r="P25" s="178">
        <f>I25*N25</f>
        <v>7368</v>
      </c>
      <c r="Q25" s="178">
        <f t="shared" si="18"/>
        <v>574.09</v>
      </c>
      <c r="R25" s="178">
        <f>I25*(J25-N25)</f>
        <v>4113.8</v>
      </c>
    </row>
    <row r="26" spans="2:18" x14ac:dyDescent="0.3">
      <c r="B26" s="205"/>
      <c r="C26" s="253"/>
      <c r="D26" s="207"/>
      <c r="E26" s="207"/>
      <c r="F26" s="18" t="s">
        <v>475</v>
      </c>
      <c r="H26" s="207"/>
      <c r="I26" s="178"/>
      <c r="J26" s="178"/>
      <c r="K26" s="178">
        <v>16</v>
      </c>
      <c r="L26" s="178">
        <f>K26*0.05</f>
        <v>0.8</v>
      </c>
      <c r="M26" s="178">
        <f t="shared" ref="M26" si="22">K26+L26</f>
        <v>16.8</v>
      </c>
      <c r="N26" s="376" t="s">
        <v>474</v>
      </c>
      <c r="O26" s="178">
        <f t="shared" si="17"/>
        <v>16</v>
      </c>
      <c r="P26" s="178">
        <f>'Bennett Jones Disb.'!P10</f>
        <v>6.4</v>
      </c>
      <c r="Q26" s="178">
        <f t="shared" si="18"/>
        <v>0.8</v>
      </c>
      <c r="R26" s="178">
        <f>O26-P26</f>
        <v>9.6</v>
      </c>
    </row>
    <row r="27" spans="2:18" x14ac:dyDescent="0.3">
      <c r="B27" s="205"/>
      <c r="C27" s="254"/>
      <c r="F27" s="205"/>
      <c r="G27" s="206"/>
      <c r="H27" s="206"/>
      <c r="I27" s="206"/>
      <c r="J27" s="206"/>
      <c r="K27" s="208">
        <f>SUM(K23:K26)</f>
        <v>37202.6</v>
      </c>
      <c r="L27" s="208">
        <f t="shared" ref="L27:M27" si="23">SUM(L23:L26)</f>
        <v>1860.1299999999999</v>
      </c>
      <c r="M27" s="208">
        <f t="shared" si="23"/>
        <v>39062.729999999996</v>
      </c>
      <c r="N27" s="208"/>
      <c r="O27" s="208">
        <f>SUM(O23:O26)</f>
        <v>37202.6</v>
      </c>
      <c r="P27" s="208">
        <f t="shared" ref="P27:R27" si="24">SUM(P23:P26)</f>
        <v>19636.400000000001</v>
      </c>
      <c r="Q27" s="208">
        <f t="shared" si="24"/>
        <v>1860.1299999999999</v>
      </c>
      <c r="R27" s="208">
        <f t="shared" si="24"/>
        <v>17566.199999999997</v>
      </c>
    </row>
    <row r="28" spans="2:18" x14ac:dyDescent="0.3">
      <c r="B28" s="205"/>
      <c r="C28" s="254"/>
      <c r="F28" s="205"/>
      <c r="G28" s="206"/>
      <c r="H28" s="206"/>
      <c r="I28" s="206"/>
      <c r="J28" s="206"/>
      <c r="K28" s="178"/>
      <c r="L28" s="178"/>
      <c r="M28" s="178"/>
      <c r="N28" s="178"/>
      <c r="O28" s="178"/>
      <c r="P28" s="178"/>
      <c r="Q28" s="178"/>
      <c r="R28" s="178"/>
    </row>
    <row r="29" spans="2:18" x14ac:dyDescent="0.3">
      <c r="B29" s="205" t="s">
        <v>146</v>
      </c>
      <c r="C29" s="253" t="s">
        <v>550</v>
      </c>
      <c r="D29" s="207">
        <v>2023</v>
      </c>
      <c r="E29" s="207">
        <v>1540529</v>
      </c>
      <c r="F29" s="159" t="s">
        <v>212</v>
      </c>
      <c r="G29" s="84">
        <v>2013</v>
      </c>
      <c r="H29" s="207">
        <f>D29-G29</f>
        <v>10</v>
      </c>
      <c r="I29" s="373">
        <v>38.9</v>
      </c>
      <c r="J29" s="373">
        <f>760*(1-0.12)</f>
        <v>668.8</v>
      </c>
      <c r="K29" s="373">
        <f>J29*I29</f>
        <v>26016.319999999996</v>
      </c>
      <c r="L29" s="373">
        <f>K29*0.05</f>
        <v>1300.8159999999998</v>
      </c>
      <c r="M29" s="373">
        <f>K29+L29</f>
        <v>27317.135999999995</v>
      </c>
      <c r="N29" s="373">
        <v>320</v>
      </c>
      <c r="O29" s="373">
        <f>K29</f>
        <v>26016.319999999996</v>
      </c>
      <c r="P29" s="373">
        <f>I29*N29</f>
        <v>12448</v>
      </c>
      <c r="Q29" s="373">
        <f>L29</f>
        <v>1300.8159999999998</v>
      </c>
      <c r="R29" s="182">
        <f>I29*(J29-N29)</f>
        <v>13568.319999999998</v>
      </c>
    </row>
    <row r="30" spans="2:18" x14ac:dyDescent="0.3">
      <c r="B30" s="205"/>
      <c r="D30" s="207">
        <v>2023</v>
      </c>
      <c r="E30" s="207"/>
      <c r="F30" s="159" t="s">
        <v>213</v>
      </c>
      <c r="G30" s="84">
        <v>2022</v>
      </c>
      <c r="H30" s="207">
        <f>D30-G30</f>
        <v>1</v>
      </c>
      <c r="I30" s="373">
        <v>30.4</v>
      </c>
      <c r="J30" s="373">
        <f>425*(1-0.12)</f>
        <v>374</v>
      </c>
      <c r="K30" s="373">
        <f>J30*I30</f>
        <v>11369.6</v>
      </c>
      <c r="L30" s="373">
        <f>K30*0.05</f>
        <v>568.48</v>
      </c>
      <c r="M30" s="373">
        <f>K30+L30</f>
        <v>11938.08</v>
      </c>
      <c r="N30" s="373">
        <v>240</v>
      </c>
      <c r="O30" s="373">
        <f>K30</f>
        <v>11369.6</v>
      </c>
      <c r="P30" s="373">
        <f>I30*N30</f>
        <v>7296</v>
      </c>
      <c r="Q30" s="373">
        <f>L30</f>
        <v>568.48</v>
      </c>
      <c r="R30" s="182">
        <f>I30*(J30-N30)</f>
        <v>4073.6</v>
      </c>
    </row>
    <row r="31" spans="2:18" x14ac:dyDescent="0.3">
      <c r="B31" s="205"/>
      <c r="C31" s="253"/>
      <c r="D31" s="207"/>
      <c r="E31" s="207"/>
      <c r="F31" s="18" t="s">
        <v>475</v>
      </c>
      <c r="H31" s="207"/>
      <c r="I31" s="182"/>
      <c r="J31" s="182"/>
      <c r="K31" s="182">
        <v>1003.16</v>
      </c>
      <c r="L31" s="182">
        <f>K31*0.05</f>
        <v>50.158000000000001</v>
      </c>
      <c r="M31" s="182">
        <f>K31+L31</f>
        <v>1053.318</v>
      </c>
      <c r="N31" s="376" t="s">
        <v>474</v>
      </c>
      <c r="O31" s="182">
        <f>K31</f>
        <v>1003.16</v>
      </c>
      <c r="P31" s="182">
        <f>SUM('Bennett Jones Disb.'!P42:P44)</f>
        <v>997.76</v>
      </c>
      <c r="Q31" s="182">
        <f>L31</f>
        <v>50.158000000000001</v>
      </c>
      <c r="R31" s="182">
        <f>SUM('Bennett Jones Disb.'!Q42:Q44)</f>
        <v>5.4</v>
      </c>
    </row>
    <row r="32" spans="2:18" x14ac:dyDescent="0.3">
      <c r="B32" s="159"/>
      <c r="C32" s="254"/>
      <c r="F32" s="159"/>
      <c r="G32" s="207"/>
      <c r="H32" s="207"/>
      <c r="I32" s="207"/>
      <c r="J32" s="207"/>
      <c r="K32" s="266">
        <f>SUM(K29:K31)</f>
        <v>38389.08</v>
      </c>
      <c r="L32" s="266">
        <f>SUM(L29:L31)</f>
        <v>1919.4539999999997</v>
      </c>
      <c r="M32" s="266">
        <f>SUM(M29:M31)</f>
        <v>40308.533999999992</v>
      </c>
      <c r="N32" s="266"/>
      <c r="O32" s="266">
        <f>SUM(O29:O31)</f>
        <v>38389.08</v>
      </c>
      <c r="P32" s="266">
        <f>SUM(P29:P31)</f>
        <v>20741.759999999998</v>
      </c>
      <c r="Q32" s="266">
        <f>SUM(Q29:Q31)</f>
        <v>1919.4539999999997</v>
      </c>
      <c r="R32" s="266">
        <f>SUM(R29:R31)</f>
        <v>17647.32</v>
      </c>
    </row>
    <row r="33" spans="2:19" x14ac:dyDescent="0.3">
      <c r="B33" s="205"/>
      <c r="C33" s="254"/>
      <c r="F33" s="205"/>
      <c r="G33" s="206"/>
      <c r="H33" s="206"/>
      <c r="I33" s="206"/>
      <c r="J33" s="206"/>
      <c r="K33" s="178"/>
      <c r="L33" s="178"/>
      <c r="M33" s="178"/>
      <c r="N33" s="178"/>
      <c r="O33" s="178"/>
      <c r="P33" s="178"/>
      <c r="Q33" s="178"/>
      <c r="R33" s="178"/>
    </row>
    <row r="34" spans="2:19" x14ac:dyDescent="0.3">
      <c r="B34" s="205" t="s">
        <v>210</v>
      </c>
      <c r="C34" s="253" t="s">
        <v>217</v>
      </c>
      <c r="D34" s="207">
        <v>2023</v>
      </c>
      <c r="E34" s="191">
        <v>1548241</v>
      </c>
      <c r="F34" s="159" t="s">
        <v>212</v>
      </c>
      <c r="G34" s="209">
        <v>2013</v>
      </c>
      <c r="H34" s="207">
        <f t="shared" ref="H34:H42" si="25">D34-G34</f>
        <v>10</v>
      </c>
      <c r="I34" s="178">
        <f>113.5-6-46.1-4.6</f>
        <v>56.8</v>
      </c>
      <c r="J34" s="178">
        <f>760*(1-0.12)</f>
        <v>668.8</v>
      </c>
      <c r="K34" s="178">
        <f t="shared" ref="K34:K36" si="26">J34*I34</f>
        <v>37987.839999999997</v>
      </c>
      <c r="L34" s="178">
        <f t="shared" ref="L34:L35" si="27">K34*0.05</f>
        <v>1899.3919999999998</v>
      </c>
      <c r="M34" s="178">
        <f t="shared" ref="M34:M43" si="28">K34+L34</f>
        <v>39887.231999999996</v>
      </c>
      <c r="N34" s="178">
        <f>N10</f>
        <v>320</v>
      </c>
      <c r="O34" s="178">
        <f t="shared" ref="O34:O44" si="29">K34</f>
        <v>37987.839999999997</v>
      </c>
      <c r="P34" s="178">
        <f t="shared" ref="P34:P37" si="30">I34*N34</f>
        <v>18176</v>
      </c>
      <c r="Q34" s="178">
        <f t="shared" ref="Q34:Q44" si="31">L34</f>
        <v>1899.3919999999998</v>
      </c>
      <c r="R34" s="178">
        <f t="shared" ref="R34:R37" si="32">I34*(J34-N34)</f>
        <v>19811.839999999997</v>
      </c>
    </row>
    <row r="35" spans="2:19" x14ac:dyDescent="0.3">
      <c r="B35" s="205"/>
      <c r="C35" s="254"/>
      <c r="D35" s="207">
        <v>2023</v>
      </c>
      <c r="F35" s="159" t="s">
        <v>213</v>
      </c>
      <c r="G35" s="209">
        <v>2022</v>
      </c>
      <c r="H35" s="207">
        <f t="shared" si="25"/>
        <v>1</v>
      </c>
      <c r="I35" s="178">
        <f>93.7-3.1-3-32.2-4.6</f>
        <v>50.800000000000004</v>
      </c>
      <c r="J35" s="178">
        <f>425*(1-0.12)</f>
        <v>374</v>
      </c>
      <c r="K35" s="178">
        <f t="shared" si="26"/>
        <v>18999.2</v>
      </c>
      <c r="L35" s="178">
        <f t="shared" si="27"/>
        <v>949.96</v>
      </c>
      <c r="M35" s="178">
        <f t="shared" si="28"/>
        <v>19949.16</v>
      </c>
      <c r="N35" s="178">
        <f>N11</f>
        <v>240</v>
      </c>
      <c r="O35" s="178">
        <f t="shared" si="29"/>
        <v>18999.2</v>
      </c>
      <c r="P35" s="178">
        <f t="shared" si="30"/>
        <v>12192.000000000002</v>
      </c>
      <c r="Q35" s="178">
        <f t="shared" si="31"/>
        <v>949.96</v>
      </c>
      <c r="R35" s="178">
        <f t="shared" si="32"/>
        <v>6807.2000000000007</v>
      </c>
    </row>
    <row r="36" spans="2:19" x14ac:dyDescent="0.3">
      <c r="B36" s="205"/>
      <c r="C36" s="254"/>
      <c r="D36" s="207">
        <v>2023</v>
      </c>
      <c r="F36" s="159" t="s">
        <v>218</v>
      </c>
      <c r="G36" s="209">
        <v>2023</v>
      </c>
      <c r="H36" s="207">
        <f>D36-G36</f>
        <v>0</v>
      </c>
      <c r="I36" s="178">
        <f>10.8-3</f>
        <v>7.8000000000000007</v>
      </c>
      <c r="J36" s="178">
        <f>390*(1-0.12)</f>
        <v>343.2</v>
      </c>
      <c r="K36" s="178">
        <f t="shared" si="26"/>
        <v>2676.96</v>
      </c>
      <c r="L36" s="178">
        <f>K36*0.05</f>
        <v>133.84800000000001</v>
      </c>
      <c r="M36" s="178">
        <f t="shared" ref="M36" si="33">K36+L36</f>
        <v>2810.808</v>
      </c>
      <c r="N36" s="203">
        <v>240</v>
      </c>
      <c r="O36" s="178">
        <f t="shared" ref="O36" si="34">K36</f>
        <v>2676.96</v>
      </c>
      <c r="P36" s="178">
        <f>I36*N36</f>
        <v>1872.0000000000002</v>
      </c>
      <c r="Q36" s="178">
        <f t="shared" ref="Q36" si="35">L36</f>
        <v>133.84800000000001</v>
      </c>
      <c r="R36" s="178">
        <f t="shared" si="32"/>
        <v>804.96</v>
      </c>
    </row>
    <row r="37" spans="2:19" x14ac:dyDescent="0.3">
      <c r="B37" s="205" t="s">
        <v>219</v>
      </c>
      <c r="C37" s="254"/>
      <c r="D37" s="207">
        <v>2023</v>
      </c>
      <c r="F37" s="159" t="s">
        <v>212</v>
      </c>
      <c r="G37" s="209">
        <v>2013</v>
      </c>
      <c r="H37" s="207">
        <f t="shared" si="25"/>
        <v>10</v>
      </c>
      <c r="I37" s="178">
        <v>6</v>
      </c>
      <c r="J37" s="178">
        <f>760*(1-0.12)</f>
        <v>668.8</v>
      </c>
      <c r="K37" s="178">
        <f t="shared" ref="K37:K38" si="36">J37*I37</f>
        <v>4012.7999999999997</v>
      </c>
      <c r="L37" s="178">
        <f t="shared" ref="L37:L44" si="37">K37*0.05</f>
        <v>200.64</v>
      </c>
      <c r="M37" s="178">
        <f t="shared" ref="M37:M38" si="38">K37+L37</f>
        <v>4213.4399999999996</v>
      </c>
      <c r="N37" s="178">
        <f>+N34/2</f>
        <v>160</v>
      </c>
      <c r="O37" s="178">
        <f t="shared" si="29"/>
        <v>4012.7999999999997</v>
      </c>
      <c r="P37" s="178">
        <f t="shared" si="30"/>
        <v>960</v>
      </c>
      <c r="Q37" s="178">
        <f t="shared" si="31"/>
        <v>200.64</v>
      </c>
      <c r="R37" s="178">
        <f t="shared" si="32"/>
        <v>3052.7999999999997</v>
      </c>
    </row>
    <row r="38" spans="2:19" x14ac:dyDescent="0.3">
      <c r="B38" s="205" t="s">
        <v>219</v>
      </c>
      <c r="C38" s="254"/>
      <c r="D38" s="207">
        <v>2023</v>
      </c>
      <c r="F38" s="159" t="s">
        <v>213</v>
      </c>
      <c r="G38" s="209">
        <v>2022</v>
      </c>
      <c r="H38" s="207">
        <f t="shared" si="25"/>
        <v>1</v>
      </c>
      <c r="I38" s="178">
        <f>3.1+3</f>
        <v>6.1</v>
      </c>
      <c r="J38" s="178">
        <f>425*(1-0.12)</f>
        <v>374</v>
      </c>
      <c r="K38" s="178">
        <f t="shared" si="36"/>
        <v>2281.4</v>
      </c>
      <c r="L38" s="178">
        <f t="shared" si="37"/>
        <v>114.07000000000001</v>
      </c>
      <c r="M38" s="178">
        <f t="shared" si="38"/>
        <v>2395.4700000000003</v>
      </c>
      <c r="N38" s="178">
        <f>+N35/2</f>
        <v>120</v>
      </c>
      <c r="O38" s="178">
        <f t="shared" ref="O38" si="39">K38</f>
        <v>2281.4</v>
      </c>
      <c r="P38" s="178">
        <f t="shared" ref="P38" si="40">I38*N38</f>
        <v>732</v>
      </c>
      <c r="Q38" s="178">
        <f t="shared" ref="Q38" si="41">L38</f>
        <v>114.07000000000001</v>
      </c>
      <c r="R38" s="178">
        <f t="shared" ref="R38" si="42">I38*(J38-N38)</f>
        <v>1549.3999999999999</v>
      </c>
    </row>
    <row r="39" spans="2:19" x14ac:dyDescent="0.3">
      <c r="B39" s="205" t="s">
        <v>147</v>
      </c>
      <c r="C39" s="254"/>
      <c r="D39" s="207">
        <v>2023</v>
      </c>
      <c r="F39" s="159" t="s">
        <v>212</v>
      </c>
      <c r="G39" s="209">
        <v>2013</v>
      </c>
      <c r="H39" s="207">
        <f t="shared" si="25"/>
        <v>10</v>
      </c>
      <c r="I39" s="178">
        <f>10.3+0.8+3.3+11.5+8.5+9.8+6.5-4.6</f>
        <v>46.1</v>
      </c>
      <c r="J39" s="178">
        <f>760*(1-0.12)</f>
        <v>668.8</v>
      </c>
      <c r="K39" s="178">
        <f t="shared" ref="K39:K44" si="43">J39*I39</f>
        <v>30831.68</v>
      </c>
      <c r="L39" s="178">
        <f t="shared" si="37"/>
        <v>1541.5840000000001</v>
      </c>
      <c r="M39" s="178">
        <f t="shared" ref="M39:M44" si="44">K39+L39</f>
        <v>32373.263999999999</v>
      </c>
      <c r="N39" s="178">
        <f>N34</f>
        <v>320</v>
      </c>
      <c r="O39" s="178">
        <f t="shared" ref="O39:O42" si="45">K39</f>
        <v>30831.68</v>
      </c>
      <c r="P39" s="178">
        <f t="shared" ref="P39:P42" si="46">I39*N39</f>
        <v>14752</v>
      </c>
      <c r="Q39" s="178">
        <f t="shared" ref="Q39:Q42" si="47">L39</f>
        <v>1541.5840000000001</v>
      </c>
      <c r="R39" s="178">
        <f t="shared" ref="R39:R42" si="48">I39*(J39-N39)</f>
        <v>16079.679999999998</v>
      </c>
    </row>
    <row r="40" spans="2:19" x14ac:dyDescent="0.3">
      <c r="B40" s="205"/>
      <c r="C40" s="254"/>
      <c r="D40" s="207">
        <v>2023</v>
      </c>
      <c r="F40" s="159" t="s">
        <v>213</v>
      </c>
      <c r="G40" s="209">
        <v>2022</v>
      </c>
      <c r="H40" s="207">
        <f t="shared" si="25"/>
        <v>1</v>
      </c>
      <c r="I40" s="178">
        <f>5.1+8+7.1+8.2+3.8</f>
        <v>32.199999999999996</v>
      </c>
      <c r="J40" s="178">
        <f>425*(1-0.12)</f>
        <v>374</v>
      </c>
      <c r="K40" s="178">
        <f t="shared" si="43"/>
        <v>12042.8</v>
      </c>
      <c r="L40" s="178">
        <f t="shared" si="37"/>
        <v>602.14</v>
      </c>
      <c r="M40" s="178">
        <f t="shared" si="44"/>
        <v>12644.939999999999</v>
      </c>
      <c r="N40" s="178">
        <f>N35</f>
        <v>240</v>
      </c>
      <c r="O40" s="178">
        <f t="shared" si="45"/>
        <v>12042.8</v>
      </c>
      <c r="P40" s="178">
        <f t="shared" si="46"/>
        <v>7727.9999999999991</v>
      </c>
      <c r="Q40" s="178">
        <f t="shared" si="47"/>
        <v>602.14</v>
      </c>
      <c r="R40" s="178">
        <f>I40*(J40-N40)</f>
        <v>4314.7999999999993</v>
      </c>
    </row>
    <row r="41" spans="2:19" x14ac:dyDescent="0.3">
      <c r="B41" s="205" t="s">
        <v>219</v>
      </c>
      <c r="C41" s="254"/>
      <c r="D41" s="207">
        <v>2023</v>
      </c>
      <c r="F41" s="159" t="s">
        <v>212</v>
      </c>
      <c r="G41" s="209">
        <v>2013</v>
      </c>
      <c r="H41" s="207">
        <f t="shared" si="25"/>
        <v>10</v>
      </c>
      <c r="I41" s="178">
        <v>4.5999999999999996</v>
      </c>
      <c r="J41" s="178">
        <f>760*(1-0.12)</f>
        <v>668.8</v>
      </c>
      <c r="K41" s="178">
        <f t="shared" si="43"/>
        <v>3076.4799999999996</v>
      </c>
      <c r="L41" s="178">
        <f t="shared" si="37"/>
        <v>153.82399999999998</v>
      </c>
      <c r="M41" s="178">
        <f t="shared" si="44"/>
        <v>3230.3039999999996</v>
      </c>
      <c r="N41" s="178">
        <f>N37</f>
        <v>160</v>
      </c>
      <c r="O41" s="178">
        <f t="shared" si="45"/>
        <v>3076.4799999999996</v>
      </c>
      <c r="P41" s="178">
        <f t="shared" si="46"/>
        <v>736</v>
      </c>
      <c r="Q41" s="178">
        <f t="shared" si="47"/>
        <v>153.82399999999998</v>
      </c>
      <c r="R41" s="178">
        <f t="shared" si="48"/>
        <v>2340.4799999999996</v>
      </c>
    </row>
    <row r="42" spans="2:19" x14ac:dyDescent="0.3">
      <c r="B42" s="205" t="s">
        <v>219</v>
      </c>
      <c r="C42" s="254"/>
      <c r="D42" s="207">
        <v>2023</v>
      </c>
      <c r="F42" s="159" t="s">
        <v>213</v>
      </c>
      <c r="G42" s="209">
        <v>2022</v>
      </c>
      <c r="H42" s="207">
        <f t="shared" si="25"/>
        <v>1</v>
      </c>
      <c r="I42" s="178">
        <v>4.5999999999999996</v>
      </c>
      <c r="J42" s="178">
        <f>425*(1-0.12)</f>
        <v>374</v>
      </c>
      <c r="K42" s="178">
        <f t="shared" si="43"/>
        <v>1720.3999999999999</v>
      </c>
      <c r="L42" s="178">
        <f t="shared" si="37"/>
        <v>86.02</v>
      </c>
      <c r="M42" s="178">
        <f t="shared" si="44"/>
        <v>1806.4199999999998</v>
      </c>
      <c r="N42" s="178">
        <f>N38</f>
        <v>120</v>
      </c>
      <c r="O42" s="178">
        <f t="shared" si="45"/>
        <v>1720.3999999999999</v>
      </c>
      <c r="P42" s="178">
        <f t="shared" si="46"/>
        <v>552</v>
      </c>
      <c r="Q42" s="178">
        <f t="shared" si="47"/>
        <v>86.02</v>
      </c>
      <c r="R42" s="178">
        <f t="shared" si="48"/>
        <v>1168.3999999999999</v>
      </c>
    </row>
    <row r="43" spans="2:19" x14ac:dyDescent="0.3">
      <c r="D43" s="207">
        <v>2023</v>
      </c>
      <c r="E43" s="207"/>
      <c r="F43" s="18" t="s">
        <v>475</v>
      </c>
      <c r="G43" s="209"/>
      <c r="H43" s="207"/>
      <c r="I43" s="178"/>
      <c r="K43" s="178">
        <v>7194.02</v>
      </c>
      <c r="L43" s="178">
        <f>K43*0.05</f>
        <v>359.70100000000002</v>
      </c>
      <c r="M43" s="178">
        <f t="shared" si="28"/>
        <v>7553.7210000000005</v>
      </c>
      <c r="N43" s="376" t="s">
        <v>474</v>
      </c>
      <c r="O43" s="178">
        <f t="shared" si="29"/>
        <v>7194.02</v>
      </c>
      <c r="P43" s="178">
        <f>SUM('Bennett Jones Disb.'!P11:P41)</f>
        <v>4499.3799999999992</v>
      </c>
      <c r="Q43" s="178">
        <f t="shared" si="31"/>
        <v>359.70100000000002</v>
      </c>
      <c r="R43" s="178">
        <f>SUM('Bennett Jones Disb.'!Q11:Q41)</f>
        <v>2694.64</v>
      </c>
      <c r="S43" s="92"/>
    </row>
    <row r="44" spans="2:19" x14ac:dyDescent="0.3">
      <c r="B44" s="91" t="s">
        <v>220</v>
      </c>
      <c r="D44" s="207">
        <v>2023</v>
      </c>
      <c r="E44" s="207"/>
      <c r="F44" s="159" t="s">
        <v>218</v>
      </c>
      <c r="G44" s="209">
        <v>2023</v>
      </c>
      <c r="H44" s="207">
        <f t="shared" ref="H44" si="49">D44-G44</f>
        <v>0</v>
      </c>
      <c r="I44" s="178">
        <v>3</v>
      </c>
      <c r="J44" s="178">
        <f>390*(1-0.12)</f>
        <v>343.2</v>
      </c>
      <c r="K44" s="178">
        <f t="shared" si="43"/>
        <v>1029.5999999999999</v>
      </c>
      <c r="L44" s="178">
        <f t="shared" si="37"/>
        <v>51.48</v>
      </c>
      <c r="M44" s="178">
        <f t="shared" si="44"/>
        <v>1081.08</v>
      </c>
      <c r="N44" s="203">
        <v>240</v>
      </c>
      <c r="O44" s="178">
        <f t="shared" si="29"/>
        <v>1029.5999999999999</v>
      </c>
      <c r="P44" s="178">
        <f>I44*N44</f>
        <v>720</v>
      </c>
      <c r="Q44" s="178">
        <f t="shared" si="31"/>
        <v>51.48</v>
      </c>
      <c r="R44" s="178">
        <f t="shared" ref="R44" si="50">I44*(J44-N44)</f>
        <v>309.59999999999997</v>
      </c>
    </row>
    <row r="45" spans="2:19" x14ac:dyDescent="0.3">
      <c r="B45" s="205"/>
      <c r="C45" s="253"/>
      <c r="D45" s="207"/>
      <c r="E45" s="207"/>
      <c r="F45" s="159"/>
      <c r="G45" s="202" t="s">
        <v>221</v>
      </c>
      <c r="H45" s="207">
        <v>218</v>
      </c>
      <c r="I45" s="178">
        <f>+SUM(I34:I44)</f>
        <v>217.99999999999997</v>
      </c>
      <c r="J45" s="178"/>
      <c r="K45" s="208">
        <f t="shared" ref="K45:L45" si="51">SUM(K34:K44)</f>
        <v>121853.18000000001</v>
      </c>
      <c r="L45" s="208">
        <f t="shared" si="51"/>
        <v>6092.6589999999997</v>
      </c>
      <c r="M45" s="208">
        <f>SUM(M34:M44)</f>
        <v>127945.83899999999</v>
      </c>
      <c r="N45" s="210"/>
      <c r="O45" s="208">
        <f>SUM(O34:O44)</f>
        <v>121853.18000000001</v>
      </c>
      <c r="P45" s="208">
        <f t="shared" ref="P45:R45" si="52">SUM(P34:P44)</f>
        <v>62919.38</v>
      </c>
      <c r="Q45" s="208">
        <f t="shared" si="52"/>
        <v>6092.6589999999997</v>
      </c>
      <c r="R45" s="208">
        <f t="shared" si="52"/>
        <v>58933.799999999988</v>
      </c>
    </row>
    <row r="46" spans="2:19" x14ac:dyDescent="0.3">
      <c r="B46" s="205"/>
      <c r="C46" s="253"/>
      <c r="D46" s="207"/>
      <c r="E46" s="207"/>
      <c r="F46" s="159"/>
      <c r="H46" s="207"/>
      <c r="I46" s="178">
        <f>+I45-H45</f>
        <v>0</v>
      </c>
      <c r="J46" s="178"/>
      <c r="K46" s="178"/>
      <c r="L46" s="178"/>
      <c r="M46" s="178"/>
      <c r="N46" s="203"/>
      <c r="O46" s="178"/>
      <c r="P46" s="178"/>
      <c r="Q46" s="178"/>
      <c r="R46" s="178"/>
    </row>
    <row r="47" spans="2:19" x14ac:dyDescent="0.3">
      <c r="B47" s="205" t="s">
        <v>147</v>
      </c>
      <c r="C47" s="253" t="s">
        <v>222</v>
      </c>
      <c r="D47" s="207">
        <v>2023</v>
      </c>
      <c r="E47" s="207">
        <v>1554911</v>
      </c>
      <c r="F47" s="159" t="s">
        <v>212</v>
      </c>
      <c r="G47" s="209">
        <v>2013</v>
      </c>
      <c r="H47" s="207">
        <f t="shared" ref="H47:H50" si="53">D47-G47</f>
        <v>10</v>
      </c>
      <c r="I47" s="178">
        <f>1.5+9.5-6.4+7</f>
        <v>11.6</v>
      </c>
      <c r="J47" s="178">
        <f>760*(1-0.12)</f>
        <v>668.8</v>
      </c>
      <c r="K47" s="178">
        <f>J47*I47</f>
        <v>7758.079999999999</v>
      </c>
      <c r="L47" s="178">
        <f>K47*0.05</f>
        <v>387.904</v>
      </c>
      <c r="M47" s="178">
        <f t="shared" ref="M47" si="54">K47+L47</f>
        <v>8145.9839999999986</v>
      </c>
      <c r="N47" s="203">
        <v>320</v>
      </c>
      <c r="O47" s="178">
        <f t="shared" ref="O47" si="55">K47</f>
        <v>7758.079999999999</v>
      </c>
      <c r="P47" s="178">
        <f>I47*N47</f>
        <v>3712</v>
      </c>
      <c r="Q47" s="178">
        <f t="shared" ref="Q47" si="56">L47</f>
        <v>387.904</v>
      </c>
      <c r="R47" s="178">
        <f>I47*(J47-N47)</f>
        <v>4046.0799999999995</v>
      </c>
    </row>
    <row r="48" spans="2:19" x14ac:dyDescent="0.3">
      <c r="B48" s="205"/>
      <c r="C48" s="253"/>
      <c r="D48" s="207">
        <v>2023</v>
      </c>
      <c r="E48" s="207"/>
      <c r="F48" s="159" t="s">
        <v>213</v>
      </c>
      <c r="G48" s="209">
        <v>2022</v>
      </c>
      <c r="H48" s="207">
        <f t="shared" si="53"/>
        <v>1</v>
      </c>
      <c r="I48" s="178">
        <v>0.1</v>
      </c>
      <c r="J48" s="178">
        <f>425*(1-0.12)</f>
        <v>374</v>
      </c>
      <c r="K48" s="178">
        <f t="shared" ref="K48:K53" si="57">J48*I48</f>
        <v>37.4</v>
      </c>
      <c r="L48" s="178">
        <f t="shared" ref="L48:L53" si="58">K48*0.05</f>
        <v>1.87</v>
      </c>
      <c r="M48" s="178">
        <f t="shared" ref="M48:M53" si="59">K48+L48</f>
        <v>39.269999999999996</v>
      </c>
      <c r="N48" s="203">
        <v>240</v>
      </c>
      <c r="O48" s="178">
        <f t="shared" ref="O48:O53" si="60">K48</f>
        <v>37.4</v>
      </c>
      <c r="P48" s="178">
        <f t="shared" ref="P48:P53" si="61">I48*N48</f>
        <v>24</v>
      </c>
      <c r="Q48" s="178">
        <f t="shared" ref="Q48:Q53" si="62">L48</f>
        <v>1.87</v>
      </c>
      <c r="R48" s="178">
        <f t="shared" ref="R48:R52" si="63">I48*(J48-N48)</f>
        <v>13.4</v>
      </c>
    </row>
    <row r="49" spans="2:18" x14ac:dyDescent="0.3">
      <c r="B49" s="205" t="s">
        <v>219</v>
      </c>
      <c r="C49" s="253"/>
      <c r="D49" s="207">
        <v>2023</v>
      </c>
      <c r="E49" s="207"/>
      <c r="F49" s="159" t="s">
        <v>212</v>
      </c>
      <c r="G49" s="209">
        <v>2013</v>
      </c>
      <c r="H49" s="207">
        <f t="shared" si="53"/>
        <v>10</v>
      </c>
      <c r="I49" s="178">
        <v>6.4</v>
      </c>
      <c r="J49" s="178">
        <f>760*(1-0.12)</f>
        <v>668.8</v>
      </c>
      <c r="K49" s="178">
        <f t="shared" si="57"/>
        <v>4280.32</v>
      </c>
      <c r="L49" s="178">
        <f t="shared" si="58"/>
        <v>214.01599999999999</v>
      </c>
      <c r="M49" s="178">
        <f t="shared" si="59"/>
        <v>4494.3359999999993</v>
      </c>
      <c r="N49" s="203">
        <v>160</v>
      </c>
      <c r="O49" s="178">
        <f t="shared" si="60"/>
        <v>4280.32</v>
      </c>
      <c r="P49" s="178">
        <f t="shared" si="61"/>
        <v>1024</v>
      </c>
      <c r="Q49" s="178">
        <f t="shared" si="62"/>
        <v>214.01599999999999</v>
      </c>
      <c r="R49" s="178">
        <f t="shared" si="63"/>
        <v>3256.3199999999997</v>
      </c>
    </row>
    <row r="50" spans="2:18" x14ac:dyDescent="0.3">
      <c r="B50" s="205" t="s">
        <v>219</v>
      </c>
      <c r="C50" s="253"/>
      <c r="D50" s="207">
        <v>2023</v>
      </c>
      <c r="E50" s="207"/>
      <c r="F50" s="159" t="s">
        <v>213</v>
      </c>
      <c r="G50" s="209">
        <v>2022</v>
      </c>
      <c r="H50" s="207">
        <f t="shared" si="53"/>
        <v>1</v>
      </c>
      <c r="I50" s="178">
        <v>6.4</v>
      </c>
      <c r="J50" s="178">
        <f>425*(1-0.12)</f>
        <v>374</v>
      </c>
      <c r="K50" s="178">
        <f t="shared" si="57"/>
        <v>2393.6</v>
      </c>
      <c r="L50" s="178">
        <f t="shared" si="58"/>
        <v>119.68</v>
      </c>
      <c r="M50" s="178">
        <f t="shared" si="59"/>
        <v>2513.2799999999997</v>
      </c>
      <c r="N50" s="203">
        <v>120</v>
      </c>
      <c r="O50" s="178">
        <f t="shared" si="60"/>
        <v>2393.6</v>
      </c>
      <c r="P50" s="178">
        <f t="shared" si="61"/>
        <v>768</v>
      </c>
      <c r="Q50" s="178">
        <f t="shared" si="62"/>
        <v>119.68</v>
      </c>
      <c r="R50" s="178">
        <f t="shared" si="63"/>
        <v>1625.6000000000001</v>
      </c>
    </row>
    <row r="51" spans="2:18" x14ac:dyDescent="0.3">
      <c r="B51" s="91" t="s">
        <v>220</v>
      </c>
      <c r="C51" s="253"/>
      <c r="D51" s="207">
        <v>2023</v>
      </c>
      <c r="E51" s="207"/>
      <c r="F51" s="159" t="s">
        <v>212</v>
      </c>
      <c r="G51" s="209">
        <v>2013</v>
      </c>
      <c r="H51" s="207">
        <f t="shared" ref="H51:H53" si="64">D51-G51</f>
        <v>10</v>
      </c>
      <c r="I51" s="178">
        <f>2.3+0.5+4.5+1.5+0.4+4.9+3.5+3.3+0.4+4.3+3.5+3.5+1.8+0.7</f>
        <v>35.1</v>
      </c>
      <c r="J51" s="178">
        <f>760*(1-0.12)</f>
        <v>668.8</v>
      </c>
      <c r="K51" s="178">
        <f t="shared" si="57"/>
        <v>23474.880000000001</v>
      </c>
      <c r="L51" s="178">
        <f t="shared" si="58"/>
        <v>1173.7440000000001</v>
      </c>
      <c r="M51" s="178">
        <f t="shared" si="59"/>
        <v>24648.624</v>
      </c>
      <c r="N51" s="203">
        <v>320</v>
      </c>
      <c r="O51" s="178">
        <f t="shared" si="60"/>
        <v>23474.880000000001</v>
      </c>
      <c r="P51" s="178">
        <f t="shared" si="61"/>
        <v>11232</v>
      </c>
      <c r="Q51" s="178">
        <f t="shared" si="62"/>
        <v>1173.7440000000001</v>
      </c>
      <c r="R51" s="178">
        <f t="shared" si="63"/>
        <v>12242.88</v>
      </c>
    </row>
    <row r="52" spans="2:18" x14ac:dyDescent="0.3">
      <c r="B52" s="205"/>
      <c r="C52" s="253"/>
      <c r="D52" s="207">
        <v>2023</v>
      </c>
      <c r="E52" s="207"/>
      <c r="F52" s="159" t="s">
        <v>213</v>
      </c>
      <c r="G52" s="209">
        <v>2022</v>
      </c>
      <c r="H52" s="207">
        <f t="shared" si="64"/>
        <v>1</v>
      </c>
      <c r="I52" s="178">
        <f>1+6.5+8.5+16.1+2.3+3+7.2+1.9+0.4+1.3+2+5+5.8+7.1+1.4+0.3</f>
        <v>69.8</v>
      </c>
      <c r="J52" s="178">
        <f>425*(1-0.12)</f>
        <v>374</v>
      </c>
      <c r="K52" s="178">
        <f t="shared" si="57"/>
        <v>26105.200000000001</v>
      </c>
      <c r="L52" s="178">
        <f t="shared" si="58"/>
        <v>1305.2600000000002</v>
      </c>
      <c r="M52" s="178">
        <f t="shared" si="59"/>
        <v>27410.46</v>
      </c>
      <c r="N52" s="203">
        <v>240</v>
      </c>
      <c r="O52" s="178">
        <f t="shared" si="60"/>
        <v>26105.200000000001</v>
      </c>
      <c r="P52" s="178">
        <f t="shared" si="61"/>
        <v>16752</v>
      </c>
      <c r="Q52" s="178">
        <f t="shared" si="62"/>
        <v>1305.2600000000002</v>
      </c>
      <c r="R52" s="178">
        <f t="shared" si="63"/>
        <v>9353.1999999999989</v>
      </c>
    </row>
    <row r="53" spans="2:18" x14ac:dyDescent="0.3">
      <c r="B53" s="205"/>
      <c r="C53" s="253"/>
      <c r="D53" s="207">
        <v>2023</v>
      </c>
      <c r="E53" s="207"/>
      <c r="F53" s="159" t="s">
        <v>218</v>
      </c>
      <c r="G53" s="209">
        <v>2023</v>
      </c>
      <c r="H53" s="207">
        <f t="shared" si="64"/>
        <v>0</v>
      </c>
      <c r="I53" s="178">
        <f>0.1+1.4+0.7+1.4+0.3</f>
        <v>3.9</v>
      </c>
      <c r="J53" s="178">
        <f>390*(1-0.12)</f>
        <v>343.2</v>
      </c>
      <c r="K53" s="178">
        <f t="shared" si="57"/>
        <v>1338.48</v>
      </c>
      <c r="L53" s="178">
        <f t="shared" si="58"/>
        <v>66.924000000000007</v>
      </c>
      <c r="M53" s="178">
        <f t="shared" si="59"/>
        <v>1405.404</v>
      </c>
      <c r="N53" s="178">
        <v>240</v>
      </c>
      <c r="O53" s="178">
        <f t="shared" si="60"/>
        <v>1338.48</v>
      </c>
      <c r="P53" s="178">
        <f t="shared" si="61"/>
        <v>936</v>
      </c>
      <c r="Q53" s="178">
        <f t="shared" si="62"/>
        <v>66.924000000000007</v>
      </c>
      <c r="R53" s="178">
        <f>I53*(J53-N53)</f>
        <v>402.47999999999996</v>
      </c>
    </row>
    <row r="54" spans="2:18" x14ac:dyDescent="0.3">
      <c r="B54" s="205"/>
      <c r="C54" s="253"/>
      <c r="D54" s="207"/>
      <c r="E54" s="207"/>
      <c r="F54" s="159"/>
      <c r="G54" s="202" t="s">
        <v>221</v>
      </c>
      <c r="H54" s="207">
        <v>133.30000000000001</v>
      </c>
      <c r="I54" s="178">
        <f>+SUM(I47:I53)</f>
        <v>133.30000000000001</v>
      </c>
      <c r="J54" s="178"/>
      <c r="K54" s="208">
        <f>SUM(K47:K53)</f>
        <v>65387.96</v>
      </c>
      <c r="L54" s="208">
        <f>SUM(L47:L53)</f>
        <v>3269.3980000000001</v>
      </c>
      <c r="M54" s="208">
        <f>SUM(M47:M53)</f>
        <v>68657.357999999993</v>
      </c>
      <c r="N54" s="208"/>
      <c r="O54" s="208">
        <f>SUM(O47:O53)</f>
        <v>65387.96</v>
      </c>
      <c r="P54" s="208">
        <f>SUM(P47:P53)</f>
        <v>34448</v>
      </c>
      <c r="Q54" s="208">
        <f>SUM(Q47:Q53)</f>
        <v>3269.3980000000001</v>
      </c>
      <c r="R54" s="208">
        <f>SUM(R47:R53)</f>
        <v>30939.959999999995</v>
      </c>
    </row>
    <row r="55" spans="2:18" x14ac:dyDescent="0.3">
      <c r="B55" s="205"/>
      <c r="C55" s="253"/>
      <c r="D55" s="207"/>
      <c r="E55" s="207"/>
      <c r="F55" s="159"/>
      <c r="H55" s="207"/>
      <c r="I55" s="179"/>
      <c r="J55" s="179"/>
      <c r="K55" s="179"/>
      <c r="L55" s="179"/>
      <c r="M55" s="178"/>
      <c r="N55" s="179"/>
      <c r="O55" s="179"/>
      <c r="P55" s="178"/>
      <c r="Q55" s="179"/>
      <c r="R55" s="179"/>
    </row>
    <row r="56" spans="2:18" x14ac:dyDescent="0.3">
      <c r="B56" s="205"/>
      <c r="C56" s="254"/>
      <c r="F56" s="205"/>
      <c r="G56" s="206"/>
      <c r="H56" s="206"/>
      <c r="I56" s="178"/>
      <c r="J56" s="206"/>
      <c r="K56" s="178"/>
      <c r="L56" s="178"/>
      <c r="M56" s="178"/>
      <c r="N56" s="178"/>
      <c r="O56" s="178"/>
      <c r="P56" s="178"/>
      <c r="Q56" s="178"/>
      <c r="R56" s="178"/>
    </row>
    <row r="57" spans="2:18" x14ac:dyDescent="0.3">
      <c r="B57" s="205"/>
      <c r="C57" s="254"/>
      <c r="G57" s="206"/>
      <c r="H57" s="206"/>
      <c r="I57" s="206"/>
      <c r="J57" s="206"/>
      <c r="K57" s="179"/>
      <c r="L57" s="179"/>
      <c r="M57" s="179"/>
      <c r="N57" s="205" t="s">
        <v>223</v>
      </c>
      <c r="O57" s="178">
        <f>O12+O17+O21+O27+O32+O45+O54</f>
        <v>302048.86000000004</v>
      </c>
      <c r="P57" s="178">
        <f t="shared" ref="P57:Q57" si="65">P12+P17+P21+P27+P32+P45+P54</f>
        <v>158337.54</v>
      </c>
      <c r="Q57" s="178">
        <f t="shared" si="65"/>
        <v>15102.442999999999</v>
      </c>
      <c r="R57" s="178">
        <f>R12+R17+R21+R27+R32+R45+R54</f>
        <v>143711.31999999998</v>
      </c>
    </row>
    <row r="58" spans="2:18" hidden="1" x14ac:dyDescent="0.3">
      <c r="B58" s="205"/>
      <c r="C58" s="254"/>
      <c r="F58" s="205"/>
      <c r="G58" s="206"/>
      <c r="H58" s="206"/>
      <c r="I58" s="206"/>
      <c r="J58" s="211"/>
      <c r="K58" s="212"/>
      <c r="L58" s="179"/>
      <c r="M58" s="179"/>
      <c r="N58" s="179"/>
      <c r="O58" s="179"/>
      <c r="P58" s="213"/>
      <c r="Q58" s="179"/>
      <c r="R58" s="213"/>
    </row>
    <row r="59" spans="2:18" hidden="1" x14ac:dyDescent="0.3">
      <c r="K59" s="92"/>
      <c r="L59" s="182"/>
      <c r="N59" s="84" t="s">
        <v>224</v>
      </c>
      <c r="O59" s="183"/>
      <c r="P59" s="183">
        <f>P108</f>
        <v>157339.78</v>
      </c>
      <c r="R59" s="92"/>
    </row>
    <row r="60" spans="2:18" hidden="1" x14ac:dyDescent="0.3">
      <c r="K60" s="92"/>
      <c r="L60" s="182"/>
      <c r="N60" s="91" t="s">
        <v>225</v>
      </c>
      <c r="O60" s="183"/>
      <c r="P60" s="92">
        <f>P59-P57</f>
        <v>-997.76000000000931</v>
      </c>
      <c r="R60" s="92"/>
    </row>
    <row r="61" spans="2:18" hidden="1" x14ac:dyDescent="0.3">
      <c r="K61" s="92"/>
      <c r="L61" s="182"/>
      <c r="O61" s="183"/>
      <c r="P61" s="183"/>
      <c r="R61" s="92"/>
    </row>
    <row r="62" spans="2:18" hidden="1" x14ac:dyDescent="0.3">
      <c r="K62" s="92"/>
      <c r="L62" s="182"/>
      <c r="M62" s="92"/>
      <c r="N62" s="84" t="s">
        <v>226</v>
      </c>
      <c r="O62" s="183">
        <f>K43+K26</f>
        <v>7210.02</v>
      </c>
      <c r="P62" s="183"/>
      <c r="R62" s="92"/>
    </row>
    <row r="63" spans="2:18" hidden="1" x14ac:dyDescent="0.3">
      <c r="K63" s="92"/>
      <c r="L63" s="182"/>
      <c r="N63" s="84" t="s">
        <v>227</v>
      </c>
      <c r="O63" s="183">
        <f>+O57-O62</f>
        <v>294838.84000000003</v>
      </c>
      <c r="P63" s="183"/>
      <c r="R63" s="92"/>
    </row>
    <row r="64" spans="2:18" hidden="1" x14ac:dyDescent="0.3">
      <c r="K64" s="92"/>
      <c r="L64" s="182"/>
      <c r="N64" s="84" t="s">
        <v>228</v>
      </c>
      <c r="O64" s="183">
        <f>+O63-(39062.73+30543.91+4933.24+127945.84+68657.36-7210.02-12911.58)</f>
        <v>43817.360000000015</v>
      </c>
      <c r="P64" s="183" t="s">
        <v>229</v>
      </c>
      <c r="R64" s="92"/>
    </row>
    <row r="65" spans="2:17" ht="14.5" hidden="1" thickBot="1" x14ac:dyDescent="0.35">
      <c r="B65" s="214" t="s">
        <v>210</v>
      </c>
      <c r="L65" s="92"/>
    </row>
    <row r="66" spans="2:17" hidden="1" x14ac:dyDescent="0.3">
      <c r="C66" s="255" t="s">
        <v>230</v>
      </c>
      <c r="D66" s="215"/>
      <c r="E66" s="216"/>
      <c r="F66" s="216"/>
      <c r="G66" s="217"/>
      <c r="H66" s="217"/>
      <c r="I66" s="218"/>
      <c r="J66" s="218"/>
      <c r="K66" s="219"/>
      <c r="L66" s="219"/>
      <c r="M66" s="219"/>
      <c r="N66" s="220"/>
      <c r="O66" s="220"/>
      <c r="P66" s="221"/>
      <c r="Q66" s="222"/>
    </row>
    <row r="67" spans="2:17" ht="17" hidden="1" x14ac:dyDescent="0.6">
      <c r="C67" s="223" t="s">
        <v>231</v>
      </c>
      <c r="D67" s="224"/>
      <c r="E67" s="241"/>
      <c r="F67" s="225"/>
      <c r="G67" s="224" t="s">
        <v>232</v>
      </c>
      <c r="H67" s="226"/>
      <c r="I67" s="227" t="s">
        <v>150</v>
      </c>
      <c r="J67" s="227"/>
      <c r="K67" s="227" t="s">
        <v>2</v>
      </c>
      <c r="L67" s="228" t="s">
        <v>121</v>
      </c>
      <c r="M67" s="228" t="s">
        <v>9</v>
      </c>
      <c r="N67" s="224" t="s">
        <v>233</v>
      </c>
      <c r="O67" s="224"/>
      <c r="P67" s="229" t="s">
        <v>234</v>
      </c>
      <c r="Q67" s="222"/>
    </row>
    <row r="68" spans="2:17" hidden="1" x14ac:dyDescent="0.3">
      <c r="C68" s="256" t="s">
        <v>212</v>
      </c>
      <c r="D68" s="241"/>
      <c r="E68" s="241"/>
      <c r="F68" s="225"/>
      <c r="G68" s="230"/>
      <c r="H68" s="231"/>
      <c r="I68" s="231">
        <f>SUMIF($F$10:$F$36,C68,$I$10:$I$36)</f>
        <v>177.60000000000002</v>
      </c>
      <c r="J68" s="231"/>
      <c r="K68" s="231">
        <f>SUMIF($F$9:$F$55,C68,$K$9:$K$55)</f>
        <v>191967.04739076455</v>
      </c>
      <c r="L68" s="231">
        <f>SUMIF($F$9:$F$55,C68,$L$9:$L$55)</f>
        <v>9598.3523695382264</v>
      </c>
      <c r="M68" s="231">
        <f>K68+L68</f>
        <v>201565.39976030277</v>
      </c>
      <c r="N68" s="231">
        <v>320</v>
      </c>
      <c r="O68" s="231"/>
      <c r="P68" s="232">
        <f>I68*N68</f>
        <v>56832.000000000007</v>
      </c>
      <c r="Q68" s="222"/>
    </row>
    <row r="69" spans="2:17" hidden="1" x14ac:dyDescent="0.3">
      <c r="C69" s="256" t="s">
        <v>213</v>
      </c>
      <c r="D69" s="241"/>
      <c r="E69" s="241"/>
      <c r="F69" s="225"/>
      <c r="G69" s="230"/>
      <c r="H69" s="231"/>
      <c r="I69" s="231">
        <f>SUMIF($F$10:$F$36,C69,$I$10:$I$36)</f>
        <v>139.30000000000001</v>
      </c>
      <c r="J69" s="231"/>
      <c r="K69" s="231">
        <f>SUMIF($F$9:$F$66,C69,$K$9:$K$66)</f>
        <v>96600.07260923546</v>
      </c>
      <c r="L69" s="231">
        <f>SUMIF($F$9:$F$66,C69,$L$9:$L$66)</f>
        <v>4830.0036304617734</v>
      </c>
      <c r="M69" s="231">
        <f t="shared" ref="M69:M73" si="66">K69+L69</f>
        <v>101430.07623969723</v>
      </c>
      <c r="N69" s="231">
        <v>240</v>
      </c>
      <c r="O69" s="231"/>
      <c r="P69" s="232">
        <f t="shared" ref="P69:P73" si="67">I69*N69</f>
        <v>33432</v>
      </c>
      <c r="Q69" s="222"/>
    </row>
    <row r="70" spans="2:17" hidden="1" x14ac:dyDescent="0.3">
      <c r="C70" s="256" t="s">
        <v>216</v>
      </c>
      <c r="D70" s="241"/>
      <c r="E70" s="241"/>
      <c r="F70" s="225"/>
      <c r="G70" s="230"/>
      <c r="H70" s="231"/>
      <c r="I70" s="231">
        <f>SUMIF($F$10:$F$36,C70,$I$10:$I$36)</f>
        <v>0.2</v>
      </c>
      <c r="J70" s="231"/>
      <c r="K70" s="231">
        <f>SUMIF($F$9:$F$66,C70,$K$9:$K$66)</f>
        <v>223.51999999999998</v>
      </c>
      <c r="L70" s="231">
        <f>SUMIF($F$9:$F$66,C70,$L$9:$L$66)</f>
        <v>11.176</v>
      </c>
      <c r="M70" s="231">
        <f t="shared" si="66"/>
        <v>234.69599999999997</v>
      </c>
      <c r="N70" s="231">
        <v>350</v>
      </c>
      <c r="O70" s="231"/>
      <c r="P70" s="232">
        <f t="shared" si="67"/>
        <v>70</v>
      </c>
      <c r="Q70" s="222"/>
    </row>
    <row r="71" spans="2:17" hidden="1" x14ac:dyDescent="0.3">
      <c r="C71" s="256" t="s">
        <v>218</v>
      </c>
      <c r="D71" s="241"/>
      <c r="E71" s="241"/>
      <c r="F71" s="225"/>
      <c r="G71" s="230"/>
      <c r="H71" s="231"/>
      <c r="I71" s="231">
        <f>SUMIF($F$10:$F$36,C71,$I$10:$I$36)</f>
        <v>7.8000000000000007</v>
      </c>
      <c r="J71" s="231"/>
      <c r="K71" s="231">
        <f>SUMIF($F$9:$F$66,C71,$K$9:$K$66)</f>
        <v>5045.04</v>
      </c>
      <c r="L71" s="231">
        <f>SUMIF($F$9:$F$66,C71,$L$9:$L$66)</f>
        <v>252.25200000000001</v>
      </c>
      <c r="M71" s="231">
        <f t="shared" si="66"/>
        <v>5297.2920000000004</v>
      </c>
      <c r="N71" s="231">
        <v>240</v>
      </c>
      <c r="O71" s="231"/>
      <c r="P71" s="232">
        <f t="shared" si="67"/>
        <v>1872.0000000000002</v>
      </c>
      <c r="Q71" s="222"/>
    </row>
    <row r="72" spans="2:17" hidden="1" x14ac:dyDescent="0.3">
      <c r="C72" s="256" t="s">
        <v>212</v>
      </c>
      <c r="D72" s="241"/>
      <c r="E72" s="241" t="s">
        <v>235</v>
      </c>
      <c r="F72" s="225"/>
      <c r="G72" s="230"/>
      <c r="H72" s="231"/>
      <c r="I72" s="231">
        <f>SUMIF($F$37:$F$38,C72,$I$37:$I$38)</f>
        <v>6</v>
      </c>
      <c r="J72" s="231"/>
      <c r="K72" s="231">
        <f>SUMIF($F$37:$F$38,C72,$K$37:$K$38)</f>
        <v>4012.7999999999997</v>
      </c>
      <c r="L72" s="231">
        <f>SUMIF($F$37:$F$38,C72,$L$37:$L$38)</f>
        <v>200.64</v>
      </c>
      <c r="M72" s="231">
        <f t="shared" si="66"/>
        <v>4213.4399999999996</v>
      </c>
      <c r="N72" s="231">
        <v>160</v>
      </c>
      <c r="O72" s="231"/>
      <c r="P72" s="232">
        <f t="shared" si="67"/>
        <v>960</v>
      </c>
      <c r="Q72" s="222"/>
    </row>
    <row r="73" spans="2:17" hidden="1" x14ac:dyDescent="0.3">
      <c r="C73" s="256" t="s">
        <v>213</v>
      </c>
      <c r="D73" s="241"/>
      <c r="E73" s="241" t="s">
        <v>235</v>
      </c>
      <c r="F73" s="225"/>
      <c r="G73" s="230"/>
      <c r="H73" s="231"/>
      <c r="I73" s="231">
        <f>SUMIF($F$37:$F$38,C73,$I$37:$I$38)</f>
        <v>6.1</v>
      </c>
      <c r="J73" s="231"/>
      <c r="K73" s="231">
        <f>SUMIF($F$37:$F$38,C73,$K$37:$K$38)</f>
        <v>2281.4</v>
      </c>
      <c r="L73" s="231">
        <f>SUMIF($F$37:$F$38,C73,$L$37:$L$38)</f>
        <v>114.07000000000001</v>
      </c>
      <c r="M73" s="231">
        <f t="shared" si="66"/>
        <v>2395.4700000000003</v>
      </c>
      <c r="N73" s="231">
        <v>120</v>
      </c>
      <c r="O73" s="231"/>
      <c r="P73" s="232">
        <f t="shared" si="67"/>
        <v>732</v>
      </c>
      <c r="Q73" s="222"/>
    </row>
    <row r="74" spans="2:17" ht="14.5" hidden="1" thickBot="1" x14ac:dyDescent="0.35">
      <c r="C74" s="257" t="s">
        <v>223</v>
      </c>
      <c r="D74" s="375"/>
      <c r="E74" s="375"/>
      <c r="F74" s="233"/>
      <c r="G74" s="234"/>
      <c r="H74" s="233"/>
      <c r="I74" s="235">
        <f>SUM(I68:I73)</f>
        <v>337.00000000000006</v>
      </c>
      <c r="J74" s="236"/>
      <c r="K74" s="235">
        <f>SUM(K68:K73)</f>
        <v>300129.88</v>
      </c>
      <c r="L74" s="235">
        <f t="shared" ref="L74:M74" si="68">SUM(L68:L73)</f>
        <v>15006.493999999999</v>
      </c>
      <c r="M74" s="235">
        <f t="shared" si="68"/>
        <v>315136.37400000001</v>
      </c>
      <c r="N74" s="237"/>
      <c r="O74" s="237"/>
      <c r="P74" s="238">
        <f>SUM(P68:P73)</f>
        <v>93898</v>
      </c>
      <c r="Q74" s="222"/>
    </row>
    <row r="75" spans="2:17" hidden="1" x14ac:dyDescent="0.3">
      <c r="I75" s="92"/>
      <c r="K75" s="92"/>
      <c r="L75" s="92"/>
      <c r="M75" s="92"/>
      <c r="Q75" s="92"/>
    </row>
    <row r="76" spans="2:17" ht="14.5" hidden="1" thickBot="1" x14ac:dyDescent="0.35">
      <c r="B76" s="214" t="s">
        <v>147</v>
      </c>
      <c r="M76" s="91" t="s">
        <v>225</v>
      </c>
      <c r="P76" s="92"/>
      <c r="Q76" s="92"/>
    </row>
    <row r="77" spans="2:17" hidden="1" x14ac:dyDescent="0.3">
      <c r="C77" s="255" t="s">
        <v>230</v>
      </c>
      <c r="D77" s="215"/>
      <c r="E77" s="216"/>
      <c r="F77" s="216"/>
      <c r="G77" s="217"/>
      <c r="H77" s="217"/>
      <c r="I77" s="218"/>
      <c r="J77" s="218"/>
      <c r="K77" s="219"/>
      <c r="L77" s="219"/>
      <c r="M77" s="219"/>
      <c r="N77" s="220"/>
      <c r="O77" s="220"/>
      <c r="P77" s="221"/>
      <c r="Q77" s="92"/>
    </row>
    <row r="78" spans="2:17" ht="17" hidden="1" x14ac:dyDescent="0.6">
      <c r="C78" s="223" t="s">
        <v>231</v>
      </c>
      <c r="D78" s="224"/>
      <c r="E78" s="241"/>
      <c r="F78" s="225"/>
      <c r="G78" s="224" t="s">
        <v>232</v>
      </c>
      <c r="H78" s="226"/>
      <c r="I78" s="227" t="s">
        <v>150</v>
      </c>
      <c r="J78" s="227"/>
      <c r="K78" s="227" t="s">
        <v>2</v>
      </c>
      <c r="L78" s="228" t="s">
        <v>121</v>
      </c>
      <c r="M78" s="228" t="s">
        <v>9</v>
      </c>
      <c r="N78" s="224" t="s">
        <v>233</v>
      </c>
      <c r="O78" s="224"/>
      <c r="P78" s="229" t="s">
        <v>234</v>
      </c>
      <c r="Q78" s="92"/>
    </row>
    <row r="79" spans="2:17" hidden="1" x14ac:dyDescent="0.3">
      <c r="C79" s="256" t="s">
        <v>212</v>
      </c>
      <c r="D79" s="241"/>
      <c r="E79" s="241"/>
      <c r="F79" s="225"/>
      <c r="G79" s="230"/>
      <c r="H79" s="231"/>
      <c r="I79" s="231">
        <f>SUMIF($F$39:$F$40,C79,$I$39:$I$40)+SUMIF($F$47:$F$48,C79,$I$47:$I$48)</f>
        <v>57.7</v>
      </c>
      <c r="J79" s="231"/>
      <c r="K79" s="231">
        <f>SUMIF($F$39:$F$40,C79,$K$39:$K$40)+SUMIF($F$47:$F$48,C79,$K$47:$K$48)</f>
        <v>38589.760000000002</v>
      </c>
      <c r="L79" s="231">
        <f>SUMIF($F$39:$F$40,C79,$L$39:$L$40)+SUMIF($F$47:$F$48,C79,$L$47:$L$48)</f>
        <v>1929.4880000000001</v>
      </c>
      <c r="M79" s="231">
        <f t="shared" ref="M79:M82" si="69">K79+L79</f>
        <v>40519.248</v>
      </c>
      <c r="N79" s="231">
        <v>320</v>
      </c>
      <c r="O79" s="231"/>
      <c r="P79" s="232">
        <f>I79*N79</f>
        <v>18464</v>
      </c>
      <c r="Q79" s="92"/>
    </row>
    <row r="80" spans="2:17" hidden="1" x14ac:dyDescent="0.3">
      <c r="C80" s="256" t="s">
        <v>213</v>
      </c>
      <c r="D80" s="241"/>
      <c r="E80" s="241"/>
      <c r="F80" s="225"/>
      <c r="G80" s="230"/>
      <c r="H80" s="231"/>
      <c r="I80" s="231">
        <f>SUMIF($F$39:$F$40,C80,$I$39:$I$40)+SUMIF($F$47:$F$48,C80,$I$47:$I$48)</f>
        <v>32.299999999999997</v>
      </c>
      <c r="J80" s="231"/>
      <c r="K80" s="231">
        <f>SUMIF($F$39:$F$40,C80,$K$39:$K$40)+SUMIF($F$47:$F$48,C80,$K$47:$K$48)</f>
        <v>12080.199999999999</v>
      </c>
      <c r="L80" s="231">
        <f>SUMIF($F$39:$F$40,C80,$L$39:$L$40)+SUMIF($F$47:$F$48,C80,$L$47:$L$48)</f>
        <v>604.01</v>
      </c>
      <c r="M80" s="231">
        <f t="shared" si="69"/>
        <v>12684.21</v>
      </c>
      <c r="N80" s="231">
        <v>240</v>
      </c>
      <c r="O80" s="231"/>
      <c r="P80" s="232">
        <f t="shared" ref="P80:P82" si="70">I80*N80</f>
        <v>7751.9999999999991</v>
      </c>
      <c r="Q80" s="92"/>
    </row>
    <row r="81" spans="2:17" hidden="1" x14ac:dyDescent="0.3">
      <c r="C81" s="256" t="s">
        <v>212</v>
      </c>
      <c r="D81" s="241"/>
      <c r="E81" s="241" t="s">
        <v>235</v>
      </c>
      <c r="F81" s="225"/>
      <c r="G81" s="230"/>
      <c r="H81" s="231"/>
      <c r="I81" s="231">
        <f>SUMIF($F$41:$F$42,C81,$I$41:$I$42)+SUMIF($F$49:$F$50,C81,$I$49:$I$50)</f>
        <v>11</v>
      </c>
      <c r="J81" s="231"/>
      <c r="K81" s="231">
        <f>SUMIF($F$41:$F$42,C81,$K$41:$K$42)+SUMIF($F$49:$F$50,C81,$K$49:$K$50)</f>
        <v>7356.7999999999993</v>
      </c>
      <c r="L81" s="231">
        <f>SUMIF($F$41:$F$42,C81,$L$41:$L$42)+SUMIF($F$49:$F$50,C81,$L$49:$L$50)</f>
        <v>367.84</v>
      </c>
      <c r="M81" s="231">
        <f t="shared" si="69"/>
        <v>7724.6399999999994</v>
      </c>
      <c r="N81" s="231">
        <v>160</v>
      </c>
      <c r="O81" s="231"/>
      <c r="P81" s="232">
        <f t="shared" si="70"/>
        <v>1760</v>
      </c>
      <c r="Q81" s="92"/>
    </row>
    <row r="82" spans="2:17" hidden="1" x14ac:dyDescent="0.3">
      <c r="C82" s="256" t="s">
        <v>213</v>
      </c>
      <c r="D82" s="241"/>
      <c r="E82" s="241" t="s">
        <v>235</v>
      </c>
      <c r="F82" s="225"/>
      <c r="G82" s="230"/>
      <c r="H82" s="231"/>
      <c r="I82" s="231">
        <f>SUMIF($F$41:$F$42,C82,$I$41:$I$42)+SUMIF($F$49:$F$50,C82,$I$49:$I$50)</f>
        <v>11</v>
      </c>
      <c r="J82" s="231"/>
      <c r="K82" s="231">
        <f>SUMIF($F$41:$F$42,C82,$K$41:$K$42)+SUMIF($F$49:$F$50,C82,$K$49:$K$50)</f>
        <v>4114</v>
      </c>
      <c r="L82" s="231">
        <f>SUMIF($F$41:$F$42,C82,$L$41:$L$42)+SUMIF($F$49:$F$50,C82,$L$49:$L$50)</f>
        <v>205.7</v>
      </c>
      <c r="M82" s="231">
        <f t="shared" si="69"/>
        <v>4319.7</v>
      </c>
      <c r="N82" s="231">
        <v>120</v>
      </c>
      <c r="O82" s="231"/>
      <c r="P82" s="232">
        <f t="shared" si="70"/>
        <v>1320</v>
      </c>
      <c r="Q82" s="92"/>
    </row>
    <row r="83" spans="2:17" ht="14.5" hidden="1" thickBot="1" x14ac:dyDescent="0.35">
      <c r="C83" s="257" t="s">
        <v>223</v>
      </c>
      <c r="D83" s="375"/>
      <c r="E83" s="375"/>
      <c r="F83" s="233"/>
      <c r="G83" s="234"/>
      <c r="H83" s="233"/>
      <c r="I83" s="235">
        <f>SUM(I79:I82)</f>
        <v>112</v>
      </c>
      <c r="J83" s="235">
        <f t="shared" ref="J83:M83" si="71">SUM(J79:J82)</f>
        <v>0</v>
      </c>
      <c r="K83" s="235">
        <f t="shared" si="71"/>
        <v>62140.759999999995</v>
      </c>
      <c r="L83" s="235">
        <f t="shared" si="71"/>
        <v>3107.038</v>
      </c>
      <c r="M83" s="235">
        <f t="shared" si="71"/>
        <v>65247.797999999995</v>
      </c>
      <c r="N83" s="237"/>
      <c r="O83" s="237"/>
      <c r="P83" s="238">
        <f>SUM(P79:P82)</f>
        <v>29296</v>
      </c>
      <c r="Q83" s="92"/>
    </row>
    <row r="84" spans="2:17" hidden="1" x14ac:dyDescent="0.3"/>
    <row r="85" spans="2:17" ht="14.5" hidden="1" thickBot="1" x14ac:dyDescent="0.35">
      <c r="B85" s="214" t="s">
        <v>236</v>
      </c>
      <c r="M85" s="91" t="s">
        <v>225</v>
      </c>
      <c r="P85" s="92"/>
    </row>
    <row r="86" spans="2:17" hidden="1" x14ac:dyDescent="0.3">
      <c r="C86" s="255" t="s">
        <v>230</v>
      </c>
      <c r="D86" s="215"/>
      <c r="E86" s="216"/>
      <c r="F86" s="216"/>
      <c r="G86" s="217"/>
      <c r="H86" s="217"/>
      <c r="I86" s="218"/>
      <c r="J86" s="218"/>
      <c r="K86" s="219"/>
      <c r="L86" s="219"/>
      <c r="M86" s="219"/>
      <c r="N86" s="220"/>
      <c r="O86" s="220"/>
      <c r="P86" s="221"/>
    </row>
    <row r="87" spans="2:17" ht="17" hidden="1" x14ac:dyDescent="0.6">
      <c r="C87" s="223" t="s">
        <v>231</v>
      </c>
      <c r="D87" s="224"/>
      <c r="E87" s="241"/>
      <c r="F87" s="225"/>
      <c r="G87" s="224" t="s">
        <v>232</v>
      </c>
      <c r="H87" s="226"/>
      <c r="I87" s="227" t="s">
        <v>150</v>
      </c>
      <c r="J87" s="227"/>
      <c r="K87" s="227" t="s">
        <v>2</v>
      </c>
      <c r="L87" s="228" t="s">
        <v>121</v>
      </c>
      <c r="M87" s="228" t="s">
        <v>9</v>
      </c>
      <c r="N87" s="224" t="s">
        <v>233</v>
      </c>
      <c r="O87" s="224"/>
      <c r="P87" s="229" t="s">
        <v>234</v>
      </c>
    </row>
    <row r="88" spans="2:17" hidden="1" x14ac:dyDescent="0.3">
      <c r="C88" s="256" t="s">
        <v>212</v>
      </c>
      <c r="D88" s="241"/>
      <c r="E88" s="241"/>
      <c r="F88" s="225"/>
      <c r="G88" s="230"/>
      <c r="H88" s="231"/>
      <c r="I88" s="231">
        <f>SUMIF($F$51:$F$53,C88,$I$51:$I$53)+SUMIF($F$44:$F$44,C88,$I$44:$I$44)</f>
        <v>35.1</v>
      </c>
      <c r="J88" s="231"/>
      <c r="K88" s="231">
        <f>SUMIF($F$51:$F$53,C88,$K$51:$K$53)+SUMIF($F$44:$F$44,C88,$K$44:$K$44)</f>
        <v>23474.880000000001</v>
      </c>
      <c r="L88" s="231">
        <f>SUMIF($F$51:$F$53,C88,$L$51:$L$53)+SUMIF($F$44:$F$44,C88,$L$44:$L$44)</f>
        <v>1173.7440000000001</v>
      </c>
      <c r="M88" s="231">
        <f t="shared" ref="M88:M90" si="72">K88+L88</f>
        <v>24648.624</v>
      </c>
      <c r="N88" s="231">
        <v>320</v>
      </c>
      <c r="O88" s="231"/>
      <c r="P88" s="232">
        <f>I88*N88</f>
        <v>11232</v>
      </c>
    </row>
    <row r="89" spans="2:17" hidden="1" x14ac:dyDescent="0.3">
      <c r="C89" s="256" t="s">
        <v>213</v>
      </c>
      <c r="D89" s="241"/>
      <c r="E89" s="241"/>
      <c r="F89" s="225"/>
      <c r="G89" s="230"/>
      <c r="H89" s="231"/>
      <c r="I89" s="231">
        <f t="shared" ref="I89:I90" si="73">SUMIF($F$51:$F$53,C89,$I$51:$I$53)+SUMIF($F$44:$F$44,C89,$I$44:$I$44)</f>
        <v>69.8</v>
      </c>
      <c r="J89" s="231"/>
      <c r="K89" s="231">
        <f t="shared" ref="K89:K90" si="74">SUMIF($F$51:$F$53,C89,$K$51:$K$53)+SUMIF($F$44:$F$44,C89,$K$44:$K$44)</f>
        <v>26105.200000000001</v>
      </c>
      <c r="L89" s="231">
        <f t="shared" ref="L89:L90" si="75">SUMIF($F$51:$F$53,C89,$L$51:$L$53)+SUMIF($F$44:$F$44,C89,$L$44:$L$44)</f>
        <v>1305.2600000000002</v>
      </c>
      <c r="M89" s="231">
        <f t="shared" si="72"/>
        <v>27410.46</v>
      </c>
      <c r="N89" s="231">
        <v>240</v>
      </c>
      <c r="O89" s="231"/>
      <c r="P89" s="232">
        <f t="shared" ref="P89:P90" si="76">I89*N89</f>
        <v>16752</v>
      </c>
    </row>
    <row r="90" spans="2:17" hidden="1" x14ac:dyDescent="0.3">
      <c r="C90" s="256" t="s">
        <v>218</v>
      </c>
      <c r="D90" s="241"/>
      <c r="E90" s="241"/>
      <c r="F90" s="225"/>
      <c r="G90" s="230"/>
      <c r="H90" s="231"/>
      <c r="I90" s="231">
        <f t="shared" si="73"/>
        <v>6.9</v>
      </c>
      <c r="J90" s="231"/>
      <c r="K90" s="231">
        <f t="shared" si="74"/>
        <v>2368.08</v>
      </c>
      <c r="L90" s="231">
        <f t="shared" si="75"/>
        <v>118.404</v>
      </c>
      <c r="M90" s="231">
        <f t="shared" si="72"/>
        <v>2486.4839999999999</v>
      </c>
      <c r="N90" s="231">
        <v>240</v>
      </c>
      <c r="O90" s="231"/>
      <c r="P90" s="232">
        <f t="shared" si="76"/>
        <v>1656</v>
      </c>
    </row>
    <row r="91" spans="2:17" ht="14.5" hidden="1" thickBot="1" x14ac:dyDescent="0.35">
      <c r="C91" s="257" t="s">
        <v>223</v>
      </c>
      <c r="D91" s="375"/>
      <c r="E91" s="375"/>
      <c r="F91" s="233"/>
      <c r="G91" s="234"/>
      <c r="H91" s="233"/>
      <c r="I91" s="235">
        <f>SUM(I88:I90)</f>
        <v>111.80000000000001</v>
      </c>
      <c r="J91" s="235">
        <f t="shared" ref="J91:M91" si="77">SUM(J88:J90)</f>
        <v>0</v>
      </c>
      <c r="K91" s="235">
        <f t="shared" si="77"/>
        <v>51948.160000000003</v>
      </c>
      <c r="L91" s="235">
        <f t="shared" si="77"/>
        <v>2597.4080000000004</v>
      </c>
      <c r="M91" s="235">
        <f t="shared" si="77"/>
        <v>54545.567999999999</v>
      </c>
      <c r="N91" s="237"/>
      <c r="O91" s="237"/>
      <c r="P91" s="238">
        <f>SUM(P88:P90)</f>
        <v>29640</v>
      </c>
    </row>
    <row r="92" spans="2:17" hidden="1" x14ac:dyDescent="0.3"/>
    <row r="93" spans="2:17" ht="14.5" hidden="1" thickBot="1" x14ac:dyDescent="0.35">
      <c r="C93" s="258" t="s">
        <v>226</v>
      </c>
    </row>
    <row r="94" spans="2:17" ht="14.5" hidden="1" thickBot="1" x14ac:dyDescent="0.35">
      <c r="C94" s="255" t="s">
        <v>230</v>
      </c>
      <c r="D94" s="215"/>
      <c r="E94" s="239"/>
      <c r="F94" s="239"/>
      <c r="G94" s="216"/>
      <c r="H94" s="217"/>
      <c r="I94" s="217"/>
      <c r="J94" s="218"/>
      <c r="K94" s="218"/>
      <c r="L94" s="219"/>
      <c r="M94" s="219"/>
      <c r="N94" s="219"/>
      <c r="O94" s="586" t="s">
        <v>237</v>
      </c>
      <c r="P94" s="587"/>
      <c r="Q94" s="588"/>
    </row>
    <row r="95" spans="2:17" ht="17" hidden="1" x14ac:dyDescent="0.6">
      <c r="C95" s="223" t="s">
        <v>238</v>
      </c>
      <c r="D95" s="224"/>
      <c r="E95" s="241"/>
      <c r="F95" s="225"/>
      <c r="G95" s="225"/>
      <c r="H95" s="224"/>
      <c r="I95" s="226"/>
      <c r="J95" s="226" t="s">
        <v>239</v>
      </c>
      <c r="K95" s="226" t="s">
        <v>240</v>
      </c>
      <c r="L95" s="226" t="s">
        <v>241</v>
      </c>
      <c r="M95" s="228"/>
      <c r="N95" s="228"/>
      <c r="O95" s="240"/>
      <c r="P95" s="226"/>
      <c r="Q95" s="229"/>
    </row>
    <row r="96" spans="2:17" ht="17" hidden="1" x14ac:dyDescent="0.6">
      <c r="C96" s="256" t="s">
        <v>242</v>
      </c>
      <c r="D96" s="241"/>
      <c r="E96" s="241"/>
      <c r="F96" s="225"/>
      <c r="G96" s="225"/>
      <c r="H96" s="242"/>
      <c r="I96" s="242"/>
      <c r="J96" s="242">
        <v>76</v>
      </c>
      <c r="K96" s="242">
        <v>0.1</v>
      </c>
      <c r="L96" s="242">
        <f>J96*K96</f>
        <v>7.6000000000000005</v>
      </c>
      <c r="M96" s="243"/>
      <c r="N96" s="243"/>
      <c r="O96" s="244"/>
      <c r="P96" s="242"/>
      <c r="Q96" s="232">
        <f>L96</f>
        <v>7.6000000000000005</v>
      </c>
    </row>
    <row r="97" spans="3:17" ht="17" hidden="1" x14ac:dyDescent="0.6">
      <c r="C97" s="256" t="s">
        <v>243</v>
      </c>
      <c r="D97" s="241"/>
      <c r="E97" s="241"/>
      <c r="F97" s="225"/>
      <c r="G97" s="225"/>
      <c r="H97" s="242"/>
      <c r="I97" s="242"/>
      <c r="J97" s="242"/>
      <c r="K97" s="242"/>
      <c r="L97" s="242">
        <f t="shared" ref="L97:L101" si="78">J97*K97</f>
        <v>0</v>
      </c>
      <c r="M97" s="243"/>
      <c r="N97" s="243"/>
      <c r="O97" s="244"/>
      <c r="P97" s="242"/>
      <c r="Q97" s="232">
        <f t="shared" ref="Q97:Q105" si="79">L97</f>
        <v>0</v>
      </c>
    </row>
    <row r="98" spans="3:17" ht="17" hidden="1" x14ac:dyDescent="0.6">
      <c r="C98" s="256" t="s">
        <v>244</v>
      </c>
      <c r="D98" s="241"/>
      <c r="E98" s="241"/>
      <c r="F98" s="225"/>
      <c r="G98" s="225"/>
      <c r="H98" s="242"/>
      <c r="I98" s="242"/>
      <c r="J98" s="242"/>
      <c r="K98" s="242"/>
      <c r="L98" s="242">
        <f t="shared" si="78"/>
        <v>0</v>
      </c>
      <c r="M98" s="243"/>
      <c r="N98" s="243"/>
      <c r="O98" s="244"/>
      <c r="P98" s="242"/>
      <c r="Q98" s="232">
        <f t="shared" si="79"/>
        <v>0</v>
      </c>
    </row>
    <row r="99" spans="3:17" ht="17" hidden="1" x14ac:dyDescent="0.6">
      <c r="C99" s="256" t="s">
        <v>245</v>
      </c>
      <c r="D99" s="241"/>
      <c r="E99" s="241"/>
      <c r="F99" s="225"/>
      <c r="G99" s="225"/>
      <c r="H99" s="242"/>
      <c r="I99" s="242"/>
      <c r="J99" s="242">
        <f>'Bennett Jones Disb.'!O13+'Bennett Jones Disb.'!O14+'Bennett Jones Disb.'!O15+'Bennett Jones Disb.'!O16+'Bennett Jones Disb.'!O17+'Bennett Jones Disb.'!O18+'Bennett Jones Disb.'!O19+'Bennett Jones Disb.'!O20+'Bennett Jones Disb.'!O21+'Bennett Jones Disb.'!O30+'Bennett Jones Disb.'!O31+'Bennett Jones Disb.'!O32+'Bennett Jones Disb.'!O33+'Bennett Jones Disb.'!O36+'Bennett Jones Disb.'!O38+'Bennett Jones Disb.'!O39+'Bennett Jones Disb.'!O40</f>
        <v>26</v>
      </c>
      <c r="K99" s="242" t="s">
        <v>246</v>
      </c>
      <c r="L99" s="242">
        <f>'Bennett Jones Disb.'!P13+'Bennett Jones Disb.'!P14+'Bennett Jones Disb.'!P15+'Bennett Jones Disb.'!P16+'Bennett Jones Disb.'!P17+'Bennett Jones Disb.'!P18+'Bennett Jones Disb.'!P19+'Bennett Jones Disb.'!P20+'Bennett Jones Disb.'!P21+'Bennett Jones Disb.'!P30+'Bennett Jones Disb.'!P31+'Bennett Jones Disb.'!P32+'Bennett Jones Disb.'!P33+'Bennett Jones Disb.'!P36+'Bennett Jones Disb.'!P38+'Bennett Jones Disb.'!P39+'Bennett Jones Disb.'!P40</f>
        <v>668.41000000000008</v>
      </c>
      <c r="M99" s="243"/>
      <c r="N99" s="243"/>
      <c r="O99" s="244"/>
      <c r="P99" s="242"/>
      <c r="Q99" s="232">
        <f t="shared" si="79"/>
        <v>668.41000000000008</v>
      </c>
    </row>
    <row r="100" spans="3:17" ht="17" hidden="1" x14ac:dyDescent="0.6">
      <c r="C100" s="256" t="s">
        <v>247</v>
      </c>
      <c r="D100" s="241"/>
      <c r="E100" s="241"/>
      <c r="F100" s="225"/>
      <c r="G100" s="225"/>
      <c r="H100" s="242"/>
      <c r="I100" s="242"/>
      <c r="J100" s="242">
        <f>+'Bennett Jones Disb.'!O25+'Bennett Jones Disb.'!O26</f>
        <v>14</v>
      </c>
      <c r="K100" s="242">
        <v>208</v>
      </c>
      <c r="L100" s="242">
        <f t="shared" si="78"/>
        <v>2912</v>
      </c>
      <c r="M100" s="243"/>
      <c r="N100" s="243"/>
      <c r="O100" s="244"/>
      <c r="P100" s="242"/>
      <c r="Q100" s="232">
        <f t="shared" si="79"/>
        <v>2912</v>
      </c>
    </row>
    <row r="101" spans="3:17" ht="17" hidden="1" x14ac:dyDescent="0.6">
      <c r="C101" s="256" t="s">
        <v>248</v>
      </c>
      <c r="D101" s="241"/>
      <c r="E101" s="241"/>
      <c r="F101" s="225"/>
      <c r="G101" s="225"/>
      <c r="H101" s="242"/>
      <c r="I101" s="242"/>
      <c r="J101" s="242"/>
      <c r="K101" s="242"/>
      <c r="L101" s="242">
        <f t="shared" si="78"/>
        <v>0</v>
      </c>
      <c r="M101" s="243"/>
      <c r="N101" s="243"/>
      <c r="O101" s="244"/>
      <c r="P101" s="242"/>
      <c r="Q101" s="232">
        <f t="shared" si="79"/>
        <v>0</v>
      </c>
    </row>
    <row r="102" spans="3:17" ht="17" hidden="1" x14ac:dyDescent="0.6">
      <c r="C102" s="256" t="s">
        <v>179</v>
      </c>
      <c r="D102" s="241"/>
      <c r="E102" s="241"/>
      <c r="F102" s="225"/>
      <c r="G102" s="225"/>
      <c r="H102" s="242"/>
      <c r="I102" s="242"/>
      <c r="J102" s="242">
        <v>3</v>
      </c>
      <c r="K102" s="242" t="s">
        <v>246</v>
      </c>
      <c r="L102" s="242">
        <f>+'Bennett Jones Disb.'!P12+'Bennett Jones Disb.'!P22</f>
        <v>118.4</v>
      </c>
      <c r="M102" s="243"/>
      <c r="N102" s="243"/>
      <c r="O102" s="244"/>
      <c r="P102" s="242"/>
      <c r="Q102" s="232">
        <f t="shared" si="79"/>
        <v>118.4</v>
      </c>
    </row>
    <row r="103" spans="3:17" ht="17" hidden="1" x14ac:dyDescent="0.6">
      <c r="C103" s="256" t="s">
        <v>249</v>
      </c>
      <c r="D103" s="241"/>
      <c r="E103" s="241"/>
      <c r="F103" s="225"/>
      <c r="G103" s="225"/>
      <c r="H103" s="242"/>
      <c r="I103" s="242"/>
      <c r="J103" s="242">
        <f>+'Bennett Jones Disb.'!O34</f>
        <v>2</v>
      </c>
      <c r="K103" s="242" t="s">
        <v>250</v>
      </c>
      <c r="L103" s="242">
        <f>+'Bennett Jones Disb.'!P34</f>
        <v>799.37</v>
      </c>
      <c r="M103" s="243"/>
      <c r="N103" s="243"/>
      <c r="O103" s="244"/>
      <c r="P103" s="242"/>
      <c r="Q103" s="232">
        <f t="shared" si="79"/>
        <v>799.37</v>
      </c>
    </row>
    <row r="104" spans="3:17" ht="17" hidden="1" x14ac:dyDescent="0.6">
      <c r="C104" s="256" t="s">
        <v>251</v>
      </c>
      <c r="D104" s="241"/>
      <c r="E104" s="241"/>
      <c r="F104" s="225"/>
      <c r="G104" s="225"/>
      <c r="H104" s="242"/>
      <c r="I104" s="242"/>
      <c r="J104" s="242"/>
      <c r="K104" s="242"/>
      <c r="L104" s="242"/>
      <c r="M104" s="243"/>
      <c r="N104" s="243"/>
      <c r="O104" s="244"/>
      <c r="P104" s="242"/>
      <c r="Q104" s="232">
        <f t="shared" si="79"/>
        <v>0</v>
      </c>
    </row>
    <row r="105" spans="3:17" ht="17" hidden="1" x14ac:dyDescent="0.6">
      <c r="C105" s="256" t="s">
        <v>226</v>
      </c>
      <c r="D105" s="241"/>
      <c r="E105" s="241"/>
      <c r="F105" s="225"/>
      <c r="G105" s="225"/>
      <c r="H105" s="242"/>
      <c r="I105" s="242"/>
      <c r="J105" s="242"/>
      <c r="K105" s="242"/>
      <c r="L105" s="242"/>
      <c r="M105" s="243"/>
      <c r="N105" s="243"/>
      <c r="O105" s="244"/>
      <c r="P105" s="242"/>
      <c r="Q105" s="232">
        <f t="shared" si="79"/>
        <v>0</v>
      </c>
    </row>
    <row r="106" spans="3:17" ht="14.5" hidden="1" thickBot="1" x14ac:dyDescent="0.35">
      <c r="C106" s="259" t="s">
        <v>223</v>
      </c>
      <c r="D106" s="245"/>
      <c r="E106" s="245"/>
      <c r="F106" s="246"/>
      <c r="G106" s="246"/>
      <c r="H106" s="235"/>
      <c r="I106" s="235"/>
      <c r="J106" s="235"/>
      <c r="K106" s="235"/>
      <c r="L106" s="235"/>
      <c r="M106" s="235"/>
      <c r="N106" s="235"/>
      <c r="O106" s="247"/>
      <c r="P106" s="235"/>
      <c r="Q106" s="238">
        <f>SUM(Q96:Q105)</f>
        <v>4505.7800000000007</v>
      </c>
    </row>
    <row r="107" spans="3:17" hidden="1" x14ac:dyDescent="0.3"/>
    <row r="108" spans="3:17" hidden="1" x14ac:dyDescent="0.3">
      <c r="C108" s="260" t="s">
        <v>252</v>
      </c>
      <c r="D108" s="260"/>
      <c r="E108" s="260"/>
      <c r="F108" s="248"/>
      <c r="G108" s="249"/>
      <c r="H108" s="249"/>
      <c r="I108" s="250">
        <f>I74+I83+I91</f>
        <v>560.80000000000007</v>
      </c>
      <c r="J108" s="249"/>
      <c r="K108" s="250"/>
      <c r="L108" s="250"/>
      <c r="M108" s="250"/>
      <c r="N108" s="249"/>
      <c r="O108" s="249"/>
      <c r="P108" s="250">
        <f>P74+P83+Q106+P91</f>
        <v>157339.78</v>
      </c>
    </row>
    <row r="109" spans="3:17" hidden="1" x14ac:dyDescent="0.3">
      <c r="C109" s="191" t="s">
        <v>253</v>
      </c>
      <c r="I109" s="251"/>
      <c r="K109" s="251"/>
      <c r="L109" s="251"/>
      <c r="M109" s="251"/>
      <c r="P109" s="182"/>
      <c r="Q109" s="92"/>
    </row>
    <row r="110" spans="3:17" hidden="1" x14ac:dyDescent="0.3">
      <c r="C110" s="191" t="s">
        <v>254</v>
      </c>
      <c r="I110" s="251"/>
      <c r="K110" s="251"/>
      <c r="L110" s="251"/>
      <c r="M110" s="251"/>
      <c r="P110" s="92"/>
    </row>
    <row r="111" spans="3:17" hidden="1" x14ac:dyDescent="0.3"/>
  </sheetData>
  <mergeCells count="4">
    <mergeCell ref="O94:Q94"/>
    <mergeCell ref="B2:R2"/>
    <mergeCell ref="B5:R5"/>
    <mergeCell ref="B3:R3"/>
  </mergeCells>
  <pageMargins left="0.7" right="0.7" top="0.75" bottom="0.75" header="0.3" footer="0.3"/>
  <pageSetup scale="46" orientation="landscape" r:id="rId1"/>
  <ignoredErrors>
    <ignoredError sqref="J38 J39:J51 P43:R43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AEC9-24CD-4EB2-9A51-EA91A73B522F}">
  <dimension ref="A1:S81"/>
  <sheetViews>
    <sheetView tabSelected="1" zoomScaleNormal="100" workbookViewId="0">
      <selection activeCell="I4" sqref="I4:J6"/>
    </sheetView>
    <sheetView zoomScale="80" zoomScaleNormal="80" workbookViewId="1">
      <selection activeCell="H9" sqref="H9"/>
    </sheetView>
  </sheetViews>
  <sheetFormatPr defaultRowHeight="14" x14ac:dyDescent="0.35"/>
  <cols>
    <col min="1" max="1" width="51.81640625" style="289" customWidth="1"/>
    <col min="2" max="6" width="30.54296875" style="289" customWidth="1"/>
    <col min="7" max="7" width="4.453125" style="289" customWidth="1"/>
    <col min="8" max="8" width="16.54296875" style="289" customWidth="1"/>
    <col min="9" max="9" width="6.54296875" style="289" customWidth="1"/>
    <col min="10" max="10" width="19.54296875" style="289" customWidth="1"/>
    <col min="11" max="11" width="6.54296875" style="289" bestFit="1" customWidth="1"/>
    <col min="12" max="13" width="8.81640625" style="289" bestFit="1" customWidth="1"/>
    <col min="14" max="14" width="12.26953125" style="289" customWidth="1"/>
    <col min="15" max="18" width="9.1796875" style="289"/>
    <col min="19" max="19" width="11.1796875" style="289" customWidth="1"/>
    <col min="20" max="257" width="9.1796875" style="289"/>
    <col min="258" max="258" width="5.54296875" style="289" customWidth="1"/>
    <col min="259" max="259" width="10.54296875" style="289" customWidth="1"/>
    <col min="260" max="260" width="16.54296875" style="289" customWidth="1"/>
    <col min="261" max="261" width="6.54296875" style="289" customWidth="1"/>
    <col min="262" max="263" width="10.54296875" style="289" customWidth="1"/>
    <col min="264" max="266" width="20.54296875" style="289" customWidth="1"/>
    <col min="267" max="513" width="9.1796875" style="289"/>
    <col min="514" max="514" width="5.54296875" style="289" customWidth="1"/>
    <col min="515" max="515" width="10.54296875" style="289" customWidth="1"/>
    <col min="516" max="516" width="16.54296875" style="289" customWidth="1"/>
    <col min="517" max="517" width="6.54296875" style="289" customWidth="1"/>
    <col min="518" max="519" width="10.54296875" style="289" customWidth="1"/>
    <col min="520" max="522" width="20.54296875" style="289" customWidth="1"/>
    <col min="523" max="769" width="9.1796875" style="289"/>
    <col min="770" max="770" width="5.54296875" style="289" customWidth="1"/>
    <col min="771" max="771" width="10.54296875" style="289" customWidth="1"/>
    <col min="772" max="772" width="16.54296875" style="289" customWidth="1"/>
    <col min="773" max="773" width="6.54296875" style="289" customWidth="1"/>
    <col min="774" max="775" width="10.54296875" style="289" customWidth="1"/>
    <col min="776" max="778" width="20.54296875" style="289" customWidth="1"/>
    <col min="779" max="1025" width="9.1796875" style="289"/>
    <col min="1026" max="1026" width="5.54296875" style="289" customWidth="1"/>
    <col min="1027" max="1027" width="10.54296875" style="289" customWidth="1"/>
    <col min="1028" max="1028" width="16.54296875" style="289" customWidth="1"/>
    <col min="1029" max="1029" width="6.54296875" style="289" customWidth="1"/>
    <col min="1030" max="1031" width="10.54296875" style="289" customWidth="1"/>
    <col min="1032" max="1034" width="20.54296875" style="289" customWidth="1"/>
    <col min="1035" max="1281" width="9.1796875" style="289"/>
    <col min="1282" max="1282" width="5.54296875" style="289" customWidth="1"/>
    <col min="1283" max="1283" width="10.54296875" style="289" customWidth="1"/>
    <col min="1284" max="1284" width="16.54296875" style="289" customWidth="1"/>
    <col min="1285" max="1285" width="6.54296875" style="289" customWidth="1"/>
    <col min="1286" max="1287" width="10.54296875" style="289" customWidth="1"/>
    <col min="1288" max="1290" width="20.54296875" style="289" customWidth="1"/>
    <col min="1291" max="1537" width="9.1796875" style="289"/>
    <col min="1538" max="1538" width="5.54296875" style="289" customWidth="1"/>
    <col min="1539" max="1539" width="10.54296875" style="289" customWidth="1"/>
    <col min="1540" max="1540" width="16.54296875" style="289" customWidth="1"/>
    <col min="1541" max="1541" width="6.54296875" style="289" customWidth="1"/>
    <col min="1542" max="1543" width="10.54296875" style="289" customWidth="1"/>
    <col min="1544" max="1546" width="20.54296875" style="289" customWidth="1"/>
    <col min="1547" max="1793" width="9.1796875" style="289"/>
    <col min="1794" max="1794" width="5.54296875" style="289" customWidth="1"/>
    <col min="1795" max="1795" width="10.54296875" style="289" customWidth="1"/>
    <col min="1796" max="1796" width="16.54296875" style="289" customWidth="1"/>
    <col min="1797" max="1797" width="6.54296875" style="289" customWidth="1"/>
    <col min="1798" max="1799" width="10.54296875" style="289" customWidth="1"/>
    <col min="1800" max="1802" width="20.54296875" style="289" customWidth="1"/>
    <col min="1803" max="2049" width="9.1796875" style="289"/>
    <col min="2050" max="2050" width="5.54296875" style="289" customWidth="1"/>
    <col min="2051" max="2051" width="10.54296875" style="289" customWidth="1"/>
    <col min="2052" max="2052" width="16.54296875" style="289" customWidth="1"/>
    <col min="2053" max="2053" width="6.54296875" style="289" customWidth="1"/>
    <col min="2054" max="2055" width="10.54296875" style="289" customWidth="1"/>
    <col min="2056" max="2058" width="20.54296875" style="289" customWidth="1"/>
    <col min="2059" max="2305" width="9.1796875" style="289"/>
    <col min="2306" max="2306" width="5.54296875" style="289" customWidth="1"/>
    <col min="2307" max="2307" width="10.54296875" style="289" customWidth="1"/>
    <col min="2308" max="2308" width="16.54296875" style="289" customWidth="1"/>
    <col min="2309" max="2309" width="6.54296875" style="289" customWidth="1"/>
    <col min="2310" max="2311" width="10.54296875" style="289" customWidth="1"/>
    <col min="2312" max="2314" width="20.54296875" style="289" customWidth="1"/>
    <col min="2315" max="2561" width="9.1796875" style="289"/>
    <col min="2562" max="2562" width="5.54296875" style="289" customWidth="1"/>
    <col min="2563" max="2563" width="10.54296875" style="289" customWidth="1"/>
    <col min="2564" max="2564" width="16.54296875" style="289" customWidth="1"/>
    <col min="2565" max="2565" width="6.54296875" style="289" customWidth="1"/>
    <col min="2566" max="2567" width="10.54296875" style="289" customWidth="1"/>
    <col min="2568" max="2570" width="20.54296875" style="289" customWidth="1"/>
    <col min="2571" max="2817" width="9.1796875" style="289"/>
    <col min="2818" max="2818" width="5.54296875" style="289" customWidth="1"/>
    <col min="2819" max="2819" width="10.54296875" style="289" customWidth="1"/>
    <col min="2820" max="2820" width="16.54296875" style="289" customWidth="1"/>
    <col min="2821" max="2821" width="6.54296875" style="289" customWidth="1"/>
    <col min="2822" max="2823" width="10.54296875" style="289" customWidth="1"/>
    <col min="2824" max="2826" width="20.54296875" style="289" customWidth="1"/>
    <col min="2827" max="3073" width="9.1796875" style="289"/>
    <col min="3074" max="3074" width="5.54296875" style="289" customWidth="1"/>
    <col min="3075" max="3075" width="10.54296875" style="289" customWidth="1"/>
    <col min="3076" max="3076" width="16.54296875" style="289" customWidth="1"/>
    <col min="3077" max="3077" width="6.54296875" style="289" customWidth="1"/>
    <col min="3078" max="3079" width="10.54296875" style="289" customWidth="1"/>
    <col min="3080" max="3082" width="20.54296875" style="289" customWidth="1"/>
    <col min="3083" max="3329" width="9.1796875" style="289"/>
    <col min="3330" max="3330" width="5.54296875" style="289" customWidth="1"/>
    <col min="3331" max="3331" width="10.54296875" style="289" customWidth="1"/>
    <col min="3332" max="3332" width="16.54296875" style="289" customWidth="1"/>
    <col min="3333" max="3333" width="6.54296875" style="289" customWidth="1"/>
    <col min="3334" max="3335" width="10.54296875" style="289" customWidth="1"/>
    <col min="3336" max="3338" width="20.54296875" style="289" customWidth="1"/>
    <col min="3339" max="3585" width="9.1796875" style="289"/>
    <col min="3586" max="3586" width="5.54296875" style="289" customWidth="1"/>
    <col min="3587" max="3587" width="10.54296875" style="289" customWidth="1"/>
    <col min="3588" max="3588" width="16.54296875" style="289" customWidth="1"/>
    <col min="3589" max="3589" width="6.54296875" style="289" customWidth="1"/>
    <col min="3590" max="3591" width="10.54296875" style="289" customWidth="1"/>
    <col min="3592" max="3594" width="20.54296875" style="289" customWidth="1"/>
    <col min="3595" max="3841" width="9.1796875" style="289"/>
    <col min="3842" max="3842" width="5.54296875" style="289" customWidth="1"/>
    <col min="3843" max="3843" width="10.54296875" style="289" customWidth="1"/>
    <col min="3844" max="3844" width="16.54296875" style="289" customWidth="1"/>
    <col min="3845" max="3845" width="6.54296875" style="289" customWidth="1"/>
    <col min="3846" max="3847" width="10.54296875" style="289" customWidth="1"/>
    <col min="3848" max="3850" width="20.54296875" style="289" customWidth="1"/>
    <col min="3851" max="4097" width="9.1796875" style="289"/>
    <col min="4098" max="4098" width="5.54296875" style="289" customWidth="1"/>
    <col min="4099" max="4099" width="10.54296875" style="289" customWidth="1"/>
    <col min="4100" max="4100" width="16.54296875" style="289" customWidth="1"/>
    <col min="4101" max="4101" width="6.54296875" style="289" customWidth="1"/>
    <col min="4102" max="4103" width="10.54296875" style="289" customWidth="1"/>
    <col min="4104" max="4106" width="20.54296875" style="289" customWidth="1"/>
    <col min="4107" max="4353" width="9.1796875" style="289"/>
    <col min="4354" max="4354" width="5.54296875" style="289" customWidth="1"/>
    <col min="4355" max="4355" width="10.54296875" style="289" customWidth="1"/>
    <col min="4356" max="4356" width="16.54296875" style="289" customWidth="1"/>
    <col min="4357" max="4357" width="6.54296875" style="289" customWidth="1"/>
    <col min="4358" max="4359" width="10.54296875" style="289" customWidth="1"/>
    <col min="4360" max="4362" width="20.54296875" style="289" customWidth="1"/>
    <col min="4363" max="4609" width="9.1796875" style="289"/>
    <col min="4610" max="4610" width="5.54296875" style="289" customWidth="1"/>
    <col min="4611" max="4611" width="10.54296875" style="289" customWidth="1"/>
    <col min="4612" max="4612" width="16.54296875" style="289" customWidth="1"/>
    <col min="4613" max="4613" width="6.54296875" style="289" customWidth="1"/>
    <col min="4614" max="4615" width="10.54296875" style="289" customWidth="1"/>
    <col min="4616" max="4618" width="20.54296875" style="289" customWidth="1"/>
    <col min="4619" max="4865" width="9.1796875" style="289"/>
    <col min="4866" max="4866" width="5.54296875" style="289" customWidth="1"/>
    <col min="4867" max="4867" width="10.54296875" style="289" customWidth="1"/>
    <col min="4868" max="4868" width="16.54296875" style="289" customWidth="1"/>
    <col min="4869" max="4869" width="6.54296875" style="289" customWidth="1"/>
    <col min="4870" max="4871" width="10.54296875" style="289" customWidth="1"/>
    <col min="4872" max="4874" width="20.54296875" style="289" customWidth="1"/>
    <col min="4875" max="5121" width="9.1796875" style="289"/>
    <col min="5122" max="5122" width="5.54296875" style="289" customWidth="1"/>
    <col min="5123" max="5123" width="10.54296875" style="289" customWidth="1"/>
    <col min="5124" max="5124" width="16.54296875" style="289" customWidth="1"/>
    <col min="5125" max="5125" width="6.54296875" style="289" customWidth="1"/>
    <col min="5126" max="5127" width="10.54296875" style="289" customWidth="1"/>
    <col min="5128" max="5130" width="20.54296875" style="289" customWidth="1"/>
    <col min="5131" max="5377" width="9.1796875" style="289"/>
    <col min="5378" max="5378" width="5.54296875" style="289" customWidth="1"/>
    <col min="5379" max="5379" width="10.54296875" style="289" customWidth="1"/>
    <col min="5380" max="5380" width="16.54296875" style="289" customWidth="1"/>
    <col min="5381" max="5381" width="6.54296875" style="289" customWidth="1"/>
    <col min="5382" max="5383" width="10.54296875" style="289" customWidth="1"/>
    <col min="5384" max="5386" width="20.54296875" style="289" customWidth="1"/>
    <col min="5387" max="5633" width="9.1796875" style="289"/>
    <col min="5634" max="5634" width="5.54296875" style="289" customWidth="1"/>
    <col min="5635" max="5635" width="10.54296875" style="289" customWidth="1"/>
    <col min="5636" max="5636" width="16.54296875" style="289" customWidth="1"/>
    <col min="5637" max="5637" width="6.54296875" style="289" customWidth="1"/>
    <col min="5638" max="5639" width="10.54296875" style="289" customWidth="1"/>
    <col min="5640" max="5642" width="20.54296875" style="289" customWidth="1"/>
    <col min="5643" max="5889" width="9.1796875" style="289"/>
    <col min="5890" max="5890" width="5.54296875" style="289" customWidth="1"/>
    <col min="5891" max="5891" width="10.54296875" style="289" customWidth="1"/>
    <col min="5892" max="5892" width="16.54296875" style="289" customWidth="1"/>
    <col min="5893" max="5893" width="6.54296875" style="289" customWidth="1"/>
    <col min="5894" max="5895" width="10.54296875" style="289" customWidth="1"/>
    <col min="5896" max="5898" width="20.54296875" style="289" customWidth="1"/>
    <col min="5899" max="6145" width="9.1796875" style="289"/>
    <col min="6146" max="6146" width="5.54296875" style="289" customWidth="1"/>
    <col min="6147" max="6147" width="10.54296875" style="289" customWidth="1"/>
    <col min="6148" max="6148" width="16.54296875" style="289" customWidth="1"/>
    <col min="6149" max="6149" width="6.54296875" style="289" customWidth="1"/>
    <col min="6150" max="6151" width="10.54296875" style="289" customWidth="1"/>
    <col min="6152" max="6154" width="20.54296875" style="289" customWidth="1"/>
    <col min="6155" max="6401" width="9.1796875" style="289"/>
    <col min="6402" max="6402" width="5.54296875" style="289" customWidth="1"/>
    <col min="6403" max="6403" width="10.54296875" style="289" customWidth="1"/>
    <col min="6404" max="6404" width="16.54296875" style="289" customWidth="1"/>
    <col min="6405" max="6405" width="6.54296875" style="289" customWidth="1"/>
    <col min="6406" max="6407" width="10.54296875" style="289" customWidth="1"/>
    <col min="6408" max="6410" width="20.54296875" style="289" customWidth="1"/>
    <col min="6411" max="6657" width="9.1796875" style="289"/>
    <col min="6658" max="6658" width="5.54296875" style="289" customWidth="1"/>
    <col min="6659" max="6659" width="10.54296875" style="289" customWidth="1"/>
    <col min="6660" max="6660" width="16.54296875" style="289" customWidth="1"/>
    <col min="6661" max="6661" width="6.54296875" style="289" customWidth="1"/>
    <col min="6662" max="6663" width="10.54296875" style="289" customWidth="1"/>
    <col min="6664" max="6666" width="20.54296875" style="289" customWidth="1"/>
    <col min="6667" max="6913" width="9.1796875" style="289"/>
    <col min="6914" max="6914" width="5.54296875" style="289" customWidth="1"/>
    <col min="6915" max="6915" width="10.54296875" style="289" customWidth="1"/>
    <col min="6916" max="6916" width="16.54296875" style="289" customWidth="1"/>
    <col min="6917" max="6917" width="6.54296875" style="289" customWidth="1"/>
    <col min="6918" max="6919" width="10.54296875" style="289" customWidth="1"/>
    <col min="6920" max="6922" width="20.54296875" style="289" customWidth="1"/>
    <col min="6923" max="7169" width="9.1796875" style="289"/>
    <col min="7170" max="7170" width="5.54296875" style="289" customWidth="1"/>
    <col min="7171" max="7171" width="10.54296875" style="289" customWidth="1"/>
    <col min="7172" max="7172" width="16.54296875" style="289" customWidth="1"/>
    <col min="7173" max="7173" width="6.54296875" style="289" customWidth="1"/>
    <col min="7174" max="7175" width="10.54296875" style="289" customWidth="1"/>
    <col min="7176" max="7178" width="20.54296875" style="289" customWidth="1"/>
    <col min="7179" max="7425" width="9.1796875" style="289"/>
    <col min="7426" max="7426" width="5.54296875" style="289" customWidth="1"/>
    <col min="7427" max="7427" width="10.54296875" style="289" customWidth="1"/>
    <col min="7428" max="7428" width="16.54296875" style="289" customWidth="1"/>
    <col min="7429" max="7429" width="6.54296875" style="289" customWidth="1"/>
    <col min="7430" max="7431" width="10.54296875" style="289" customWidth="1"/>
    <col min="7432" max="7434" width="20.54296875" style="289" customWidth="1"/>
    <col min="7435" max="7681" width="9.1796875" style="289"/>
    <col min="7682" max="7682" width="5.54296875" style="289" customWidth="1"/>
    <col min="7683" max="7683" width="10.54296875" style="289" customWidth="1"/>
    <col min="7684" max="7684" width="16.54296875" style="289" customWidth="1"/>
    <col min="7685" max="7685" width="6.54296875" style="289" customWidth="1"/>
    <col min="7686" max="7687" width="10.54296875" style="289" customWidth="1"/>
    <col min="7688" max="7690" width="20.54296875" style="289" customWidth="1"/>
    <col min="7691" max="7937" width="9.1796875" style="289"/>
    <col min="7938" max="7938" width="5.54296875" style="289" customWidth="1"/>
    <col min="7939" max="7939" width="10.54296875" style="289" customWidth="1"/>
    <col min="7940" max="7940" width="16.54296875" style="289" customWidth="1"/>
    <col min="7941" max="7941" width="6.54296875" style="289" customWidth="1"/>
    <col min="7942" max="7943" width="10.54296875" style="289" customWidth="1"/>
    <col min="7944" max="7946" width="20.54296875" style="289" customWidth="1"/>
    <col min="7947" max="8193" width="9.1796875" style="289"/>
    <col min="8194" max="8194" width="5.54296875" style="289" customWidth="1"/>
    <col min="8195" max="8195" width="10.54296875" style="289" customWidth="1"/>
    <col min="8196" max="8196" width="16.54296875" style="289" customWidth="1"/>
    <col min="8197" max="8197" width="6.54296875" style="289" customWidth="1"/>
    <col min="8198" max="8199" width="10.54296875" style="289" customWidth="1"/>
    <col min="8200" max="8202" width="20.54296875" style="289" customWidth="1"/>
    <col min="8203" max="8449" width="9.1796875" style="289"/>
    <col min="8450" max="8450" width="5.54296875" style="289" customWidth="1"/>
    <col min="8451" max="8451" width="10.54296875" style="289" customWidth="1"/>
    <col min="8452" max="8452" width="16.54296875" style="289" customWidth="1"/>
    <col min="8453" max="8453" width="6.54296875" style="289" customWidth="1"/>
    <col min="8454" max="8455" width="10.54296875" style="289" customWidth="1"/>
    <col min="8456" max="8458" width="20.54296875" style="289" customWidth="1"/>
    <col min="8459" max="8705" width="9.1796875" style="289"/>
    <col min="8706" max="8706" width="5.54296875" style="289" customWidth="1"/>
    <col min="8707" max="8707" width="10.54296875" style="289" customWidth="1"/>
    <col min="8708" max="8708" width="16.54296875" style="289" customWidth="1"/>
    <col min="8709" max="8709" width="6.54296875" style="289" customWidth="1"/>
    <col min="8710" max="8711" width="10.54296875" style="289" customWidth="1"/>
    <col min="8712" max="8714" width="20.54296875" style="289" customWidth="1"/>
    <col min="8715" max="8961" width="9.1796875" style="289"/>
    <col min="8962" max="8962" width="5.54296875" style="289" customWidth="1"/>
    <col min="8963" max="8963" width="10.54296875" style="289" customWidth="1"/>
    <col min="8964" max="8964" width="16.54296875" style="289" customWidth="1"/>
    <col min="8965" max="8965" width="6.54296875" style="289" customWidth="1"/>
    <col min="8966" max="8967" width="10.54296875" style="289" customWidth="1"/>
    <col min="8968" max="8970" width="20.54296875" style="289" customWidth="1"/>
    <col min="8971" max="9217" width="9.1796875" style="289"/>
    <col min="9218" max="9218" width="5.54296875" style="289" customWidth="1"/>
    <col min="9219" max="9219" width="10.54296875" style="289" customWidth="1"/>
    <col min="9220" max="9220" width="16.54296875" style="289" customWidth="1"/>
    <col min="9221" max="9221" width="6.54296875" style="289" customWidth="1"/>
    <col min="9222" max="9223" width="10.54296875" style="289" customWidth="1"/>
    <col min="9224" max="9226" width="20.54296875" style="289" customWidth="1"/>
    <col min="9227" max="9473" width="9.1796875" style="289"/>
    <col min="9474" max="9474" width="5.54296875" style="289" customWidth="1"/>
    <col min="9475" max="9475" width="10.54296875" style="289" customWidth="1"/>
    <col min="9476" max="9476" width="16.54296875" style="289" customWidth="1"/>
    <col min="9477" max="9477" width="6.54296875" style="289" customWidth="1"/>
    <col min="9478" max="9479" width="10.54296875" style="289" customWidth="1"/>
    <col min="9480" max="9482" width="20.54296875" style="289" customWidth="1"/>
    <col min="9483" max="9729" width="9.1796875" style="289"/>
    <col min="9730" max="9730" width="5.54296875" style="289" customWidth="1"/>
    <col min="9731" max="9731" width="10.54296875" style="289" customWidth="1"/>
    <col min="9732" max="9732" width="16.54296875" style="289" customWidth="1"/>
    <col min="9733" max="9733" width="6.54296875" style="289" customWidth="1"/>
    <col min="9734" max="9735" width="10.54296875" style="289" customWidth="1"/>
    <col min="9736" max="9738" width="20.54296875" style="289" customWidth="1"/>
    <col min="9739" max="9985" width="9.1796875" style="289"/>
    <col min="9986" max="9986" width="5.54296875" style="289" customWidth="1"/>
    <col min="9987" max="9987" width="10.54296875" style="289" customWidth="1"/>
    <col min="9988" max="9988" width="16.54296875" style="289" customWidth="1"/>
    <col min="9989" max="9989" width="6.54296875" style="289" customWidth="1"/>
    <col min="9990" max="9991" width="10.54296875" style="289" customWidth="1"/>
    <col min="9992" max="9994" width="20.54296875" style="289" customWidth="1"/>
    <col min="9995" max="10241" width="9.1796875" style="289"/>
    <col min="10242" max="10242" width="5.54296875" style="289" customWidth="1"/>
    <col min="10243" max="10243" width="10.54296875" style="289" customWidth="1"/>
    <col min="10244" max="10244" width="16.54296875" style="289" customWidth="1"/>
    <col min="10245" max="10245" width="6.54296875" style="289" customWidth="1"/>
    <col min="10246" max="10247" width="10.54296875" style="289" customWidth="1"/>
    <col min="10248" max="10250" width="20.54296875" style="289" customWidth="1"/>
    <col min="10251" max="10497" width="9.1796875" style="289"/>
    <col min="10498" max="10498" width="5.54296875" style="289" customWidth="1"/>
    <col min="10499" max="10499" width="10.54296875" style="289" customWidth="1"/>
    <col min="10500" max="10500" width="16.54296875" style="289" customWidth="1"/>
    <col min="10501" max="10501" width="6.54296875" style="289" customWidth="1"/>
    <col min="10502" max="10503" width="10.54296875" style="289" customWidth="1"/>
    <col min="10504" max="10506" width="20.54296875" style="289" customWidth="1"/>
    <col min="10507" max="10753" width="9.1796875" style="289"/>
    <col min="10754" max="10754" width="5.54296875" style="289" customWidth="1"/>
    <col min="10755" max="10755" width="10.54296875" style="289" customWidth="1"/>
    <col min="10756" max="10756" width="16.54296875" style="289" customWidth="1"/>
    <col min="10757" max="10757" width="6.54296875" style="289" customWidth="1"/>
    <col min="10758" max="10759" width="10.54296875" style="289" customWidth="1"/>
    <col min="10760" max="10762" width="20.54296875" style="289" customWidth="1"/>
    <col min="10763" max="11009" width="9.1796875" style="289"/>
    <col min="11010" max="11010" width="5.54296875" style="289" customWidth="1"/>
    <col min="11011" max="11011" width="10.54296875" style="289" customWidth="1"/>
    <col min="11012" max="11012" width="16.54296875" style="289" customWidth="1"/>
    <col min="11013" max="11013" width="6.54296875" style="289" customWidth="1"/>
    <col min="11014" max="11015" width="10.54296875" style="289" customWidth="1"/>
    <col min="11016" max="11018" width="20.54296875" style="289" customWidth="1"/>
    <col min="11019" max="11265" width="9.1796875" style="289"/>
    <col min="11266" max="11266" width="5.54296875" style="289" customWidth="1"/>
    <col min="11267" max="11267" width="10.54296875" style="289" customWidth="1"/>
    <col min="11268" max="11268" width="16.54296875" style="289" customWidth="1"/>
    <col min="11269" max="11269" width="6.54296875" style="289" customWidth="1"/>
    <col min="11270" max="11271" width="10.54296875" style="289" customWidth="1"/>
    <col min="11272" max="11274" width="20.54296875" style="289" customWidth="1"/>
    <col min="11275" max="11521" width="9.1796875" style="289"/>
    <col min="11522" max="11522" width="5.54296875" style="289" customWidth="1"/>
    <col min="11523" max="11523" width="10.54296875" style="289" customWidth="1"/>
    <col min="11524" max="11524" width="16.54296875" style="289" customWidth="1"/>
    <col min="11525" max="11525" width="6.54296875" style="289" customWidth="1"/>
    <col min="11526" max="11527" width="10.54296875" style="289" customWidth="1"/>
    <col min="11528" max="11530" width="20.54296875" style="289" customWidth="1"/>
    <col min="11531" max="11777" width="9.1796875" style="289"/>
    <col min="11778" max="11778" width="5.54296875" style="289" customWidth="1"/>
    <col min="11779" max="11779" width="10.54296875" style="289" customWidth="1"/>
    <col min="11780" max="11780" width="16.54296875" style="289" customWidth="1"/>
    <col min="11781" max="11781" width="6.54296875" style="289" customWidth="1"/>
    <col min="11782" max="11783" width="10.54296875" style="289" customWidth="1"/>
    <col min="11784" max="11786" width="20.54296875" style="289" customWidth="1"/>
    <col min="11787" max="12033" width="9.1796875" style="289"/>
    <col min="12034" max="12034" width="5.54296875" style="289" customWidth="1"/>
    <col min="12035" max="12035" width="10.54296875" style="289" customWidth="1"/>
    <col min="12036" max="12036" width="16.54296875" style="289" customWidth="1"/>
    <col min="12037" max="12037" width="6.54296875" style="289" customWidth="1"/>
    <col min="12038" max="12039" width="10.54296875" style="289" customWidth="1"/>
    <col min="12040" max="12042" width="20.54296875" style="289" customWidth="1"/>
    <col min="12043" max="12289" width="9.1796875" style="289"/>
    <col min="12290" max="12290" width="5.54296875" style="289" customWidth="1"/>
    <col min="12291" max="12291" width="10.54296875" style="289" customWidth="1"/>
    <col min="12292" max="12292" width="16.54296875" style="289" customWidth="1"/>
    <col min="12293" max="12293" width="6.54296875" style="289" customWidth="1"/>
    <col min="12294" max="12295" width="10.54296875" style="289" customWidth="1"/>
    <col min="12296" max="12298" width="20.54296875" style="289" customWidth="1"/>
    <col min="12299" max="12545" width="9.1796875" style="289"/>
    <col min="12546" max="12546" width="5.54296875" style="289" customWidth="1"/>
    <col min="12547" max="12547" width="10.54296875" style="289" customWidth="1"/>
    <col min="12548" max="12548" width="16.54296875" style="289" customWidth="1"/>
    <col min="12549" max="12549" width="6.54296875" style="289" customWidth="1"/>
    <col min="12550" max="12551" width="10.54296875" style="289" customWidth="1"/>
    <col min="12552" max="12554" width="20.54296875" style="289" customWidth="1"/>
    <col min="12555" max="12801" width="9.1796875" style="289"/>
    <col min="12802" max="12802" width="5.54296875" style="289" customWidth="1"/>
    <col min="12803" max="12803" width="10.54296875" style="289" customWidth="1"/>
    <col min="12804" max="12804" width="16.54296875" style="289" customWidth="1"/>
    <col min="12805" max="12805" width="6.54296875" style="289" customWidth="1"/>
    <col min="12806" max="12807" width="10.54296875" style="289" customWidth="1"/>
    <col min="12808" max="12810" width="20.54296875" style="289" customWidth="1"/>
    <col min="12811" max="13057" width="9.1796875" style="289"/>
    <col min="13058" max="13058" width="5.54296875" style="289" customWidth="1"/>
    <col min="13059" max="13059" width="10.54296875" style="289" customWidth="1"/>
    <col min="13060" max="13060" width="16.54296875" style="289" customWidth="1"/>
    <col min="13061" max="13061" width="6.54296875" style="289" customWidth="1"/>
    <col min="13062" max="13063" width="10.54296875" style="289" customWidth="1"/>
    <col min="13064" max="13066" width="20.54296875" style="289" customWidth="1"/>
    <col min="13067" max="13313" width="9.1796875" style="289"/>
    <col min="13314" max="13314" width="5.54296875" style="289" customWidth="1"/>
    <col min="13315" max="13315" width="10.54296875" style="289" customWidth="1"/>
    <col min="13316" max="13316" width="16.54296875" style="289" customWidth="1"/>
    <col min="13317" max="13317" width="6.54296875" style="289" customWidth="1"/>
    <col min="13318" max="13319" width="10.54296875" style="289" customWidth="1"/>
    <col min="13320" max="13322" width="20.54296875" style="289" customWidth="1"/>
    <col min="13323" max="13569" width="9.1796875" style="289"/>
    <col min="13570" max="13570" width="5.54296875" style="289" customWidth="1"/>
    <col min="13571" max="13571" width="10.54296875" style="289" customWidth="1"/>
    <col min="13572" max="13572" width="16.54296875" style="289" customWidth="1"/>
    <col min="13573" max="13573" width="6.54296875" style="289" customWidth="1"/>
    <col min="13574" max="13575" width="10.54296875" style="289" customWidth="1"/>
    <col min="13576" max="13578" width="20.54296875" style="289" customWidth="1"/>
    <col min="13579" max="13825" width="9.1796875" style="289"/>
    <col min="13826" max="13826" width="5.54296875" style="289" customWidth="1"/>
    <col min="13827" max="13827" width="10.54296875" style="289" customWidth="1"/>
    <col min="13828" max="13828" width="16.54296875" style="289" customWidth="1"/>
    <col min="13829" max="13829" width="6.54296875" style="289" customWidth="1"/>
    <col min="13830" max="13831" width="10.54296875" style="289" customWidth="1"/>
    <col min="13832" max="13834" width="20.54296875" style="289" customWidth="1"/>
    <col min="13835" max="14081" width="9.1796875" style="289"/>
    <col min="14082" max="14082" width="5.54296875" style="289" customWidth="1"/>
    <col min="14083" max="14083" width="10.54296875" style="289" customWidth="1"/>
    <col min="14084" max="14084" width="16.54296875" style="289" customWidth="1"/>
    <col min="14085" max="14085" width="6.54296875" style="289" customWidth="1"/>
    <col min="14086" max="14087" width="10.54296875" style="289" customWidth="1"/>
    <col min="14088" max="14090" width="20.54296875" style="289" customWidth="1"/>
    <col min="14091" max="14337" width="9.1796875" style="289"/>
    <col min="14338" max="14338" width="5.54296875" style="289" customWidth="1"/>
    <col min="14339" max="14339" width="10.54296875" style="289" customWidth="1"/>
    <col min="14340" max="14340" width="16.54296875" style="289" customWidth="1"/>
    <col min="14341" max="14341" width="6.54296875" style="289" customWidth="1"/>
    <col min="14342" max="14343" width="10.54296875" style="289" customWidth="1"/>
    <col min="14344" max="14346" width="20.54296875" style="289" customWidth="1"/>
    <col min="14347" max="14593" width="9.1796875" style="289"/>
    <col min="14594" max="14594" width="5.54296875" style="289" customWidth="1"/>
    <col min="14595" max="14595" width="10.54296875" style="289" customWidth="1"/>
    <col min="14596" max="14596" width="16.54296875" style="289" customWidth="1"/>
    <col min="14597" max="14597" width="6.54296875" style="289" customWidth="1"/>
    <col min="14598" max="14599" width="10.54296875" style="289" customWidth="1"/>
    <col min="14600" max="14602" width="20.54296875" style="289" customWidth="1"/>
    <col min="14603" max="14849" width="9.1796875" style="289"/>
    <col min="14850" max="14850" width="5.54296875" style="289" customWidth="1"/>
    <col min="14851" max="14851" width="10.54296875" style="289" customWidth="1"/>
    <col min="14852" max="14852" width="16.54296875" style="289" customWidth="1"/>
    <col min="14853" max="14853" width="6.54296875" style="289" customWidth="1"/>
    <col min="14854" max="14855" width="10.54296875" style="289" customWidth="1"/>
    <col min="14856" max="14858" width="20.54296875" style="289" customWidth="1"/>
    <col min="14859" max="15105" width="9.1796875" style="289"/>
    <col min="15106" max="15106" width="5.54296875" style="289" customWidth="1"/>
    <col min="15107" max="15107" width="10.54296875" style="289" customWidth="1"/>
    <col min="15108" max="15108" width="16.54296875" style="289" customWidth="1"/>
    <col min="15109" max="15109" width="6.54296875" style="289" customWidth="1"/>
    <col min="15110" max="15111" width="10.54296875" style="289" customWidth="1"/>
    <col min="15112" max="15114" width="20.54296875" style="289" customWidth="1"/>
    <col min="15115" max="15361" width="9.1796875" style="289"/>
    <col min="15362" max="15362" width="5.54296875" style="289" customWidth="1"/>
    <col min="15363" max="15363" width="10.54296875" style="289" customWidth="1"/>
    <col min="15364" max="15364" width="16.54296875" style="289" customWidth="1"/>
    <col min="15365" max="15365" width="6.54296875" style="289" customWidth="1"/>
    <col min="15366" max="15367" width="10.54296875" style="289" customWidth="1"/>
    <col min="15368" max="15370" width="20.54296875" style="289" customWidth="1"/>
    <col min="15371" max="15617" width="9.1796875" style="289"/>
    <col min="15618" max="15618" width="5.54296875" style="289" customWidth="1"/>
    <col min="15619" max="15619" width="10.54296875" style="289" customWidth="1"/>
    <col min="15620" max="15620" width="16.54296875" style="289" customWidth="1"/>
    <col min="15621" max="15621" width="6.54296875" style="289" customWidth="1"/>
    <col min="15622" max="15623" width="10.54296875" style="289" customWidth="1"/>
    <col min="15624" max="15626" width="20.54296875" style="289" customWidth="1"/>
    <col min="15627" max="15873" width="9.1796875" style="289"/>
    <col min="15874" max="15874" width="5.54296875" style="289" customWidth="1"/>
    <col min="15875" max="15875" width="10.54296875" style="289" customWidth="1"/>
    <col min="15876" max="15876" width="16.54296875" style="289" customWidth="1"/>
    <col min="15877" max="15877" width="6.54296875" style="289" customWidth="1"/>
    <col min="15878" max="15879" width="10.54296875" style="289" customWidth="1"/>
    <col min="15880" max="15882" width="20.54296875" style="289" customWidth="1"/>
    <col min="15883" max="16129" width="9.1796875" style="289"/>
    <col min="16130" max="16130" width="5.54296875" style="289" customWidth="1"/>
    <col min="16131" max="16131" width="10.54296875" style="289" customWidth="1"/>
    <col min="16132" max="16132" width="16.54296875" style="289" customWidth="1"/>
    <col min="16133" max="16133" width="6.54296875" style="289" customWidth="1"/>
    <col min="16134" max="16135" width="10.54296875" style="289" customWidth="1"/>
    <col min="16136" max="16138" width="20.54296875" style="289" customWidth="1"/>
    <col min="16139" max="16384" width="9.1796875" style="289"/>
  </cols>
  <sheetData>
    <row r="1" spans="1:19" x14ac:dyDescent="0.35">
      <c r="A1" s="592"/>
      <c r="B1" s="592"/>
      <c r="C1" s="592"/>
      <c r="D1" s="592"/>
      <c r="E1" s="593" t="s">
        <v>172</v>
      </c>
      <c r="F1" s="593"/>
      <c r="G1" s="291"/>
      <c r="H1" s="291"/>
      <c r="I1" s="291"/>
      <c r="J1" s="291"/>
      <c r="L1" s="593"/>
      <c r="M1" s="593"/>
      <c r="N1" s="593"/>
      <c r="O1" s="593"/>
      <c r="P1" s="593"/>
      <c r="Q1" s="291"/>
      <c r="R1" s="291"/>
      <c r="S1" s="291"/>
    </row>
    <row r="2" spans="1:19" x14ac:dyDescent="0.35">
      <c r="A2" s="592"/>
      <c r="B2" s="594"/>
      <c r="C2" s="594"/>
      <c r="D2" s="594"/>
      <c r="E2" s="593" t="s">
        <v>540</v>
      </c>
      <c r="F2" s="593"/>
      <c r="G2" s="291"/>
      <c r="H2" s="291"/>
      <c r="I2" s="291"/>
      <c r="J2" s="291"/>
      <c r="L2" s="593"/>
      <c r="M2" s="593"/>
      <c r="N2" s="593"/>
      <c r="O2" s="593"/>
      <c r="P2" s="593"/>
      <c r="Q2" s="291"/>
      <c r="R2" s="291"/>
      <c r="S2" s="291"/>
    </row>
    <row r="3" spans="1:19" x14ac:dyDescent="0.35">
      <c r="A3" s="286"/>
      <c r="B3" s="291"/>
      <c r="C3" s="291"/>
      <c r="D3" s="291"/>
      <c r="E3" s="291"/>
      <c r="F3" s="291"/>
      <c r="G3" s="291"/>
      <c r="H3" s="291"/>
      <c r="I3" s="291"/>
      <c r="J3" s="291"/>
      <c r="Q3" s="290"/>
    </row>
    <row r="4" spans="1:19" ht="21.65" customHeight="1" x14ac:dyDescent="0.35">
      <c r="A4" s="286" t="s">
        <v>551</v>
      </c>
      <c r="B4" s="291"/>
      <c r="C4" s="291"/>
      <c r="D4" s="291"/>
      <c r="E4" s="291"/>
      <c r="F4" s="291"/>
      <c r="G4" s="291"/>
      <c r="H4" s="291"/>
      <c r="I4" s="291"/>
      <c r="J4" s="291"/>
      <c r="Q4" s="290"/>
    </row>
    <row r="5" spans="1:19" ht="14.5" thickBot="1" x14ac:dyDescent="0.4">
      <c r="A5" s="286"/>
      <c r="B5" s="291"/>
      <c r="C5" s="291"/>
      <c r="D5" s="291"/>
      <c r="E5" s="291"/>
      <c r="F5" s="291"/>
      <c r="G5" s="291"/>
      <c r="H5" s="291"/>
      <c r="I5" s="291"/>
      <c r="J5" s="291"/>
      <c r="Q5" s="290"/>
    </row>
    <row r="6" spans="1:19" x14ac:dyDescent="0.35">
      <c r="A6" s="595" t="s">
        <v>174</v>
      </c>
      <c r="B6" s="597" t="s">
        <v>5</v>
      </c>
      <c r="C6" s="597" t="s">
        <v>6</v>
      </c>
      <c r="D6" s="597" t="s">
        <v>124</v>
      </c>
      <c r="E6" s="599" t="s">
        <v>541</v>
      </c>
      <c r="F6" s="590" t="s">
        <v>120</v>
      </c>
      <c r="G6" s="291"/>
      <c r="H6" s="291"/>
      <c r="I6" s="291"/>
      <c r="J6" s="291"/>
      <c r="Q6" s="290"/>
    </row>
    <row r="7" spans="1:19" x14ac:dyDescent="0.35">
      <c r="A7" s="596"/>
      <c r="B7" s="598"/>
      <c r="C7" s="598"/>
      <c r="D7" s="598"/>
      <c r="E7" s="598"/>
      <c r="F7" s="591"/>
      <c r="G7" s="291"/>
      <c r="H7" s="291"/>
      <c r="I7" s="291"/>
      <c r="J7" s="291"/>
      <c r="Q7" s="290"/>
    </row>
    <row r="8" spans="1:19" ht="30" customHeight="1" x14ac:dyDescent="0.35">
      <c r="A8" s="292" t="s">
        <v>175</v>
      </c>
      <c r="B8" s="287">
        <v>1793.53</v>
      </c>
      <c r="C8" s="287">
        <v>1612.25</v>
      </c>
      <c r="D8" s="287">
        <v>4048.75</v>
      </c>
      <c r="E8" s="287"/>
      <c r="F8" s="288">
        <f>SUM(B8:E8)</f>
        <v>7454.53</v>
      </c>
      <c r="G8" s="291"/>
      <c r="H8" s="291"/>
      <c r="I8" s="291"/>
      <c r="J8" s="291"/>
      <c r="Q8" s="290"/>
    </row>
    <row r="9" spans="1:19" ht="30" customHeight="1" x14ac:dyDescent="0.35">
      <c r="A9" s="292" t="s">
        <v>176</v>
      </c>
      <c r="B9" s="287">
        <v>2912</v>
      </c>
      <c r="C9" s="287">
        <v>832</v>
      </c>
      <c r="D9" s="287">
        <v>5156</v>
      </c>
      <c r="E9" s="287"/>
      <c r="F9" s="288">
        <f t="shared" ref="F9:F25" si="0">SUM(B9:E9)</f>
        <v>8900</v>
      </c>
      <c r="G9" s="291"/>
      <c r="H9" s="291"/>
      <c r="I9" s="291"/>
      <c r="J9" s="291"/>
      <c r="Q9" s="290"/>
    </row>
    <row r="10" spans="1:19" ht="30" customHeight="1" x14ac:dyDescent="0.35">
      <c r="A10" s="292" t="s">
        <v>177</v>
      </c>
      <c r="B10" s="287">
        <v>668.41</v>
      </c>
      <c r="C10" s="287">
        <v>24.35</v>
      </c>
      <c r="D10" s="315">
        <v>1704.38</v>
      </c>
      <c r="E10" s="287"/>
      <c r="F10" s="288">
        <f t="shared" si="0"/>
        <v>2397.1400000000003</v>
      </c>
      <c r="G10" s="291"/>
      <c r="H10" s="291"/>
      <c r="I10" s="291"/>
      <c r="J10" s="291"/>
      <c r="Q10" s="290"/>
    </row>
    <row r="11" spans="1:19" ht="30" customHeight="1" x14ac:dyDescent="0.35">
      <c r="A11" s="292" t="s">
        <v>178</v>
      </c>
      <c r="B11" s="287"/>
      <c r="C11" s="287"/>
      <c r="D11" s="287"/>
      <c r="E11" s="287"/>
      <c r="F11" s="288">
        <f t="shared" si="0"/>
        <v>0</v>
      </c>
      <c r="G11" s="291"/>
      <c r="H11" s="291"/>
      <c r="I11" s="291"/>
      <c r="J11" s="291"/>
      <c r="Q11" s="290"/>
    </row>
    <row r="12" spans="1:19" ht="30" customHeight="1" x14ac:dyDescent="0.35">
      <c r="A12" s="292" t="s">
        <v>179</v>
      </c>
      <c r="B12" s="287">
        <v>118.4</v>
      </c>
      <c r="C12" s="287">
        <v>109</v>
      </c>
      <c r="D12" s="287">
        <v>193.3</v>
      </c>
      <c r="E12" s="287"/>
      <c r="F12" s="288">
        <f t="shared" si="0"/>
        <v>420.70000000000005</v>
      </c>
      <c r="G12" s="291"/>
      <c r="H12" s="291"/>
      <c r="I12" s="291"/>
      <c r="J12" s="291"/>
      <c r="Q12" s="290"/>
    </row>
    <row r="13" spans="1:19" ht="30" customHeight="1" x14ac:dyDescent="0.35">
      <c r="A13" s="292" t="s">
        <v>180</v>
      </c>
      <c r="B13" s="287">
        <v>11.2</v>
      </c>
      <c r="C13" s="287"/>
      <c r="D13" s="287">
        <v>220.96</v>
      </c>
      <c r="E13" s="287"/>
      <c r="F13" s="288">
        <f t="shared" si="0"/>
        <v>232.16</v>
      </c>
      <c r="G13" s="291"/>
      <c r="H13" s="291"/>
      <c r="I13" s="291"/>
      <c r="J13" s="291"/>
      <c r="Q13" s="290"/>
    </row>
    <row r="14" spans="1:19" ht="30" customHeight="1" x14ac:dyDescent="0.35">
      <c r="A14" s="292" t="s">
        <v>181</v>
      </c>
      <c r="B14" s="287"/>
      <c r="C14" s="287"/>
      <c r="D14" s="287"/>
      <c r="E14" s="287"/>
      <c r="F14" s="288">
        <f t="shared" si="0"/>
        <v>0</v>
      </c>
      <c r="G14" s="291"/>
      <c r="H14" s="291"/>
      <c r="I14" s="291"/>
      <c r="J14" s="291"/>
      <c r="Q14" s="290"/>
    </row>
    <row r="15" spans="1:19" ht="30" customHeight="1" x14ac:dyDescent="0.35">
      <c r="A15" s="292" t="s">
        <v>182</v>
      </c>
      <c r="B15" s="287"/>
      <c r="C15" s="287"/>
      <c r="D15" s="287"/>
      <c r="E15" s="287"/>
      <c r="F15" s="288">
        <f t="shared" si="0"/>
        <v>0</v>
      </c>
      <c r="G15" s="291"/>
      <c r="H15" s="291"/>
      <c r="I15" s="291"/>
      <c r="J15" s="291"/>
      <c r="Q15" s="290"/>
    </row>
    <row r="16" spans="1:19" ht="30" customHeight="1" x14ac:dyDescent="0.35">
      <c r="A16" s="292" t="s">
        <v>183</v>
      </c>
      <c r="B16" s="287"/>
      <c r="C16" s="287"/>
      <c r="D16" s="287"/>
      <c r="E16" s="287"/>
      <c r="F16" s="288">
        <f t="shared" si="0"/>
        <v>0</v>
      </c>
      <c r="G16" s="291"/>
      <c r="H16" s="291"/>
      <c r="I16" s="291"/>
      <c r="J16" s="291"/>
      <c r="Q16" s="290"/>
    </row>
    <row r="17" spans="1:17" ht="30" customHeight="1" x14ac:dyDescent="0.35">
      <c r="A17" s="292" t="s">
        <v>184</v>
      </c>
      <c r="B17" s="287"/>
      <c r="C17" s="287"/>
      <c r="D17" s="287"/>
      <c r="E17" s="287"/>
      <c r="F17" s="288">
        <f t="shared" si="0"/>
        <v>0</v>
      </c>
      <c r="G17" s="291"/>
      <c r="H17" s="291"/>
      <c r="I17" s="291"/>
      <c r="J17" s="291"/>
      <c r="Q17" s="290"/>
    </row>
    <row r="18" spans="1:17" ht="30" customHeight="1" x14ac:dyDescent="0.35">
      <c r="A18" s="292" t="s">
        <v>185</v>
      </c>
      <c r="B18" s="287"/>
      <c r="C18" s="287"/>
      <c r="D18" s="287"/>
      <c r="E18" s="287"/>
      <c r="F18" s="288">
        <f t="shared" si="0"/>
        <v>0</v>
      </c>
      <c r="G18" s="291"/>
      <c r="H18" s="291"/>
      <c r="I18" s="291"/>
      <c r="J18" s="291"/>
      <c r="Q18" s="290"/>
    </row>
    <row r="19" spans="1:17" ht="30" customHeight="1" x14ac:dyDescent="0.35">
      <c r="A19" s="292" t="s">
        <v>186</v>
      </c>
      <c r="B19" s="287"/>
      <c r="C19" s="287"/>
      <c r="D19" s="287"/>
      <c r="E19" s="287"/>
      <c r="F19" s="288">
        <f t="shared" si="0"/>
        <v>0</v>
      </c>
      <c r="G19" s="291"/>
      <c r="H19" s="291"/>
      <c r="I19" s="291"/>
      <c r="J19" s="291"/>
      <c r="Q19" s="290"/>
    </row>
    <row r="20" spans="1:17" ht="30" customHeight="1" x14ac:dyDescent="0.35">
      <c r="A20" s="292" t="s">
        <v>187</v>
      </c>
      <c r="B20" s="287"/>
      <c r="C20" s="287"/>
      <c r="D20" s="287"/>
      <c r="E20" s="287"/>
      <c r="F20" s="288">
        <f t="shared" si="0"/>
        <v>0</v>
      </c>
      <c r="G20" s="291"/>
      <c r="H20" s="291"/>
      <c r="I20" s="291"/>
      <c r="J20" s="291"/>
      <c r="Q20" s="290"/>
    </row>
    <row r="21" spans="1:17" ht="30" customHeight="1" x14ac:dyDescent="0.35">
      <c r="A21" s="292" t="s">
        <v>188</v>
      </c>
      <c r="B21" s="287"/>
      <c r="C21" s="287"/>
      <c r="D21" s="315">
        <v>2112.4299999999998</v>
      </c>
      <c r="E21" s="287"/>
      <c r="F21" s="288">
        <f t="shared" si="0"/>
        <v>2112.4299999999998</v>
      </c>
      <c r="G21" s="291"/>
      <c r="H21" s="291"/>
      <c r="I21" s="291"/>
      <c r="J21" s="291"/>
      <c r="Q21" s="290"/>
    </row>
    <row r="22" spans="1:17" ht="30" customHeight="1" x14ac:dyDescent="0.35">
      <c r="A22" s="292" t="s">
        <v>189</v>
      </c>
      <c r="B22" s="287"/>
      <c r="C22" s="287"/>
      <c r="D22" s="287">
        <v>1751.78</v>
      </c>
      <c r="E22" s="287"/>
      <c r="F22" s="288">
        <f t="shared" si="0"/>
        <v>1751.78</v>
      </c>
      <c r="G22" s="291"/>
      <c r="H22" s="291"/>
      <c r="I22" s="291"/>
      <c r="J22" s="291"/>
      <c r="Q22" s="290"/>
    </row>
    <row r="23" spans="1:17" ht="30" customHeight="1" x14ac:dyDescent="0.35">
      <c r="A23" s="292" t="s">
        <v>564</v>
      </c>
      <c r="B23" s="287"/>
      <c r="C23" s="287"/>
      <c r="D23" s="287">
        <v>1964</v>
      </c>
      <c r="E23" s="287"/>
      <c r="F23" s="288">
        <f t="shared" si="0"/>
        <v>1964</v>
      </c>
      <c r="G23" s="291"/>
      <c r="H23" s="291"/>
      <c r="I23" s="291"/>
      <c r="J23" s="291"/>
      <c r="Q23" s="290"/>
    </row>
    <row r="24" spans="1:17" ht="30" customHeight="1" x14ac:dyDescent="0.35">
      <c r="A24" s="292" t="s">
        <v>191</v>
      </c>
      <c r="B24" s="287"/>
      <c r="C24" s="287"/>
      <c r="D24" s="287">
        <v>143.33000000000001</v>
      </c>
      <c r="E24" s="287"/>
      <c r="F24" s="288">
        <f t="shared" si="0"/>
        <v>143.33000000000001</v>
      </c>
      <c r="G24" s="291"/>
      <c r="H24" s="291"/>
      <c r="I24" s="291"/>
      <c r="J24" s="291"/>
      <c r="Q24" s="290"/>
    </row>
    <row r="25" spans="1:17" ht="30" customHeight="1" thickBot="1" x14ac:dyDescent="0.4">
      <c r="A25" s="293" t="s">
        <v>192</v>
      </c>
      <c r="B25" s="378"/>
      <c r="C25" s="378"/>
      <c r="D25" s="378"/>
      <c r="E25" s="378"/>
      <c r="F25" s="379">
        <f t="shared" si="0"/>
        <v>0</v>
      </c>
      <c r="G25" s="291"/>
      <c r="H25" s="291"/>
      <c r="I25" s="291"/>
      <c r="J25" s="291"/>
      <c r="Q25" s="290"/>
    </row>
    <row r="26" spans="1:17" ht="30" customHeight="1" thickBot="1" x14ac:dyDescent="0.4">
      <c r="A26" s="294" t="s">
        <v>193</v>
      </c>
      <c r="B26" s="380">
        <f>SUM(B8:B25)</f>
        <v>5503.5399999999991</v>
      </c>
      <c r="C26" s="382">
        <f t="shared" ref="C26:F26" si="1">SUM(C8:C25)</f>
        <v>2577.6</v>
      </c>
      <c r="D26" s="382">
        <f t="shared" si="1"/>
        <v>17294.93</v>
      </c>
      <c r="E26" s="382">
        <f t="shared" si="1"/>
        <v>0</v>
      </c>
      <c r="F26" s="381">
        <f t="shared" si="1"/>
        <v>25376.07</v>
      </c>
      <c r="G26" s="291"/>
      <c r="H26" s="291"/>
      <c r="I26" s="291"/>
      <c r="J26" s="291"/>
      <c r="Q26" s="290"/>
    </row>
    <row r="27" spans="1:17" ht="30" customHeight="1" thickTop="1" thickBot="1" x14ac:dyDescent="0.4">
      <c r="A27" s="295" t="s">
        <v>194</v>
      </c>
      <c r="B27" s="296"/>
      <c r="C27" s="297"/>
      <c r="D27" s="297"/>
      <c r="E27" s="297"/>
      <c r="F27" s="298"/>
      <c r="G27" s="291"/>
      <c r="H27" s="291"/>
      <c r="I27" s="291"/>
      <c r="J27" s="291"/>
      <c r="Q27" s="290"/>
    </row>
    <row r="28" spans="1:17" ht="20.149999999999999" customHeight="1" x14ac:dyDescent="0.35">
      <c r="A28" s="286"/>
      <c r="B28" s="291"/>
      <c r="C28" s="291"/>
      <c r="D28" s="291"/>
      <c r="E28" s="291"/>
      <c r="F28" s="291"/>
      <c r="G28" s="291"/>
      <c r="H28" s="291"/>
      <c r="I28" s="291"/>
      <c r="J28" s="291"/>
      <c r="Q28" s="290"/>
    </row>
    <row r="29" spans="1:17" ht="20.149999999999999" customHeight="1" x14ac:dyDescent="0.35">
      <c r="A29" s="286"/>
      <c r="B29" s="291"/>
      <c r="C29" s="291"/>
      <c r="D29" s="291"/>
      <c r="E29" s="291"/>
      <c r="F29" s="291"/>
      <c r="G29" s="291"/>
      <c r="H29" s="291"/>
      <c r="I29" s="291"/>
      <c r="J29" s="291"/>
      <c r="Q29" s="290"/>
    </row>
    <row r="30" spans="1:17" ht="30" customHeight="1" x14ac:dyDescent="0.35">
      <c r="A30" s="299" t="s">
        <v>127</v>
      </c>
      <c r="B30" s="300" t="s">
        <v>128</v>
      </c>
      <c r="C30" s="300"/>
      <c r="D30" s="301" t="s">
        <v>129</v>
      </c>
      <c r="E30" s="300" t="s">
        <v>128</v>
      </c>
      <c r="F30" s="302"/>
      <c r="G30" s="291"/>
      <c r="H30" s="291"/>
      <c r="I30" s="291"/>
      <c r="J30" s="291"/>
      <c r="Q30" s="290"/>
    </row>
    <row r="31" spans="1:17" ht="30" customHeight="1" x14ac:dyDescent="0.35">
      <c r="A31" s="299" t="s">
        <v>167</v>
      </c>
      <c r="B31" s="303" t="s">
        <v>482</v>
      </c>
      <c r="C31" s="303"/>
      <c r="D31" s="301" t="s">
        <v>132</v>
      </c>
      <c r="E31" s="304" t="s">
        <v>133</v>
      </c>
      <c r="F31" s="305"/>
      <c r="G31" s="291"/>
      <c r="H31" s="291"/>
      <c r="I31" s="291"/>
      <c r="J31" s="291"/>
      <c r="Q31" s="290"/>
    </row>
    <row r="32" spans="1:17" hidden="1" x14ac:dyDescent="0.35">
      <c r="A32" s="286"/>
      <c r="B32" s="291"/>
      <c r="C32" s="291"/>
      <c r="D32" s="291"/>
      <c r="E32" s="291"/>
      <c r="F32" s="291"/>
      <c r="G32" s="291"/>
      <c r="H32" s="291"/>
      <c r="I32" s="291"/>
      <c r="J32" s="291"/>
      <c r="Q32" s="290"/>
    </row>
    <row r="33" spans="1:16" hidden="1" x14ac:dyDescent="0.35">
      <c r="A33" s="286"/>
      <c r="F33" s="291"/>
      <c r="G33" s="291"/>
      <c r="H33" s="306"/>
      <c r="I33" s="306"/>
      <c r="J33" s="306"/>
      <c r="K33" s="306"/>
      <c r="L33" s="306"/>
      <c r="M33" s="306"/>
      <c r="N33" s="306"/>
      <c r="O33" s="306"/>
      <c r="P33" s="306"/>
    </row>
    <row r="34" spans="1:16" hidden="1" x14ac:dyDescent="0.35">
      <c r="E34" s="593" t="s">
        <v>172</v>
      </c>
      <c r="F34" s="593"/>
      <c r="G34" s="291"/>
    </row>
    <row r="35" spans="1:16" hidden="1" x14ac:dyDescent="0.35">
      <c r="E35" s="593" t="s">
        <v>542</v>
      </c>
      <c r="F35" s="593"/>
    </row>
    <row r="36" spans="1:16" ht="30" hidden="1" customHeight="1" x14ac:dyDescent="0.35">
      <c r="A36" s="286" t="s">
        <v>173</v>
      </c>
      <c r="B36" s="291"/>
      <c r="C36" s="291"/>
      <c r="D36" s="291"/>
      <c r="E36" s="291"/>
      <c r="F36" s="291"/>
    </row>
    <row r="37" spans="1:16" ht="15" hidden="1" customHeight="1" thickBot="1" x14ac:dyDescent="0.4">
      <c r="A37" s="286"/>
      <c r="B37" s="291"/>
      <c r="C37" s="291"/>
      <c r="D37" s="291"/>
      <c r="E37" s="291"/>
      <c r="F37" s="291"/>
    </row>
    <row r="38" spans="1:16" ht="30" hidden="1" customHeight="1" x14ac:dyDescent="0.35">
      <c r="A38" s="595" t="s">
        <v>174</v>
      </c>
      <c r="B38" s="599" t="s">
        <v>541</v>
      </c>
      <c r="C38" s="599" t="s">
        <v>541</v>
      </c>
      <c r="D38" s="599" t="s">
        <v>541</v>
      </c>
      <c r="E38" s="599" t="s">
        <v>541</v>
      </c>
      <c r="F38" s="590" t="s">
        <v>120</v>
      </c>
    </row>
    <row r="39" spans="1:16" ht="30" hidden="1" customHeight="1" x14ac:dyDescent="0.35">
      <c r="A39" s="596"/>
      <c r="B39" s="598"/>
      <c r="C39" s="598"/>
      <c r="D39" s="598"/>
      <c r="E39" s="598"/>
      <c r="F39" s="591"/>
    </row>
    <row r="40" spans="1:16" ht="30" hidden="1" customHeight="1" x14ac:dyDescent="0.35">
      <c r="A40" s="292" t="s">
        <v>175</v>
      </c>
      <c r="B40" s="307"/>
      <c r="C40" s="307"/>
      <c r="D40" s="307"/>
      <c r="E40" s="307"/>
      <c r="F40" s="308"/>
    </row>
    <row r="41" spans="1:16" ht="30" hidden="1" customHeight="1" x14ac:dyDescent="0.35">
      <c r="A41" s="292" t="s">
        <v>176</v>
      </c>
      <c r="B41" s="307"/>
      <c r="C41" s="307"/>
      <c r="D41" s="307"/>
      <c r="E41" s="307"/>
      <c r="F41" s="308"/>
    </row>
    <row r="42" spans="1:16" ht="30" hidden="1" customHeight="1" x14ac:dyDescent="0.35">
      <c r="A42" s="292" t="s">
        <v>177</v>
      </c>
      <c r="B42" s="307"/>
      <c r="C42" s="307"/>
      <c r="D42" s="307"/>
      <c r="E42" s="307"/>
      <c r="F42" s="308"/>
    </row>
    <row r="43" spans="1:16" ht="30" hidden="1" customHeight="1" x14ac:dyDescent="0.35">
      <c r="A43" s="292" t="s">
        <v>178</v>
      </c>
      <c r="B43" s="307"/>
      <c r="C43" s="307"/>
      <c r="D43" s="307"/>
      <c r="E43" s="307"/>
      <c r="F43" s="308"/>
    </row>
    <row r="44" spans="1:16" ht="30" hidden="1" customHeight="1" x14ac:dyDescent="0.35">
      <c r="A44" s="292" t="s">
        <v>179</v>
      </c>
      <c r="B44" s="307"/>
      <c r="C44" s="307"/>
      <c r="D44" s="307"/>
      <c r="E44" s="307"/>
      <c r="F44" s="308"/>
    </row>
    <row r="45" spans="1:16" ht="30" hidden="1" customHeight="1" x14ac:dyDescent="0.35">
      <c r="A45" s="292" t="s">
        <v>180</v>
      </c>
      <c r="B45" s="307"/>
      <c r="C45" s="307"/>
      <c r="D45" s="307"/>
      <c r="E45" s="307"/>
      <c r="F45" s="308"/>
    </row>
    <row r="46" spans="1:16" ht="30" hidden="1" customHeight="1" x14ac:dyDescent="0.35">
      <c r="A46" s="292" t="s">
        <v>181</v>
      </c>
      <c r="B46" s="307"/>
      <c r="C46" s="307"/>
      <c r="D46" s="307"/>
      <c r="E46" s="307"/>
      <c r="F46" s="308"/>
    </row>
    <row r="47" spans="1:16" ht="30" hidden="1" customHeight="1" x14ac:dyDescent="0.35">
      <c r="A47" s="292" t="s">
        <v>182</v>
      </c>
      <c r="B47" s="307"/>
      <c r="C47" s="307"/>
      <c r="D47" s="307"/>
      <c r="E47" s="307"/>
      <c r="F47" s="308"/>
    </row>
    <row r="48" spans="1:16" ht="30" hidden="1" customHeight="1" x14ac:dyDescent="0.35">
      <c r="A48" s="292" t="s">
        <v>183</v>
      </c>
      <c r="B48" s="307"/>
      <c r="C48" s="307"/>
      <c r="D48" s="307"/>
      <c r="E48" s="307"/>
      <c r="F48" s="308"/>
    </row>
    <row r="49" spans="1:6" ht="30" hidden="1" customHeight="1" x14ac:dyDescent="0.35">
      <c r="A49" s="292" t="s">
        <v>184</v>
      </c>
      <c r="B49" s="307"/>
      <c r="C49" s="307"/>
      <c r="D49" s="307"/>
      <c r="E49" s="307"/>
      <c r="F49" s="308"/>
    </row>
    <row r="50" spans="1:6" ht="30" hidden="1" customHeight="1" x14ac:dyDescent="0.35">
      <c r="A50" s="292" t="s">
        <v>185</v>
      </c>
      <c r="B50" s="307"/>
      <c r="C50" s="307"/>
      <c r="D50" s="307"/>
      <c r="E50" s="307"/>
      <c r="F50" s="308"/>
    </row>
    <row r="51" spans="1:6" ht="30" hidden="1" customHeight="1" x14ac:dyDescent="0.35">
      <c r="A51" s="292" t="s">
        <v>186</v>
      </c>
      <c r="B51" s="307"/>
      <c r="C51" s="307"/>
      <c r="D51" s="307"/>
      <c r="E51" s="307"/>
      <c r="F51" s="308"/>
    </row>
    <row r="52" spans="1:6" ht="30" hidden="1" customHeight="1" x14ac:dyDescent="0.35">
      <c r="A52" s="292" t="s">
        <v>187</v>
      </c>
      <c r="B52" s="307"/>
      <c r="C52" s="307"/>
      <c r="D52" s="307"/>
      <c r="E52" s="307"/>
      <c r="F52" s="308"/>
    </row>
    <row r="53" spans="1:6" ht="30" hidden="1" customHeight="1" x14ac:dyDescent="0.35">
      <c r="A53" s="292" t="s">
        <v>188</v>
      </c>
      <c r="B53" s="307"/>
      <c r="C53" s="307"/>
      <c r="D53" s="307"/>
      <c r="E53" s="307"/>
      <c r="F53" s="308"/>
    </row>
    <row r="54" spans="1:6" ht="30" hidden="1" customHeight="1" x14ac:dyDescent="0.35">
      <c r="A54" s="292" t="s">
        <v>192</v>
      </c>
      <c r="B54" s="307"/>
      <c r="C54" s="307"/>
      <c r="D54" s="307"/>
      <c r="E54" s="307"/>
      <c r="F54" s="308"/>
    </row>
    <row r="55" spans="1:6" ht="30" hidden="1" customHeight="1" x14ac:dyDescent="0.35">
      <c r="A55" s="292" t="s">
        <v>192</v>
      </c>
      <c r="B55" s="307"/>
      <c r="C55" s="307"/>
      <c r="D55" s="307"/>
      <c r="E55" s="307"/>
      <c r="F55" s="308"/>
    </row>
    <row r="56" spans="1:6" ht="30" hidden="1" customHeight="1" x14ac:dyDescent="0.35">
      <c r="A56" s="292" t="s">
        <v>192</v>
      </c>
      <c r="B56" s="307"/>
      <c r="C56" s="307"/>
      <c r="D56" s="307"/>
      <c r="E56" s="307"/>
      <c r="F56" s="308"/>
    </row>
    <row r="57" spans="1:6" ht="30" hidden="1" customHeight="1" thickBot="1" x14ac:dyDescent="0.4">
      <c r="A57" s="293" t="s">
        <v>192</v>
      </c>
      <c r="B57" s="309"/>
      <c r="C57" s="309"/>
      <c r="D57" s="309"/>
      <c r="E57" s="309"/>
      <c r="F57" s="310"/>
    </row>
    <row r="58" spans="1:6" ht="30" hidden="1" customHeight="1" thickBot="1" x14ac:dyDescent="0.4">
      <c r="A58" s="294" t="s">
        <v>193</v>
      </c>
      <c r="B58" s="311"/>
      <c r="C58" s="312"/>
      <c r="D58" s="312"/>
      <c r="E58" s="312"/>
      <c r="F58" s="313"/>
    </row>
    <row r="59" spans="1:6" ht="30" hidden="1" customHeight="1" thickTop="1" thickBot="1" x14ac:dyDescent="0.4">
      <c r="A59" s="295" t="s">
        <v>194</v>
      </c>
      <c r="B59" s="296"/>
      <c r="C59" s="297"/>
      <c r="D59" s="297"/>
      <c r="E59" s="297"/>
      <c r="F59" s="298"/>
    </row>
    <row r="60" spans="1:6" ht="20.149999999999999" hidden="1" customHeight="1" x14ac:dyDescent="0.35">
      <c r="A60" s="286"/>
      <c r="B60" s="291"/>
      <c r="C60" s="291"/>
      <c r="D60" s="291"/>
      <c r="E60" s="291"/>
      <c r="F60" s="291"/>
    </row>
    <row r="61" spans="1:6" ht="20.149999999999999" hidden="1" customHeight="1" x14ac:dyDescent="0.35">
      <c r="A61" s="286"/>
      <c r="B61" s="291"/>
      <c r="C61" s="291"/>
      <c r="D61" s="291"/>
      <c r="E61" s="291"/>
      <c r="F61" s="291"/>
    </row>
    <row r="62" spans="1:6" ht="30" hidden="1" customHeight="1" x14ac:dyDescent="0.35">
      <c r="A62" s="299" t="s">
        <v>127</v>
      </c>
      <c r="B62" s="300"/>
      <c r="C62" s="300"/>
      <c r="D62" s="301" t="s">
        <v>129</v>
      </c>
      <c r="E62" s="300"/>
      <c r="F62" s="302"/>
    </row>
    <row r="63" spans="1:6" ht="30" hidden="1" customHeight="1" x14ac:dyDescent="0.35">
      <c r="A63" s="299" t="s">
        <v>167</v>
      </c>
      <c r="B63" s="303"/>
      <c r="C63" s="303"/>
      <c r="D63" s="301" t="s">
        <v>132</v>
      </c>
      <c r="E63" s="304"/>
      <c r="F63" s="305"/>
    </row>
    <row r="64" spans="1:6" ht="13" hidden="1" customHeight="1" x14ac:dyDescent="0.35">
      <c r="A64" s="286"/>
      <c r="B64" s="291"/>
      <c r="C64" s="291"/>
      <c r="D64" s="291"/>
      <c r="E64" s="291"/>
      <c r="F64" s="291"/>
    </row>
    <row r="65" spans="1:6" ht="13" hidden="1" customHeight="1" x14ac:dyDescent="0.35">
      <c r="A65" s="286"/>
      <c r="B65" s="291"/>
      <c r="C65" s="291"/>
      <c r="D65" s="291"/>
      <c r="E65" s="291"/>
      <c r="F65" s="291"/>
    </row>
    <row r="66" spans="1:6" ht="13" hidden="1" customHeight="1" x14ac:dyDescent="0.35"/>
    <row r="67" spans="1:6" ht="13" hidden="1" customHeight="1" x14ac:dyDescent="0.35"/>
    <row r="68" spans="1:6" ht="13" hidden="1" customHeight="1" x14ac:dyDescent="0.35"/>
    <row r="69" spans="1:6" ht="13" customHeight="1" x14ac:dyDescent="0.35"/>
    <row r="70" spans="1:6" ht="13" customHeight="1" x14ac:dyDescent="0.35"/>
    <row r="71" spans="1:6" ht="13" customHeight="1" x14ac:dyDescent="0.35"/>
    <row r="72" spans="1:6" ht="13" customHeight="1" x14ac:dyDescent="0.35"/>
    <row r="73" spans="1:6" ht="13" customHeight="1" x14ac:dyDescent="0.35"/>
    <row r="74" spans="1:6" ht="13.5" customHeight="1" x14ac:dyDescent="0.35"/>
    <row r="75" spans="1:6" ht="20.149999999999999" customHeight="1" x14ac:dyDescent="0.35"/>
    <row r="76" spans="1:6" ht="20.149999999999999" customHeight="1" x14ac:dyDescent="0.35"/>
    <row r="77" spans="1:6" ht="20.149999999999999" customHeight="1" x14ac:dyDescent="0.35"/>
    <row r="80" spans="1:6" ht="20.149999999999999" customHeight="1" x14ac:dyDescent="0.35"/>
    <row r="81" ht="20.149999999999999" customHeight="1" x14ac:dyDescent="0.35"/>
  </sheetData>
  <mergeCells count="20">
    <mergeCell ref="E34:F34"/>
    <mergeCell ref="E35:F35"/>
    <mergeCell ref="A38:A39"/>
    <mergeCell ref="B38:B39"/>
    <mergeCell ref="C38:C39"/>
    <mergeCell ref="D38:D39"/>
    <mergeCell ref="E38:E39"/>
    <mergeCell ref="F38:F39"/>
    <mergeCell ref="F6:F7"/>
    <mergeCell ref="A1:D1"/>
    <mergeCell ref="E1:F1"/>
    <mergeCell ref="L1:P1"/>
    <mergeCell ref="A2:D2"/>
    <mergeCell ref="E2:F2"/>
    <mergeCell ref="L2:P2"/>
    <mergeCell ref="A6:A7"/>
    <mergeCell ref="B6:B7"/>
    <mergeCell ref="C6:C7"/>
    <mergeCell ref="D6:D7"/>
    <mergeCell ref="E6:E7"/>
  </mergeCells>
  <printOptions horizontalCentered="1"/>
  <pageMargins left="0.7" right="0.7" top="0.5" bottom="0.5" header="0.3" footer="0.3"/>
  <pageSetup scale="58" fitToHeight="0" orientation="landscape" r:id="rId1"/>
  <rowBreaks count="1" manualBreakCount="1">
    <brk id="32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08352-B1DE-4043-B456-2085DFC0F27F}">
  <sheetPr>
    <pageSetUpPr fitToPage="1"/>
  </sheetPr>
  <dimension ref="B1:S51"/>
  <sheetViews>
    <sheetView showOutlineSymbols="0" showWhiteSpace="0" topLeftCell="C4" zoomScale="83" zoomScaleNormal="83" workbookViewId="0">
      <selection activeCell="R12" sqref="R12"/>
    </sheetView>
    <sheetView topLeftCell="A21" workbookViewId="1">
      <selection activeCell="F6" sqref="F6"/>
    </sheetView>
  </sheetViews>
  <sheetFormatPr defaultColWidth="8.7265625" defaultRowHeight="14" x14ac:dyDescent="0.3"/>
  <cols>
    <col min="1" max="1" width="8.7265625" style="84"/>
    <col min="2" max="2" width="9.81640625" style="84" customWidth="1"/>
    <col min="3" max="3" width="20.26953125" style="84" bestFit="1" customWidth="1"/>
    <col min="4" max="4" width="13.81640625" style="84" customWidth="1"/>
    <col min="5" max="5" width="18.81640625" style="84" customWidth="1"/>
    <col min="6" max="6" width="43.54296875" style="84" customWidth="1"/>
    <col min="7" max="7" width="26.26953125" style="84" customWidth="1"/>
    <col min="8" max="8" width="18.81640625" style="84" customWidth="1"/>
    <col min="9" max="9" width="10" style="84" bestFit="1" customWidth="1"/>
    <col min="10" max="10" width="14.453125" style="84" customWidth="1"/>
    <col min="11" max="11" width="10.81640625" style="84" bestFit="1" customWidth="1"/>
    <col min="12" max="12" width="16.81640625" style="84" customWidth="1"/>
    <col min="13" max="13" width="22.54296875" style="84" customWidth="1"/>
    <col min="14" max="14" width="10.7265625" style="84" customWidth="1"/>
    <col min="15" max="15" width="13.81640625" style="84" customWidth="1"/>
    <col min="16" max="16" width="12.453125" style="84" customWidth="1"/>
    <col min="17" max="17" width="12.1796875" style="84" customWidth="1"/>
    <col min="18" max="19" width="0" style="84" hidden="1" customWidth="1"/>
    <col min="20" max="16384" width="8.7265625" style="84"/>
  </cols>
  <sheetData>
    <row r="1" spans="2:18" ht="15" customHeight="1" x14ac:dyDescent="0.3">
      <c r="B1" s="160" t="s">
        <v>195</v>
      </c>
    </row>
    <row r="2" spans="2:18" ht="15" customHeight="1" x14ac:dyDescent="0.35">
      <c r="B2" s="603" t="s">
        <v>486</v>
      </c>
      <c r="C2" s="603"/>
      <c r="D2" s="603"/>
      <c r="E2" s="603"/>
      <c r="F2" s="603"/>
      <c r="G2" s="603"/>
      <c r="H2" s="603"/>
      <c r="I2" s="603"/>
      <c r="J2" s="603"/>
      <c r="K2" s="603"/>
      <c r="L2" s="603"/>
      <c r="M2" s="603"/>
      <c r="N2" s="603"/>
      <c r="O2" s="603"/>
      <c r="P2" s="603"/>
      <c r="Q2" s="603"/>
      <c r="R2" s="603"/>
    </row>
    <row r="3" spans="2:18" ht="15" customHeight="1" x14ac:dyDescent="0.35">
      <c r="B3" s="603" t="s">
        <v>487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  <c r="O3" s="603"/>
      <c r="P3" s="603"/>
      <c r="Q3" s="603"/>
      <c r="R3" s="603"/>
    </row>
    <row r="4" spans="2:18" ht="15" customHeight="1" x14ac:dyDescent="0.35">
      <c r="B4" s="193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</row>
    <row r="5" spans="2:18" ht="15" customHeight="1" x14ac:dyDescent="0.35">
      <c r="B5" s="603" t="s">
        <v>476</v>
      </c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192"/>
    </row>
    <row r="6" spans="2:18" ht="15" customHeight="1" x14ac:dyDescent="0.3">
      <c r="B6" s="160" t="s">
        <v>551</v>
      </c>
      <c r="C6" s="161"/>
      <c r="D6" s="161"/>
      <c r="E6" s="162"/>
      <c r="F6" s="163"/>
      <c r="G6" s="163"/>
      <c r="H6" s="161"/>
      <c r="I6" s="161"/>
      <c r="J6" s="161"/>
      <c r="K6" s="161"/>
      <c r="L6" s="161"/>
      <c r="M6" s="161"/>
      <c r="N6" s="161"/>
      <c r="O6" s="161"/>
    </row>
    <row r="7" spans="2:18" ht="14.5" thickBot="1" x14ac:dyDescent="0.35">
      <c r="B7" s="162"/>
      <c r="C7" s="161"/>
      <c r="D7" s="161"/>
      <c r="E7" s="162"/>
      <c r="F7" s="163"/>
      <c r="G7" s="163"/>
      <c r="H7" s="161"/>
      <c r="I7" s="161"/>
      <c r="J7" s="164"/>
      <c r="K7" s="161"/>
      <c r="L7" s="161"/>
      <c r="M7" s="161"/>
      <c r="N7" s="161"/>
      <c r="O7" s="161"/>
    </row>
    <row r="8" spans="2:18" ht="48.25" customHeight="1" x14ac:dyDescent="0.3">
      <c r="B8" s="600" t="s">
        <v>300</v>
      </c>
      <c r="C8" s="601"/>
      <c r="D8" s="601"/>
      <c r="E8" s="601"/>
      <c r="F8" s="601"/>
      <c r="G8" s="601"/>
      <c r="H8" s="601"/>
      <c r="I8" s="601"/>
      <c r="J8" s="601"/>
      <c r="K8" s="601"/>
      <c r="L8" s="601"/>
      <c r="M8" s="601"/>
      <c r="N8" s="601"/>
      <c r="O8" s="601"/>
      <c r="P8" s="601"/>
      <c r="Q8" s="602"/>
    </row>
    <row r="9" spans="2:18" s="159" customFormat="1" ht="42" x14ac:dyDescent="0.3">
      <c r="B9" s="99" t="s">
        <v>301</v>
      </c>
      <c r="C9" s="100" t="s">
        <v>302</v>
      </c>
      <c r="D9" s="100" t="s">
        <v>303</v>
      </c>
      <c r="E9" s="100" t="s">
        <v>304</v>
      </c>
      <c r="F9" s="100" t="s">
        <v>305</v>
      </c>
      <c r="G9" s="100" t="s">
        <v>1</v>
      </c>
      <c r="H9" s="100" t="s">
        <v>306</v>
      </c>
      <c r="I9" s="100" t="s">
        <v>307</v>
      </c>
      <c r="J9" s="100" t="s">
        <v>308</v>
      </c>
      <c r="K9" s="100" t="s">
        <v>121</v>
      </c>
      <c r="L9" s="100" t="s">
        <v>309</v>
      </c>
      <c r="M9" s="100" t="s">
        <v>310</v>
      </c>
      <c r="N9" s="100" t="s">
        <v>311</v>
      </c>
      <c r="O9" s="165" t="s">
        <v>312</v>
      </c>
      <c r="P9" s="166" t="s">
        <v>313</v>
      </c>
      <c r="Q9" s="167" t="s">
        <v>314</v>
      </c>
    </row>
    <row r="10" spans="2:18" x14ac:dyDescent="0.3">
      <c r="B10" s="188">
        <v>1535905</v>
      </c>
      <c r="C10" s="189">
        <v>1535905</v>
      </c>
      <c r="D10" s="77" t="s">
        <v>215</v>
      </c>
      <c r="E10" s="77" t="s">
        <v>242</v>
      </c>
      <c r="F10" s="78" t="s">
        <v>242</v>
      </c>
      <c r="G10" s="78" t="s">
        <v>5</v>
      </c>
      <c r="H10" s="77">
        <v>16</v>
      </c>
      <c r="I10" s="77"/>
      <c r="J10" s="79">
        <f t="shared" ref="J10:J44" si="0">H10-I10</f>
        <v>16</v>
      </c>
      <c r="K10" s="80">
        <f>+J10*0.05</f>
        <v>0.8</v>
      </c>
      <c r="L10" s="77">
        <f>+J10+K10</f>
        <v>16.8</v>
      </c>
      <c r="M10" s="168" t="s">
        <v>315</v>
      </c>
      <c r="N10" s="90">
        <v>0.1</v>
      </c>
      <c r="O10" s="169">
        <f>16*4</f>
        <v>64</v>
      </c>
      <c r="P10" s="170">
        <f>IF((N10*O10)&gt;J10,J10,(N10*O10))</f>
        <v>6.4</v>
      </c>
      <c r="Q10" s="81">
        <f>J10-P10</f>
        <v>9.6</v>
      </c>
    </row>
    <row r="11" spans="2:18" x14ac:dyDescent="0.3">
      <c r="B11" s="76">
        <v>1548241</v>
      </c>
      <c r="C11" s="118">
        <v>1548241</v>
      </c>
      <c r="D11" s="80" t="s">
        <v>217</v>
      </c>
      <c r="E11" s="80" t="s">
        <v>242</v>
      </c>
      <c r="F11" s="102" t="s">
        <v>242</v>
      </c>
      <c r="G11" s="102" t="s">
        <v>5</v>
      </c>
      <c r="H11" s="77">
        <v>3</v>
      </c>
      <c r="I11" s="77"/>
      <c r="J11" s="79">
        <f t="shared" si="0"/>
        <v>3</v>
      </c>
      <c r="K11" s="80">
        <f>+J11*0.05</f>
        <v>0.15000000000000002</v>
      </c>
      <c r="L11" s="77">
        <f>+J11+K11</f>
        <v>3.15</v>
      </c>
      <c r="M11" s="168" t="s">
        <v>315</v>
      </c>
      <c r="N11" s="90">
        <v>0.1</v>
      </c>
      <c r="O11" s="169">
        <f>3*4</f>
        <v>12</v>
      </c>
      <c r="P11" s="170">
        <f t="shared" ref="P11:P44" si="1">IF((N11*O11)&gt;J11,J11,(N11*O11))</f>
        <v>1.2000000000000002</v>
      </c>
      <c r="Q11" s="81">
        <f>J11-P11</f>
        <v>1.7999999999999998</v>
      </c>
    </row>
    <row r="12" spans="2:18" x14ac:dyDescent="0.3">
      <c r="B12" s="76"/>
      <c r="C12" s="261">
        <v>77001001002</v>
      </c>
      <c r="D12" s="80" t="s">
        <v>316</v>
      </c>
      <c r="E12" s="80" t="s">
        <v>235</v>
      </c>
      <c r="F12" s="102" t="s">
        <v>317</v>
      </c>
      <c r="G12" s="102" t="s">
        <v>318</v>
      </c>
      <c r="H12" s="80">
        <v>86.25</v>
      </c>
      <c r="I12" s="80">
        <v>11.25</v>
      </c>
      <c r="J12" s="90">
        <f t="shared" si="0"/>
        <v>75</v>
      </c>
      <c r="K12" s="80">
        <f>+J12*0.05</f>
        <v>3.75</v>
      </c>
      <c r="L12" s="80">
        <f>+I12+J12+K12</f>
        <v>90</v>
      </c>
      <c r="M12" s="77"/>
      <c r="N12" s="90">
        <v>75</v>
      </c>
      <c r="O12" s="169">
        <v>2</v>
      </c>
      <c r="P12" s="170">
        <f>IF((N12*O12)&gt;J12,J12,(N12*O12))</f>
        <v>75</v>
      </c>
      <c r="Q12" s="81">
        <f>J12-P12+I12</f>
        <v>11.25</v>
      </c>
    </row>
    <row r="13" spans="2:18" x14ac:dyDescent="0.3">
      <c r="B13" s="76"/>
      <c r="C13" s="80" t="s">
        <v>319</v>
      </c>
      <c r="D13" s="80" t="s">
        <v>320</v>
      </c>
      <c r="E13" s="80" t="s">
        <v>321</v>
      </c>
      <c r="F13" s="102" t="s">
        <v>322</v>
      </c>
      <c r="G13" s="102" t="s">
        <v>323</v>
      </c>
      <c r="H13" s="80">
        <v>14.93</v>
      </c>
      <c r="I13" s="80">
        <v>2.0299999999999998</v>
      </c>
      <c r="J13" s="90">
        <f t="shared" si="0"/>
        <v>12.9</v>
      </c>
      <c r="K13" s="80">
        <v>0.64</v>
      </c>
      <c r="L13" s="80">
        <f>+I13+J13+K13</f>
        <v>15.57</v>
      </c>
      <c r="M13" s="78"/>
      <c r="N13" s="79">
        <v>24.35</v>
      </c>
      <c r="O13" s="169">
        <v>1</v>
      </c>
      <c r="P13" s="170">
        <f t="shared" si="1"/>
        <v>12.9</v>
      </c>
      <c r="Q13" s="81">
        <f t="shared" ref="Q13:Q44" si="2">J13-P13+I13</f>
        <v>2.0299999999999998</v>
      </c>
    </row>
    <row r="14" spans="2:18" x14ac:dyDescent="0.3">
      <c r="B14" s="76"/>
      <c r="C14" s="80" t="s">
        <v>324</v>
      </c>
      <c r="D14" s="80" t="s">
        <v>325</v>
      </c>
      <c r="E14" s="80" t="s">
        <v>321</v>
      </c>
      <c r="F14" s="102" t="s">
        <v>322</v>
      </c>
      <c r="G14" s="102" t="s">
        <v>323</v>
      </c>
      <c r="H14" s="80">
        <f>23.55+3.71</f>
        <v>27.26</v>
      </c>
      <c r="I14" s="80">
        <v>3.71</v>
      </c>
      <c r="J14" s="90">
        <f t="shared" si="0"/>
        <v>23.55</v>
      </c>
      <c r="K14" s="80">
        <v>1.18</v>
      </c>
      <c r="L14" s="80">
        <f>+I14+J14+K14</f>
        <v>28.44</v>
      </c>
      <c r="M14" s="78"/>
      <c r="N14" s="79">
        <v>24.35</v>
      </c>
      <c r="O14" s="169">
        <v>2</v>
      </c>
      <c r="P14" s="170">
        <f t="shared" si="1"/>
        <v>23.55</v>
      </c>
      <c r="Q14" s="81">
        <f t="shared" si="2"/>
        <v>3.71</v>
      </c>
    </row>
    <row r="15" spans="2:18" x14ac:dyDescent="0.3">
      <c r="B15" s="76"/>
      <c r="C15" s="80" t="s">
        <v>326</v>
      </c>
      <c r="D15" s="80" t="s">
        <v>327</v>
      </c>
      <c r="E15" s="80" t="s">
        <v>321</v>
      </c>
      <c r="F15" s="102" t="s">
        <v>322</v>
      </c>
      <c r="G15" s="102" t="s">
        <v>323</v>
      </c>
      <c r="H15" s="80">
        <f>12.95+2.72</f>
        <v>15.67</v>
      </c>
      <c r="I15" s="80">
        <v>2.72</v>
      </c>
      <c r="J15" s="90">
        <f t="shared" si="0"/>
        <v>12.95</v>
      </c>
      <c r="K15" s="80">
        <v>0.65</v>
      </c>
      <c r="L15" s="80">
        <f t="shared" ref="L15:L41" si="3">+I15+J15+K15</f>
        <v>16.32</v>
      </c>
      <c r="M15" s="78"/>
      <c r="N15" s="79">
        <v>24.35</v>
      </c>
      <c r="O15" s="169">
        <v>1</v>
      </c>
      <c r="P15" s="170">
        <f t="shared" si="1"/>
        <v>12.95</v>
      </c>
      <c r="Q15" s="81">
        <f t="shared" si="2"/>
        <v>2.72</v>
      </c>
    </row>
    <row r="16" spans="2:18" x14ac:dyDescent="0.3">
      <c r="B16" s="76"/>
      <c r="C16" s="80" t="s">
        <v>328</v>
      </c>
      <c r="D16" s="80" t="s">
        <v>329</v>
      </c>
      <c r="E16" s="80" t="s">
        <v>321</v>
      </c>
      <c r="F16" s="102" t="s">
        <v>322</v>
      </c>
      <c r="G16" s="102" t="s">
        <v>323</v>
      </c>
      <c r="H16" s="80">
        <f>11.45+1.8</f>
        <v>13.25</v>
      </c>
      <c r="I16" s="80">
        <v>1.8</v>
      </c>
      <c r="J16" s="90">
        <f t="shared" si="0"/>
        <v>11.45</v>
      </c>
      <c r="K16" s="80">
        <v>0.56999999999999995</v>
      </c>
      <c r="L16" s="80">
        <f t="shared" si="3"/>
        <v>13.82</v>
      </c>
      <c r="M16" s="77"/>
      <c r="N16" s="79">
        <v>24.35</v>
      </c>
      <c r="O16" s="169">
        <v>1</v>
      </c>
      <c r="P16" s="170">
        <f t="shared" si="1"/>
        <v>11.45</v>
      </c>
      <c r="Q16" s="81">
        <f t="shared" si="2"/>
        <v>1.8</v>
      </c>
    </row>
    <row r="17" spans="2:19" x14ac:dyDescent="0.3">
      <c r="B17" s="76"/>
      <c r="C17" s="118">
        <v>21512</v>
      </c>
      <c r="D17" s="80" t="s">
        <v>330</v>
      </c>
      <c r="E17" s="80" t="s">
        <v>321</v>
      </c>
      <c r="F17" s="102" t="s">
        <v>331</v>
      </c>
      <c r="G17" s="102" t="s">
        <v>332</v>
      </c>
      <c r="H17" s="80">
        <f>119+24.99</f>
        <v>143.99</v>
      </c>
      <c r="I17" s="80">
        <v>24.99</v>
      </c>
      <c r="J17" s="90">
        <f t="shared" si="0"/>
        <v>119.00000000000001</v>
      </c>
      <c r="K17" s="80">
        <v>5.95</v>
      </c>
      <c r="L17" s="80">
        <f t="shared" si="3"/>
        <v>149.94</v>
      </c>
      <c r="M17" s="77"/>
      <c r="N17" s="79">
        <v>64.45</v>
      </c>
      <c r="O17" s="169">
        <v>2</v>
      </c>
      <c r="P17" s="170">
        <f t="shared" si="1"/>
        <v>119.00000000000001</v>
      </c>
      <c r="Q17" s="81">
        <f t="shared" si="2"/>
        <v>24.99</v>
      </c>
    </row>
    <row r="18" spans="2:19" x14ac:dyDescent="0.3">
      <c r="B18" s="76"/>
      <c r="C18" s="118">
        <v>21580</v>
      </c>
      <c r="D18" s="80" t="s">
        <v>329</v>
      </c>
      <c r="E18" s="80" t="s">
        <v>321</v>
      </c>
      <c r="F18" s="102" t="s">
        <v>331</v>
      </c>
      <c r="G18" s="102" t="s">
        <v>332</v>
      </c>
      <c r="H18" s="80">
        <f>52+10.92</f>
        <v>62.92</v>
      </c>
      <c r="I18" s="80">
        <v>10.92</v>
      </c>
      <c r="J18" s="90">
        <f t="shared" si="0"/>
        <v>52</v>
      </c>
      <c r="K18" s="80">
        <v>2.6</v>
      </c>
      <c r="L18" s="80">
        <f t="shared" si="3"/>
        <v>65.52</v>
      </c>
      <c r="M18" s="78"/>
      <c r="N18" s="79">
        <v>64.45</v>
      </c>
      <c r="O18" s="169">
        <v>1</v>
      </c>
      <c r="P18" s="170">
        <f t="shared" si="1"/>
        <v>52</v>
      </c>
      <c r="Q18" s="81">
        <f t="shared" si="2"/>
        <v>10.92</v>
      </c>
    </row>
    <row r="19" spans="2:19" x14ac:dyDescent="0.3">
      <c r="B19" s="76"/>
      <c r="C19" s="118" t="s">
        <v>488</v>
      </c>
      <c r="D19" s="80" t="s">
        <v>320</v>
      </c>
      <c r="E19" s="80" t="s">
        <v>321</v>
      </c>
      <c r="F19" s="102" t="s">
        <v>333</v>
      </c>
      <c r="G19" s="102" t="s">
        <v>334</v>
      </c>
      <c r="H19" s="80">
        <f>3.99+0.72</f>
        <v>4.71</v>
      </c>
      <c r="I19" s="80">
        <v>0.72</v>
      </c>
      <c r="J19" s="90">
        <f t="shared" si="0"/>
        <v>3.99</v>
      </c>
      <c r="K19" s="80">
        <f>+H19*0.05</f>
        <v>0.23550000000000001</v>
      </c>
      <c r="L19" s="80">
        <f t="shared" si="3"/>
        <v>4.9455</v>
      </c>
      <c r="M19" s="78"/>
      <c r="N19" s="79">
        <v>22.35</v>
      </c>
      <c r="O19" s="169">
        <v>1</v>
      </c>
      <c r="P19" s="170">
        <f t="shared" si="1"/>
        <v>3.99</v>
      </c>
      <c r="Q19" s="81">
        <f t="shared" si="2"/>
        <v>0.72</v>
      </c>
    </row>
    <row r="20" spans="2:19" x14ac:dyDescent="0.3">
      <c r="B20" s="76"/>
      <c r="C20" s="118">
        <v>91615317</v>
      </c>
      <c r="D20" s="80" t="s">
        <v>320</v>
      </c>
      <c r="E20" s="80" t="s">
        <v>321</v>
      </c>
      <c r="F20" s="102" t="s">
        <v>333</v>
      </c>
      <c r="G20" s="102" t="s">
        <v>334</v>
      </c>
      <c r="H20" s="80">
        <f>40+8.4</f>
        <v>48.4</v>
      </c>
      <c r="I20" s="80">
        <v>8.4</v>
      </c>
      <c r="J20" s="90">
        <f t="shared" si="0"/>
        <v>40</v>
      </c>
      <c r="K20" s="80">
        <v>2</v>
      </c>
      <c r="L20" s="80">
        <f t="shared" si="3"/>
        <v>50.4</v>
      </c>
      <c r="M20" s="78"/>
      <c r="N20" s="79">
        <v>22.35</v>
      </c>
      <c r="O20" s="169">
        <v>2</v>
      </c>
      <c r="P20" s="170">
        <f t="shared" si="1"/>
        <v>40</v>
      </c>
      <c r="Q20" s="81">
        <f t="shared" si="2"/>
        <v>8.4</v>
      </c>
    </row>
    <row r="21" spans="2:19" x14ac:dyDescent="0.3">
      <c r="B21" s="76"/>
      <c r="C21" s="118">
        <v>91576433</v>
      </c>
      <c r="D21" s="80" t="s">
        <v>327</v>
      </c>
      <c r="E21" s="80" t="s">
        <v>321</v>
      </c>
      <c r="F21" s="102" t="s">
        <v>333</v>
      </c>
      <c r="G21" s="102" t="s">
        <v>334</v>
      </c>
      <c r="H21" s="80">
        <f>38+7.98</f>
        <v>45.980000000000004</v>
      </c>
      <c r="I21" s="80">
        <v>7.98</v>
      </c>
      <c r="J21" s="90">
        <f t="shared" si="0"/>
        <v>38</v>
      </c>
      <c r="K21" s="80">
        <v>1.9</v>
      </c>
      <c r="L21" s="80">
        <f t="shared" si="3"/>
        <v>47.88</v>
      </c>
      <c r="M21" s="78"/>
      <c r="N21" s="79">
        <v>22.35</v>
      </c>
      <c r="O21" s="169">
        <v>2</v>
      </c>
      <c r="P21" s="170">
        <f t="shared" si="1"/>
        <v>38</v>
      </c>
      <c r="Q21" s="81">
        <f t="shared" si="2"/>
        <v>7.98</v>
      </c>
    </row>
    <row r="22" spans="2:19" x14ac:dyDescent="0.3">
      <c r="B22" s="76"/>
      <c r="C22" s="118" t="s">
        <v>489</v>
      </c>
      <c r="D22" s="80" t="s">
        <v>335</v>
      </c>
      <c r="E22" s="80" t="s">
        <v>235</v>
      </c>
      <c r="F22" s="102" t="s">
        <v>317</v>
      </c>
      <c r="G22" s="102" t="s">
        <v>336</v>
      </c>
      <c r="H22" s="80">
        <f>43.4+8.68</f>
        <v>52.08</v>
      </c>
      <c r="I22" s="80">
        <v>8.68</v>
      </c>
      <c r="J22" s="90">
        <f t="shared" si="0"/>
        <v>43.4</v>
      </c>
      <c r="K22" s="80">
        <f>52.08*0.05</f>
        <v>2.6040000000000001</v>
      </c>
      <c r="L22" s="80">
        <f t="shared" si="3"/>
        <v>54.683999999999997</v>
      </c>
      <c r="M22" s="78"/>
      <c r="N22" s="79">
        <v>43.4</v>
      </c>
      <c r="O22" s="169">
        <v>1</v>
      </c>
      <c r="P22" s="170">
        <f t="shared" si="1"/>
        <v>43.4</v>
      </c>
      <c r="Q22" s="81">
        <f t="shared" si="2"/>
        <v>8.68</v>
      </c>
    </row>
    <row r="23" spans="2:19" x14ac:dyDescent="0.3">
      <c r="B23" s="129"/>
      <c r="C23" s="118">
        <v>467783</v>
      </c>
      <c r="D23" s="80" t="s">
        <v>337</v>
      </c>
      <c r="E23" s="80" t="s">
        <v>321</v>
      </c>
      <c r="F23" s="102" t="s">
        <v>338</v>
      </c>
      <c r="G23" s="102" t="s">
        <v>339</v>
      </c>
      <c r="H23" s="80">
        <v>75</v>
      </c>
      <c r="I23" s="80"/>
      <c r="J23" s="90">
        <f t="shared" si="0"/>
        <v>75</v>
      </c>
      <c r="K23" s="80">
        <f>75*0.05</f>
        <v>3.75</v>
      </c>
      <c r="L23" s="80">
        <f t="shared" si="3"/>
        <v>78.75</v>
      </c>
      <c r="M23" s="102"/>
      <c r="N23" s="90">
        <v>0</v>
      </c>
      <c r="O23" s="169">
        <v>2</v>
      </c>
      <c r="P23" s="171">
        <f t="shared" si="1"/>
        <v>0</v>
      </c>
      <c r="Q23" s="81">
        <f t="shared" si="2"/>
        <v>75</v>
      </c>
      <c r="S23" s="84" t="s">
        <v>340</v>
      </c>
    </row>
    <row r="24" spans="2:19" x14ac:dyDescent="0.3">
      <c r="B24" s="76"/>
      <c r="C24" s="118"/>
      <c r="D24" s="80" t="s">
        <v>341</v>
      </c>
      <c r="E24" s="80" t="s">
        <v>321</v>
      </c>
      <c r="F24" s="102" t="s">
        <v>338</v>
      </c>
      <c r="G24" s="102" t="s">
        <v>342</v>
      </c>
      <c r="H24" s="80">
        <f>22.5+0.15</f>
        <v>22.65</v>
      </c>
      <c r="I24" s="80"/>
      <c r="J24" s="90">
        <f t="shared" si="0"/>
        <v>22.65</v>
      </c>
      <c r="K24" s="80">
        <v>1.1299999999999999</v>
      </c>
      <c r="L24" s="80">
        <f t="shared" si="3"/>
        <v>23.779999999999998</v>
      </c>
      <c r="M24" s="78"/>
      <c r="N24" s="79">
        <v>0</v>
      </c>
      <c r="O24" s="169">
        <v>1</v>
      </c>
      <c r="P24" s="170">
        <f t="shared" si="1"/>
        <v>0</v>
      </c>
      <c r="Q24" s="81">
        <f t="shared" si="2"/>
        <v>22.65</v>
      </c>
    </row>
    <row r="25" spans="2:19" x14ac:dyDescent="0.3">
      <c r="B25" s="76"/>
      <c r="C25" s="118">
        <v>9570</v>
      </c>
      <c r="D25" s="80" t="s">
        <v>335</v>
      </c>
      <c r="E25" s="80" t="s">
        <v>343</v>
      </c>
      <c r="F25" s="102" t="s">
        <v>560</v>
      </c>
      <c r="G25" s="102" t="s">
        <v>344</v>
      </c>
      <c r="H25" s="80">
        <f>216*7</f>
        <v>1512</v>
      </c>
      <c r="I25" s="80"/>
      <c r="J25" s="90">
        <f t="shared" si="0"/>
        <v>1512</v>
      </c>
      <c r="K25" s="80">
        <f>10.8*7</f>
        <v>75.600000000000009</v>
      </c>
      <c r="L25" s="80">
        <f t="shared" si="3"/>
        <v>1587.6</v>
      </c>
      <c r="M25" s="78"/>
      <c r="N25" s="79">
        <v>208</v>
      </c>
      <c r="O25" s="169">
        <v>7</v>
      </c>
      <c r="P25" s="170">
        <f t="shared" si="1"/>
        <v>1456</v>
      </c>
      <c r="Q25" s="81">
        <f t="shared" si="2"/>
        <v>56</v>
      </c>
    </row>
    <row r="26" spans="2:19" x14ac:dyDescent="0.3">
      <c r="B26" s="76"/>
      <c r="C26" s="118">
        <v>9574</v>
      </c>
      <c r="D26" s="80" t="s">
        <v>335</v>
      </c>
      <c r="E26" s="80" t="s">
        <v>343</v>
      </c>
      <c r="F26" s="102" t="s">
        <v>561</v>
      </c>
      <c r="G26" s="102" t="s">
        <v>344</v>
      </c>
      <c r="H26" s="80">
        <v>1512</v>
      </c>
      <c r="I26" s="80"/>
      <c r="J26" s="90">
        <f t="shared" si="0"/>
        <v>1512</v>
      </c>
      <c r="K26" s="80">
        <v>75.599999999999994</v>
      </c>
      <c r="L26" s="80">
        <f t="shared" si="3"/>
        <v>1587.6</v>
      </c>
      <c r="M26" s="78"/>
      <c r="N26" s="79">
        <v>208</v>
      </c>
      <c r="O26" s="169">
        <v>7</v>
      </c>
      <c r="P26" s="170">
        <f t="shared" si="1"/>
        <v>1456</v>
      </c>
      <c r="Q26" s="81">
        <f t="shared" si="2"/>
        <v>56</v>
      </c>
    </row>
    <row r="27" spans="2:19" x14ac:dyDescent="0.3">
      <c r="B27" s="76"/>
      <c r="C27" s="118">
        <v>27578</v>
      </c>
      <c r="D27" s="80" t="s">
        <v>345</v>
      </c>
      <c r="E27" s="80" t="s">
        <v>343</v>
      </c>
      <c r="F27" s="102" t="s">
        <v>562</v>
      </c>
      <c r="G27" s="102" t="s">
        <v>339</v>
      </c>
      <c r="H27" s="80">
        <f>737.61-33.84</f>
        <v>703.77</v>
      </c>
      <c r="I27" s="80"/>
      <c r="J27" s="90">
        <f t="shared" si="0"/>
        <v>703.77</v>
      </c>
      <c r="K27" s="80">
        <f>11.28+11.28+11.28</f>
        <v>33.839999999999996</v>
      </c>
      <c r="L27" s="80">
        <f t="shared" si="3"/>
        <v>737.61</v>
      </c>
      <c r="M27" s="78"/>
      <c r="N27" s="79">
        <v>0</v>
      </c>
      <c r="O27" s="169">
        <v>3</v>
      </c>
      <c r="P27" s="170">
        <f t="shared" si="1"/>
        <v>0</v>
      </c>
      <c r="Q27" s="81">
        <f t="shared" si="2"/>
        <v>703.77</v>
      </c>
    </row>
    <row r="28" spans="2:19" x14ac:dyDescent="0.3">
      <c r="B28" s="76"/>
      <c r="C28" s="118">
        <v>1649</v>
      </c>
      <c r="D28" s="80" t="s">
        <v>337</v>
      </c>
      <c r="E28" s="80" t="s">
        <v>343</v>
      </c>
      <c r="F28" s="102" t="s">
        <v>346</v>
      </c>
      <c r="G28" s="102" t="s">
        <v>339</v>
      </c>
      <c r="H28" s="80">
        <v>60</v>
      </c>
      <c r="I28" s="80"/>
      <c r="J28" s="90">
        <f t="shared" si="0"/>
        <v>60</v>
      </c>
      <c r="K28" s="80">
        <f>+J28*0.05</f>
        <v>3</v>
      </c>
      <c r="L28" s="80">
        <f t="shared" si="3"/>
        <v>63</v>
      </c>
      <c r="M28" s="78"/>
      <c r="N28" s="79">
        <v>0</v>
      </c>
      <c r="O28" s="169">
        <v>1</v>
      </c>
      <c r="P28" s="170">
        <f>IF((N28*O28)&gt;J28,J28,(N28*O28))</f>
        <v>0</v>
      </c>
      <c r="Q28" s="81">
        <f t="shared" si="2"/>
        <v>60</v>
      </c>
    </row>
    <row r="29" spans="2:19" x14ac:dyDescent="0.3">
      <c r="B29" s="76"/>
      <c r="C29" s="118">
        <v>27581</v>
      </c>
      <c r="D29" s="80" t="s">
        <v>345</v>
      </c>
      <c r="E29" s="80" t="s">
        <v>343</v>
      </c>
      <c r="F29" s="102" t="s">
        <v>563</v>
      </c>
      <c r="G29" s="102" t="s">
        <v>339</v>
      </c>
      <c r="H29" s="80">
        <f>1223.75-55.73</f>
        <v>1168.02</v>
      </c>
      <c r="I29" s="80"/>
      <c r="J29" s="90">
        <f t="shared" si="0"/>
        <v>1168.02</v>
      </c>
      <c r="K29" s="80">
        <f>44.13+4.1+7.5</f>
        <v>55.730000000000004</v>
      </c>
      <c r="L29" s="80">
        <f t="shared" si="3"/>
        <v>1223.75</v>
      </c>
      <c r="M29" s="78"/>
      <c r="N29" s="79">
        <v>0</v>
      </c>
      <c r="O29" s="169">
        <v>3</v>
      </c>
      <c r="P29" s="170">
        <f>IF((N29*O29)&gt;J29,J29,(N29*O29))</f>
        <v>0</v>
      </c>
      <c r="Q29" s="81">
        <f t="shared" si="2"/>
        <v>1168.02</v>
      </c>
    </row>
    <row r="30" spans="2:19" x14ac:dyDescent="0.3">
      <c r="B30" s="76"/>
      <c r="C30" s="118" t="s">
        <v>347</v>
      </c>
      <c r="D30" s="80" t="s">
        <v>320</v>
      </c>
      <c r="E30" s="80" t="s">
        <v>321</v>
      </c>
      <c r="F30" s="102" t="s">
        <v>331</v>
      </c>
      <c r="G30" s="102" t="s">
        <v>348</v>
      </c>
      <c r="H30" s="80">
        <f>112.14-4.45</f>
        <v>107.69</v>
      </c>
      <c r="I30" s="80">
        <v>18.690000000000001</v>
      </c>
      <c r="J30" s="90">
        <f t="shared" si="0"/>
        <v>89</v>
      </c>
      <c r="K30" s="80">
        <v>4.45</v>
      </c>
      <c r="L30" s="80">
        <f t="shared" si="3"/>
        <v>112.14</v>
      </c>
      <c r="M30" s="78"/>
      <c r="N30" s="79">
        <v>64.45</v>
      </c>
      <c r="O30" s="169">
        <v>2</v>
      </c>
      <c r="P30" s="170">
        <f t="shared" si="1"/>
        <v>89</v>
      </c>
      <c r="Q30" s="81">
        <f t="shared" si="2"/>
        <v>18.690000000000001</v>
      </c>
    </row>
    <row r="31" spans="2:19" x14ac:dyDescent="0.3">
      <c r="B31" s="76"/>
      <c r="C31" s="118" t="s">
        <v>349</v>
      </c>
      <c r="D31" s="80" t="s">
        <v>327</v>
      </c>
      <c r="E31" s="80" t="s">
        <v>321</v>
      </c>
      <c r="F31" s="102" t="s">
        <v>331</v>
      </c>
      <c r="G31" s="102" t="s">
        <v>350</v>
      </c>
      <c r="H31" s="80">
        <f>85-3.4</f>
        <v>81.599999999999994</v>
      </c>
      <c r="I31" s="80">
        <v>13.6</v>
      </c>
      <c r="J31" s="90">
        <f t="shared" si="0"/>
        <v>68</v>
      </c>
      <c r="K31" s="80">
        <v>3.4</v>
      </c>
      <c r="L31" s="80">
        <f t="shared" si="3"/>
        <v>85</v>
      </c>
      <c r="M31" s="78"/>
      <c r="N31" s="79">
        <v>64.45</v>
      </c>
      <c r="O31" s="169">
        <v>2</v>
      </c>
      <c r="P31" s="170">
        <f t="shared" si="1"/>
        <v>68</v>
      </c>
      <c r="Q31" s="81">
        <f t="shared" si="2"/>
        <v>13.6</v>
      </c>
    </row>
    <row r="32" spans="2:19" x14ac:dyDescent="0.3">
      <c r="B32" s="76"/>
      <c r="C32" s="118">
        <v>55292</v>
      </c>
      <c r="D32" s="80" t="s">
        <v>351</v>
      </c>
      <c r="E32" s="80" t="s">
        <v>321</v>
      </c>
      <c r="F32" s="102" t="s">
        <v>333</v>
      </c>
      <c r="G32" s="102" t="s">
        <v>352</v>
      </c>
      <c r="H32" s="80">
        <f>22.48</f>
        <v>22.48</v>
      </c>
      <c r="I32" s="80">
        <v>3.6</v>
      </c>
      <c r="J32" s="90">
        <f t="shared" si="0"/>
        <v>18.88</v>
      </c>
      <c r="K32" s="80">
        <f>+H32*0.05</f>
        <v>1.1240000000000001</v>
      </c>
      <c r="L32" s="80">
        <f t="shared" si="3"/>
        <v>23.603999999999999</v>
      </c>
      <c r="M32" s="78"/>
      <c r="N32" s="79">
        <v>22.35</v>
      </c>
      <c r="O32" s="169">
        <v>1</v>
      </c>
      <c r="P32" s="170">
        <f t="shared" si="1"/>
        <v>18.88</v>
      </c>
      <c r="Q32" s="81">
        <f t="shared" si="2"/>
        <v>3.6</v>
      </c>
    </row>
    <row r="33" spans="2:17" x14ac:dyDescent="0.3">
      <c r="B33" s="76"/>
      <c r="C33" s="118">
        <v>55312</v>
      </c>
      <c r="D33" s="80" t="s">
        <v>351</v>
      </c>
      <c r="E33" s="80" t="s">
        <v>321</v>
      </c>
      <c r="F33" s="102" t="s">
        <v>333</v>
      </c>
      <c r="G33" s="102" t="s">
        <v>352</v>
      </c>
      <c r="H33" s="80">
        <f>17.48+3.9</f>
        <v>21.38</v>
      </c>
      <c r="I33" s="80">
        <v>3.9</v>
      </c>
      <c r="J33" s="90">
        <f t="shared" si="0"/>
        <v>17.48</v>
      </c>
      <c r="K33" s="80">
        <v>0.87</v>
      </c>
      <c r="L33" s="80">
        <f t="shared" si="3"/>
        <v>22.25</v>
      </c>
      <c r="M33" s="78"/>
      <c r="N33" s="79">
        <v>22.35</v>
      </c>
      <c r="O33" s="169">
        <v>1</v>
      </c>
      <c r="P33" s="170">
        <f t="shared" si="1"/>
        <v>17.48</v>
      </c>
      <c r="Q33" s="81">
        <f t="shared" si="2"/>
        <v>3.9</v>
      </c>
    </row>
    <row r="34" spans="2:17" x14ac:dyDescent="0.3">
      <c r="B34" s="76"/>
      <c r="C34" s="118">
        <v>235314878</v>
      </c>
      <c r="D34" s="172" t="s">
        <v>335</v>
      </c>
      <c r="E34" s="80" t="s">
        <v>353</v>
      </c>
      <c r="F34" s="102" t="s">
        <v>354</v>
      </c>
      <c r="G34" s="102" t="s">
        <v>355</v>
      </c>
      <c r="H34" s="80">
        <f>839.34-39.97</f>
        <v>799.37</v>
      </c>
      <c r="I34" s="80"/>
      <c r="J34" s="90">
        <f t="shared" si="0"/>
        <v>799.37</v>
      </c>
      <c r="K34" s="80">
        <f>24.01+12.36+1.8+1.8</f>
        <v>39.97</v>
      </c>
      <c r="L34" s="80">
        <f t="shared" si="3"/>
        <v>839.34</v>
      </c>
      <c r="M34" s="78" t="s">
        <v>250</v>
      </c>
      <c r="N34" s="79">
        <v>839.34</v>
      </c>
      <c r="O34" s="169">
        <v>2</v>
      </c>
      <c r="P34" s="170">
        <f t="shared" si="1"/>
        <v>799.37</v>
      </c>
      <c r="Q34" s="81">
        <f t="shared" si="2"/>
        <v>0</v>
      </c>
    </row>
    <row r="35" spans="2:17" x14ac:dyDescent="0.3">
      <c r="B35" s="76"/>
      <c r="C35" s="118" t="s">
        <v>356</v>
      </c>
      <c r="D35" s="80" t="s">
        <v>357</v>
      </c>
      <c r="E35" s="80" t="s">
        <v>358</v>
      </c>
      <c r="F35" s="102" t="s">
        <v>359</v>
      </c>
      <c r="G35" s="102" t="s">
        <v>5</v>
      </c>
      <c r="H35" s="80">
        <f>311.79-14.85</f>
        <v>296.94</v>
      </c>
      <c r="I35" s="80"/>
      <c r="J35" s="90">
        <f t="shared" si="0"/>
        <v>296.94</v>
      </c>
      <c r="K35" s="80">
        <v>14.85</v>
      </c>
      <c r="L35" s="80">
        <f t="shared" si="3"/>
        <v>311.79000000000002</v>
      </c>
      <c r="M35" s="78"/>
      <c r="N35" s="79">
        <v>0</v>
      </c>
      <c r="O35" s="169">
        <v>599.6</v>
      </c>
      <c r="P35" s="170">
        <f t="shared" si="1"/>
        <v>0</v>
      </c>
      <c r="Q35" s="81">
        <f>J35-P35+I35</f>
        <v>296.94</v>
      </c>
    </row>
    <row r="36" spans="2:17" x14ac:dyDescent="0.3">
      <c r="B36" s="76"/>
      <c r="C36" s="118">
        <v>569637</v>
      </c>
      <c r="D36" s="80" t="s">
        <v>335</v>
      </c>
      <c r="E36" s="80" t="s">
        <v>321</v>
      </c>
      <c r="F36" s="102" t="s">
        <v>331</v>
      </c>
      <c r="G36" s="102" t="s">
        <v>360</v>
      </c>
      <c r="H36" s="80">
        <f>159.74-6.34</f>
        <v>153.4</v>
      </c>
      <c r="I36" s="80">
        <v>26.62</v>
      </c>
      <c r="J36" s="90">
        <f t="shared" si="0"/>
        <v>126.78</v>
      </c>
      <c r="K36" s="80">
        <v>6.34</v>
      </c>
      <c r="L36" s="80">
        <f>+I36+J36+K36</f>
        <v>159.74</v>
      </c>
      <c r="M36" s="78"/>
      <c r="N36" s="79">
        <v>64.45</v>
      </c>
      <c r="O36" s="169">
        <v>2</v>
      </c>
      <c r="P36" s="170">
        <f t="shared" si="1"/>
        <v>126.78</v>
      </c>
      <c r="Q36" s="81">
        <f t="shared" si="2"/>
        <v>26.62</v>
      </c>
    </row>
    <row r="37" spans="2:17" x14ac:dyDescent="0.3">
      <c r="B37" s="76"/>
      <c r="C37" s="118">
        <v>924964</v>
      </c>
      <c r="D37" s="80" t="s">
        <v>345</v>
      </c>
      <c r="E37" s="80" t="s">
        <v>321</v>
      </c>
      <c r="F37" s="102" t="s">
        <v>338</v>
      </c>
      <c r="G37" s="102" t="s">
        <v>361</v>
      </c>
      <c r="H37" s="80">
        <f>110-5.24+0.09</f>
        <v>104.85000000000001</v>
      </c>
      <c r="I37" s="80"/>
      <c r="J37" s="90">
        <f t="shared" si="0"/>
        <v>104.85000000000001</v>
      </c>
      <c r="K37" s="80">
        <f>5.24+3.37</f>
        <v>8.61</v>
      </c>
      <c r="L37" s="80">
        <f t="shared" si="3"/>
        <v>113.46000000000001</v>
      </c>
      <c r="M37" s="78"/>
      <c r="N37" s="79">
        <v>0</v>
      </c>
      <c r="O37" s="169">
        <v>2</v>
      </c>
      <c r="P37" s="170">
        <f t="shared" si="1"/>
        <v>0</v>
      </c>
      <c r="Q37" s="81">
        <f t="shared" si="2"/>
        <v>104.85000000000001</v>
      </c>
    </row>
    <row r="38" spans="2:17" x14ac:dyDescent="0.3">
      <c r="B38" s="76"/>
      <c r="C38" s="83">
        <v>8874</v>
      </c>
      <c r="D38" s="173" t="s">
        <v>362</v>
      </c>
      <c r="E38" s="77" t="s">
        <v>321</v>
      </c>
      <c r="F38" s="78" t="s">
        <v>333</v>
      </c>
      <c r="G38" s="78" t="s">
        <v>363</v>
      </c>
      <c r="H38" s="80">
        <v>16.940000000000001</v>
      </c>
      <c r="I38" s="80"/>
      <c r="J38" s="90">
        <f t="shared" si="0"/>
        <v>16.940000000000001</v>
      </c>
      <c r="K38" s="80">
        <v>0.85</v>
      </c>
      <c r="L38" s="80">
        <f t="shared" si="3"/>
        <v>17.790000000000003</v>
      </c>
      <c r="M38" s="78"/>
      <c r="N38" s="79">
        <v>23.8</v>
      </c>
      <c r="O38" s="169">
        <v>1</v>
      </c>
      <c r="P38" s="170">
        <f t="shared" si="1"/>
        <v>16.940000000000001</v>
      </c>
      <c r="Q38" s="81">
        <f t="shared" si="2"/>
        <v>0</v>
      </c>
    </row>
    <row r="39" spans="2:17" x14ac:dyDescent="0.3">
      <c r="B39" s="76"/>
      <c r="C39" s="83">
        <v>107</v>
      </c>
      <c r="D39" s="80" t="s">
        <v>330</v>
      </c>
      <c r="E39" s="77" t="s">
        <v>321</v>
      </c>
      <c r="F39" s="78" t="s">
        <v>322</v>
      </c>
      <c r="G39" s="78" t="s">
        <v>364</v>
      </c>
      <c r="H39" s="80">
        <v>7.11</v>
      </c>
      <c r="I39" s="80"/>
      <c r="J39" s="90">
        <f t="shared" si="0"/>
        <v>7.11</v>
      </c>
      <c r="K39" s="80">
        <v>0.36</v>
      </c>
      <c r="L39" s="80">
        <f t="shared" si="3"/>
        <v>7.4700000000000006</v>
      </c>
      <c r="M39" s="78"/>
      <c r="N39" s="79">
        <v>24.35</v>
      </c>
      <c r="O39" s="169">
        <v>2</v>
      </c>
      <c r="P39" s="170">
        <f t="shared" si="1"/>
        <v>7.11</v>
      </c>
      <c r="Q39" s="81">
        <f t="shared" si="2"/>
        <v>0</v>
      </c>
    </row>
    <row r="40" spans="2:17" x14ac:dyDescent="0.3">
      <c r="B40" s="76"/>
      <c r="C40" s="83">
        <v>169</v>
      </c>
      <c r="D40" s="173">
        <v>45256</v>
      </c>
      <c r="E40" s="77" t="s">
        <v>321</v>
      </c>
      <c r="F40" s="78" t="s">
        <v>333</v>
      </c>
      <c r="G40" s="78" t="s">
        <v>364</v>
      </c>
      <c r="H40" s="80">
        <v>10.38</v>
      </c>
      <c r="I40" s="80"/>
      <c r="J40" s="90">
        <f t="shared" si="0"/>
        <v>10.38</v>
      </c>
      <c r="K40" s="80">
        <v>0.52</v>
      </c>
      <c r="L40" s="80">
        <f t="shared" si="3"/>
        <v>10.9</v>
      </c>
      <c r="M40" s="78"/>
      <c r="N40" s="79">
        <v>22.35</v>
      </c>
      <c r="O40" s="169">
        <v>2</v>
      </c>
      <c r="P40" s="170">
        <f t="shared" si="1"/>
        <v>10.38</v>
      </c>
      <c r="Q40" s="81">
        <f t="shared" si="2"/>
        <v>0</v>
      </c>
    </row>
    <row r="41" spans="2:17" x14ac:dyDescent="0.3">
      <c r="B41" s="76"/>
      <c r="C41" s="83"/>
      <c r="D41" s="80"/>
      <c r="E41" s="77"/>
      <c r="F41" s="78" t="s">
        <v>365</v>
      </c>
      <c r="G41" s="78"/>
      <c r="H41" s="80"/>
      <c r="I41" s="77"/>
      <c r="J41" s="79">
        <f t="shared" si="0"/>
        <v>0</v>
      </c>
      <c r="K41" s="80">
        <v>7.48</v>
      </c>
      <c r="L41" s="77">
        <f t="shared" si="3"/>
        <v>7.48</v>
      </c>
      <c r="M41" s="78"/>
      <c r="N41" s="79"/>
      <c r="O41" s="169"/>
      <c r="P41" s="170">
        <f t="shared" si="1"/>
        <v>0</v>
      </c>
      <c r="Q41" s="81">
        <f t="shared" si="2"/>
        <v>0</v>
      </c>
    </row>
    <row r="42" spans="2:17" ht="15.5" x14ac:dyDescent="0.3">
      <c r="B42" s="316">
        <v>1540529</v>
      </c>
      <c r="C42" s="317">
        <v>1540529</v>
      </c>
      <c r="D42" s="318" t="s">
        <v>545</v>
      </c>
      <c r="E42" s="319" t="s">
        <v>242</v>
      </c>
      <c r="F42" s="320" t="s">
        <v>242</v>
      </c>
      <c r="G42" s="320" t="s">
        <v>5</v>
      </c>
      <c r="H42" s="318">
        <v>9</v>
      </c>
      <c r="I42" s="319"/>
      <c r="J42" s="321">
        <f t="shared" si="0"/>
        <v>9</v>
      </c>
      <c r="K42" s="318">
        <f>+J42*0.05</f>
        <v>0.45</v>
      </c>
      <c r="L42" s="319">
        <f>+J42+K42</f>
        <v>9.4499999999999993</v>
      </c>
      <c r="M42" s="320"/>
      <c r="N42" s="321">
        <v>0.1</v>
      </c>
      <c r="O42" s="322">
        <f>9/0.25</f>
        <v>36</v>
      </c>
      <c r="P42" s="323">
        <f t="shared" si="1"/>
        <v>3.6</v>
      </c>
      <c r="Q42" s="81">
        <f t="shared" si="2"/>
        <v>5.4</v>
      </c>
    </row>
    <row r="43" spans="2:17" ht="15.5" x14ac:dyDescent="0.3">
      <c r="B43" s="324"/>
      <c r="C43" s="325">
        <v>2879354899390</v>
      </c>
      <c r="D43" s="318" t="s">
        <v>335</v>
      </c>
      <c r="E43" s="318" t="s">
        <v>353</v>
      </c>
      <c r="F43" s="326" t="s">
        <v>546</v>
      </c>
      <c r="G43" s="326" t="s">
        <v>547</v>
      </c>
      <c r="H43" s="318">
        <v>307.77999999999997</v>
      </c>
      <c r="I43" s="318"/>
      <c r="J43" s="327">
        <f t="shared" si="0"/>
        <v>307.77999999999997</v>
      </c>
      <c r="K43" s="318">
        <f>+J43*0.05</f>
        <v>15.388999999999999</v>
      </c>
      <c r="L43" s="318">
        <f>+J43+K43</f>
        <v>323.16899999999998</v>
      </c>
      <c r="M43" s="326" t="s">
        <v>250</v>
      </c>
      <c r="N43" s="327">
        <v>307.77999999999997</v>
      </c>
      <c r="O43" s="322">
        <v>1</v>
      </c>
      <c r="P43" s="323">
        <f t="shared" si="1"/>
        <v>307.77999999999997</v>
      </c>
      <c r="Q43" s="81">
        <f t="shared" si="2"/>
        <v>0</v>
      </c>
    </row>
    <row r="44" spans="2:17" ht="15.5" x14ac:dyDescent="0.3">
      <c r="B44" s="328"/>
      <c r="C44" s="325">
        <v>149354899383</v>
      </c>
      <c r="D44" s="318" t="s">
        <v>548</v>
      </c>
      <c r="E44" s="318" t="s">
        <v>353</v>
      </c>
      <c r="F44" s="326" t="s">
        <v>546</v>
      </c>
      <c r="G44" s="326" t="s">
        <v>397</v>
      </c>
      <c r="H44" s="318">
        <v>686.38</v>
      </c>
      <c r="I44" s="318"/>
      <c r="J44" s="327">
        <f t="shared" si="0"/>
        <v>686.38</v>
      </c>
      <c r="K44" s="318">
        <f>+J44*0.05</f>
        <v>34.319000000000003</v>
      </c>
      <c r="L44" s="318">
        <f>+J44+K44</f>
        <v>720.69899999999996</v>
      </c>
      <c r="M44" s="326" t="s">
        <v>250</v>
      </c>
      <c r="N44" s="327">
        <v>686.38</v>
      </c>
      <c r="O44" s="322">
        <v>1</v>
      </c>
      <c r="P44" s="323">
        <f t="shared" si="1"/>
        <v>686.38</v>
      </c>
      <c r="Q44" s="81">
        <f t="shared" si="2"/>
        <v>0</v>
      </c>
    </row>
    <row r="45" spans="2:17" ht="14.5" thickBot="1" x14ac:dyDescent="0.35">
      <c r="B45" s="85"/>
      <c r="C45" s="86"/>
      <c r="D45" s="86"/>
      <c r="E45" s="86"/>
      <c r="F45" s="88"/>
      <c r="G45" s="88"/>
      <c r="H45" s="86">
        <f>SUM(H10:H44)</f>
        <v>8213.1799999999985</v>
      </c>
      <c r="I45" s="86">
        <f>SUM(I10:I44)</f>
        <v>149.61000000000001</v>
      </c>
      <c r="J45" s="175">
        <f>SUM(J10:J44)</f>
        <v>8063.5699999999988</v>
      </c>
      <c r="K45" s="86">
        <f t="shared" ref="K45" si="4">SUM(K10:K44)</f>
        <v>410.6615000000001</v>
      </c>
      <c r="L45" s="86">
        <f>SUM(L10:L44)</f>
        <v>8623.8414999999986</v>
      </c>
      <c r="M45" s="86"/>
      <c r="N45" s="86"/>
      <c r="O45" s="89"/>
      <c r="P45" s="176">
        <f>SUM(P10:P44)</f>
        <v>5503.54</v>
      </c>
      <c r="Q45" s="177">
        <f>SUM(Q10:Q44)</f>
        <v>2709.64</v>
      </c>
    </row>
    <row r="47" spans="2:17" x14ac:dyDescent="0.3">
      <c r="J47" s="92"/>
      <c r="Q47" s="92"/>
    </row>
    <row r="49" spans="12:13" x14ac:dyDescent="0.3">
      <c r="L49" s="92"/>
    </row>
    <row r="50" spans="12:13" x14ac:dyDescent="0.3">
      <c r="M50" s="92"/>
    </row>
    <row r="51" spans="12:13" x14ac:dyDescent="0.3">
      <c r="M51" s="92"/>
    </row>
  </sheetData>
  <mergeCells count="4">
    <mergeCell ref="B8:Q8"/>
    <mergeCell ref="B2:R2"/>
    <mergeCell ref="B3:R3"/>
    <mergeCell ref="B5:Q5"/>
  </mergeCells>
  <pageMargins left="0.7" right="0.7" top="0.75" bottom="0.75" header="0.3" footer="0.3"/>
  <pageSetup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241B-955D-42E0-9D84-C5A18323743B}">
  <sheetPr>
    <pageSetUpPr fitToPage="1"/>
  </sheetPr>
  <dimension ref="B1:V119"/>
  <sheetViews>
    <sheetView showOutlineSymbols="0" showWhiteSpace="0" topLeftCell="C56" workbookViewId="0">
      <selection activeCell="K105" sqref="K105"/>
    </sheetView>
    <sheetView topLeftCell="B32" zoomScale="80" zoomScaleNormal="80" workbookViewId="1">
      <selection activeCell="O6" sqref="O6"/>
    </sheetView>
  </sheetViews>
  <sheetFormatPr defaultColWidth="9.1796875" defaultRowHeight="14" x14ac:dyDescent="0.3"/>
  <cols>
    <col min="1" max="1" width="4.7265625" style="84" customWidth="1"/>
    <col min="2" max="2" width="22.26953125" style="84" customWidth="1"/>
    <col min="3" max="4" width="15.54296875" style="84" customWidth="1"/>
    <col min="5" max="5" width="15.54296875" style="191" customWidth="1"/>
    <col min="6" max="15" width="15.54296875" style="84" customWidth="1"/>
    <col min="16" max="16" width="17.81640625" style="84" customWidth="1"/>
    <col min="17" max="18" width="15.54296875" style="84" customWidth="1"/>
    <col min="19" max="19" width="10.7265625" style="84" hidden="1" customWidth="1"/>
    <col min="20" max="20" width="10.81640625" style="84" hidden="1" customWidth="1"/>
    <col min="21" max="22" width="12.54296875" style="84" hidden="1" customWidth="1"/>
    <col min="23" max="23" width="12.54296875" style="84" customWidth="1"/>
    <col min="24" max="24" width="19.453125" style="84" customWidth="1"/>
    <col min="25" max="32" width="11.81640625" style="84" customWidth="1"/>
    <col min="33" max="16384" width="9.1796875" style="84"/>
  </cols>
  <sheetData>
    <row r="1" spans="2:21" s="192" customFormat="1" ht="15" customHeight="1" x14ac:dyDescent="0.35">
      <c r="B1" s="193" t="s">
        <v>195</v>
      </c>
      <c r="E1" s="267"/>
      <c r="F1" s="194"/>
    </row>
    <row r="2" spans="2:21" s="192" customFormat="1" ht="15" customHeight="1" x14ac:dyDescent="0.35">
      <c r="B2" s="589" t="s">
        <v>486</v>
      </c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</row>
    <row r="3" spans="2:21" s="192" customFormat="1" ht="15" customHeight="1" x14ac:dyDescent="0.35">
      <c r="B3" s="589" t="s">
        <v>487</v>
      </c>
      <c r="C3" s="589"/>
      <c r="D3" s="589"/>
      <c r="E3" s="589"/>
      <c r="F3" s="589"/>
      <c r="G3" s="589"/>
      <c r="H3" s="589"/>
      <c r="I3" s="589"/>
      <c r="J3" s="589"/>
      <c r="K3" s="589"/>
      <c r="L3" s="589"/>
      <c r="M3" s="589"/>
      <c r="N3" s="589"/>
      <c r="O3" s="589"/>
      <c r="P3" s="589"/>
      <c r="Q3" s="589"/>
      <c r="R3" s="589"/>
    </row>
    <row r="4" spans="2:21" s="192" customFormat="1" ht="15" customHeight="1" x14ac:dyDescent="0.35">
      <c r="B4" s="193"/>
      <c r="E4" s="267"/>
      <c r="F4" s="194"/>
    </row>
    <row r="5" spans="2:21" s="192" customFormat="1" ht="15" customHeight="1" x14ac:dyDescent="0.35">
      <c r="B5" s="603" t="s">
        <v>255</v>
      </c>
      <c r="C5" s="603"/>
      <c r="D5" s="603"/>
      <c r="E5" s="603"/>
      <c r="F5" s="603"/>
      <c r="G5" s="603"/>
      <c r="H5" s="603"/>
      <c r="I5" s="603"/>
      <c r="J5" s="603"/>
      <c r="K5" s="603"/>
      <c r="L5" s="603"/>
      <c r="M5" s="603"/>
      <c r="N5" s="603"/>
      <c r="O5" s="603"/>
      <c r="P5" s="603"/>
      <c r="Q5" s="603"/>
      <c r="R5" s="603"/>
    </row>
    <row r="6" spans="2:21" s="192" customFormat="1" ht="15" customHeight="1" x14ac:dyDescent="0.35">
      <c r="B6" s="193" t="s">
        <v>551</v>
      </c>
      <c r="E6" s="267"/>
    </row>
    <row r="7" spans="2:21" ht="14.5" customHeight="1" x14ac:dyDescent="0.3">
      <c r="B7" s="160"/>
    </row>
    <row r="8" spans="2:21" s="106" customFormat="1" ht="28" x14ac:dyDescent="0.35">
      <c r="B8" s="204" t="s">
        <v>197</v>
      </c>
      <c r="C8" s="204" t="s">
        <v>198</v>
      </c>
      <c r="D8" s="204" t="s">
        <v>199</v>
      </c>
      <c r="E8" s="204" t="s">
        <v>200</v>
      </c>
      <c r="F8" s="204" t="s">
        <v>490</v>
      </c>
      <c r="G8" s="204" t="s">
        <v>202</v>
      </c>
      <c r="H8" s="204" t="s">
        <v>203</v>
      </c>
      <c r="I8" s="204" t="s">
        <v>204</v>
      </c>
      <c r="J8" s="204" t="s">
        <v>205</v>
      </c>
      <c r="K8" s="204" t="s">
        <v>2</v>
      </c>
      <c r="L8" s="204" t="s">
        <v>121</v>
      </c>
      <c r="M8" s="204" t="s">
        <v>9</v>
      </c>
      <c r="N8" s="204" t="s">
        <v>206</v>
      </c>
      <c r="O8" s="204" t="s">
        <v>256</v>
      </c>
      <c r="P8" s="263" t="s">
        <v>208</v>
      </c>
      <c r="Q8" s="204" t="s">
        <v>121</v>
      </c>
      <c r="R8" s="264" t="s">
        <v>257</v>
      </c>
    </row>
    <row r="9" spans="2:21" x14ac:dyDescent="0.3">
      <c r="B9" s="205"/>
      <c r="C9" s="205"/>
      <c r="D9" s="205"/>
      <c r="E9" s="206"/>
      <c r="F9" s="205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</row>
    <row r="10" spans="2:21" x14ac:dyDescent="0.3">
      <c r="B10" s="205" t="s">
        <v>210</v>
      </c>
      <c r="C10" s="265" t="s">
        <v>258</v>
      </c>
      <c r="D10" s="159">
        <v>2023</v>
      </c>
      <c r="E10" s="207">
        <v>1041</v>
      </c>
      <c r="F10" s="159" t="s">
        <v>259</v>
      </c>
      <c r="G10" s="84">
        <v>2019</v>
      </c>
      <c r="H10" s="207">
        <f>D10-G10</f>
        <v>4</v>
      </c>
      <c r="I10" s="178">
        <v>18.5</v>
      </c>
      <c r="J10" s="179">
        <v>325</v>
      </c>
      <c r="K10" s="179">
        <f>J10*I10</f>
        <v>6012.5</v>
      </c>
      <c r="L10" s="179">
        <f>K10*0.05</f>
        <v>300.625</v>
      </c>
      <c r="M10" s="179">
        <f t="shared" ref="M10" si="0">K10+L10</f>
        <v>6313.125</v>
      </c>
      <c r="N10" s="179">
        <f>'YUB Scale of Costs'!D15</f>
        <v>120</v>
      </c>
      <c r="O10" s="179">
        <f t="shared" ref="O10" si="1">K10</f>
        <v>6012.5</v>
      </c>
      <c r="P10" s="179">
        <f>I10*N10</f>
        <v>2220</v>
      </c>
      <c r="Q10" s="179">
        <f t="shared" ref="Q10" si="2">L10</f>
        <v>300.625</v>
      </c>
      <c r="R10" s="179">
        <f>I10*(J10-N10)</f>
        <v>3792.5</v>
      </c>
      <c r="S10" s="92">
        <f>M10-SUM(P10:R10)</f>
        <v>0</v>
      </c>
    </row>
    <row r="11" spans="2:21" x14ac:dyDescent="0.3">
      <c r="B11" s="205"/>
      <c r="C11" s="180"/>
      <c r="F11" s="205"/>
      <c r="G11" s="206"/>
      <c r="H11" s="206"/>
      <c r="I11" s="206"/>
      <c r="J11" s="206"/>
      <c r="K11" s="266">
        <f>SUM(K10:K10)</f>
        <v>6012.5</v>
      </c>
      <c r="L11" s="266">
        <f>SUM(L10:L10)</f>
        <v>300.625</v>
      </c>
      <c r="M11" s="208">
        <f>SUM(M10:M10)</f>
        <v>6313.125</v>
      </c>
      <c r="N11" s="266"/>
      <c r="O11" s="266">
        <f>SUM(O10:O10)</f>
        <v>6012.5</v>
      </c>
      <c r="P11" s="266">
        <f>SUM(P10:P10)</f>
        <v>2220</v>
      </c>
      <c r="Q11" s="266">
        <f>SUM(Q10:Q10)</f>
        <v>300.625</v>
      </c>
      <c r="R11" s="266">
        <f>SUM(R10:R10)</f>
        <v>3792.5</v>
      </c>
      <c r="S11" s="92">
        <f>M11-SUM(P11:R11)</f>
        <v>0</v>
      </c>
      <c r="U11" s="92">
        <f>+K11</f>
        <v>6012.5</v>
      </c>
    </row>
    <row r="12" spans="2:21" x14ac:dyDescent="0.3">
      <c r="B12" s="205"/>
      <c r="C12" s="180"/>
      <c r="F12" s="205"/>
      <c r="G12" s="206"/>
      <c r="H12" s="206"/>
      <c r="I12" s="206"/>
      <c r="J12" s="206"/>
      <c r="K12" s="179"/>
      <c r="L12" s="179"/>
      <c r="M12" s="178"/>
      <c r="N12" s="179"/>
      <c r="O12" s="179"/>
      <c r="P12" s="179"/>
      <c r="Q12" s="179"/>
      <c r="R12" s="179"/>
    </row>
    <row r="13" spans="2:21" x14ac:dyDescent="0.3">
      <c r="B13" s="205" t="s">
        <v>210</v>
      </c>
      <c r="C13" s="265" t="s">
        <v>260</v>
      </c>
      <c r="D13" s="159">
        <v>2023</v>
      </c>
      <c r="E13" s="207">
        <v>1059</v>
      </c>
      <c r="F13" s="159" t="s">
        <v>261</v>
      </c>
      <c r="G13" s="159">
        <v>2006</v>
      </c>
      <c r="H13" s="207">
        <f>D13-G13</f>
        <v>17</v>
      </c>
      <c r="I13" s="178">
        <v>1</v>
      </c>
      <c r="J13" s="179">
        <v>420</v>
      </c>
      <c r="K13" s="179">
        <f>J13*I13</f>
        <v>420</v>
      </c>
      <c r="L13" s="179">
        <f>K13*0.05</f>
        <v>21</v>
      </c>
      <c r="M13" s="178">
        <f t="shared" ref="M13" si="3">K13+L13</f>
        <v>441</v>
      </c>
      <c r="N13" s="178">
        <f>'YUB Scale of Costs'!D18</f>
        <v>270</v>
      </c>
      <c r="O13" s="179">
        <f t="shared" ref="O13" si="4">K13</f>
        <v>420</v>
      </c>
      <c r="P13" s="179">
        <f>I13*N13</f>
        <v>270</v>
      </c>
      <c r="Q13" s="179">
        <f t="shared" ref="Q13" si="5">L13</f>
        <v>21</v>
      </c>
      <c r="R13" s="179">
        <f>I13*(J13-N13)</f>
        <v>150</v>
      </c>
      <c r="S13" s="92">
        <f t="shared" ref="S13:S14" si="6">M13-SUM(P13:R13)</f>
        <v>0</v>
      </c>
    </row>
    <row r="14" spans="2:21" x14ac:dyDescent="0.3">
      <c r="B14" s="205"/>
      <c r="C14" s="265"/>
      <c r="D14" s="159">
        <v>2023</v>
      </c>
      <c r="E14" s="207"/>
      <c r="F14" s="159" t="s">
        <v>259</v>
      </c>
      <c r="G14" s="159">
        <v>2019</v>
      </c>
      <c r="H14" s="207">
        <f>D14-G14</f>
        <v>4</v>
      </c>
      <c r="I14" s="178">
        <v>50</v>
      </c>
      <c r="J14" s="179">
        <v>325</v>
      </c>
      <c r="K14" s="179">
        <f>J14*I14</f>
        <v>16250</v>
      </c>
      <c r="L14" s="179">
        <f>K14*0.05</f>
        <v>812.5</v>
      </c>
      <c r="M14" s="178">
        <f t="shared" ref="M14" si="7">K14+L14</f>
        <v>17062.5</v>
      </c>
      <c r="N14" s="179">
        <f>'YUB Scale of Costs'!D15</f>
        <v>120</v>
      </c>
      <c r="O14" s="179">
        <f t="shared" ref="O14" si="8">K14</f>
        <v>16250</v>
      </c>
      <c r="P14" s="179">
        <f>I14*N14</f>
        <v>6000</v>
      </c>
      <c r="Q14" s="179">
        <f t="shared" ref="Q14" si="9">L14</f>
        <v>812.5</v>
      </c>
      <c r="R14" s="179">
        <f>I14*(J14-N14)</f>
        <v>10250</v>
      </c>
      <c r="S14" s="92">
        <f t="shared" si="6"/>
        <v>0</v>
      </c>
    </row>
    <row r="15" spans="2:21" x14ac:dyDescent="0.3">
      <c r="B15" s="205"/>
      <c r="C15" s="265"/>
      <c r="D15" s="159"/>
      <c r="E15" s="207"/>
      <c r="F15" s="159"/>
      <c r="H15" s="207"/>
      <c r="I15" s="179"/>
      <c r="J15" s="179"/>
      <c r="K15" s="266">
        <f>SUM(K13:K14)</f>
        <v>16670</v>
      </c>
      <c r="L15" s="266">
        <f t="shared" ref="L15:R15" si="10">SUM(L13:L14)</f>
        <v>833.5</v>
      </c>
      <c r="M15" s="266">
        <f t="shared" si="10"/>
        <v>17503.5</v>
      </c>
      <c r="N15" s="266"/>
      <c r="O15" s="266">
        <f t="shared" si="10"/>
        <v>16670</v>
      </c>
      <c r="P15" s="266">
        <f t="shared" si="10"/>
        <v>6270</v>
      </c>
      <c r="Q15" s="266">
        <f t="shared" si="10"/>
        <v>833.5</v>
      </c>
      <c r="R15" s="266">
        <f t="shared" si="10"/>
        <v>10400</v>
      </c>
      <c r="S15" s="92">
        <f>M15-SUM(P15:R15)</f>
        <v>0</v>
      </c>
      <c r="T15" s="92"/>
      <c r="U15" s="92">
        <f>+K15+U11</f>
        <v>22682.5</v>
      </c>
    </row>
    <row r="16" spans="2:21" x14ac:dyDescent="0.3">
      <c r="B16" s="205"/>
      <c r="C16" s="180"/>
      <c r="F16" s="205"/>
      <c r="G16" s="206"/>
      <c r="H16" s="206"/>
      <c r="I16" s="178"/>
      <c r="J16" s="206"/>
      <c r="K16" s="178"/>
      <c r="L16" s="178"/>
      <c r="M16" s="178"/>
      <c r="N16" s="178"/>
      <c r="O16" s="178"/>
      <c r="P16" s="178"/>
      <c r="Q16" s="178"/>
      <c r="R16" s="178"/>
    </row>
    <row r="17" spans="2:21" x14ac:dyDescent="0.3">
      <c r="B17" s="205" t="s">
        <v>210</v>
      </c>
      <c r="C17" s="265" t="s">
        <v>262</v>
      </c>
      <c r="D17" s="159">
        <v>2023</v>
      </c>
      <c r="E17" s="207">
        <v>1075</v>
      </c>
      <c r="F17" s="159" t="s">
        <v>261</v>
      </c>
      <c r="G17" s="159">
        <f>G13</f>
        <v>2006</v>
      </c>
      <c r="H17" s="207">
        <f>D17-G17</f>
        <v>17</v>
      </c>
      <c r="I17" s="178">
        <v>2</v>
      </c>
      <c r="J17" s="179">
        <v>420</v>
      </c>
      <c r="K17" s="179">
        <f>J17*I17</f>
        <v>840</v>
      </c>
      <c r="L17" s="179">
        <f>K17*0.05</f>
        <v>42</v>
      </c>
      <c r="M17" s="178">
        <f t="shared" ref="M17:M18" si="11">K17+L17</f>
        <v>882</v>
      </c>
      <c r="N17" s="178">
        <f>N13</f>
        <v>270</v>
      </c>
      <c r="O17" s="179">
        <f t="shared" ref="O17:O18" si="12">K17</f>
        <v>840</v>
      </c>
      <c r="P17" s="179">
        <f>I17*N17</f>
        <v>540</v>
      </c>
      <c r="Q17" s="179">
        <f t="shared" ref="Q17:Q18" si="13">L17</f>
        <v>42</v>
      </c>
      <c r="R17" s="179">
        <f>I17*(J17-N17)</f>
        <v>300</v>
      </c>
      <c r="S17" s="92">
        <f t="shared" ref="S17:S18" si="14">M17-SUM(P17:R17)</f>
        <v>0</v>
      </c>
    </row>
    <row r="18" spans="2:21" x14ac:dyDescent="0.3">
      <c r="B18" s="205"/>
      <c r="C18" s="265"/>
      <c r="D18" s="159">
        <v>2023</v>
      </c>
      <c r="E18" s="207"/>
      <c r="F18" s="159" t="s">
        <v>259</v>
      </c>
      <c r="G18" s="159">
        <v>2019</v>
      </c>
      <c r="H18" s="207">
        <f>D18-G18</f>
        <v>4</v>
      </c>
      <c r="I18" s="178">
        <v>1.5</v>
      </c>
      <c r="J18" s="179">
        <v>325</v>
      </c>
      <c r="K18" s="179">
        <f>J18*I18</f>
        <v>487.5</v>
      </c>
      <c r="L18" s="179">
        <f>K18*0.05</f>
        <v>24.375</v>
      </c>
      <c r="M18" s="178">
        <f t="shared" si="11"/>
        <v>511.875</v>
      </c>
      <c r="N18" s="178">
        <f>N14</f>
        <v>120</v>
      </c>
      <c r="O18" s="179">
        <f t="shared" si="12"/>
        <v>487.5</v>
      </c>
      <c r="P18" s="179">
        <f>I18*N18</f>
        <v>180</v>
      </c>
      <c r="Q18" s="179">
        <f t="shared" si="13"/>
        <v>24.375</v>
      </c>
      <c r="R18" s="179">
        <f>I18*(J18-N18)</f>
        <v>307.5</v>
      </c>
      <c r="S18" s="92">
        <f t="shared" si="14"/>
        <v>0</v>
      </c>
    </row>
    <row r="19" spans="2:21" x14ac:dyDescent="0.3">
      <c r="B19" s="205"/>
      <c r="C19" s="265"/>
      <c r="D19" s="159"/>
      <c r="E19" s="207"/>
      <c r="F19" s="159"/>
      <c r="H19" s="207"/>
      <c r="I19" s="179"/>
      <c r="J19" s="179"/>
      <c r="K19" s="266">
        <f>SUM(K17:K18)</f>
        <v>1327.5</v>
      </c>
      <c r="L19" s="266">
        <f t="shared" ref="L19" si="15">SUM(L17:L18)</f>
        <v>66.375</v>
      </c>
      <c r="M19" s="266">
        <f t="shared" ref="M19" si="16">SUM(M17:M18)</f>
        <v>1393.875</v>
      </c>
      <c r="N19" s="208"/>
      <c r="O19" s="266">
        <f t="shared" ref="O19" si="17">SUM(O17:O18)</f>
        <v>1327.5</v>
      </c>
      <c r="P19" s="266">
        <f t="shared" ref="P19" si="18">SUM(P17:P18)</f>
        <v>720</v>
      </c>
      <c r="Q19" s="266">
        <f t="shared" ref="Q19" si="19">SUM(Q17:Q18)</f>
        <v>66.375</v>
      </c>
      <c r="R19" s="266">
        <f t="shared" ref="R19" si="20">SUM(R17:R18)</f>
        <v>607.5</v>
      </c>
      <c r="S19" s="92">
        <f>M19-SUM(P19:R19)</f>
        <v>0</v>
      </c>
      <c r="T19" s="92"/>
      <c r="U19" s="92">
        <f>+K19+U15</f>
        <v>24010</v>
      </c>
    </row>
    <row r="20" spans="2:21" x14ac:dyDescent="0.3">
      <c r="B20" s="205"/>
      <c r="C20" s="265"/>
      <c r="D20" s="159"/>
      <c r="E20" s="207"/>
      <c r="F20" s="159"/>
      <c r="H20" s="207"/>
      <c r="I20" s="179"/>
      <c r="J20" s="179"/>
      <c r="K20" s="179"/>
      <c r="L20" s="179"/>
      <c r="M20" s="178"/>
      <c r="N20" s="178"/>
      <c r="O20" s="179"/>
      <c r="P20" s="178"/>
      <c r="Q20" s="179"/>
      <c r="R20" s="179"/>
    </row>
    <row r="21" spans="2:21" x14ac:dyDescent="0.3">
      <c r="B21" s="205" t="s">
        <v>210</v>
      </c>
      <c r="C21" s="265" t="s">
        <v>263</v>
      </c>
      <c r="D21" s="159">
        <v>2023</v>
      </c>
      <c r="E21" s="207">
        <v>1091</v>
      </c>
      <c r="F21" s="159" t="s">
        <v>261</v>
      </c>
      <c r="G21" s="159">
        <f>G17</f>
        <v>2006</v>
      </c>
      <c r="H21" s="207">
        <f>D21-G21</f>
        <v>17</v>
      </c>
      <c r="I21" s="178">
        <f>1+8+8+2</f>
        <v>19</v>
      </c>
      <c r="J21" s="179">
        <v>420</v>
      </c>
      <c r="K21" s="179">
        <f>J21*I21</f>
        <v>7980</v>
      </c>
      <c r="L21" s="179">
        <f>K21*0.05</f>
        <v>399</v>
      </c>
      <c r="M21" s="178">
        <f t="shared" ref="M21:M22" si="21">K21+L21</f>
        <v>8379</v>
      </c>
      <c r="N21" s="178">
        <f>N17</f>
        <v>270</v>
      </c>
      <c r="O21" s="179">
        <f t="shared" ref="O21:O22" si="22">K21</f>
        <v>7980</v>
      </c>
      <c r="P21" s="179">
        <f>I21*N21</f>
        <v>5130</v>
      </c>
      <c r="Q21" s="179">
        <f t="shared" ref="Q21:Q22" si="23">L21</f>
        <v>399</v>
      </c>
      <c r="R21" s="179">
        <f>I21*(J21-N21)</f>
        <v>2850</v>
      </c>
      <c r="S21" s="92">
        <f t="shared" ref="S21:S24" si="24">M21-SUM(P21:R21)</f>
        <v>0</v>
      </c>
    </row>
    <row r="22" spans="2:21" x14ac:dyDescent="0.3">
      <c r="B22" s="205"/>
      <c r="C22" s="265"/>
      <c r="D22" s="159">
        <v>2023</v>
      </c>
      <c r="E22" s="207"/>
      <c r="F22" s="159" t="s">
        <v>259</v>
      </c>
      <c r="G22" s="159">
        <v>2019</v>
      </c>
      <c r="H22" s="207">
        <f>D22-G22</f>
        <v>4</v>
      </c>
      <c r="I22" s="178">
        <f>1+3+3+1.5+1+6.5+8+1+1</f>
        <v>26</v>
      </c>
      <c r="J22" s="179">
        <v>325</v>
      </c>
      <c r="K22" s="179">
        <f>J22*I22</f>
        <v>8450</v>
      </c>
      <c r="L22" s="179">
        <f>K22*0.05</f>
        <v>422.5</v>
      </c>
      <c r="M22" s="178">
        <f t="shared" si="21"/>
        <v>8872.5</v>
      </c>
      <c r="N22" s="179">
        <f>N18</f>
        <v>120</v>
      </c>
      <c r="O22" s="179">
        <f t="shared" si="22"/>
        <v>8450</v>
      </c>
      <c r="P22" s="179">
        <f>I22*N22</f>
        <v>3120</v>
      </c>
      <c r="Q22" s="179">
        <f t="shared" si="23"/>
        <v>422.5</v>
      </c>
      <c r="R22" s="179">
        <f>I22*(J22-N22)</f>
        <v>5330</v>
      </c>
      <c r="S22" s="92">
        <f t="shared" si="24"/>
        <v>0</v>
      </c>
    </row>
    <row r="23" spans="2:21" x14ac:dyDescent="0.3">
      <c r="B23" s="205"/>
      <c r="C23" s="265"/>
      <c r="D23" s="159">
        <v>2023</v>
      </c>
      <c r="E23" s="207"/>
      <c r="F23" s="159" t="s">
        <v>264</v>
      </c>
      <c r="G23" s="159">
        <v>2023</v>
      </c>
      <c r="H23" s="207">
        <f>D23-G23</f>
        <v>0</v>
      </c>
      <c r="I23" s="178">
        <v>5.5</v>
      </c>
      <c r="J23" s="179">
        <v>290</v>
      </c>
      <c r="K23" s="179">
        <f>J23*I23</f>
        <v>1595</v>
      </c>
      <c r="L23" s="179">
        <f>K23*0.05</f>
        <v>79.75</v>
      </c>
      <c r="M23" s="178">
        <f t="shared" ref="M23" si="25">K23+L23</f>
        <v>1674.75</v>
      </c>
      <c r="N23" s="178">
        <f>'YUB Scale of Costs'!D15</f>
        <v>120</v>
      </c>
      <c r="O23" s="179">
        <f t="shared" ref="O23:O24" si="26">K23</f>
        <v>1595</v>
      </c>
      <c r="P23" s="179">
        <f>I23*N23</f>
        <v>660</v>
      </c>
      <c r="Q23" s="179">
        <f t="shared" ref="Q23" si="27">L23</f>
        <v>79.75</v>
      </c>
      <c r="R23" s="179">
        <f>I23*(J23-N23)</f>
        <v>935</v>
      </c>
      <c r="S23" s="92">
        <f t="shared" si="24"/>
        <v>0</v>
      </c>
    </row>
    <row r="24" spans="2:21" ht="28" x14ac:dyDescent="0.3">
      <c r="B24" s="205"/>
      <c r="C24" s="265"/>
      <c r="D24" s="159"/>
      <c r="E24" s="207"/>
      <c r="F24" s="159" t="s">
        <v>265</v>
      </c>
      <c r="G24" s="159"/>
      <c r="H24" s="207"/>
      <c r="I24" s="178"/>
      <c r="J24" s="179"/>
      <c r="K24" s="179">
        <f>'Concentric Advisors Disb.'!H29</f>
        <v>8086.68</v>
      </c>
      <c r="L24" s="179"/>
      <c r="M24" s="178">
        <f t="shared" ref="M24" si="28">K24+L24</f>
        <v>8086.68</v>
      </c>
      <c r="N24" s="181" t="s">
        <v>266</v>
      </c>
      <c r="O24" s="179">
        <f t="shared" si="26"/>
        <v>8086.68</v>
      </c>
      <c r="P24" s="179">
        <f>'Concentric Advisors Disb.'!P29</f>
        <v>0</v>
      </c>
      <c r="Q24" s="179">
        <f>'Concentric Advisors Disb.'!K29</f>
        <v>0</v>
      </c>
      <c r="R24" s="179">
        <f>'Concentric Advisors Disb.'!Q29</f>
        <v>8086.68</v>
      </c>
      <c r="S24" s="92">
        <f t="shared" si="24"/>
        <v>0</v>
      </c>
    </row>
    <row r="25" spans="2:21" x14ac:dyDescent="0.3">
      <c r="B25" s="205"/>
      <c r="C25" s="265"/>
      <c r="D25" s="159"/>
      <c r="E25" s="207"/>
      <c r="F25" s="159"/>
      <c r="H25" s="207"/>
      <c r="I25" s="179"/>
      <c r="J25" s="179"/>
      <c r="K25" s="266">
        <f>SUM(K21:K24)</f>
        <v>26111.68</v>
      </c>
      <c r="L25" s="266">
        <f t="shared" ref="L25:O25" si="29">SUM(L21:L24)</f>
        <v>901.25</v>
      </c>
      <c r="M25" s="266">
        <f t="shared" si="29"/>
        <v>27012.93</v>
      </c>
      <c r="N25" s="266"/>
      <c r="O25" s="266">
        <f t="shared" si="29"/>
        <v>26111.68</v>
      </c>
      <c r="P25" s="266">
        <f t="shared" ref="P25" si="30">SUM(P21:P24)</f>
        <v>8910</v>
      </c>
      <c r="Q25" s="266">
        <f t="shared" ref="Q25" si="31">SUM(Q21:Q24)</f>
        <v>901.25</v>
      </c>
      <c r="R25" s="266">
        <f t="shared" ref="R25" si="32">SUM(R21:R24)</f>
        <v>17201.68</v>
      </c>
      <c r="S25" s="92">
        <f>M25-SUM(P25:R25)</f>
        <v>0</v>
      </c>
      <c r="T25" s="92"/>
      <c r="U25" s="92">
        <f>+K25+U19</f>
        <v>50121.68</v>
      </c>
    </row>
    <row r="26" spans="2:21" x14ac:dyDescent="0.3">
      <c r="B26" s="205"/>
      <c r="C26" s="265"/>
      <c r="D26" s="159"/>
      <c r="E26" s="207"/>
      <c r="F26" s="159"/>
      <c r="H26" s="207"/>
      <c r="I26" s="179"/>
      <c r="J26" s="179"/>
      <c r="K26" s="179"/>
      <c r="L26" s="179"/>
      <c r="M26" s="178"/>
      <c r="N26" s="179"/>
      <c r="O26" s="179"/>
      <c r="P26" s="178"/>
      <c r="Q26" s="179"/>
      <c r="R26" s="179"/>
    </row>
    <row r="27" spans="2:21" x14ac:dyDescent="0.3">
      <c r="B27" s="205" t="s">
        <v>210</v>
      </c>
      <c r="C27" s="265" t="s">
        <v>267</v>
      </c>
      <c r="D27" s="159">
        <v>2023</v>
      </c>
      <c r="E27" s="207">
        <v>1096</v>
      </c>
      <c r="F27" s="159" t="s">
        <v>268</v>
      </c>
      <c r="G27" s="159">
        <v>1980</v>
      </c>
      <c r="H27" s="207">
        <f>D27-G27</f>
        <v>43</v>
      </c>
      <c r="I27" s="178">
        <v>0.5</v>
      </c>
      <c r="J27" s="179">
        <v>735</v>
      </c>
      <c r="K27" s="179">
        <f>J27*I27</f>
        <v>367.5</v>
      </c>
      <c r="L27" s="179">
        <f>K27*0.05</f>
        <v>18.375</v>
      </c>
      <c r="M27" s="178">
        <f t="shared" ref="M27" si="33">K27+L27</f>
        <v>385.875</v>
      </c>
      <c r="N27" s="178">
        <f>'YUB Scale of Costs'!D18</f>
        <v>270</v>
      </c>
      <c r="O27" s="179">
        <f t="shared" ref="O27" si="34">K27</f>
        <v>367.5</v>
      </c>
      <c r="P27" s="179">
        <f>I27*N27</f>
        <v>135</v>
      </c>
      <c r="Q27" s="179">
        <f t="shared" ref="Q27" si="35">L27</f>
        <v>18.375</v>
      </c>
      <c r="R27" s="179">
        <f>I27*(J27-N27)</f>
        <v>232.5</v>
      </c>
      <c r="S27" s="92">
        <f>M27-SUM(P27:R27)</f>
        <v>0</v>
      </c>
    </row>
    <row r="28" spans="2:21" x14ac:dyDescent="0.3">
      <c r="B28" s="205"/>
      <c r="C28" s="265"/>
      <c r="D28" s="159"/>
      <c r="E28" s="207"/>
      <c r="F28" s="159"/>
      <c r="H28" s="207"/>
      <c r="I28" s="179"/>
      <c r="J28" s="179"/>
      <c r="K28" s="266">
        <f>SUM(K27:K27)</f>
        <v>367.5</v>
      </c>
      <c r="L28" s="266">
        <f>SUM(L27:L27)</f>
        <v>18.375</v>
      </c>
      <c r="M28" s="208">
        <f>SUM(M27:M27)</f>
        <v>385.875</v>
      </c>
      <c r="N28" s="266"/>
      <c r="O28" s="266">
        <f>SUM(O27:O27)</f>
        <v>367.5</v>
      </c>
      <c r="P28" s="208">
        <f>SUM(P27:P27)</f>
        <v>135</v>
      </c>
      <c r="Q28" s="266">
        <f>SUM(Q27:Q27)</f>
        <v>18.375</v>
      </c>
      <c r="R28" s="266">
        <f>SUM(R27:R27)</f>
        <v>232.5</v>
      </c>
      <c r="S28" s="92">
        <f>M28-SUM(P28:R28)</f>
        <v>0</v>
      </c>
      <c r="T28" s="92"/>
      <c r="U28" s="92">
        <f>+K28+U25</f>
        <v>50489.18</v>
      </c>
    </row>
    <row r="29" spans="2:21" x14ac:dyDescent="0.3">
      <c r="B29" s="205"/>
      <c r="C29" s="180"/>
      <c r="F29" s="205"/>
      <c r="G29" s="206"/>
      <c r="H29" s="206"/>
      <c r="I29" s="178"/>
      <c r="J29" s="206"/>
      <c r="K29" s="178"/>
      <c r="L29" s="178"/>
      <c r="M29" s="178"/>
      <c r="N29" s="178"/>
      <c r="O29" s="178"/>
      <c r="P29" s="178"/>
      <c r="Q29" s="178"/>
      <c r="R29" s="178"/>
    </row>
    <row r="30" spans="2:21" x14ac:dyDescent="0.3">
      <c r="B30" s="205"/>
      <c r="C30" s="180" t="s">
        <v>269</v>
      </c>
      <c r="D30" s="84">
        <v>2023</v>
      </c>
      <c r="E30" s="191">
        <v>1107</v>
      </c>
      <c r="F30" s="159" t="s">
        <v>268</v>
      </c>
      <c r="G30" s="159">
        <v>1980</v>
      </c>
      <c r="H30" s="207">
        <f>D30-G30</f>
        <v>43</v>
      </c>
      <c r="I30" s="178">
        <v>11</v>
      </c>
      <c r="J30" s="179">
        <v>735</v>
      </c>
      <c r="K30" s="179">
        <f>J30*I30</f>
        <v>8085</v>
      </c>
      <c r="L30" s="179">
        <f>K30*0.05</f>
        <v>404.25</v>
      </c>
      <c r="M30" s="178">
        <f t="shared" ref="M30:M33" si="36">K30+L30</f>
        <v>8489.25</v>
      </c>
      <c r="N30" s="178">
        <f>N27</f>
        <v>270</v>
      </c>
      <c r="O30" s="179">
        <f t="shared" ref="O30:O33" si="37">K30</f>
        <v>8085</v>
      </c>
      <c r="P30" s="179">
        <f>I30*N30</f>
        <v>2970</v>
      </c>
      <c r="Q30" s="179">
        <f t="shared" ref="Q30:Q33" si="38">L30</f>
        <v>404.25</v>
      </c>
      <c r="R30" s="179">
        <f>I30*(J30-N30)</f>
        <v>5115</v>
      </c>
      <c r="S30" s="92">
        <f>M30-SUM(P30:R30)</f>
        <v>0</v>
      </c>
    </row>
    <row r="31" spans="2:21" x14ac:dyDescent="0.3">
      <c r="B31" s="205"/>
      <c r="C31" s="180"/>
      <c r="D31" s="159">
        <v>2023</v>
      </c>
      <c r="E31" s="207"/>
      <c r="F31" s="159" t="s">
        <v>261</v>
      </c>
      <c r="G31" s="159">
        <v>2006</v>
      </c>
      <c r="H31" s="207">
        <f>D31-G31</f>
        <v>17</v>
      </c>
      <c r="I31" s="178">
        <v>14</v>
      </c>
      <c r="J31" s="179">
        <v>420</v>
      </c>
      <c r="K31" s="179">
        <f>J31*I31</f>
        <v>5880</v>
      </c>
      <c r="L31" s="179">
        <f>K31*0.05</f>
        <v>294</v>
      </c>
      <c r="M31" s="178">
        <f t="shared" si="36"/>
        <v>6174</v>
      </c>
      <c r="N31" s="178">
        <f>N21</f>
        <v>270</v>
      </c>
      <c r="O31" s="179">
        <f t="shared" si="37"/>
        <v>5880</v>
      </c>
      <c r="P31" s="179">
        <f>I31*N31</f>
        <v>3780</v>
      </c>
      <c r="Q31" s="179">
        <f t="shared" si="38"/>
        <v>294</v>
      </c>
      <c r="R31" s="179">
        <f>I31*(J31-N31)</f>
        <v>2100</v>
      </c>
      <c r="S31" s="92">
        <f t="shared" ref="S31:S33" si="39">M31-SUM(P31:R31)</f>
        <v>0</v>
      </c>
    </row>
    <row r="32" spans="2:21" x14ac:dyDescent="0.3">
      <c r="B32" s="205"/>
      <c r="C32" s="180"/>
      <c r="D32" s="159">
        <v>2023</v>
      </c>
      <c r="E32" s="207"/>
      <c r="F32" s="159" t="s">
        <v>259</v>
      </c>
      <c r="G32" s="159">
        <v>2019</v>
      </c>
      <c r="H32" s="207">
        <f>D32-G32</f>
        <v>4</v>
      </c>
      <c r="I32" s="178">
        <v>15.5</v>
      </c>
      <c r="J32" s="179">
        <v>325</v>
      </c>
      <c r="K32" s="179">
        <f>J32*I32</f>
        <v>5037.5</v>
      </c>
      <c r="L32" s="179">
        <f>K32*0.05</f>
        <v>251.875</v>
      </c>
      <c r="M32" s="178">
        <f t="shared" si="36"/>
        <v>5289.375</v>
      </c>
      <c r="N32" s="178">
        <v>120</v>
      </c>
      <c r="O32" s="179">
        <f t="shared" si="37"/>
        <v>5037.5</v>
      </c>
      <c r="P32" s="179">
        <f>I32*N32</f>
        <v>1860</v>
      </c>
      <c r="Q32" s="179">
        <f t="shared" si="38"/>
        <v>251.875</v>
      </c>
      <c r="R32" s="179">
        <f>I32*(J32-N32)</f>
        <v>3177.5</v>
      </c>
      <c r="S32" s="92">
        <f t="shared" si="39"/>
        <v>0</v>
      </c>
    </row>
    <row r="33" spans="2:22" x14ac:dyDescent="0.3">
      <c r="B33" s="205"/>
      <c r="C33" s="180"/>
      <c r="D33" s="159">
        <v>2023</v>
      </c>
      <c r="E33" s="207"/>
      <c r="F33" s="159" t="s">
        <v>264</v>
      </c>
      <c r="G33" s="159">
        <f>G17</f>
        <v>2006</v>
      </c>
      <c r="H33" s="207">
        <f>D33-G33</f>
        <v>17</v>
      </c>
      <c r="I33" s="178">
        <v>8.5</v>
      </c>
      <c r="J33" s="179">
        <v>290</v>
      </c>
      <c r="K33" s="179">
        <f>J33*I33</f>
        <v>2465</v>
      </c>
      <c r="L33" s="179">
        <f>K33*0.05</f>
        <v>123.25</v>
      </c>
      <c r="M33" s="178">
        <f t="shared" si="36"/>
        <v>2588.25</v>
      </c>
      <c r="N33" s="178">
        <f>N23</f>
        <v>120</v>
      </c>
      <c r="O33" s="179">
        <f t="shared" si="37"/>
        <v>2465</v>
      </c>
      <c r="P33" s="179">
        <f>I33*N33</f>
        <v>1020</v>
      </c>
      <c r="Q33" s="179">
        <f t="shared" si="38"/>
        <v>123.25</v>
      </c>
      <c r="R33" s="179">
        <f>I33*(J33-N33)</f>
        <v>1445</v>
      </c>
      <c r="S33" s="92">
        <f t="shared" si="39"/>
        <v>0</v>
      </c>
    </row>
    <row r="34" spans="2:22" x14ac:dyDescent="0.3">
      <c r="B34" s="205"/>
      <c r="C34" s="180"/>
      <c r="D34" s="159"/>
      <c r="E34" s="207"/>
      <c r="F34" s="159"/>
      <c r="H34" s="207"/>
      <c r="I34" s="179"/>
      <c r="J34" s="179"/>
      <c r="K34" s="266">
        <f>SUM(K30:K33)</f>
        <v>21467.5</v>
      </c>
      <c r="L34" s="266">
        <f t="shared" ref="L34:R34" si="40">SUM(L30:L33)</f>
        <v>1073.375</v>
      </c>
      <c r="M34" s="266">
        <f t="shared" si="40"/>
        <v>22540.875</v>
      </c>
      <c r="N34" s="266"/>
      <c r="O34" s="266">
        <f t="shared" si="40"/>
        <v>21467.5</v>
      </c>
      <c r="P34" s="266">
        <f t="shared" si="40"/>
        <v>9630</v>
      </c>
      <c r="Q34" s="266">
        <f t="shared" si="40"/>
        <v>1073.375</v>
      </c>
      <c r="R34" s="266">
        <f t="shared" si="40"/>
        <v>11837.5</v>
      </c>
      <c r="S34" s="92">
        <f>M34-SUM(P34:R34)</f>
        <v>0</v>
      </c>
      <c r="U34" s="92">
        <f>+K34+U28</f>
        <v>71956.679999999993</v>
      </c>
    </row>
    <row r="35" spans="2:22" x14ac:dyDescent="0.3">
      <c r="B35" s="205"/>
      <c r="C35" s="180"/>
      <c r="F35" s="205"/>
      <c r="G35" s="206"/>
      <c r="H35" s="206"/>
      <c r="I35" s="178"/>
      <c r="J35" s="206"/>
      <c r="K35" s="178"/>
      <c r="L35" s="178"/>
      <c r="M35" s="178"/>
      <c r="N35" s="178"/>
      <c r="O35" s="178"/>
      <c r="P35" s="178"/>
      <c r="Q35" s="178"/>
      <c r="R35" s="178"/>
    </row>
    <row r="36" spans="2:22" x14ac:dyDescent="0.3">
      <c r="B36" s="205" t="s">
        <v>210</v>
      </c>
      <c r="C36" s="265" t="s">
        <v>270</v>
      </c>
      <c r="D36" s="159">
        <v>2023</v>
      </c>
      <c r="E36" s="207">
        <v>1111</v>
      </c>
      <c r="F36" s="159" t="s">
        <v>261</v>
      </c>
      <c r="G36" s="159">
        <f>G21</f>
        <v>2006</v>
      </c>
      <c r="H36" s="207">
        <f>D36-G36</f>
        <v>17</v>
      </c>
      <c r="I36" s="178">
        <v>19</v>
      </c>
      <c r="J36" s="179">
        <v>420</v>
      </c>
      <c r="K36" s="179">
        <f>J36*I36</f>
        <v>7980</v>
      </c>
      <c r="L36" s="179">
        <f>K36*0.05</f>
        <v>399</v>
      </c>
      <c r="M36" s="178">
        <f t="shared" ref="M36:M38" si="41">K36+L36</f>
        <v>8379</v>
      </c>
      <c r="N36" s="178">
        <f>N21</f>
        <v>270</v>
      </c>
      <c r="O36" s="179">
        <f t="shared" ref="O36:O38" si="42">K36</f>
        <v>7980</v>
      </c>
      <c r="P36" s="179">
        <f>I36*N36</f>
        <v>5130</v>
      </c>
      <c r="Q36" s="179">
        <f t="shared" ref="Q36:Q38" si="43">L36</f>
        <v>399</v>
      </c>
      <c r="R36" s="179">
        <f>I36*(J36-N36)</f>
        <v>2850</v>
      </c>
      <c r="S36" s="92">
        <f t="shared" ref="S36:S38" si="44">M36-SUM(P36:R36)</f>
        <v>0</v>
      </c>
    </row>
    <row r="37" spans="2:22" x14ac:dyDescent="0.3">
      <c r="B37" s="205"/>
      <c r="C37" s="265"/>
      <c r="D37" s="159">
        <v>2023</v>
      </c>
      <c r="E37" s="207"/>
      <c r="F37" s="159" t="s">
        <v>259</v>
      </c>
      <c r="G37" s="159">
        <v>2019</v>
      </c>
      <c r="H37" s="207">
        <f>D37-G37</f>
        <v>4</v>
      </c>
      <c r="I37" s="178">
        <v>19.5</v>
      </c>
      <c r="J37" s="179">
        <v>325</v>
      </c>
      <c r="K37" s="179">
        <f>J37*I37</f>
        <v>6337.5</v>
      </c>
      <c r="L37" s="179">
        <f>K37*0.05</f>
        <v>316.875</v>
      </c>
      <c r="M37" s="178">
        <f t="shared" si="41"/>
        <v>6654.375</v>
      </c>
      <c r="N37" s="178">
        <v>120</v>
      </c>
      <c r="O37" s="179">
        <f t="shared" si="42"/>
        <v>6337.5</v>
      </c>
      <c r="P37" s="179">
        <f>I37*N37</f>
        <v>2340</v>
      </c>
      <c r="Q37" s="179">
        <f t="shared" si="43"/>
        <v>316.875</v>
      </c>
      <c r="R37" s="179">
        <f>I37*(J37-N37)</f>
        <v>3997.5</v>
      </c>
      <c r="S37" s="92">
        <f t="shared" si="44"/>
        <v>0</v>
      </c>
    </row>
    <row r="38" spans="2:22" x14ac:dyDescent="0.3">
      <c r="B38" s="205"/>
      <c r="C38" s="265"/>
      <c r="D38" s="159">
        <v>2023</v>
      </c>
      <c r="E38" s="207"/>
      <c r="F38" s="159" t="s">
        <v>264</v>
      </c>
      <c r="G38" s="159">
        <f>G23</f>
        <v>2023</v>
      </c>
      <c r="H38" s="207">
        <f>D38-G38</f>
        <v>0</v>
      </c>
      <c r="I38" s="178">
        <v>29.5</v>
      </c>
      <c r="J38" s="179">
        <v>290</v>
      </c>
      <c r="K38" s="179">
        <f>J38*I38</f>
        <v>8555</v>
      </c>
      <c r="L38" s="179">
        <f>K38*0.05</f>
        <v>427.75</v>
      </c>
      <c r="M38" s="178">
        <f t="shared" si="41"/>
        <v>8982.75</v>
      </c>
      <c r="N38" s="178">
        <f>N23</f>
        <v>120</v>
      </c>
      <c r="O38" s="179">
        <f t="shared" si="42"/>
        <v>8555</v>
      </c>
      <c r="P38" s="179">
        <f>I38*N38</f>
        <v>3540</v>
      </c>
      <c r="Q38" s="179">
        <f t="shared" si="43"/>
        <v>427.75</v>
      </c>
      <c r="R38" s="179">
        <f>I38*(J38-N38)</f>
        <v>5015</v>
      </c>
      <c r="S38" s="92">
        <f t="shared" si="44"/>
        <v>0</v>
      </c>
    </row>
    <row r="39" spans="2:22" x14ac:dyDescent="0.3">
      <c r="B39" s="205"/>
      <c r="C39" s="265"/>
      <c r="D39" s="159"/>
      <c r="E39" s="207"/>
      <c r="F39" s="159"/>
      <c r="H39" s="207"/>
      <c r="I39" s="179"/>
      <c r="J39" s="179"/>
      <c r="K39" s="266">
        <f>SUM(K36:K38)</f>
        <v>22872.5</v>
      </c>
      <c r="L39" s="266">
        <f t="shared" ref="L39:M39" si="45">SUM(L36:L38)</f>
        <v>1143.625</v>
      </c>
      <c r="M39" s="266">
        <f t="shared" si="45"/>
        <v>24016.125</v>
      </c>
      <c r="N39" s="266"/>
      <c r="O39" s="266">
        <f t="shared" ref="O39" si="46">SUM(O36:O38)</f>
        <v>22872.5</v>
      </c>
      <c r="P39" s="266">
        <f t="shared" ref="P39" si="47">SUM(P36:P38)</f>
        <v>11010</v>
      </c>
      <c r="Q39" s="266">
        <f t="shared" ref="Q39" si="48">SUM(Q36:Q38)</f>
        <v>1143.625</v>
      </c>
      <c r="R39" s="266">
        <f t="shared" ref="R39" si="49">SUM(R36:R38)</f>
        <v>11862.5</v>
      </c>
      <c r="S39" s="92">
        <f>M39-SUM(P39:R39)</f>
        <v>0</v>
      </c>
      <c r="T39" s="92"/>
      <c r="U39" s="92">
        <f>+U34+K39</f>
        <v>94829.18</v>
      </c>
    </row>
    <row r="40" spans="2:22" x14ac:dyDescent="0.3">
      <c r="B40" s="205"/>
      <c r="C40" s="180"/>
      <c r="F40" s="205"/>
      <c r="G40" s="206"/>
      <c r="H40" s="206"/>
      <c r="I40" s="178"/>
      <c r="J40" s="206"/>
      <c r="K40" s="178"/>
      <c r="L40" s="178"/>
      <c r="M40" s="178"/>
      <c r="N40" s="178"/>
      <c r="O40" s="178"/>
      <c r="P40" s="178"/>
      <c r="Q40" s="178"/>
      <c r="R40" s="178"/>
    </row>
    <row r="41" spans="2:22" x14ac:dyDescent="0.3">
      <c r="B41" s="205" t="s">
        <v>210</v>
      </c>
      <c r="C41" s="265" t="s">
        <v>271</v>
      </c>
      <c r="D41" s="159">
        <v>2023</v>
      </c>
      <c r="E41" s="207">
        <v>1133</v>
      </c>
      <c r="F41" s="159" t="s">
        <v>268</v>
      </c>
      <c r="G41" s="159">
        <v>1980</v>
      </c>
      <c r="H41" s="207">
        <f>D41-G41</f>
        <v>43</v>
      </c>
      <c r="I41" s="178">
        <v>4</v>
      </c>
      <c r="J41" s="179">
        <v>735</v>
      </c>
      <c r="K41" s="179">
        <f>J41*I41</f>
        <v>2940</v>
      </c>
      <c r="L41" s="179">
        <f>K41*0.05</f>
        <v>147</v>
      </c>
      <c r="M41" s="178">
        <f t="shared" ref="M41" si="50">K41+L41</f>
        <v>3087</v>
      </c>
      <c r="N41" s="178">
        <f>'YUB Scale of Costs'!D18</f>
        <v>270</v>
      </c>
      <c r="O41" s="179">
        <f t="shared" ref="O41" si="51">K41</f>
        <v>2940</v>
      </c>
      <c r="P41" s="179">
        <f>I41*N41</f>
        <v>1080</v>
      </c>
      <c r="Q41" s="179">
        <f t="shared" ref="Q41" si="52">L41</f>
        <v>147</v>
      </c>
      <c r="R41" s="179">
        <f>I41*(J41-N41)</f>
        <v>1860</v>
      </c>
      <c r="S41" s="92">
        <f t="shared" ref="S41:S45" si="53">M41-SUM(P41:R41)</f>
        <v>0</v>
      </c>
    </row>
    <row r="42" spans="2:22" x14ac:dyDescent="0.3">
      <c r="B42" s="205"/>
      <c r="C42" s="265"/>
      <c r="D42" s="159">
        <v>2023</v>
      </c>
      <c r="E42" s="207"/>
      <c r="F42" s="159" t="s">
        <v>261</v>
      </c>
      <c r="G42" s="159">
        <f>G36</f>
        <v>2006</v>
      </c>
      <c r="H42" s="207">
        <f>D42-G42</f>
        <v>17</v>
      </c>
      <c r="I42" s="178">
        <v>11</v>
      </c>
      <c r="J42" s="179">
        <v>420</v>
      </c>
      <c r="K42" s="179">
        <f>J42*I42</f>
        <v>4620</v>
      </c>
      <c r="L42" s="179">
        <f>K42*0.05</f>
        <v>231</v>
      </c>
      <c r="M42" s="178">
        <f t="shared" ref="M42:M44" si="54">K42+L42</f>
        <v>4851</v>
      </c>
      <c r="N42" s="178">
        <f>N13</f>
        <v>270</v>
      </c>
      <c r="O42" s="179">
        <f t="shared" ref="O42:O44" si="55">K42</f>
        <v>4620</v>
      </c>
      <c r="P42" s="179">
        <f>I42*N42</f>
        <v>2970</v>
      </c>
      <c r="Q42" s="179">
        <f t="shared" ref="Q42:Q44" si="56">L42</f>
        <v>231</v>
      </c>
      <c r="R42" s="179">
        <f>I42*(J42-N42)</f>
        <v>1650</v>
      </c>
      <c r="S42" s="92">
        <f t="shared" si="53"/>
        <v>0</v>
      </c>
    </row>
    <row r="43" spans="2:22" x14ac:dyDescent="0.3">
      <c r="B43" s="205"/>
      <c r="C43" s="265"/>
      <c r="D43" s="159">
        <v>2023</v>
      </c>
      <c r="E43" s="207"/>
      <c r="F43" s="159" t="s">
        <v>259</v>
      </c>
      <c r="G43" s="159">
        <v>2019</v>
      </c>
      <c r="H43" s="207">
        <f>D43-G43</f>
        <v>4</v>
      </c>
      <c r="I43" s="178">
        <v>22</v>
      </c>
      <c r="J43" s="179">
        <v>325</v>
      </c>
      <c r="K43" s="179">
        <f>J43*I43</f>
        <v>7150</v>
      </c>
      <c r="L43" s="179">
        <f>K43*0.05</f>
        <v>357.5</v>
      </c>
      <c r="M43" s="178">
        <f t="shared" si="54"/>
        <v>7507.5</v>
      </c>
      <c r="N43" s="178">
        <v>120</v>
      </c>
      <c r="O43" s="179">
        <f t="shared" si="55"/>
        <v>7150</v>
      </c>
      <c r="P43" s="179">
        <f>I43*N43</f>
        <v>2640</v>
      </c>
      <c r="Q43" s="179">
        <f t="shared" si="56"/>
        <v>357.5</v>
      </c>
      <c r="R43" s="179">
        <f>I43*(J43-N43)</f>
        <v>4510</v>
      </c>
      <c r="S43" s="92">
        <f t="shared" si="53"/>
        <v>0</v>
      </c>
    </row>
    <row r="44" spans="2:22" x14ac:dyDescent="0.3">
      <c r="B44" s="205"/>
      <c r="C44" s="265"/>
      <c r="D44" s="159">
        <v>2023</v>
      </c>
      <c r="E44" s="207"/>
      <c r="F44" s="159" t="s">
        <v>264</v>
      </c>
      <c r="G44" s="159">
        <f>G38</f>
        <v>2023</v>
      </c>
      <c r="H44" s="207">
        <f>D44-G44</f>
        <v>0</v>
      </c>
      <c r="I44" s="178">
        <v>7.5</v>
      </c>
      <c r="J44" s="179">
        <v>290</v>
      </c>
      <c r="K44" s="179">
        <f>J44*I44</f>
        <v>2175</v>
      </c>
      <c r="L44" s="179">
        <f>K44*0.05</f>
        <v>108.75</v>
      </c>
      <c r="M44" s="178">
        <f t="shared" si="54"/>
        <v>2283.75</v>
      </c>
      <c r="N44" s="178">
        <f>N23</f>
        <v>120</v>
      </c>
      <c r="O44" s="179">
        <f t="shared" si="55"/>
        <v>2175</v>
      </c>
      <c r="P44" s="179">
        <f>I44*N44</f>
        <v>900</v>
      </c>
      <c r="Q44" s="179">
        <f t="shared" si="56"/>
        <v>108.75</v>
      </c>
      <c r="R44" s="179">
        <f>I44*(J44-N44)</f>
        <v>1275</v>
      </c>
      <c r="S44" s="92">
        <f t="shared" si="53"/>
        <v>0</v>
      </c>
    </row>
    <row r="45" spans="2:22" ht="28" x14ac:dyDescent="0.3">
      <c r="B45" s="205"/>
      <c r="C45" s="265"/>
      <c r="D45" s="159">
        <v>2023</v>
      </c>
      <c r="E45" s="207"/>
      <c r="F45" s="159" t="s">
        <v>272</v>
      </c>
      <c r="G45" s="159"/>
      <c r="H45" s="207" t="s">
        <v>273</v>
      </c>
      <c r="I45" s="178">
        <v>5</v>
      </c>
      <c r="J45" s="179">
        <v>95</v>
      </c>
      <c r="K45" s="179">
        <f>J45*I45</f>
        <v>475</v>
      </c>
      <c r="L45" s="179">
        <f>K45*0.05</f>
        <v>23.75</v>
      </c>
      <c r="M45" s="178">
        <f t="shared" ref="M45" si="57">K45+L45</f>
        <v>498.75</v>
      </c>
      <c r="N45" s="178">
        <f>'YUB Scale of Costs'!D19</f>
        <v>45</v>
      </c>
      <c r="O45" s="179">
        <f t="shared" ref="O45" si="58">K45</f>
        <v>475</v>
      </c>
      <c r="P45" s="179">
        <f>I45*N45</f>
        <v>225</v>
      </c>
      <c r="Q45" s="179">
        <f t="shared" ref="Q45" si="59">L45</f>
        <v>23.75</v>
      </c>
      <c r="R45" s="179">
        <f>I45*(J45-N45)</f>
        <v>250</v>
      </c>
      <c r="S45" s="92">
        <f t="shared" si="53"/>
        <v>0</v>
      </c>
    </row>
    <row r="46" spans="2:22" x14ac:dyDescent="0.3">
      <c r="B46" s="205"/>
      <c r="C46" s="265"/>
      <c r="D46" s="159"/>
      <c r="E46" s="207"/>
      <c r="F46" s="159"/>
      <c r="H46" s="207"/>
      <c r="I46" s="179"/>
      <c r="J46" s="179"/>
      <c r="K46" s="266">
        <f>SUM(K41:K45)</f>
        <v>17360</v>
      </c>
      <c r="L46" s="266">
        <f t="shared" ref="L46:M46" si="60">SUM(L41:L45)</f>
        <v>868</v>
      </c>
      <c r="M46" s="266">
        <f t="shared" si="60"/>
        <v>18228</v>
      </c>
      <c r="N46" s="266"/>
      <c r="O46" s="266">
        <f t="shared" ref="O46" si="61">SUM(O41:O45)</f>
        <v>17360</v>
      </c>
      <c r="P46" s="266">
        <f t="shared" ref="P46" si="62">SUM(P41:P45)</f>
        <v>7815</v>
      </c>
      <c r="Q46" s="266">
        <f t="shared" ref="Q46" si="63">SUM(Q41:Q45)</f>
        <v>868</v>
      </c>
      <c r="R46" s="266">
        <f t="shared" ref="R46" si="64">SUM(R41:R45)</f>
        <v>9545</v>
      </c>
      <c r="S46" s="92">
        <f>M46-SUM(P46:R46)</f>
        <v>0</v>
      </c>
      <c r="T46" s="92"/>
      <c r="U46" s="92">
        <f>+U39+K46</f>
        <v>112189.18</v>
      </c>
      <c r="V46" s="92">
        <f>+U46-186682.5-11764.66+3522.5+3677.98</f>
        <v>-79057.500000000015</v>
      </c>
    </row>
    <row r="47" spans="2:22" x14ac:dyDescent="0.3">
      <c r="B47" s="205"/>
      <c r="C47" s="265"/>
      <c r="D47" s="159"/>
      <c r="E47" s="207"/>
      <c r="F47" s="159"/>
      <c r="H47" s="207"/>
      <c r="I47" s="179"/>
      <c r="J47" s="179"/>
      <c r="K47" s="179"/>
      <c r="L47" s="179"/>
      <c r="M47" s="179"/>
      <c r="N47" s="179"/>
      <c r="O47" s="179"/>
      <c r="P47" s="179"/>
      <c r="Q47" s="179"/>
      <c r="R47" s="179"/>
    </row>
    <row r="48" spans="2:22" x14ac:dyDescent="0.3">
      <c r="B48" s="205" t="s">
        <v>146</v>
      </c>
      <c r="C48" s="265" t="s">
        <v>274</v>
      </c>
      <c r="D48" s="159">
        <v>2023</v>
      </c>
      <c r="E48" s="207">
        <v>1139</v>
      </c>
      <c r="F48" s="159" t="s">
        <v>268</v>
      </c>
      <c r="G48" s="159">
        <v>1980</v>
      </c>
      <c r="H48" s="207">
        <f>D48-G48</f>
        <v>43</v>
      </c>
      <c r="I48" s="178">
        <v>24</v>
      </c>
      <c r="J48" s="179">
        <v>735</v>
      </c>
      <c r="K48" s="179">
        <f>J48*I48</f>
        <v>17640</v>
      </c>
      <c r="L48" s="179">
        <f>K48*0.05</f>
        <v>882</v>
      </c>
      <c r="M48" s="178">
        <f t="shared" ref="M48:M52" si="65">K48+L48</f>
        <v>18522</v>
      </c>
      <c r="N48" s="178">
        <f>N41</f>
        <v>270</v>
      </c>
      <c r="O48" s="179">
        <f t="shared" ref="O48:O52" si="66">K48</f>
        <v>17640</v>
      </c>
      <c r="P48" s="179">
        <f>I48*N48</f>
        <v>6480</v>
      </c>
      <c r="Q48" s="179">
        <f t="shared" ref="Q48:Q52" si="67">L48</f>
        <v>882</v>
      </c>
      <c r="R48" s="179">
        <f>I48*(J48-N48)</f>
        <v>11160</v>
      </c>
      <c r="S48" s="92">
        <f t="shared" ref="S48:S52" si="68">M48-SUM(P48:R48)</f>
        <v>0</v>
      </c>
    </row>
    <row r="49" spans="2:21" x14ac:dyDescent="0.3">
      <c r="B49" s="205"/>
      <c r="C49" s="265"/>
      <c r="D49" s="159">
        <v>2023</v>
      </c>
      <c r="E49" s="207"/>
      <c r="F49" s="159" t="s">
        <v>261</v>
      </c>
      <c r="G49" s="159">
        <v>2006</v>
      </c>
      <c r="H49" s="207">
        <f>D49-G49</f>
        <v>17</v>
      </c>
      <c r="I49" s="178">
        <v>27</v>
      </c>
      <c r="J49" s="179">
        <v>420</v>
      </c>
      <c r="K49" s="179">
        <f>J49*I49</f>
        <v>11340</v>
      </c>
      <c r="L49" s="179">
        <f>K49*0.05</f>
        <v>567</v>
      </c>
      <c r="M49" s="178">
        <f t="shared" si="65"/>
        <v>11907</v>
      </c>
      <c r="N49" s="178">
        <v>270</v>
      </c>
      <c r="O49" s="179">
        <f t="shared" si="66"/>
        <v>11340</v>
      </c>
      <c r="P49" s="179">
        <f>I49*N49</f>
        <v>7290</v>
      </c>
      <c r="Q49" s="179">
        <f t="shared" si="67"/>
        <v>567</v>
      </c>
      <c r="R49" s="179">
        <f>I49*(J49-N49)</f>
        <v>4050</v>
      </c>
      <c r="S49" s="92">
        <f t="shared" si="68"/>
        <v>0</v>
      </c>
    </row>
    <row r="50" spans="2:21" x14ac:dyDescent="0.3">
      <c r="B50" s="205"/>
      <c r="C50" s="265"/>
      <c r="D50" s="159">
        <v>2023</v>
      </c>
      <c r="E50" s="207"/>
      <c r="F50" s="159" t="s">
        <v>259</v>
      </c>
      <c r="G50" s="159">
        <v>2019</v>
      </c>
      <c r="H50" s="207">
        <f>D50-G50</f>
        <v>4</v>
      </c>
      <c r="I50" s="178">
        <v>58</v>
      </c>
      <c r="J50" s="179">
        <v>325</v>
      </c>
      <c r="K50" s="179">
        <f>J50*I50</f>
        <v>18850</v>
      </c>
      <c r="L50" s="179">
        <f>K50*0.05</f>
        <v>942.5</v>
      </c>
      <c r="M50" s="178">
        <f t="shared" si="65"/>
        <v>19792.5</v>
      </c>
      <c r="N50" s="178">
        <v>120</v>
      </c>
      <c r="O50" s="179">
        <f t="shared" si="66"/>
        <v>18850</v>
      </c>
      <c r="P50" s="179">
        <f>I50*N50</f>
        <v>6960</v>
      </c>
      <c r="Q50" s="179">
        <f t="shared" si="67"/>
        <v>942.5</v>
      </c>
      <c r="R50" s="179">
        <f>I50*(J50-N50)</f>
        <v>11890</v>
      </c>
      <c r="S50" s="92">
        <f t="shared" si="68"/>
        <v>0</v>
      </c>
    </row>
    <row r="51" spans="2:21" x14ac:dyDescent="0.3">
      <c r="B51" s="205"/>
      <c r="C51" s="265"/>
      <c r="D51" s="159">
        <v>2023</v>
      </c>
      <c r="E51" s="207"/>
      <c r="F51" s="159" t="s">
        <v>264</v>
      </c>
      <c r="G51" s="159">
        <v>2023</v>
      </c>
      <c r="H51" s="207">
        <f>D51-G51</f>
        <v>0</v>
      </c>
      <c r="I51" s="178">
        <v>1</v>
      </c>
      <c r="J51" s="179">
        <v>290</v>
      </c>
      <c r="K51" s="179">
        <f>J51*I51</f>
        <v>290</v>
      </c>
      <c r="L51" s="179">
        <f>K51*0.05</f>
        <v>14.5</v>
      </c>
      <c r="M51" s="178">
        <f t="shared" si="65"/>
        <v>304.5</v>
      </c>
      <c r="N51" s="178">
        <v>120</v>
      </c>
      <c r="O51" s="179">
        <f t="shared" si="66"/>
        <v>290</v>
      </c>
      <c r="P51" s="179">
        <f>I51*N51</f>
        <v>120</v>
      </c>
      <c r="Q51" s="179">
        <f t="shared" si="67"/>
        <v>14.5</v>
      </c>
      <c r="R51" s="179">
        <f>I51*(J51-N51)</f>
        <v>170</v>
      </c>
      <c r="S51" s="92">
        <f t="shared" si="68"/>
        <v>0</v>
      </c>
    </row>
    <row r="52" spans="2:21" ht="28" x14ac:dyDescent="0.3">
      <c r="B52" s="205"/>
      <c r="C52" s="265"/>
      <c r="D52" s="159">
        <v>2023</v>
      </c>
      <c r="E52" s="207"/>
      <c r="F52" s="159" t="s">
        <v>272</v>
      </c>
      <c r="G52" s="159"/>
      <c r="H52" s="207" t="s">
        <v>273</v>
      </c>
      <c r="I52" s="178">
        <v>6</v>
      </c>
      <c r="J52" s="179">
        <v>95</v>
      </c>
      <c r="K52" s="179">
        <f>J52*I52</f>
        <v>570</v>
      </c>
      <c r="L52" s="179">
        <f>K52*0.05</f>
        <v>28.5</v>
      </c>
      <c r="M52" s="178">
        <f t="shared" si="65"/>
        <v>598.5</v>
      </c>
      <c r="N52" s="178">
        <v>45</v>
      </c>
      <c r="O52" s="179">
        <f t="shared" si="66"/>
        <v>570</v>
      </c>
      <c r="P52" s="179">
        <f>I52*N52</f>
        <v>270</v>
      </c>
      <c r="Q52" s="179">
        <f t="shared" si="67"/>
        <v>28.5</v>
      </c>
      <c r="R52" s="179">
        <f>I52*(J52-N52)</f>
        <v>300</v>
      </c>
      <c r="S52" s="92">
        <f t="shared" si="68"/>
        <v>0</v>
      </c>
    </row>
    <row r="53" spans="2:21" x14ac:dyDescent="0.3">
      <c r="B53" s="205"/>
      <c r="C53" s="265"/>
      <c r="D53" s="159"/>
      <c r="E53" s="207"/>
      <c r="F53" s="159"/>
      <c r="H53" s="207"/>
      <c r="I53" s="179"/>
      <c r="J53" s="179"/>
      <c r="K53" s="266">
        <f>SUM(K48:K52)</f>
        <v>48690</v>
      </c>
      <c r="L53" s="266">
        <f t="shared" ref="L53:M53" si="69">SUM(L48:L52)</f>
        <v>2434.5</v>
      </c>
      <c r="M53" s="266">
        <f t="shared" si="69"/>
        <v>51124.5</v>
      </c>
      <c r="N53" s="266"/>
      <c r="O53" s="266">
        <f t="shared" ref="O53:R53" si="70">SUM(O48:O52)</f>
        <v>48690</v>
      </c>
      <c r="P53" s="266">
        <f t="shared" si="70"/>
        <v>21120</v>
      </c>
      <c r="Q53" s="266">
        <f t="shared" si="70"/>
        <v>2434.5</v>
      </c>
      <c r="R53" s="266">
        <f t="shared" si="70"/>
        <v>27570</v>
      </c>
      <c r="S53" s="92">
        <f>M53-SUM(P53:R53)</f>
        <v>0</v>
      </c>
      <c r="T53" s="92"/>
      <c r="U53" s="92">
        <f>+U46+K53</f>
        <v>160879.18</v>
      </c>
    </row>
    <row r="54" spans="2:21" x14ac:dyDescent="0.3">
      <c r="B54" s="205"/>
      <c r="C54" s="265"/>
      <c r="D54" s="159"/>
      <c r="E54" s="207"/>
      <c r="F54" s="159"/>
      <c r="H54" s="207"/>
      <c r="I54" s="179"/>
      <c r="J54" s="179"/>
      <c r="M54" s="92"/>
    </row>
    <row r="55" spans="2:21" x14ac:dyDescent="0.3">
      <c r="B55" s="205" t="s">
        <v>146</v>
      </c>
      <c r="C55" s="265" t="s">
        <v>275</v>
      </c>
      <c r="D55" s="159">
        <v>2023</v>
      </c>
      <c r="E55" s="207">
        <v>1150</v>
      </c>
      <c r="F55" s="159" t="s">
        <v>268</v>
      </c>
      <c r="G55" s="159">
        <v>1980</v>
      </c>
      <c r="H55" s="207">
        <f>D55-G55</f>
        <v>43</v>
      </c>
      <c r="I55" s="178">
        <v>12</v>
      </c>
      <c r="J55" s="179">
        <v>735</v>
      </c>
      <c r="K55" s="179">
        <f>J55*I55</f>
        <v>8820</v>
      </c>
      <c r="L55" s="179">
        <f>K55*0.05</f>
        <v>441</v>
      </c>
      <c r="M55" s="178">
        <f t="shared" ref="M55:M58" si="71">K55+L55</f>
        <v>9261</v>
      </c>
      <c r="N55" s="178">
        <f>N48</f>
        <v>270</v>
      </c>
      <c r="O55" s="179">
        <f t="shared" ref="O55:O58" si="72">K55</f>
        <v>8820</v>
      </c>
      <c r="P55" s="179">
        <f>I55*N55</f>
        <v>3240</v>
      </c>
      <c r="Q55" s="179">
        <f t="shared" ref="Q55:Q58" si="73">L55</f>
        <v>441</v>
      </c>
      <c r="R55" s="179">
        <f>I55*(J55-N55)</f>
        <v>5580</v>
      </c>
      <c r="S55" s="92">
        <f t="shared" ref="S55:S58" si="74">M55-SUM(P55:R55)</f>
        <v>0</v>
      </c>
    </row>
    <row r="56" spans="2:21" x14ac:dyDescent="0.3">
      <c r="B56" s="205"/>
      <c r="C56" s="265"/>
      <c r="D56" s="159">
        <v>2023</v>
      </c>
      <c r="E56" s="207"/>
      <c r="F56" s="159" t="s">
        <v>261</v>
      </c>
      <c r="G56" s="159">
        <v>2006</v>
      </c>
      <c r="H56" s="207">
        <f>D56-G56</f>
        <v>17</v>
      </c>
      <c r="I56" s="178">
        <v>10.5</v>
      </c>
      <c r="J56" s="179">
        <v>420</v>
      </c>
      <c r="K56" s="179">
        <f>J56*I56</f>
        <v>4410</v>
      </c>
      <c r="L56" s="179">
        <f>K56*0.05</f>
        <v>220.5</v>
      </c>
      <c r="M56" s="178">
        <f t="shared" si="71"/>
        <v>4630.5</v>
      </c>
      <c r="N56" s="178">
        <v>270</v>
      </c>
      <c r="O56" s="179">
        <f t="shared" si="72"/>
        <v>4410</v>
      </c>
      <c r="P56" s="179">
        <f>I56*N56</f>
        <v>2835</v>
      </c>
      <c r="Q56" s="179">
        <f t="shared" si="73"/>
        <v>220.5</v>
      </c>
      <c r="R56" s="179">
        <f>I56*(J56-N56)</f>
        <v>1575</v>
      </c>
      <c r="S56" s="92">
        <f t="shared" si="74"/>
        <v>0</v>
      </c>
    </row>
    <row r="57" spans="2:21" x14ac:dyDescent="0.3">
      <c r="B57" s="205"/>
      <c r="C57" s="265"/>
      <c r="D57" s="159">
        <v>2023</v>
      </c>
      <c r="E57" s="207"/>
      <c r="F57" s="159" t="s">
        <v>259</v>
      </c>
      <c r="G57" s="159">
        <v>2019</v>
      </c>
      <c r="H57" s="207">
        <f>D57-G57</f>
        <v>4</v>
      </c>
      <c r="I57" s="178">
        <v>7.5</v>
      </c>
      <c r="J57" s="179">
        <v>325</v>
      </c>
      <c r="K57" s="179">
        <f>J57*I57</f>
        <v>2437.5</v>
      </c>
      <c r="L57" s="179">
        <f>K57*0.05</f>
        <v>121.875</v>
      </c>
      <c r="M57" s="178">
        <f t="shared" si="71"/>
        <v>2559.375</v>
      </c>
      <c r="N57" s="178">
        <v>120</v>
      </c>
      <c r="O57" s="179">
        <f t="shared" si="72"/>
        <v>2437.5</v>
      </c>
      <c r="P57" s="179">
        <f>I57*N57</f>
        <v>900</v>
      </c>
      <c r="Q57" s="179">
        <f t="shared" si="73"/>
        <v>121.875</v>
      </c>
      <c r="R57" s="179">
        <f>I57*(J57-N57)</f>
        <v>1537.5</v>
      </c>
      <c r="S57" s="92">
        <f t="shared" si="74"/>
        <v>0</v>
      </c>
    </row>
    <row r="58" spans="2:21" x14ac:dyDescent="0.3">
      <c r="B58" s="205" t="s">
        <v>147</v>
      </c>
      <c r="C58" s="265"/>
      <c r="D58" s="159">
        <v>2023</v>
      </c>
      <c r="E58" s="207"/>
      <c r="F58" s="159" t="s">
        <v>268</v>
      </c>
      <c r="G58" s="159">
        <v>1980</v>
      </c>
      <c r="H58" s="207">
        <f>D58-G58</f>
        <v>43</v>
      </c>
      <c r="I58" s="178">
        <v>20</v>
      </c>
      <c r="J58" s="179">
        <v>735</v>
      </c>
      <c r="K58" s="179">
        <f>J58*I58</f>
        <v>14700</v>
      </c>
      <c r="L58" s="179">
        <f>K58*0.05</f>
        <v>735</v>
      </c>
      <c r="M58" s="178">
        <f t="shared" si="71"/>
        <v>15435</v>
      </c>
      <c r="N58" s="178">
        <v>270</v>
      </c>
      <c r="O58" s="179">
        <f t="shared" si="72"/>
        <v>14700</v>
      </c>
      <c r="P58" s="179">
        <f>I58*N58</f>
        <v>5400</v>
      </c>
      <c r="Q58" s="179">
        <f t="shared" si="73"/>
        <v>735</v>
      </c>
      <c r="R58" s="179">
        <f>I58*(J58-N58)</f>
        <v>9300</v>
      </c>
      <c r="S58" s="92">
        <f t="shared" si="74"/>
        <v>0</v>
      </c>
    </row>
    <row r="59" spans="2:21" x14ac:dyDescent="0.3">
      <c r="B59" s="205"/>
      <c r="C59" s="265"/>
      <c r="D59" s="159"/>
      <c r="E59" s="207"/>
      <c r="F59" s="159"/>
      <c r="H59" s="207"/>
      <c r="I59" s="179"/>
      <c r="J59" s="179"/>
      <c r="K59" s="266">
        <f>SUM(K55:K58)</f>
        <v>30367.5</v>
      </c>
      <c r="L59" s="266">
        <f>SUM(L55:L58)</f>
        <v>1518.375</v>
      </c>
      <c r="M59" s="266">
        <f>SUM(M55:M58)</f>
        <v>31885.875</v>
      </c>
      <c r="N59" s="266"/>
      <c r="O59" s="266">
        <f>SUM(O55:O58)</f>
        <v>30367.5</v>
      </c>
      <c r="P59" s="266">
        <f>SUM(P55:P58)</f>
        <v>12375</v>
      </c>
      <c r="Q59" s="266">
        <f>SUM(Q55:Q58)</f>
        <v>1518.375</v>
      </c>
      <c r="R59" s="266">
        <f>SUM(R55:R58)</f>
        <v>17992.5</v>
      </c>
      <c r="S59" s="92">
        <f>M59-SUM(P59:R59)</f>
        <v>0</v>
      </c>
      <c r="T59" s="92"/>
      <c r="U59" s="92">
        <f>+U53+K59</f>
        <v>191246.68</v>
      </c>
    </row>
    <row r="60" spans="2:21" x14ac:dyDescent="0.3">
      <c r="B60" s="205"/>
      <c r="C60" s="265"/>
      <c r="D60" s="159"/>
      <c r="E60" s="207"/>
      <c r="F60" s="159"/>
      <c r="H60" s="207"/>
      <c r="I60" s="179"/>
      <c r="J60" s="179"/>
      <c r="K60" s="179"/>
      <c r="L60" s="179"/>
      <c r="M60" s="179"/>
      <c r="N60" s="179"/>
      <c r="O60" s="179"/>
      <c r="P60" s="179"/>
      <c r="Q60" s="179"/>
      <c r="R60" s="179"/>
    </row>
    <row r="61" spans="2:21" x14ac:dyDescent="0.3">
      <c r="B61" s="205" t="s">
        <v>236</v>
      </c>
      <c r="C61" s="265" t="s">
        <v>276</v>
      </c>
      <c r="D61" s="159">
        <v>2023</v>
      </c>
      <c r="E61" s="191">
        <v>1156</v>
      </c>
      <c r="F61" s="159" t="s">
        <v>268</v>
      </c>
      <c r="G61" s="159">
        <v>1980</v>
      </c>
      <c r="H61" s="207">
        <f>D61-G61</f>
        <v>43</v>
      </c>
      <c r="I61" s="178">
        <v>4</v>
      </c>
      <c r="J61" s="179">
        <v>735</v>
      </c>
      <c r="K61" s="179">
        <f>J61*I61</f>
        <v>2940</v>
      </c>
      <c r="L61" s="179">
        <f>K61*0.05</f>
        <v>147</v>
      </c>
      <c r="M61" s="178">
        <f t="shared" ref="M61:M64" si="75">K61+L61</f>
        <v>3087</v>
      </c>
      <c r="N61" s="178">
        <f>N55</f>
        <v>270</v>
      </c>
      <c r="O61" s="179">
        <f t="shared" ref="O61:O64" si="76">K61</f>
        <v>2940</v>
      </c>
      <c r="P61" s="179">
        <f>I61*N61</f>
        <v>1080</v>
      </c>
      <c r="Q61" s="179">
        <f t="shared" ref="Q61:Q63" si="77">L61</f>
        <v>147</v>
      </c>
      <c r="R61" s="179">
        <f>I61*(J61-N61)</f>
        <v>1860</v>
      </c>
      <c r="S61" s="92">
        <f>M61-SUM(P61:R61)</f>
        <v>0</v>
      </c>
    </row>
    <row r="62" spans="2:21" x14ac:dyDescent="0.3">
      <c r="B62" s="205"/>
      <c r="C62" s="265"/>
      <c r="D62" s="159">
        <v>2023</v>
      </c>
      <c r="E62" s="207"/>
      <c r="F62" s="159" t="s">
        <v>261</v>
      </c>
      <c r="G62" s="159">
        <v>2006</v>
      </c>
      <c r="H62" s="207">
        <f>D62-G62</f>
        <v>17</v>
      </c>
      <c r="I62" s="178">
        <v>1</v>
      </c>
      <c r="J62" s="179">
        <v>420</v>
      </c>
      <c r="K62" s="179">
        <f>J62*I62</f>
        <v>420</v>
      </c>
      <c r="L62" s="179">
        <f>K62*0.05</f>
        <v>21</v>
      </c>
      <c r="M62" s="178">
        <f t="shared" si="75"/>
        <v>441</v>
      </c>
      <c r="N62" s="178">
        <f>N48</f>
        <v>270</v>
      </c>
      <c r="O62" s="179">
        <f t="shared" si="76"/>
        <v>420</v>
      </c>
      <c r="P62" s="179">
        <f>I62*N62</f>
        <v>270</v>
      </c>
      <c r="Q62" s="179">
        <f t="shared" si="77"/>
        <v>21</v>
      </c>
      <c r="R62" s="179">
        <f>I62*(J62-N62)</f>
        <v>150</v>
      </c>
      <c r="S62" s="92">
        <f t="shared" ref="S62:S64" si="78">M62-SUM(P62:R62)</f>
        <v>0</v>
      </c>
    </row>
    <row r="63" spans="2:21" x14ac:dyDescent="0.3">
      <c r="B63" s="205"/>
      <c r="C63" s="265"/>
      <c r="D63" s="159">
        <v>2023</v>
      </c>
      <c r="E63" s="207"/>
      <c r="F63" s="159" t="s">
        <v>259</v>
      </c>
      <c r="G63" s="159">
        <v>2019</v>
      </c>
      <c r="H63" s="207">
        <f>D63-G63</f>
        <v>4</v>
      </c>
      <c r="I63" s="178">
        <v>0.5</v>
      </c>
      <c r="J63" s="179">
        <v>325</v>
      </c>
      <c r="K63" s="179">
        <f>J63*I63</f>
        <v>162.5</v>
      </c>
      <c r="L63" s="179">
        <f>K63*0.05</f>
        <v>8.125</v>
      </c>
      <c r="M63" s="178">
        <f t="shared" si="75"/>
        <v>170.625</v>
      </c>
      <c r="N63" s="178">
        <v>120</v>
      </c>
      <c r="O63" s="179">
        <f t="shared" si="76"/>
        <v>162.5</v>
      </c>
      <c r="P63" s="179">
        <f>I63*N63</f>
        <v>60</v>
      </c>
      <c r="Q63" s="179">
        <f t="shared" si="77"/>
        <v>8.125</v>
      </c>
      <c r="R63" s="179">
        <f>I63*(J63-N63)</f>
        <v>102.5</v>
      </c>
      <c r="S63" s="92">
        <f t="shared" si="78"/>
        <v>0</v>
      </c>
    </row>
    <row r="64" spans="2:21" ht="28" x14ac:dyDescent="0.3">
      <c r="B64" s="205" t="s">
        <v>147</v>
      </c>
      <c r="C64" s="180"/>
      <c r="D64" s="159">
        <v>2023</v>
      </c>
      <c r="E64" s="207"/>
      <c r="F64" s="159" t="s">
        <v>559</v>
      </c>
      <c r="H64" s="207"/>
      <c r="I64" s="178"/>
      <c r="J64" s="179"/>
      <c r="K64" s="179">
        <f>'Concentric Advisors Disb.'!H40</f>
        <v>3511.59</v>
      </c>
      <c r="L64" s="179">
        <f>'Concentric Advisors Disb.'!K40</f>
        <v>166.3890476190476</v>
      </c>
      <c r="M64" s="178">
        <f t="shared" si="75"/>
        <v>3677.9790476190478</v>
      </c>
      <c r="N64" s="181" t="s">
        <v>266</v>
      </c>
      <c r="O64" s="179">
        <f t="shared" si="76"/>
        <v>3511.59</v>
      </c>
      <c r="P64" s="179">
        <f>'Concentric Advisors Disb.'!P40</f>
        <v>2577.6</v>
      </c>
      <c r="Q64" s="179">
        <f>'Concentric Advisors Disb.'!K40</f>
        <v>166.3890476190476</v>
      </c>
      <c r="R64" s="179">
        <f>'Concentric Advisors Disb.'!Q40</f>
        <v>933.99</v>
      </c>
      <c r="S64" s="92">
        <f t="shared" si="78"/>
        <v>0</v>
      </c>
    </row>
    <row r="65" spans="2:21" x14ac:dyDescent="0.3">
      <c r="B65" s="205"/>
      <c r="C65" s="180"/>
      <c r="E65" s="207"/>
      <c r="F65" s="159"/>
      <c r="H65" s="207"/>
      <c r="I65" s="179"/>
      <c r="J65" s="179"/>
      <c r="K65" s="266">
        <f>SUM(K61:K64)</f>
        <v>7034.09</v>
      </c>
      <c r="L65" s="266">
        <f t="shared" ref="L65:M65" si="79">SUM(L61:L64)</f>
        <v>342.51404761904757</v>
      </c>
      <c r="M65" s="266">
        <f t="shared" si="79"/>
        <v>7376.6040476190483</v>
      </c>
      <c r="N65" s="266"/>
      <c r="O65" s="266">
        <f t="shared" ref="O65:R65" si="80">SUM(O61:O64)</f>
        <v>7034.09</v>
      </c>
      <c r="P65" s="266">
        <f t="shared" si="80"/>
        <v>3987.6</v>
      </c>
      <c r="Q65" s="266">
        <f t="shared" si="80"/>
        <v>342.51404761904757</v>
      </c>
      <c r="R65" s="266">
        <f t="shared" si="80"/>
        <v>3046.49</v>
      </c>
      <c r="S65" s="92">
        <f>M65-SUM(P65:R65)</f>
        <v>0</v>
      </c>
      <c r="U65" s="92">
        <f>+K65+U59</f>
        <v>198280.77</v>
      </c>
    </row>
    <row r="66" spans="2:21" x14ac:dyDescent="0.3">
      <c r="B66" s="205"/>
      <c r="C66" s="180"/>
      <c r="F66" s="205"/>
      <c r="G66" s="206"/>
      <c r="H66" s="206"/>
      <c r="I66" s="178"/>
      <c r="J66" s="206"/>
      <c r="K66" s="178"/>
      <c r="L66" s="178"/>
      <c r="M66" s="178"/>
      <c r="N66" s="178"/>
      <c r="O66" s="178"/>
      <c r="P66" s="178"/>
      <c r="Q66" s="178"/>
      <c r="R66" s="178"/>
    </row>
    <row r="67" spans="2:21" x14ac:dyDescent="0.3">
      <c r="B67" s="205"/>
      <c r="C67" s="180"/>
      <c r="F67" s="205"/>
      <c r="G67" s="206"/>
      <c r="H67" s="206"/>
      <c r="I67" s="178"/>
      <c r="J67" s="206"/>
      <c r="K67" s="178"/>
      <c r="L67" s="178"/>
      <c r="M67" s="178"/>
      <c r="N67" s="178"/>
      <c r="O67" s="178"/>
      <c r="P67" s="178"/>
      <c r="Q67" s="178"/>
      <c r="R67" s="178"/>
    </row>
    <row r="68" spans="2:21" x14ac:dyDescent="0.3">
      <c r="B68" s="205"/>
      <c r="C68" s="180"/>
      <c r="G68" s="206"/>
      <c r="H68" s="206"/>
      <c r="I68" s="206"/>
      <c r="J68" s="206"/>
      <c r="K68" s="179"/>
      <c r="L68" s="179"/>
      <c r="M68" s="179"/>
      <c r="N68" s="205" t="s">
        <v>223</v>
      </c>
      <c r="O68" s="178">
        <f>O11+O15+O19+O25+O28+O39+O46+O34+O53+O59+O65</f>
        <v>198280.77</v>
      </c>
      <c r="P68" s="178">
        <f>P11+P15+P19+P25+P28+P39+P46+P34+P53+P59+P65</f>
        <v>84192.6</v>
      </c>
      <c r="Q68" s="178">
        <f>Q11+Q15+Q19+Q25+Q28+Q39+Q46+Q34+Q53+Q59+Q65</f>
        <v>9500.5140476190481</v>
      </c>
      <c r="R68" s="178">
        <f>R11+R15+R19+R25+R28+R39+R46+R34+R53+R59+R65</f>
        <v>114088.17</v>
      </c>
    </row>
    <row r="69" spans="2:21" x14ac:dyDescent="0.3">
      <c r="B69" s="2"/>
      <c r="C69" s="180"/>
      <c r="F69" s="2"/>
      <c r="G69" s="3"/>
      <c r="H69" s="3"/>
      <c r="I69" s="3"/>
      <c r="J69" s="13"/>
      <c r="K69" s="14"/>
      <c r="L69" s="8"/>
      <c r="M69" s="8"/>
      <c r="N69" s="8"/>
      <c r="O69" s="8"/>
      <c r="P69" s="15"/>
      <c r="Q69" s="8"/>
      <c r="R69" s="15"/>
      <c r="U69" s="92"/>
    </row>
    <row r="70" spans="2:21" hidden="1" x14ac:dyDescent="0.3">
      <c r="K70" s="92"/>
      <c r="L70" s="182"/>
      <c r="N70" s="84" t="s">
        <v>224</v>
      </c>
      <c r="O70" s="183"/>
      <c r="P70" s="183">
        <f>P117</f>
        <v>84192.6</v>
      </c>
      <c r="R70" s="92"/>
    </row>
    <row r="71" spans="2:21" hidden="1" x14ac:dyDescent="0.3">
      <c r="K71" s="92"/>
      <c r="L71" s="182"/>
      <c r="N71" s="20" t="s">
        <v>225</v>
      </c>
      <c r="O71" s="183"/>
      <c r="P71" s="19">
        <f>P70-P68</f>
        <v>0</v>
      </c>
      <c r="R71" s="92"/>
    </row>
    <row r="72" spans="2:21" hidden="1" x14ac:dyDescent="0.3">
      <c r="K72" s="92"/>
      <c r="L72" s="182"/>
      <c r="O72" s="183"/>
      <c r="P72" s="183"/>
      <c r="R72" s="92"/>
    </row>
    <row r="73" spans="2:21" hidden="1" x14ac:dyDescent="0.3">
      <c r="K73" s="92"/>
      <c r="L73" s="182"/>
      <c r="M73" s="92"/>
      <c r="N73" s="84" t="s">
        <v>226</v>
      </c>
      <c r="O73" s="183">
        <f>+K24+K64</f>
        <v>11598.27</v>
      </c>
      <c r="P73" s="183"/>
      <c r="R73" s="92"/>
    </row>
    <row r="74" spans="2:21" hidden="1" x14ac:dyDescent="0.3">
      <c r="K74" s="92"/>
      <c r="L74" s="182"/>
      <c r="N74" s="84" t="s">
        <v>227</v>
      </c>
      <c r="O74" s="183">
        <f>+O68-O73</f>
        <v>186682.5</v>
      </c>
      <c r="P74" s="183"/>
      <c r="R74" s="92"/>
    </row>
    <row r="75" spans="2:21" hidden="1" x14ac:dyDescent="0.3">
      <c r="K75" s="92"/>
      <c r="L75" s="182"/>
      <c r="N75" s="84" t="s">
        <v>228</v>
      </c>
      <c r="O75" s="183">
        <f>+O74-186682.5</f>
        <v>0</v>
      </c>
      <c r="P75" s="183" t="s">
        <v>277</v>
      </c>
      <c r="R75" s="92"/>
    </row>
    <row r="76" spans="2:21" ht="14.5" hidden="1" thickBot="1" x14ac:dyDescent="0.35">
      <c r="B76" s="17" t="s">
        <v>210</v>
      </c>
      <c r="C76" s="18"/>
      <c r="D76" s="18"/>
      <c r="E76" s="49"/>
      <c r="F76" s="18"/>
      <c r="G76" s="18"/>
      <c r="H76" s="18"/>
      <c r="I76" s="18"/>
      <c r="J76" s="18"/>
      <c r="K76" s="18"/>
      <c r="L76" s="19"/>
      <c r="O76" s="18"/>
      <c r="Q76" s="18"/>
    </row>
    <row r="77" spans="2:21" hidden="1" x14ac:dyDescent="0.3">
      <c r="B77" s="18"/>
      <c r="C77" s="21" t="s">
        <v>230</v>
      </c>
      <c r="D77" s="22"/>
      <c r="E77" s="23"/>
      <c r="F77" s="23"/>
      <c r="G77" s="24"/>
      <c r="H77" s="24"/>
      <c r="I77" s="25"/>
      <c r="J77" s="25"/>
      <c r="K77" s="26"/>
      <c r="L77" s="26"/>
      <c r="M77" s="26"/>
      <c r="N77" s="27"/>
      <c r="O77" s="27"/>
      <c r="P77" s="28"/>
      <c r="Q77" s="29"/>
    </row>
    <row r="78" spans="2:21" ht="17" hidden="1" x14ac:dyDescent="0.6">
      <c r="B78" s="18"/>
      <c r="C78" s="30" t="s">
        <v>231</v>
      </c>
      <c r="D78" s="31"/>
      <c r="E78" s="54"/>
      <c r="F78" s="32"/>
      <c r="G78" s="31" t="s">
        <v>232</v>
      </c>
      <c r="H78" s="33"/>
      <c r="I78" s="34" t="s">
        <v>150</v>
      </c>
      <c r="J78" s="34"/>
      <c r="K78" s="34" t="s">
        <v>2</v>
      </c>
      <c r="L78" s="35" t="s">
        <v>121</v>
      </c>
      <c r="M78" s="35" t="s">
        <v>9</v>
      </c>
      <c r="N78" s="31" t="s">
        <v>233</v>
      </c>
      <c r="O78" s="31"/>
      <c r="P78" s="36" t="s">
        <v>234</v>
      </c>
      <c r="Q78" s="29"/>
    </row>
    <row r="79" spans="2:21" hidden="1" x14ac:dyDescent="0.3">
      <c r="B79" s="18"/>
      <c r="C79" s="32" t="s">
        <v>268</v>
      </c>
      <c r="D79" s="32"/>
      <c r="E79" s="54"/>
      <c r="F79" s="32"/>
      <c r="G79" s="38"/>
      <c r="H79" s="39"/>
      <c r="I79" s="39">
        <f>SUMIF($F$10:$F$57,C79,$I$10:$I$57)</f>
        <v>51.5</v>
      </c>
      <c r="J79" s="39"/>
      <c r="K79" s="39">
        <f>SUMIF($F$9:$F$57,C79,$K$9:$K$57)</f>
        <v>37852.5</v>
      </c>
      <c r="L79" s="39">
        <f>SUMIF($F$9:$F$57,C79,$L$9:$L$57)</f>
        <v>1892.625</v>
      </c>
      <c r="M79" s="39">
        <f>K79+L79</f>
        <v>39745.125</v>
      </c>
      <c r="N79" s="39">
        <v>270</v>
      </c>
      <c r="O79" s="39"/>
      <c r="P79" s="40">
        <f>I79*N79</f>
        <v>13905</v>
      </c>
      <c r="Q79" s="29"/>
    </row>
    <row r="80" spans="2:21" hidden="1" x14ac:dyDescent="0.3">
      <c r="B80" s="18"/>
      <c r="C80" s="32" t="s">
        <v>261</v>
      </c>
      <c r="D80" s="32"/>
      <c r="E80" s="54"/>
      <c r="F80" s="32"/>
      <c r="G80" s="38"/>
      <c r="H80" s="39"/>
      <c r="I80" s="39">
        <f>SUMIF($F$10:$F$57,C80,$I$10:$I$57)</f>
        <v>103.5</v>
      </c>
      <c r="J80" s="39"/>
      <c r="K80" s="39">
        <f>SUMIF($F$9:$F$57,C80,$K$9:$K$57)</f>
        <v>43470</v>
      </c>
      <c r="L80" s="39">
        <f>SUMIF($F$9:$F$57,C80,$L$9:$L$57)</f>
        <v>2173.5</v>
      </c>
      <c r="M80" s="39">
        <f t="shared" ref="M80:M83" si="81">K80+L80</f>
        <v>45643.5</v>
      </c>
      <c r="N80" s="39">
        <v>270</v>
      </c>
      <c r="O80" s="39"/>
      <c r="P80" s="40">
        <f t="shared" ref="P80:P83" si="82">I80*N80</f>
        <v>27945</v>
      </c>
      <c r="Q80" s="29"/>
    </row>
    <row r="81" spans="2:20" hidden="1" x14ac:dyDescent="0.3">
      <c r="B81" s="18"/>
      <c r="C81" s="32" t="s">
        <v>259</v>
      </c>
      <c r="D81" s="32"/>
      <c r="E81" s="54"/>
      <c r="F81" s="32"/>
      <c r="G81" s="38"/>
      <c r="H81" s="39"/>
      <c r="I81" s="39">
        <f>SUMIF($F$10:$F$57,C81,$I$10:$I$57)</f>
        <v>218.5</v>
      </c>
      <c r="J81" s="39"/>
      <c r="K81" s="39">
        <f>SUMIF($F$9:$F$57,C81,$K$9:$K$57)</f>
        <v>71012.5</v>
      </c>
      <c r="L81" s="39">
        <f>SUMIF($F$9:$F$57,C81,$L$9:$L$57)</f>
        <v>3550.625</v>
      </c>
      <c r="M81" s="39">
        <f t="shared" si="81"/>
        <v>74563.125</v>
      </c>
      <c r="N81" s="39">
        <v>120</v>
      </c>
      <c r="O81" s="39"/>
      <c r="P81" s="40">
        <f t="shared" si="82"/>
        <v>26220</v>
      </c>
      <c r="Q81" s="29"/>
    </row>
    <row r="82" spans="2:20" hidden="1" x14ac:dyDescent="0.3">
      <c r="B82" s="18"/>
      <c r="C82" s="32" t="s">
        <v>264</v>
      </c>
      <c r="D82" s="32"/>
      <c r="E82" s="54"/>
      <c r="F82" s="32"/>
      <c r="G82" s="38"/>
      <c r="H82" s="39"/>
      <c r="I82" s="39">
        <f>SUMIF($F$10:$F$57,C82,$I$10:$I$57)</f>
        <v>52</v>
      </c>
      <c r="J82" s="39"/>
      <c r="K82" s="39">
        <f>SUMIF($F$9:$F$57,C82,$K$9:$K$57)</f>
        <v>15080</v>
      </c>
      <c r="L82" s="39">
        <f>SUMIF($F$9:$F$57,C82,$L$9:$L$57)</f>
        <v>754</v>
      </c>
      <c r="M82" s="39">
        <f t="shared" si="81"/>
        <v>15834</v>
      </c>
      <c r="N82" s="39">
        <v>120</v>
      </c>
      <c r="O82" s="39"/>
      <c r="P82" s="40">
        <f t="shared" si="82"/>
        <v>6240</v>
      </c>
      <c r="Q82" s="29"/>
    </row>
    <row r="83" spans="2:20" hidden="1" x14ac:dyDescent="0.3">
      <c r="B83" s="18"/>
      <c r="C83" s="32" t="s">
        <v>272</v>
      </c>
      <c r="D83" s="32"/>
      <c r="E83" s="54"/>
      <c r="F83" s="32"/>
      <c r="G83" s="38"/>
      <c r="H83" s="39"/>
      <c r="I83" s="39">
        <f>SUMIF($F$10:$F$57,C83,$I$10:$I$57)</f>
        <v>11</v>
      </c>
      <c r="J83" s="39"/>
      <c r="K83" s="39">
        <f>SUMIF($F$9:$F$57,C83,$K$9:$K$57)</f>
        <v>1045</v>
      </c>
      <c r="L83" s="39">
        <f>SUMIF($F$9:$F$57,C83,$L$9:$L$57)</f>
        <v>52.25</v>
      </c>
      <c r="M83" s="39">
        <f t="shared" si="81"/>
        <v>1097.25</v>
      </c>
      <c r="N83" s="39">
        <v>45</v>
      </c>
      <c r="O83" s="39"/>
      <c r="P83" s="40">
        <f t="shared" si="82"/>
        <v>495</v>
      </c>
      <c r="Q83" s="29"/>
    </row>
    <row r="84" spans="2:20" ht="14.5" hidden="1" thickBot="1" x14ac:dyDescent="0.35">
      <c r="B84" s="18"/>
      <c r="C84" s="41" t="s">
        <v>223</v>
      </c>
      <c r="D84" s="42"/>
      <c r="E84" s="268"/>
      <c r="F84" s="42"/>
      <c r="G84" s="43"/>
      <c r="H84" s="42"/>
      <c r="I84" s="44">
        <f>SUM(I79:I83)</f>
        <v>436.5</v>
      </c>
      <c r="J84" s="45"/>
      <c r="K84" s="44">
        <f>SUM(K79:K83)</f>
        <v>168460</v>
      </c>
      <c r="L84" s="44">
        <f t="shared" ref="L84:M84" si="83">SUM(L79:L83)</f>
        <v>8423</v>
      </c>
      <c r="M84" s="44">
        <f t="shared" si="83"/>
        <v>176883</v>
      </c>
      <c r="N84" s="46"/>
      <c r="O84" s="46"/>
      <c r="P84" s="44">
        <f>SUM(P79:P83)</f>
        <v>74805</v>
      </c>
      <c r="Q84" s="29"/>
    </row>
    <row r="85" spans="2:20" hidden="1" x14ac:dyDescent="0.3">
      <c r="B85" s="18"/>
      <c r="C85" s="18"/>
      <c r="D85" s="18"/>
      <c r="E85" s="49"/>
      <c r="F85" s="18"/>
      <c r="G85" s="18"/>
      <c r="H85" s="18"/>
      <c r="I85" s="19"/>
      <c r="J85" s="18"/>
      <c r="K85" s="19"/>
      <c r="L85" s="19"/>
      <c r="M85" s="19"/>
      <c r="N85" s="18"/>
      <c r="O85" s="18"/>
      <c r="P85" s="18"/>
      <c r="Q85" s="19"/>
      <c r="R85" s="184"/>
      <c r="S85" s="184"/>
      <c r="T85" s="184"/>
    </row>
    <row r="86" spans="2:20" ht="14.5" hidden="1" thickBot="1" x14ac:dyDescent="0.35">
      <c r="B86" s="17" t="s">
        <v>147</v>
      </c>
      <c r="C86" s="18"/>
      <c r="D86" s="18"/>
      <c r="E86" s="49"/>
      <c r="F86" s="18"/>
      <c r="G86" s="18"/>
      <c r="H86" s="18"/>
      <c r="I86" s="18"/>
      <c r="J86" s="18"/>
      <c r="K86" s="18"/>
      <c r="L86" s="18"/>
      <c r="M86" s="20" t="s">
        <v>225</v>
      </c>
      <c r="N86" s="18"/>
      <c r="O86" s="18"/>
      <c r="P86" s="19"/>
      <c r="Q86" s="19"/>
    </row>
    <row r="87" spans="2:20" hidden="1" x14ac:dyDescent="0.3">
      <c r="B87" s="18"/>
      <c r="C87" s="21" t="s">
        <v>230</v>
      </c>
      <c r="D87" s="22"/>
      <c r="E87" s="23"/>
      <c r="F87" s="23"/>
      <c r="G87" s="24"/>
      <c r="H87" s="24"/>
      <c r="I87" s="25"/>
      <c r="J87" s="25"/>
      <c r="K87" s="26"/>
      <c r="L87" s="26"/>
      <c r="M87" s="26"/>
      <c r="N87" s="27"/>
      <c r="O87" s="27"/>
      <c r="P87" s="28"/>
      <c r="Q87" s="19"/>
    </row>
    <row r="88" spans="2:20" ht="17" hidden="1" x14ac:dyDescent="0.6">
      <c r="B88" s="18"/>
      <c r="C88" s="30" t="s">
        <v>231</v>
      </c>
      <c r="D88" s="31"/>
      <c r="E88" s="54"/>
      <c r="F88" s="32"/>
      <c r="G88" s="31" t="s">
        <v>232</v>
      </c>
      <c r="H88" s="33"/>
      <c r="I88" s="34" t="s">
        <v>150</v>
      </c>
      <c r="J88" s="34"/>
      <c r="K88" s="34" t="s">
        <v>2</v>
      </c>
      <c r="L88" s="35" t="s">
        <v>121</v>
      </c>
      <c r="M88" s="35" t="s">
        <v>9</v>
      </c>
      <c r="N88" s="31" t="s">
        <v>233</v>
      </c>
      <c r="O88" s="31"/>
      <c r="P88" s="36" t="s">
        <v>234</v>
      </c>
      <c r="Q88" s="19"/>
    </row>
    <row r="89" spans="2:20" hidden="1" x14ac:dyDescent="0.3">
      <c r="B89" s="18"/>
      <c r="C89" s="32" t="s">
        <v>268</v>
      </c>
      <c r="D89" s="32"/>
      <c r="E89" s="54"/>
      <c r="F89" s="32"/>
      <c r="G89" s="38"/>
      <c r="H89" s="39"/>
      <c r="I89" s="39">
        <f>SUMIF($F$58:$F$58,C89,$I$58:$I$58)</f>
        <v>20</v>
      </c>
      <c r="J89" s="39"/>
      <c r="K89" s="39">
        <f>SUMIF($F$58:$F$58,C89,$K$58:$K$58)</f>
        <v>14700</v>
      </c>
      <c r="L89" s="39">
        <f>SUMIF($F$58:$F$58,C89,$L$58:$L$58)</f>
        <v>735</v>
      </c>
      <c r="M89" s="39">
        <f t="shared" ref="M89:M90" si="84">K89+L89</f>
        <v>15435</v>
      </c>
      <c r="N89" s="39">
        <v>270</v>
      </c>
      <c r="O89" s="39"/>
      <c r="P89" s="40">
        <f>I89*N89</f>
        <v>5400</v>
      </c>
      <c r="Q89" s="19"/>
    </row>
    <row r="90" spans="2:20" hidden="1" x14ac:dyDescent="0.3">
      <c r="B90" s="18"/>
      <c r="C90" s="37"/>
      <c r="D90" s="32"/>
      <c r="E90" s="54"/>
      <c r="F90" s="32"/>
      <c r="G90" s="38"/>
      <c r="H90" s="39"/>
      <c r="I90" s="39"/>
      <c r="J90" s="39"/>
      <c r="K90" s="39"/>
      <c r="L90" s="39"/>
      <c r="M90" s="39">
        <f t="shared" si="84"/>
        <v>0</v>
      </c>
      <c r="N90" s="39">
        <v>0</v>
      </c>
      <c r="O90" s="39"/>
      <c r="P90" s="40">
        <f t="shared" ref="P90" si="85">I90*N90</f>
        <v>0</v>
      </c>
      <c r="Q90" s="19"/>
    </row>
    <row r="91" spans="2:20" hidden="1" x14ac:dyDescent="0.3">
      <c r="B91" s="18"/>
      <c r="C91" s="37"/>
      <c r="D91" s="32"/>
      <c r="E91" s="54"/>
      <c r="F91" s="32"/>
      <c r="G91" s="38"/>
      <c r="H91" s="39"/>
      <c r="I91" s="39"/>
      <c r="J91" s="39"/>
      <c r="K91" s="39"/>
      <c r="L91" s="39"/>
      <c r="M91" s="39"/>
      <c r="N91" s="39"/>
      <c r="O91" s="39"/>
      <c r="P91" s="40"/>
      <c r="Q91" s="19"/>
    </row>
    <row r="92" spans="2:20" ht="14.5" hidden="1" thickBot="1" x14ac:dyDescent="0.35">
      <c r="B92" s="18"/>
      <c r="C92" s="41" t="s">
        <v>223</v>
      </c>
      <c r="D92" s="42"/>
      <c r="E92" s="268"/>
      <c r="F92" s="42"/>
      <c r="G92" s="43"/>
      <c r="H92" s="42"/>
      <c r="I92" s="44">
        <f>SUM(I89:I91)</f>
        <v>20</v>
      </c>
      <c r="J92" s="44">
        <f t="shared" ref="J92:M92" si="86">SUM(J89:J91)</f>
        <v>0</v>
      </c>
      <c r="K92" s="44">
        <f t="shared" si="86"/>
        <v>14700</v>
      </c>
      <c r="L92" s="44">
        <f t="shared" si="86"/>
        <v>735</v>
      </c>
      <c r="M92" s="44">
        <f t="shared" si="86"/>
        <v>15435</v>
      </c>
      <c r="N92" s="46"/>
      <c r="O92" s="46"/>
      <c r="P92" s="48">
        <f>SUM(P89:P91)</f>
        <v>5400</v>
      </c>
      <c r="Q92" s="19"/>
    </row>
    <row r="93" spans="2:20" hidden="1" x14ac:dyDescent="0.3">
      <c r="B93" s="18"/>
      <c r="Q93" s="18"/>
    </row>
    <row r="94" spans="2:20" ht="14.5" hidden="1" thickBot="1" x14ac:dyDescent="0.35">
      <c r="B94" s="17" t="s">
        <v>236</v>
      </c>
      <c r="C94" s="18"/>
      <c r="D94" s="18"/>
      <c r="E94" s="49"/>
      <c r="F94" s="18"/>
      <c r="G94" s="18"/>
      <c r="H94" s="18"/>
      <c r="I94" s="18"/>
      <c r="J94" s="18"/>
      <c r="K94" s="18"/>
      <c r="L94" s="18"/>
      <c r="M94" s="20" t="s">
        <v>225</v>
      </c>
      <c r="N94" s="18"/>
      <c r="O94" s="18"/>
      <c r="P94" s="19"/>
      <c r="Q94" s="18"/>
    </row>
    <row r="95" spans="2:20" hidden="1" x14ac:dyDescent="0.3">
      <c r="B95" s="18"/>
      <c r="C95" s="21" t="s">
        <v>230</v>
      </c>
      <c r="D95" s="22"/>
      <c r="E95" s="23"/>
      <c r="F95" s="23"/>
      <c r="G95" s="24"/>
      <c r="H95" s="24"/>
      <c r="I95" s="25"/>
      <c r="J95" s="25"/>
      <c r="K95" s="26"/>
      <c r="L95" s="26"/>
      <c r="M95" s="26"/>
      <c r="N95" s="27"/>
      <c r="O95" s="27"/>
      <c r="P95" s="28"/>
      <c r="Q95" s="18"/>
    </row>
    <row r="96" spans="2:20" ht="17" hidden="1" x14ac:dyDescent="0.6">
      <c r="B96" s="18"/>
      <c r="C96" s="30" t="s">
        <v>231</v>
      </c>
      <c r="D96" s="31"/>
      <c r="E96" s="54"/>
      <c r="F96" s="32"/>
      <c r="G96" s="31" t="s">
        <v>232</v>
      </c>
      <c r="H96" s="33"/>
      <c r="I96" s="34" t="s">
        <v>150</v>
      </c>
      <c r="J96" s="34"/>
      <c r="K96" s="34" t="s">
        <v>2</v>
      </c>
      <c r="L96" s="35" t="s">
        <v>121</v>
      </c>
      <c r="M96" s="35" t="s">
        <v>9</v>
      </c>
      <c r="N96" s="31" t="s">
        <v>233</v>
      </c>
      <c r="O96" s="31"/>
      <c r="P96" s="36" t="s">
        <v>234</v>
      </c>
      <c r="Q96" s="18"/>
    </row>
    <row r="97" spans="2:17" hidden="1" x14ac:dyDescent="0.3">
      <c r="B97" s="18"/>
      <c r="C97" s="32" t="s">
        <v>268</v>
      </c>
      <c r="D97" s="32"/>
      <c r="E97" s="54"/>
      <c r="F97" s="32"/>
      <c r="G97" s="38"/>
      <c r="H97" s="39"/>
      <c r="I97" s="39">
        <f>SUMIF($F$61:$F$64,C97,$I$61:$I$64)</f>
        <v>4</v>
      </c>
      <c r="J97" s="39"/>
      <c r="K97" s="39">
        <f>SUMIF($F$61:$F$64,C97,$K$61:$K$64)</f>
        <v>2940</v>
      </c>
      <c r="L97" s="39">
        <f>SUMIF($F$61:$F$64,C97,$L$61:$L$64)</f>
        <v>147</v>
      </c>
      <c r="M97" s="39">
        <f t="shared" ref="M97:M99" si="87">K97+L97</f>
        <v>3087</v>
      </c>
      <c r="N97" s="39">
        <v>270</v>
      </c>
      <c r="O97" s="39"/>
      <c r="P97" s="40">
        <f>I97*N97</f>
        <v>1080</v>
      </c>
      <c r="Q97" s="18"/>
    </row>
    <row r="98" spans="2:17" hidden="1" x14ac:dyDescent="0.3">
      <c r="B98" s="18"/>
      <c r="C98" s="32" t="s">
        <v>261</v>
      </c>
      <c r="D98" s="32"/>
      <c r="E98" s="54"/>
      <c r="F98" s="32"/>
      <c r="G98" s="38"/>
      <c r="H98" s="39"/>
      <c r="I98" s="39">
        <f>SUMIF($F$61:$F$64,C98,$I$61:$I$64)</f>
        <v>1</v>
      </c>
      <c r="J98" s="39"/>
      <c r="K98" s="39">
        <f t="shared" ref="K98:K99" si="88">SUMIF($F$61:$F$64,C98,$K$61:$K$64)</f>
        <v>420</v>
      </c>
      <c r="L98" s="39">
        <f t="shared" ref="L98:L99" si="89">SUMIF($F$61:$F$64,C98,$L$61:$L$64)</f>
        <v>21</v>
      </c>
      <c r="M98" s="39">
        <f t="shared" si="87"/>
        <v>441</v>
      </c>
      <c r="N98" s="39">
        <v>270</v>
      </c>
      <c r="O98" s="39"/>
      <c r="P98" s="40">
        <f t="shared" ref="P98:P99" si="90">I98*N98</f>
        <v>270</v>
      </c>
      <c r="Q98" s="18"/>
    </row>
    <row r="99" spans="2:17" hidden="1" x14ac:dyDescent="0.3">
      <c r="B99" s="18"/>
      <c r="C99" s="32" t="s">
        <v>259</v>
      </c>
      <c r="D99" s="32"/>
      <c r="E99" s="54"/>
      <c r="F99" s="32"/>
      <c r="G99" s="38"/>
      <c r="H99" s="39"/>
      <c r="I99" s="39">
        <f>SUMIF($F$61:$F$64,C99,$I$61:$I$64)</f>
        <v>0.5</v>
      </c>
      <c r="J99" s="39"/>
      <c r="K99" s="39">
        <f t="shared" si="88"/>
        <v>162.5</v>
      </c>
      <c r="L99" s="39">
        <f t="shared" si="89"/>
        <v>8.125</v>
      </c>
      <c r="M99" s="39">
        <f t="shared" si="87"/>
        <v>170.625</v>
      </c>
      <c r="N99" s="39">
        <v>120</v>
      </c>
      <c r="O99" s="39"/>
      <c r="P99" s="40">
        <f t="shared" si="90"/>
        <v>60</v>
      </c>
      <c r="Q99" s="18"/>
    </row>
    <row r="100" spans="2:17" ht="14.5" hidden="1" thickBot="1" x14ac:dyDescent="0.35">
      <c r="B100" s="18"/>
      <c r="C100" s="41" t="s">
        <v>223</v>
      </c>
      <c r="D100" s="42"/>
      <c r="E100" s="268"/>
      <c r="F100" s="42"/>
      <c r="G100" s="43"/>
      <c r="H100" s="42"/>
      <c r="I100" s="44">
        <f>SUM(I97:I99)</f>
        <v>5.5</v>
      </c>
      <c r="J100" s="44">
        <f t="shared" ref="J100:M100" si="91">SUM(J97:J99)</f>
        <v>0</v>
      </c>
      <c r="K100" s="44">
        <f t="shared" si="91"/>
        <v>3522.5</v>
      </c>
      <c r="L100" s="44">
        <f t="shared" si="91"/>
        <v>176.125</v>
      </c>
      <c r="M100" s="44">
        <f t="shared" si="91"/>
        <v>3698.625</v>
      </c>
      <c r="N100" s="46"/>
      <c r="O100" s="46"/>
      <c r="P100" s="48">
        <f>SUM(P97:P99)</f>
        <v>1410</v>
      </c>
      <c r="Q100" s="18"/>
    </row>
    <row r="101" spans="2:17" hidden="1" x14ac:dyDescent="0.3">
      <c r="B101" s="18"/>
      <c r="Q101" s="18"/>
    </row>
    <row r="102" spans="2:17" ht="14.5" hidden="1" thickBot="1" x14ac:dyDescent="0.35">
      <c r="B102" s="18"/>
      <c r="C102" s="17" t="s">
        <v>226</v>
      </c>
      <c r="D102" s="49"/>
      <c r="E102" s="49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7" ht="14.5" hidden="1" thickBot="1" x14ac:dyDescent="0.35">
      <c r="B103" s="18"/>
      <c r="C103" s="21" t="s">
        <v>230</v>
      </c>
      <c r="D103" s="22"/>
      <c r="E103" s="50"/>
      <c r="F103" s="50"/>
      <c r="G103" s="23"/>
      <c r="H103" s="24"/>
      <c r="I103" s="24"/>
      <c r="J103" s="25"/>
      <c r="K103" s="25"/>
      <c r="L103" s="26"/>
      <c r="M103" s="26"/>
      <c r="N103" s="26"/>
      <c r="O103" s="604" t="s">
        <v>237</v>
      </c>
      <c r="P103" s="605"/>
      <c r="Q103" s="606"/>
    </row>
    <row r="104" spans="2:17" ht="17" hidden="1" x14ac:dyDescent="0.6">
      <c r="B104" s="18"/>
      <c r="C104" s="51" t="s">
        <v>238</v>
      </c>
      <c r="D104" s="31"/>
      <c r="E104" s="54"/>
      <c r="F104" s="32"/>
      <c r="G104" s="32"/>
      <c r="H104" s="31"/>
      <c r="I104" s="33"/>
      <c r="J104" s="33" t="s">
        <v>239</v>
      </c>
      <c r="K104" s="33" t="s">
        <v>240</v>
      </c>
      <c r="L104" s="33" t="s">
        <v>241</v>
      </c>
      <c r="M104" s="35"/>
      <c r="N104" s="35"/>
      <c r="O104" s="52"/>
      <c r="P104" s="33"/>
      <c r="Q104" s="36"/>
    </row>
    <row r="105" spans="2:17" ht="15" hidden="1" x14ac:dyDescent="0.4">
      <c r="B105" s="18"/>
      <c r="C105" s="53" t="s">
        <v>242</v>
      </c>
      <c r="D105" s="54"/>
      <c r="E105" s="54"/>
      <c r="F105" s="32"/>
      <c r="G105" s="32"/>
      <c r="H105" s="55"/>
      <c r="I105" s="55"/>
      <c r="J105" s="55"/>
      <c r="K105" s="55"/>
      <c r="L105" s="55">
        <f>J105*K105</f>
        <v>0</v>
      </c>
      <c r="M105" s="56"/>
      <c r="N105" s="56"/>
      <c r="O105" s="57"/>
      <c r="P105" s="55"/>
      <c r="Q105" s="40">
        <f>L105</f>
        <v>0</v>
      </c>
    </row>
    <row r="106" spans="2:17" ht="15" hidden="1" x14ac:dyDescent="0.4">
      <c r="B106" s="18"/>
      <c r="C106" s="53" t="s">
        <v>243</v>
      </c>
      <c r="D106" s="54"/>
      <c r="E106" s="54"/>
      <c r="F106" s="32"/>
      <c r="G106" s="32"/>
      <c r="H106" s="55"/>
      <c r="I106" s="55"/>
      <c r="J106" s="55"/>
      <c r="K106" s="55"/>
      <c r="L106" s="55">
        <f t="shared" ref="L106:L112" si="92">J106*K106</f>
        <v>0</v>
      </c>
      <c r="M106" s="56"/>
      <c r="N106" s="56"/>
      <c r="O106" s="57"/>
      <c r="P106" s="55"/>
      <c r="Q106" s="40">
        <f t="shared" ref="Q106:Q114" si="93">L106</f>
        <v>0</v>
      </c>
    </row>
    <row r="107" spans="2:17" ht="15" hidden="1" x14ac:dyDescent="0.4">
      <c r="B107" s="18"/>
      <c r="C107" s="53" t="s">
        <v>244</v>
      </c>
      <c r="D107" s="54"/>
      <c r="E107" s="54"/>
      <c r="F107" s="32"/>
      <c r="G107" s="32"/>
      <c r="H107" s="55"/>
      <c r="I107" s="55"/>
      <c r="J107" s="55"/>
      <c r="K107" s="55"/>
      <c r="L107" s="55">
        <f t="shared" si="92"/>
        <v>0</v>
      </c>
      <c r="M107" s="56"/>
      <c r="N107" s="56"/>
      <c r="O107" s="57"/>
      <c r="P107" s="55"/>
      <c r="Q107" s="40">
        <f t="shared" si="93"/>
        <v>0</v>
      </c>
    </row>
    <row r="108" spans="2:17" ht="15" hidden="1" x14ac:dyDescent="0.4">
      <c r="B108" s="18"/>
      <c r="C108" s="53" t="s">
        <v>245</v>
      </c>
      <c r="D108" s="54"/>
      <c r="E108" s="54"/>
      <c r="F108" s="32"/>
      <c r="G108" s="32"/>
      <c r="H108" s="55"/>
      <c r="I108" s="55"/>
      <c r="J108" s="55">
        <v>1</v>
      </c>
      <c r="K108" s="55">
        <v>24.35</v>
      </c>
      <c r="L108" s="55">
        <f t="shared" si="92"/>
        <v>24.35</v>
      </c>
      <c r="M108" s="56"/>
      <c r="N108" s="56"/>
      <c r="O108" s="57"/>
      <c r="P108" s="55"/>
      <c r="Q108" s="40">
        <f t="shared" si="93"/>
        <v>24.35</v>
      </c>
    </row>
    <row r="109" spans="2:17" ht="15" hidden="1" x14ac:dyDescent="0.4">
      <c r="B109" s="18"/>
      <c r="C109" s="53" t="s">
        <v>247</v>
      </c>
      <c r="D109" s="54"/>
      <c r="E109" s="54"/>
      <c r="F109" s="32"/>
      <c r="G109" s="32"/>
      <c r="H109" s="55"/>
      <c r="I109" s="55"/>
      <c r="J109" s="55">
        <v>4</v>
      </c>
      <c r="K109" s="55">
        <v>208</v>
      </c>
      <c r="L109" s="55">
        <f t="shared" si="92"/>
        <v>832</v>
      </c>
      <c r="M109" s="56"/>
      <c r="N109" s="56"/>
      <c r="O109" s="57"/>
      <c r="P109" s="55"/>
      <c r="Q109" s="40">
        <f t="shared" si="93"/>
        <v>832</v>
      </c>
    </row>
    <row r="110" spans="2:17" ht="15" hidden="1" x14ac:dyDescent="0.4">
      <c r="B110" s="18"/>
      <c r="C110" s="53" t="s">
        <v>248</v>
      </c>
      <c r="D110" s="54"/>
      <c r="E110" s="54"/>
      <c r="F110" s="32"/>
      <c r="G110" s="32"/>
      <c r="H110" s="55"/>
      <c r="I110" s="55"/>
      <c r="J110" s="55"/>
      <c r="K110" s="55"/>
      <c r="L110" s="55">
        <f t="shared" si="92"/>
        <v>0</v>
      </c>
      <c r="M110" s="56"/>
      <c r="N110" s="56"/>
      <c r="O110" s="57"/>
      <c r="P110" s="55"/>
      <c r="Q110" s="40">
        <f t="shared" si="93"/>
        <v>0</v>
      </c>
    </row>
    <row r="111" spans="2:17" ht="15" hidden="1" x14ac:dyDescent="0.4">
      <c r="B111" s="18"/>
      <c r="C111" s="53" t="s">
        <v>179</v>
      </c>
      <c r="D111" s="54"/>
      <c r="E111" s="54"/>
      <c r="F111" s="32"/>
      <c r="G111" s="32"/>
      <c r="H111" s="55"/>
      <c r="I111" s="55"/>
      <c r="J111" s="55">
        <v>2</v>
      </c>
      <c r="K111" s="55">
        <v>54.5</v>
      </c>
      <c r="L111" s="55">
        <f t="shared" si="92"/>
        <v>109</v>
      </c>
      <c r="M111" s="56"/>
      <c r="N111" s="56"/>
      <c r="O111" s="57"/>
      <c r="P111" s="55"/>
      <c r="Q111" s="40">
        <f t="shared" si="93"/>
        <v>109</v>
      </c>
    </row>
    <row r="112" spans="2:17" ht="15" hidden="1" x14ac:dyDescent="0.4">
      <c r="B112" s="18"/>
      <c r="C112" s="53" t="s">
        <v>249</v>
      </c>
      <c r="D112" s="54"/>
      <c r="E112" s="54"/>
      <c r="F112" s="32"/>
      <c r="G112" s="32"/>
      <c r="H112" s="55"/>
      <c r="I112" s="55"/>
      <c r="J112" s="55">
        <v>2</v>
      </c>
      <c r="K112" s="55">
        <v>806.125</v>
      </c>
      <c r="L112" s="55">
        <f t="shared" si="92"/>
        <v>1612.25</v>
      </c>
      <c r="M112" s="56"/>
      <c r="N112" s="56"/>
      <c r="O112" s="57"/>
      <c r="P112" s="55"/>
      <c r="Q112" s="40">
        <f t="shared" si="93"/>
        <v>1612.25</v>
      </c>
    </row>
    <row r="113" spans="2:17" ht="15" hidden="1" x14ac:dyDescent="0.4">
      <c r="B113" s="18"/>
      <c r="C113" s="53" t="s">
        <v>251</v>
      </c>
      <c r="D113" s="54"/>
      <c r="E113" s="54"/>
      <c r="F113" s="32"/>
      <c r="G113" s="32"/>
      <c r="H113" s="55"/>
      <c r="I113" s="55"/>
      <c r="J113" s="55"/>
      <c r="K113" s="55"/>
      <c r="L113" s="55"/>
      <c r="M113" s="56"/>
      <c r="N113" s="56"/>
      <c r="O113" s="57"/>
      <c r="P113" s="55"/>
      <c r="Q113" s="40">
        <f t="shared" si="93"/>
        <v>0</v>
      </c>
    </row>
    <row r="114" spans="2:17" ht="15" hidden="1" x14ac:dyDescent="0.4">
      <c r="B114" s="18"/>
      <c r="C114" s="53" t="s">
        <v>226</v>
      </c>
      <c r="D114" s="54"/>
      <c r="E114" s="54"/>
      <c r="F114" s="32"/>
      <c r="G114" s="32"/>
      <c r="H114" s="55"/>
      <c r="I114" s="55"/>
      <c r="J114" s="55"/>
      <c r="K114" s="55"/>
      <c r="L114" s="55"/>
      <c r="M114" s="56"/>
      <c r="N114" s="56"/>
      <c r="O114" s="57"/>
      <c r="P114" s="55"/>
      <c r="Q114" s="40">
        <f t="shared" si="93"/>
        <v>0</v>
      </c>
    </row>
    <row r="115" spans="2:17" ht="14.5" hidden="1" thickBot="1" x14ac:dyDescent="0.35">
      <c r="B115" s="18"/>
      <c r="C115" s="58" t="s">
        <v>223</v>
      </c>
      <c r="D115" s="59"/>
      <c r="E115" s="59"/>
      <c r="F115" s="60"/>
      <c r="G115" s="60"/>
      <c r="H115" s="44"/>
      <c r="I115" s="44"/>
      <c r="J115" s="44"/>
      <c r="K115" s="44"/>
      <c r="L115" s="44"/>
      <c r="M115" s="44"/>
      <c r="N115" s="44"/>
      <c r="O115" s="61"/>
      <c r="P115" s="44"/>
      <c r="Q115" s="48">
        <f>SUM(Q105:Q114)</f>
        <v>2577.6</v>
      </c>
    </row>
    <row r="116" spans="2:17" hidden="1" x14ac:dyDescent="0.3"/>
    <row r="117" spans="2:17" hidden="1" x14ac:dyDescent="0.3">
      <c r="C117" s="62" t="s">
        <v>252</v>
      </c>
      <c r="D117" s="62"/>
      <c r="E117" s="269"/>
      <c r="F117" s="62"/>
      <c r="G117" s="63"/>
      <c r="H117" s="63"/>
      <c r="I117" s="64">
        <f>I84+I92+I100</f>
        <v>462</v>
      </c>
      <c r="J117" s="63"/>
      <c r="K117" s="64"/>
      <c r="L117" s="64"/>
      <c r="M117" s="64"/>
      <c r="N117" s="63"/>
      <c r="O117" s="63"/>
      <c r="P117" s="64">
        <f>P84+P92+Q115+P100</f>
        <v>84192.6</v>
      </c>
    </row>
    <row r="118" spans="2:17" hidden="1" x14ac:dyDescent="0.3">
      <c r="C118" s="18" t="s">
        <v>253</v>
      </c>
      <c r="D118" s="18"/>
      <c r="E118" s="49"/>
      <c r="F118" s="18"/>
      <c r="G118" s="18"/>
      <c r="H118" s="18"/>
      <c r="I118" s="65"/>
      <c r="J118" s="18"/>
      <c r="K118" s="65"/>
      <c r="L118" s="65"/>
      <c r="M118" s="65"/>
      <c r="N118" s="18"/>
      <c r="O118" s="18"/>
      <c r="P118" s="66"/>
    </row>
    <row r="119" spans="2:17" hidden="1" x14ac:dyDescent="0.3">
      <c r="C119" s="18" t="s">
        <v>254</v>
      </c>
      <c r="D119" s="18"/>
      <c r="E119" s="49"/>
      <c r="F119" s="18"/>
      <c r="G119" s="18"/>
      <c r="H119" s="18"/>
      <c r="I119" s="65"/>
      <c r="J119" s="18"/>
      <c r="K119" s="65"/>
      <c r="L119" s="65"/>
      <c r="M119" s="65"/>
      <c r="N119" s="18"/>
      <c r="O119" s="18"/>
      <c r="P119" s="19"/>
    </row>
  </sheetData>
  <mergeCells count="4">
    <mergeCell ref="O103:Q103"/>
    <mergeCell ref="B2:R2"/>
    <mergeCell ref="B3:R3"/>
    <mergeCell ref="B5:R5"/>
  </mergeCells>
  <pageMargins left="0.7" right="0.7" top="0.75" bottom="0.75" header="0.3" footer="0.3"/>
  <pageSetup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C57F-AA77-4B5B-8980-9BE811D3E190}">
  <sheetPr>
    <pageSetUpPr fitToPage="1"/>
  </sheetPr>
  <dimension ref="B1:R40"/>
  <sheetViews>
    <sheetView showOutlineSymbols="0" showWhiteSpace="0" topLeftCell="C32" zoomScale="90" zoomScaleNormal="90" workbookViewId="0">
      <selection activeCell="O35" sqref="O35"/>
    </sheetView>
    <sheetView workbookViewId="1">
      <selection activeCell="G47" sqref="G46:G47"/>
    </sheetView>
  </sheetViews>
  <sheetFormatPr defaultColWidth="8.7265625" defaultRowHeight="14" x14ac:dyDescent="0.35"/>
  <cols>
    <col min="1" max="1" width="8.7265625" style="106"/>
    <col min="2" max="2" width="9.81640625" style="106" customWidth="1"/>
    <col min="3" max="3" width="12.54296875" style="106" customWidth="1"/>
    <col min="4" max="4" width="11.90625" style="106" bestFit="1" customWidth="1"/>
    <col min="5" max="5" width="16.54296875" style="106" bestFit="1" customWidth="1"/>
    <col min="6" max="6" width="43.54296875" style="106" customWidth="1"/>
    <col min="7" max="7" width="26.26953125" style="106" customWidth="1"/>
    <col min="8" max="8" width="18.81640625" style="106" customWidth="1"/>
    <col min="9" max="9" width="8.7265625" style="106"/>
    <col min="10" max="10" width="14.453125" style="106" customWidth="1"/>
    <col min="11" max="11" width="10.81640625" style="106" bestFit="1" customWidth="1"/>
    <col min="12" max="12" width="16.81640625" style="106" customWidth="1"/>
    <col min="13" max="13" width="22.54296875" style="106" customWidth="1"/>
    <col min="14" max="14" width="11.54296875" style="106" bestFit="1" customWidth="1"/>
    <col min="15" max="15" width="13.81640625" style="106" customWidth="1"/>
    <col min="16" max="16" width="12.453125" style="106" customWidth="1"/>
    <col min="17" max="17" width="12.1796875" style="106" customWidth="1"/>
    <col min="18" max="16384" width="8.7265625" style="106"/>
  </cols>
  <sheetData>
    <row r="1" spans="2:18" ht="15" customHeight="1" x14ac:dyDescent="0.35">
      <c r="B1" s="195" t="s">
        <v>195</v>
      </c>
    </row>
    <row r="2" spans="2:18" ht="15" customHeight="1" x14ac:dyDescent="0.35">
      <c r="B2" s="607" t="s">
        <v>486</v>
      </c>
      <c r="C2" s="607"/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607"/>
      <c r="P2" s="607"/>
      <c r="Q2" s="607"/>
      <c r="R2" s="195"/>
    </row>
    <row r="3" spans="2:18" ht="15" customHeight="1" x14ac:dyDescent="0.35">
      <c r="B3" s="607" t="s">
        <v>487</v>
      </c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607"/>
      <c r="P3" s="607"/>
      <c r="Q3" s="607"/>
      <c r="R3" s="196"/>
    </row>
    <row r="4" spans="2:18" ht="15" customHeight="1" x14ac:dyDescent="0.35">
      <c r="B4" s="607"/>
      <c r="C4" s="607"/>
      <c r="D4" s="607"/>
      <c r="E4" s="607"/>
      <c r="F4" s="607"/>
      <c r="G4" s="607"/>
      <c r="H4" s="607"/>
      <c r="I4" s="607"/>
      <c r="J4" s="607"/>
      <c r="K4" s="607"/>
      <c r="L4" s="607"/>
      <c r="M4" s="607"/>
      <c r="N4" s="607"/>
      <c r="O4" s="607"/>
      <c r="P4" s="607"/>
      <c r="Q4" s="607"/>
      <c r="R4" s="196"/>
    </row>
    <row r="5" spans="2:18" ht="15" customHeight="1" x14ac:dyDescent="0.35">
      <c r="B5" s="607" t="s">
        <v>477</v>
      </c>
      <c r="C5" s="607"/>
      <c r="D5" s="607"/>
      <c r="E5" s="607"/>
      <c r="F5" s="607"/>
      <c r="G5" s="607"/>
      <c r="H5" s="607"/>
      <c r="I5" s="607"/>
      <c r="J5" s="607"/>
      <c r="K5" s="607"/>
      <c r="L5" s="607"/>
      <c r="M5" s="607"/>
      <c r="N5" s="607"/>
      <c r="O5" s="607"/>
      <c r="P5" s="607"/>
      <c r="Q5" s="607"/>
      <c r="R5" s="196"/>
    </row>
    <row r="6" spans="2:18" ht="22" customHeight="1" thickBot="1" x14ac:dyDescent="0.4">
      <c r="B6" s="195" t="s">
        <v>551</v>
      </c>
      <c r="C6" s="161"/>
      <c r="D6" s="161"/>
    </row>
    <row r="7" spans="2:18" hidden="1" x14ac:dyDescent="0.35"/>
    <row r="8" spans="2:18" ht="18" hidden="1" x14ac:dyDescent="0.35">
      <c r="B8" s="197" t="s">
        <v>366</v>
      </c>
    </row>
    <row r="9" spans="2:18" ht="15.5" hidden="1" x14ac:dyDescent="0.35">
      <c r="B9" s="103" t="s">
        <v>367</v>
      </c>
      <c r="C9" s="72"/>
      <c r="D9" s="72"/>
      <c r="E9" s="71"/>
      <c r="F9" s="73"/>
      <c r="G9" s="73"/>
      <c r="H9" s="72"/>
      <c r="I9" s="72"/>
      <c r="J9" s="72"/>
      <c r="K9" s="72"/>
      <c r="L9" s="72"/>
      <c r="M9" s="72"/>
      <c r="N9" s="72"/>
      <c r="O9" s="72"/>
    </row>
    <row r="10" spans="2:18" ht="16" hidden="1" thickBot="1" x14ac:dyDescent="0.4">
      <c r="B10" s="71"/>
      <c r="C10" s="72"/>
      <c r="D10" s="72"/>
      <c r="E10" s="71"/>
      <c r="F10" s="73"/>
      <c r="G10" s="73"/>
      <c r="H10" s="72"/>
      <c r="I10" s="72"/>
      <c r="J10" s="74"/>
      <c r="K10" s="72"/>
      <c r="L10" s="72"/>
      <c r="M10" s="72"/>
      <c r="N10" s="72"/>
      <c r="O10" s="72"/>
    </row>
    <row r="11" spans="2:18" ht="48.25" hidden="1" customHeight="1" x14ac:dyDescent="0.35">
      <c r="B11" s="600" t="s">
        <v>368</v>
      </c>
      <c r="C11" s="601"/>
      <c r="D11" s="601"/>
      <c r="E11" s="601"/>
      <c r="F11" s="601"/>
      <c r="G11" s="601"/>
      <c r="H11" s="601"/>
      <c r="I11" s="601"/>
      <c r="J11" s="601"/>
      <c r="K11" s="601"/>
      <c r="L11" s="601"/>
      <c r="M11" s="601"/>
      <c r="N11" s="601"/>
      <c r="O11" s="601"/>
      <c r="P11" s="601"/>
      <c r="Q11" s="602"/>
    </row>
    <row r="12" spans="2:18" s="198" customFormat="1" ht="42" hidden="1" x14ac:dyDescent="0.35">
      <c r="B12" s="99" t="s">
        <v>301</v>
      </c>
      <c r="C12" s="100" t="s">
        <v>302</v>
      </c>
      <c r="D12" s="100" t="s">
        <v>303</v>
      </c>
      <c r="E12" s="100" t="s">
        <v>304</v>
      </c>
      <c r="F12" s="100" t="s">
        <v>305</v>
      </c>
      <c r="G12" s="100" t="s">
        <v>1</v>
      </c>
      <c r="H12" s="100" t="s">
        <v>306</v>
      </c>
      <c r="I12" s="100" t="s">
        <v>307</v>
      </c>
      <c r="J12" s="100" t="s">
        <v>308</v>
      </c>
      <c r="K12" s="100" t="s">
        <v>121</v>
      </c>
      <c r="L12" s="100" t="s">
        <v>309</v>
      </c>
      <c r="M12" s="100" t="s">
        <v>310</v>
      </c>
      <c r="N12" s="100" t="s">
        <v>311</v>
      </c>
      <c r="O12" s="165" t="s">
        <v>312</v>
      </c>
      <c r="P12" s="166" t="s">
        <v>313</v>
      </c>
      <c r="Q12" s="167" t="s">
        <v>314</v>
      </c>
    </row>
    <row r="13" spans="2:18" ht="28" hidden="1" x14ac:dyDescent="0.35">
      <c r="B13" s="76">
        <v>1091</v>
      </c>
      <c r="C13" s="77"/>
      <c r="D13" s="77"/>
      <c r="E13" s="77" t="s">
        <v>175</v>
      </c>
      <c r="F13" s="78" t="s">
        <v>369</v>
      </c>
      <c r="G13" s="78"/>
      <c r="H13" s="77">
        <v>1735.91</v>
      </c>
      <c r="I13" s="77"/>
      <c r="J13" s="79">
        <f t="shared" ref="J13:J28" si="0">H13-I13</f>
        <v>1735.91</v>
      </c>
      <c r="K13" s="80"/>
      <c r="L13" s="77">
        <v>1735.91</v>
      </c>
      <c r="M13" s="168" t="s">
        <v>250</v>
      </c>
      <c r="N13" s="90"/>
      <c r="O13" s="169">
        <v>2</v>
      </c>
      <c r="P13" s="170">
        <f t="shared" ref="P13:P28" si="1">IF((N13*O13)&gt;H13,H13,(N13*O13))</f>
        <v>0</v>
      </c>
      <c r="Q13" s="81">
        <f>J13-P13</f>
        <v>1735.91</v>
      </c>
    </row>
    <row r="14" spans="2:18" ht="28" hidden="1" x14ac:dyDescent="0.35">
      <c r="B14" s="76"/>
      <c r="C14" s="77"/>
      <c r="D14" s="77"/>
      <c r="E14" s="77" t="s">
        <v>175</v>
      </c>
      <c r="F14" s="78" t="s">
        <v>370</v>
      </c>
      <c r="G14" s="78"/>
      <c r="H14" s="77">
        <v>1823.06</v>
      </c>
      <c r="I14" s="77"/>
      <c r="J14" s="79">
        <f t="shared" si="0"/>
        <v>1823.06</v>
      </c>
      <c r="K14" s="80"/>
      <c r="L14" s="77">
        <v>1823.06</v>
      </c>
      <c r="M14" s="77" t="s">
        <v>250</v>
      </c>
      <c r="N14" s="90"/>
      <c r="O14" s="169">
        <v>2</v>
      </c>
      <c r="P14" s="170">
        <f t="shared" si="1"/>
        <v>0</v>
      </c>
      <c r="Q14" s="81">
        <f>J14-P14</f>
        <v>1823.06</v>
      </c>
    </row>
    <row r="15" spans="2:18" ht="28" hidden="1" x14ac:dyDescent="0.35">
      <c r="B15" s="76"/>
      <c r="C15" s="77"/>
      <c r="D15" s="77"/>
      <c r="E15" s="77" t="s">
        <v>175</v>
      </c>
      <c r="F15" s="78" t="s">
        <v>371</v>
      </c>
      <c r="G15" s="78"/>
      <c r="H15" s="77">
        <v>1735.91</v>
      </c>
      <c r="I15" s="77"/>
      <c r="J15" s="79">
        <f t="shared" si="0"/>
        <v>1735.91</v>
      </c>
      <c r="K15" s="80"/>
      <c r="L15" s="77">
        <v>1735.91</v>
      </c>
      <c r="M15" s="77" t="s">
        <v>250</v>
      </c>
      <c r="N15" s="90"/>
      <c r="O15" s="169">
        <v>2</v>
      </c>
      <c r="P15" s="170">
        <f t="shared" si="1"/>
        <v>0</v>
      </c>
      <c r="Q15" s="81">
        <f>J15-P15</f>
        <v>1735.91</v>
      </c>
    </row>
    <row r="16" spans="2:18" ht="42" hidden="1" x14ac:dyDescent="0.35">
      <c r="B16" s="76"/>
      <c r="C16" s="77"/>
      <c r="D16" s="77"/>
      <c r="E16" s="77" t="s">
        <v>557</v>
      </c>
      <c r="F16" s="78" t="s">
        <v>372</v>
      </c>
      <c r="G16" s="78" t="s">
        <v>344</v>
      </c>
      <c r="H16" s="77">
        <v>711.9</v>
      </c>
      <c r="I16" s="77"/>
      <c r="J16" s="79">
        <f t="shared" si="0"/>
        <v>711.9</v>
      </c>
      <c r="K16" s="80"/>
      <c r="L16" s="77">
        <v>711.9</v>
      </c>
      <c r="M16" s="78" t="s">
        <v>373</v>
      </c>
      <c r="N16" s="79"/>
      <c r="O16" s="169">
        <v>2</v>
      </c>
      <c r="P16" s="170">
        <f t="shared" si="1"/>
        <v>0</v>
      </c>
      <c r="Q16" s="81">
        <f t="shared" ref="Q16:Q27" si="2">J16-P16</f>
        <v>711.9</v>
      </c>
    </row>
    <row r="17" spans="2:17" ht="42" hidden="1" x14ac:dyDescent="0.35">
      <c r="B17" s="76"/>
      <c r="C17" s="77"/>
      <c r="D17" s="77"/>
      <c r="E17" s="77" t="s">
        <v>557</v>
      </c>
      <c r="F17" s="78" t="s">
        <v>374</v>
      </c>
      <c r="G17" s="78" t="s">
        <v>344</v>
      </c>
      <c r="H17" s="77">
        <v>627.9</v>
      </c>
      <c r="I17" s="77"/>
      <c r="J17" s="79">
        <f t="shared" si="0"/>
        <v>627.9</v>
      </c>
      <c r="K17" s="80"/>
      <c r="L17" s="77">
        <v>627.9</v>
      </c>
      <c r="M17" s="78" t="s">
        <v>373</v>
      </c>
      <c r="N17" s="79"/>
      <c r="O17" s="169">
        <v>2</v>
      </c>
      <c r="P17" s="170">
        <f t="shared" si="1"/>
        <v>0</v>
      </c>
      <c r="Q17" s="81">
        <f t="shared" si="2"/>
        <v>627.9</v>
      </c>
    </row>
    <row r="18" spans="2:17" ht="42" hidden="1" x14ac:dyDescent="0.35">
      <c r="B18" s="76"/>
      <c r="C18" s="77"/>
      <c r="D18" s="77"/>
      <c r="E18" s="77" t="s">
        <v>557</v>
      </c>
      <c r="F18" s="78" t="s">
        <v>375</v>
      </c>
      <c r="G18" s="78" t="s">
        <v>344</v>
      </c>
      <c r="H18" s="77">
        <v>669.9</v>
      </c>
      <c r="I18" s="77"/>
      <c r="J18" s="79">
        <f t="shared" si="0"/>
        <v>669.9</v>
      </c>
      <c r="K18" s="80"/>
      <c r="L18" s="77">
        <v>669.9</v>
      </c>
      <c r="M18" s="78" t="s">
        <v>373</v>
      </c>
      <c r="N18" s="79"/>
      <c r="O18" s="169">
        <v>2</v>
      </c>
      <c r="P18" s="170">
        <f t="shared" si="1"/>
        <v>0</v>
      </c>
      <c r="Q18" s="81">
        <f t="shared" si="2"/>
        <v>669.9</v>
      </c>
    </row>
    <row r="19" spans="2:17" ht="38.25" hidden="1" customHeight="1" x14ac:dyDescent="0.35">
      <c r="B19" s="76"/>
      <c r="C19" s="77"/>
      <c r="D19" s="77"/>
      <c r="E19" s="77" t="s">
        <v>180</v>
      </c>
      <c r="F19" s="78" t="s">
        <v>376</v>
      </c>
      <c r="G19" s="78" t="s">
        <v>377</v>
      </c>
      <c r="H19" s="77">
        <v>91.35</v>
      </c>
      <c r="I19" s="77"/>
      <c r="J19" s="79">
        <f t="shared" si="0"/>
        <v>91.35</v>
      </c>
      <c r="K19" s="80"/>
      <c r="L19" s="77">
        <v>91.35</v>
      </c>
      <c r="M19" s="77" t="s">
        <v>378</v>
      </c>
      <c r="N19" s="79"/>
      <c r="O19" s="169">
        <v>1</v>
      </c>
      <c r="P19" s="170">
        <f t="shared" si="1"/>
        <v>0</v>
      </c>
      <c r="Q19" s="81">
        <f t="shared" si="2"/>
        <v>91.35</v>
      </c>
    </row>
    <row r="20" spans="2:17" ht="40.75" hidden="1" customHeight="1" x14ac:dyDescent="0.35">
      <c r="B20" s="76"/>
      <c r="C20" s="77"/>
      <c r="D20" s="77"/>
      <c r="E20" s="77" t="s">
        <v>180</v>
      </c>
      <c r="F20" s="78" t="s">
        <v>379</v>
      </c>
      <c r="G20" s="78" t="s">
        <v>377</v>
      </c>
      <c r="H20" s="77">
        <v>91.35</v>
      </c>
      <c r="I20" s="77"/>
      <c r="J20" s="79">
        <f t="shared" si="0"/>
        <v>91.35</v>
      </c>
      <c r="K20" s="80"/>
      <c r="L20" s="77">
        <v>91.35</v>
      </c>
      <c r="M20" s="77" t="s">
        <v>378</v>
      </c>
      <c r="N20" s="79"/>
      <c r="O20" s="169">
        <v>1</v>
      </c>
      <c r="P20" s="170">
        <f t="shared" si="1"/>
        <v>0</v>
      </c>
      <c r="Q20" s="81">
        <f t="shared" si="2"/>
        <v>91.35</v>
      </c>
    </row>
    <row r="21" spans="2:17" ht="28" hidden="1" x14ac:dyDescent="0.35">
      <c r="B21" s="76"/>
      <c r="C21" s="77"/>
      <c r="D21" s="77" t="s">
        <v>380</v>
      </c>
      <c r="E21" s="80" t="s">
        <v>381</v>
      </c>
      <c r="F21" s="78" t="s">
        <v>382</v>
      </c>
      <c r="G21" s="78" t="s">
        <v>383</v>
      </c>
      <c r="H21" s="77">
        <v>278.45999999999998</v>
      </c>
      <c r="I21" s="77"/>
      <c r="J21" s="79">
        <f t="shared" si="0"/>
        <v>278.45999999999998</v>
      </c>
      <c r="K21" s="80"/>
      <c r="L21" s="77">
        <v>278.45999999999998</v>
      </c>
      <c r="M21" s="78" t="s">
        <v>384</v>
      </c>
      <c r="N21" s="79"/>
      <c r="O21" s="169">
        <v>1</v>
      </c>
      <c r="P21" s="170">
        <f t="shared" si="1"/>
        <v>0</v>
      </c>
      <c r="Q21" s="81">
        <f t="shared" si="2"/>
        <v>278.45999999999998</v>
      </c>
    </row>
    <row r="22" spans="2:17" ht="28" hidden="1" x14ac:dyDescent="0.35">
      <c r="B22" s="76"/>
      <c r="C22" s="77"/>
      <c r="D22" s="77" t="s">
        <v>380</v>
      </c>
      <c r="E22" s="80" t="s">
        <v>385</v>
      </c>
      <c r="F22" s="78" t="s">
        <v>382</v>
      </c>
      <c r="G22" s="78" t="s">
        <v>386</v>
      </c>
      <c r="H22" s="77">
        <v>30.98</v>
      </c>
      <c r="I22" s="77"/>
      <c r="J22" s="79">
        <f t="shared" si="0"/>
        <v>30.98</v>
      </c>
      <c r="K22" s="80"/>
      <c r="L22" s="77">
        <v>30.98</v>
      </c>
      <c r="M22" s="78" t="s">
        <v>384</v>
      </c>
      <c r="N22" s="79"/>
      <c r="O22" s="169">
        <v>1</v>
      </c>
      <c r="P22" s="170">
        <f t="shared" si="1"/>
        <v>0</v>
      </c>
      <c r="Q22" s="81">
        <f t="shared" si="2"/>
        <v>30.98</v>
      </c>
    </row>
    <row r="23" spans="2:17" ht="28" hidden="1" x14ac:dyDescent="0.35">
      <c r="B23" s="76"/>
      <c r="C23" s="77"/>
      <c r="D23" s="77" t="s">
        <v>380</v>
      </c>
      <c r="E23" s="80" t="s">
        <v>385</v>
      </c>
      <c r="F23" s="78" t="s">
        <v>387</v>
      </c>
      <c r="G23" s="78" t="s">
        <v>388</v>
      </c>
      <c r="H23" s="77">
        <v>29.75</v>
      </c>
      <c r="I23" s="77"/>
      <c r="J23" s="79">
        <f t="shared" si="0"/>
        <v>29.75</v>
      </c>
      <c r="K23" s="80"/>
      <c r="L23" s="77">
        <v>29.75</v>
      </c>
      <c r="M23" s="78" t="s">
        <v>384</v>
      </c>
      <c r="N23" s="79"/>
      <c r="O23" s="169">
        <v>1</v>
      </c>
      <c r="P23" s="170">
        <f t="shared" si="1"/>
        <v>0</v>
      </c>
      <c r="Q23" s="81">
        <f t="shared" si="2"/>
        <v>29.75</v>
      </c>
    </row>
    <row r="24" spans="2:17" ht="28" hidden="1" x14ac:dyDescent="0.35">
      <c r="B24" s="76"/>
      <c r="C24" s="77"/>
      <c r="D24" s="77" t="s">
        <v>380</v>
      </c>
      <c r="E24" s="80" t="s">
        <v>385</v>
      </c>
      <c r="F24" s="78" t="s">
        <v>389</v>
      </c>
      <c r="G24" s="78" t="s">
        <v>390</v>
      </c>
      <c r="H24" s="77">
        <v>7.99</v>
      </c>
      <c r="I24" s="77"/>
      <c r="J24" s="79">
        <f t="shared" si="0"/>
        <v>7.99</v>
      </c>
      <c r="K24" s="80"/>
      <c r="L24" s="77">
        <v>7.99</v>
      </c>
      <c r="M24" s="78" t="s">
        <v>384</v>
      </c>
      <c r="N24" s="79"/>
      <c r="O24" s="169">
        <v>1</v>
      </c>
      <c r="P24" s="170">
        <f t="shared" si="1"/>
        <v>0</v>
      </c>
      <c r="Q24" s="81">
        <f t="shared" si="2"/>
        <v>7.99</v>
      </c>
    </row>
    <row r="25" spans="2:17" ht="28" hidden="1" x14ac:dyDescent="0.35">
      <c r="B25" s="76"/>
      <c r="C25" s="77"/>
      <c r="D25" s="77" t="s">
        <v>391</v>
      </c>
      <c r="E25" s="80" t="s">
        <v>381</v>
      </c>
      <c r="F25" s="78" t="s">
        <v>382</v>
      </c>
      <c r="G25" s="78" t="s">
        <v>392</v>
      </c>
      <c r="H25" s="77">
        <v>138.6</v>
      </c>
      <c r="I25" s="77"/>
      <c r="J25" s="79">
        <f t="shared" si="0"/>
        <v>138.6</v>
      </c>
      <c r="K25" s="80"/>
      <c r="L25" s="77">
        <v>138.6</v>
      </c>
      <c r="M25" s="78" t="s">
        <v>384</v>
      </c>
      <c r="N25" s="79"/>
      <c r="O25" s="169">
        <v>1</v>
      </c>
      <c r="P25" s="170">
        <f t="shared" si="1"/>
        <v>0</v>
      </c>
      <c r="Q25" s="81">
        <f t="shared" si="2"/>
        <v>138.6</v>
      </c>
    </row>
    <row r="26" spans="2:17" ht="28" hidden="1" x14ac:dyDescent="0.35">
      <c r="B26" s="76"/>
      <c r="C26" s="77"/>
      <c r="D26" s="77" t="s">
        <v>393</v>
      </c>
      <c r="E26" s="80" t="s">
        <v>385</v>
      </c>
      <c r="F26" s="78" t="s">
        <v>382</v>
      </c>
      <c r="G26" s="78" t="s">
        <v>394</v>
      </c>
      <c r="H26" s="77">
        <v>91.14</v>
      </c>
      <c r="I26" s="77"/>
      <c r="J26" s="79">
        <f t="shared" si="0"/>
        <v>91.14</v>
      </c>
      <c r="K26" s="80"/>
      <c r="L26" s="77">
        <v>91.14</v>
      </c>
      <c r="M26" s="78" t="s">
        <v>384</v>
      </c>
      <c r="N26" s="79"/>
      <c r="O26" s="169">
        <v>1</v>
      </c>
      <c r="P26" s="170">
        <f t="shared" si="1"/>
        <v>0</v>
      </c>
      <c r="Q26" s="81">
        <f t="shared" si="2"/>
        <v>91.14</v>
      </c>
    </row>
    <row r="27" spans="2:17" ht="28" hidden="1" x14ac:dyDescent="0.35">
      <c r="B27" s="76"/>
      <c r="C27" s="77"/>
      <c r="D27" s="77" t="s">
        <v>393</v>
      </c>
      <c r="E27" s="77" t="s">
        <v>385</v>
      </c>
      <c r="F27" s="78" t="s">
        <v>387</v>
      </c>
      <c r="G27" s="78" t="s">
        <v>395</v>
      </c>
      <c r="H27" s="77">
        <v>13.63</v>
      </c>
      <c r="I27" s="77"/>
      <c r="J27" s="79">
        <f t="shared" si="0"/>
        <v>13.63</v>
      </c>
      <c r="K27" s="80"/>
      <c r="L27" s="77">
        <v>13.63</v>
      </c>
      <c r="M27" s="78" t="s">
        <v>384</v>
      </c>
      <c r="N27" s="79"/>
      <c r="O27" s="169">
        <v>1</v>
      </c>
      <c r="P27" s="170">
        <f t="shared" si="1"/>
        <v>0</v>
      </c>
      <c r="Q27" s="81">
        <f t="shared" si="2"/>
        <v>13.63</v>
      </c>
    </row>
    <row r="28" spans="2:17" ht="28" hidden="1" x14ac:dyDescent="0.35">
      <c r="B28" s="174"/>
      <c r="C28" s="77"/>
      <c r="D28" s="77" t="s">
        <v>393</v>
      </c>
      <c r="E28" s="77" t="s">
        <v>385</v>
      </c>
      <c r="F28" s="78" t="s">
        <v>389</v>
      </c>
      <c r="G28" s="78" t="s">
        <v>395</v>
      </c>
      <c r="H28" s="77">
        <v>8.85</v>
      </c>
      <c r="I28" s="77"/>
      <c r="J28" s="79">
        <f t="shared" si="0"/>
        <v>8.85</v>
      </c>
      <c r="K28" s="80"/>
      <c r="L28" s="77">
        <v>8.85</v>
      </c>
      <c r="M28" s="78" t="s">
        <v>384</v>
      </c>
      <c r="N28" s="79"/>
      <c r="O28" s="169">
        <v>1</v>
      </c>
      <c r="P28" s="170">
        <f t="shared" si="1"/>
        <v>0</v>
      </c>
      <c r="Q28" s="81">
        <f>J28-P28</f>
        <v>8.85</v>
      </c>
    </row>
    <row r="29" spans="2:17" ht="14.5" hidden="1" thickBot="1" x14ac:dyDescent="0.4">
      <c r="B29" s="85"/>
      <c r="C29" s="86"/>
      <c r="D29" s="86"/>
      <c r="E29" s="86"/>
      <c r="F29" s="88"/>
      <c r="G29" s="88"/>
      <c r="H29" s="86">
        <f>SUM(H13:H28)</f>
        <v>8086.68</v>
      </c>
      <c r="I29" s="86">
        <f>SUM(I13:I28)</f>
        <v>0</v>
      </c>
      <c r="J29" s="175">
        <f>SUM(J13:J28)</f>
        <v>8086.68</v>
      </c>
      <c r="K29" s="86">
        <f t="shared" ref="K29" si="3">SUM(K13:K28)</f>
        <v>0</v>
      </c>
      <c r="L29" s="86">
        <f>SUM(L13:L28)</f>
        <v>8086.68</v>
      </c>
      <c r="M29" s="86"/>
      <c r="N29" s="86"/>
      <c r="O29" s="89"/>
      <c r="P29" s="176">
        <f>SUM(P13:P28)</f>
        <v>0</v>
      </c>
      <c r="Q29" s="177">
        <f>SUM(Q13:Q28)</f>
        <v>8086.68</v>
      </c>
    </row>
    <row r="30" spans="2:17" hidden="1" x14ac:dyDescent="0.35"/>
    <row r="31" spans="2:17" ht="14.5" hidden="1" thickBot="1" x14ac:dyDescent="0.4"/>
    <row r="32" spans="2:17" x14ac:dyDescent="0.35">
      <c r="B32" s="600" t="s">
        <v>480</v>
      </c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2"/>
    </row>
    <row r="33" spans="2:17" ht="39" x14ac:dyDescent="0.35">
      <c r="B33" s="383" t="s">
        <v>301</v>
      </c>
      <c r="C33" s="384" t="s">
        <v>302</v>
      </c>
      <c r="D33" s="384" t="s">
        <v>303</v>
      </c>
      <c r="E33" s="384" t="s">
        <v>304</v>
      </c>
      <c r="F33" s="384" t="s">
        <v>305</v>
      </c>
      <c r="G33" s="384" t="s">
        <v>1</v>
      </c>
      <c r="H33" s="384" t="s">
        <v>306</v>
      </c>
      <c r="I33" s="384" t="s">
        <v>307</v>
      </c>
      <c r="J33" s="384" t="s">
        <v>308</v>
      </c>
      <c r="K33" s="384" t="s">
        <v>121</v>
      </c>
      <c r="L33" s="384" t="s">
        <v>309</v>
      </c>
      <c r="M33" s="384" t="s">
        <v>310</v>
      </c>
      <c r="N33" s="384" t="s">
        <v>311</v>
      </c>
      <c r="O33" s="385" t="s">
        <v>312</v>
      </c>
      <c r="P33" s="386" t="s">
        <v>313</v>
      </c>
      <c r="Q33" s="387" t="s">
        <v>314</v>
      </c>
    </row>
    <row r="34" spans="2:17" x14ac:dyDescent="0.35">
      <c r="B34" s="388"/>
      <c r="C34" s="389" t="s">
        <v>535</v>
      </c>
      <c r="D34" s="390"/>
      <c r="E34" s="390" t="s">
        <v>175</v>
      </c>
      <c r="F34" s="391" t="s">
        <v>396</v>
      </c>
      <c r="G34" s="391" t="s">
        <v>397</v>
      </c>
      <c r="H34" s="390">
        <f>570+7.12+85.05+26.25</f>
        <v>688.42</v>
      </c>
      <c r="I34" s="390"/>
      <c r="J34" s="392">
        <f t="shared" ref="J34:J39" si="4">H34-I34</f>
        <v>688.42</v>
      </c>
      <c r="K34" s="393">
        <v>28.86</v>
      </c>
      <c r="L34" s="393">
        <f>+J34+K34</f>
        <v>717.28</v>
      </c>
      <c r="M34" s="394" t="s">
        <v>250</v>
      </c>
      <c r="N34" s="392"/>
      <c r="O34" s="395">
        <v>1</v>
      </c>
      <c r="P34" s="396">
        <f t="shared" ref="P34:P39" si="5">IF((N34*O34)&gt;H34,H34,(N34*O34))</f>
        <v>0</v>
      </c>
      <c r="Q34" s="397">
        <f>J34-P34</f>
        <v>688.42</v>
      </c>
    </row>
    <row r="35" spans="2:17" ht="25" x14ac:dyDescent="0.35">
      <c r="B35" s="388"/>
      <c r="C35" s="389" t="s">
        <v>534</v>
      </c>
      <c r="D35" s="390"/>
      <c r="E35" s="390" t="s">
        <v>175</v>
      </c>
      <c r="F35" s="391" t="s">
        <v>369</v>
      </c>
      <c r="G35" s="391" t="s">
        <v>397</v>
      </c>
      <c r="H35" s="390">
        <f>1510+14.25+67+21</f>
        <v>1612.25</v>
      </c>
      <c r="I35" s="390"/>
      <c r="J35" s="392">
        <f t="shared" si="4"/>
        <v>1612.25</v>
      </c>
      <c r="K35" s="393">
        <v>79.56</v>
      </c>
      <c r="L35" s="393">
        <f>+J35+K35</f>
        <v>1691.81</v>
      </c>
      <c r="M35" s="393" t="s">
        <v>250</v>
      </c>
      <c r="N35" s="392">
        <v>806.125</v>
      </c>
      <c r="O35" s="395">
        <v>2</v>
      </c>
      <c r="P35" s="396">
        <f t="shared" si="5"/>
        <v>1612.25</v>
      </c>
      <c r="Q35" s="397">
        <f>J35-P35</f>
        <v>0</v>
      </c>
    </row>
    <row r="36" spans="2:17" ht="37.5" x14ac:dyDescent="0.35">
      <c r="B36" s="388"/>
      <c r="C36" s="389" t="s">
        <v>536</v>
      </c>
      <c r="D36" s="390"/>
      <c r="E36" s="390" t="s">
        <v>557</v>
      </c>
      <c r="F36" s="391" t="s">
        <v>372</v>
      </c>
      <c r="G36" s="391" t="s">
        <v>344</v>
      </c>
      <c r="H36" s="390">
        <f>259+259+259+279</f>
        <v>1056</v>
      </c>
      <c r="I36" s="185"/>
      <c r="J36" s="393">
        <f t="shared" si="4"/>
        <v>1056</v>
      </c>
      <c r="K36" s="390">
        <f>12.95+12.95+12.95+13.95</f>
        <v>52.8</v>
      </c>
      <c r="L36" s="393">
        <f>+J36+K36</f>
        <v>1108.8</v>
      </c>
      <c r="M36" s="398" t="s">
        <v>373</v>
      </c>
      <c r="N36" s="392">
        <v>208</v>
      </c>
      <c r="O36" s="395">
        <v>4</v>
      </c>
      <c r="P36" s="396">
        <f t="shared" si="5"/>
        <v>832</v>
      </c>
      <c r="Q36" s="397">
        <f t="shared" ref="Q36:Q37" si="6">J36-P36</f>
        <v>224</v>
      </c>
    </row>
    <row r="37" spans="2:17" x14ac:dyDescent="0.35">
      <c r="B37" s="388"/>
      <c r="C37" s="390" t="s">
        <v>179</v>
      </c>
      <c r="D37" s="399">
        <v>45260</v>
      </c>
      <c r="E37" s="390" t="s">
        <v>179</v>
      </c>
      <c r="F37" s="391" t="s">
        <v>179</v>
      </c>
      <c r="G37" s="391"/>
      <c r="H37" s="390">
        <v>30</v>
      </c>
      <c r="I37" s="390"/>
      <c r="J37" s="392">
        <f t="shared" si="4"/>
        <v>30</v>
      </c>
      <c r="K37" s="393"/>
      <c r="L37" s="393">
        <f t="shared" ref="L37:L38" si="7">+H37+K37</f>
        <v>30</v>
      </c>
      <c r="M37" s="393" t="s">
        <v>378</v>
      </c>
      <c r="N37" s="392">
        <v>30</v>
      </c>
      <c r="O37" s="395">
        <v>1</v>
      </c>
      <c r="P37" s="396">
        <f t="shared" si="5"/>
        <v>30</v>
      </c>
      <c r="Q37" s="397">
        <f t="shared" si="6"/>
        <v>0</v>
      </c>
    </row>
    <row r="38" spans="2:17" x14ac:dyDescent="0.35">
      <c r="B38" s="388"/>
      <c r="C38" s="389" t="s">
        <v>537</v>
      </c>
      <c r="D38" s="399">
        <v>45261</v>
      </c>
      <c r="E38" s="390" t="s">
        <v>179</v>
      </c>
      <c r="F38" s="391" t="s">
        <v>179</v>
      </c>
      <c r="G38" s="391" t="s">
        <v>539</v>
      </c>
      <c r="H38" s="390">
        <f>99.54-3.95</f>
        <v>95.59</v>
      </c>
      <c r="I38" s="390">
        <v>16.59</v>
      </c>
      <c r="J38" s="392">
        <f t="shared" si="4"/>
        <v>79</v>
      </c>
      <c r="K38" s="393">
        <f>82.95/1.05*0.05</f>
        <v>3.95</v>
      </c>
      <c r="L38" s="393">
        <f t="shared" si="7"/>
        <v>99.54</v>
      </c>
      <c r="M38" s="393" t="s">
        <v>378</v>
      </c>
      <c r="N38" s="392">
        <v>79</v>
      </c>
      <c r="O38" s="395">
        <v>1</v>
      </c>
      <c r="P38" s="396">
        <f t="shared" si="5"/>
        <v>79</v>
      </c>
      <c r="Q38" s="397">
        <f>J38-P38+I38</f>
        <v>16.59</v>
      </c>
    </row>
    <row r="39" spans="2:17" ht="25" x14ac:dyDescent="0.35">
      <c r="B39" s="388"/>
      <c r="C39" s="389" t="s">
        <v>538</v>
      </c>
      <c r="D39" s="390" t="s">
        <v>380</v>
      </c>
      <c r="E39" s="393" t="s">
        <v>385</v>
      </c>
      <c r="F39" s="391" t="s">
        <v>398</v>
      </c>
      <c r="G39" s="391" t="s">
        <v>386</v>
      </c>
      <c r="H39" s="390">
        <f>30.55-1.22</f>
        <v>29.330000000000002</v>
      </c>
      <c r="I39" s="390">
        <v>4.95</v>
      </c>
      <c r="J39" s="392">
        <f t="shared" si="4"/>
        <v>24.380000000000003</v>
      </c>
      <c r="K39" s="393">
        <f>25.6/1.05*0.05</f>
        <v>1.2190476190476192</v>
      </c>
      <c r="L39" s="393">
        <f>+H39+K39</f>
        <v>30.54904761904762</v>
      </c>
      <c r="M39" s="398" t="s">
        <v>384</v>
      </c>
      <c r="N39" s="392">
        <v>24.35</v>
      </c>
      <c r="O39" s="395">
        <v>1</v>
      </c>
      <c r="P39" s="396">
        <f t="shared" si="5"/>
        <v>24.35</v>
      </c>
      <c r="Q39" s="397">
        <f>J39-P39+I39</f>
        <v>4.9800000000000013</v>
      </c>
    </row>
    <row r="40" spans="2:17" ht="14.5" thickBot="1" x14ac:dyDescent="0.4">
      <c r="B40" s="400"/>
      <c r="C40" s="401"/>
      <c r="D40" s="401"/>
      <c r="E40" s="401"/>
      <c r="F40" s="402"/>
      <c r="G40" s="402"/>
      <c r="H40" s="401">
        <f>SUM(H34:H39)</f>
        <v>3511.59</v>
      </c>
      <c r="I40" s="401">
        <f>SUM(I34:I39)</f>
        <v>21.54</v>
      </c>
      <c r="J40" s="403">
        <f>SUM(J34:J39)</f>
        <v>3490.05</v>
      </c>
      <c r="K40" s="401">
        <f>SUM(K34:K39)</f>
        <v>166.3890476190476</v>
      </c>
      <c r="L40" s="401">
        <f>SUM(L34:L39)</f>
        <v>3677.9790476190478</v>
      </c>
      <c r="M40" s="401"/>
      <c r="N40" s="401"/>
      <c r="O40" s="404"/>
      <c r="P40" s="405">
        <f>SUM(P34:P39)</f>
        <v>2577.6</v>
      </c>
      <c r="Q40" s="406">
        <f>SUM(Q34:Q39)</f>
        <v>933.99</v>
      </c>
    </row>
  </sheetData>
  <mergeCells count="6">
    <mergeCell ref="B11:Q11"/>
    <mergeCell ref="B32:Q32"/>
    <mergeCell ref="B2:Q2"/>
    <mergeCell ref="B3:Q3"/>
    <mergeCell ref="B4:Q4"/>
    <mergeCell ref="B5:Q5"/>
  </mergeCells>
  <pageMargins left="0.7" right="0.7" top="0.75" bottom="0.75" header="0.3" footer="0.3"/>
  <pageSetup scale="45" fitToHeight="0" orientation="landscape" r:id="rId1"/>
  <ignoredErrors>
    <ignoredError sqref="C34:C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Summary</vt:lpstr>
      <vt:lpstr>GL Feb24</vt:lpstr>
      <vt:lpstr>01 Summary - AEY</vt:lpstr>
      <vt:lpstr>02 Summary - Prof. Fees</vt:lpstr>
      <vt:lpstr>Summary of Legal Fees - BJ</vt:lpstr>
      <vt:lpstr>03 Summary - Disb.</vt:lpstr>
      <vt:lpstr>Bennett Jones Disb.</vt:lpstr>
      <vt:lpstr>Summary of Concentric Advisors</vt:lpstr>
      <vt:lpstr>Concentric Advisors Disb.</vt:lpstr>
      <vt:lpstr>Summary Concentric Energy</vt:lpstr>
      <vt:lpstr>AEY Disbursements</vt:lpstr>
      <vt:lpstr>YUB Scale of Costs</vt:lpstr>
      <vt:lpstr>'01 Summary - AEY'!Print_Area</vt:lpstr>
      <vt:lpstr>'02 Summary - Prof. Fees'!Print_Area</vt:lpstr>
      <vt:lpstr>'03 Summary - Disb.'!Print_Area</vt:lpstr>
      <vt:lpstr>'Summary Concentric Energy'!Print_Area</vt:lpstr>
      <vt:lpstr>'Summary of Concentric Advisors'!Print_Area</vt:lpstr>
      <vt:lpstr>'Summary of Legal Fees - BJ'!Print_Area</vt:lpstr>
      <vt:lpstr>'AEY Disbursements'!Print_Titles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2024-06-29T00:51:34Z</dcterms:created>
  <dcterms:modified xsi:type="dcterms:W3CDTF">2024-06-29T01:50:07Z</dcterms:modified>
  <cp:category/>
  <cp:contentStatus/>
</cp:coreProperties>
</file>