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filterPrivacy="1" codeName="ThisWorkbook" hidePivotFieldList="1" defaultThemeVersion="124226"/>
  <xr:revisionPtr revIDLastSave="9" documentId="13_ncr:1_{EF29F0B3-779E-44E4-9F4D-5BAE62C22106}" xr6:coauthVersionLast="47" xr6:coauthVersionMax="47" xr10:uidLastSave="{FCFCCE1F-EDFB-49BE-89DA-91DBFB16CD20}"/>
  <bookViews>
    <workbookView xWindow="-220" yWindow="0" windowWidth="25820" windowHeight="14000" tabRatio="925" activeTab="24" xr2:uid="{00000000-000D-0000-FFFF-FFFF00000000}"/>
  </bookViews>
  <sheets>
    <sheet name="Index" sheetId="44" r:id="rId1"/>
    <sheet name="S1.1" sheetId="2" r:id="rId2"/>
    <sheet name="S2.1" sheetId="3" r:id="rId3"/>
    <sheet name="S2.2" sheetId="4" r:id="rId4"/>
    <sheet name="S3.1" sheetId="5" r:id="rId5"/>
    <sheet name="S3.2" sheetId="6" r:id="rId6"/>
    <sheet name="S4.1" sheetId="7" r:id="rId7"/>
    <sheet name="S4.2" sheetId="8" r:id="rId8"/>
    <sheet name="S5.1 " sheetId="9" r:id="rId9"/>
    <sheet name="S5.2" sheetId="42" r:id="rId10"/>
    <sheet name="S5.3" sheetId="35" r:id="rId11"/>
    <sheet name="S7.1" sheetId="12" r:id="rId12"/>
    <sheet name="S8.1" sheetId="16" r:id="rId13"/>
    <sheet name="S8.2 &amp; 8.3" sheetId="17" r:id="rId14"/>
    <sheet name="S8.4 " sheetId="18" r:id="rId15"/>
    <sheet name="S8.5" sheetId="19" r:id="rId16"/>
    <sheet name="S8.6 " sheetId="20" r:id="rId17"/>
    <sheet name="S8.7" sheetId="21" r:id="rId18"/>
    <sheet name="S8.8 " sheetId="22" r:id="rId19"/>
    <sheet name="S8.9" sheetId="40" r:id="rId20"/>
    <sheet name="S8.10" sheetId="23" r:id="rId21"/>
    <sheet name="S8.11" sheetId="24" r:id="rId22"/>
    <sheet name="S8.12" sheetId="25" r:id="rId23"/>
    <sheet name="S9.1" sheetId="26" r:id="rId24"/>
    <sheet name="S9.2" sheetId="47" r:id="rId25"/>
    <sheet name="S10.1" sheetId="27" r:id="rId26"/>
    <sheet name="S13.1" sheetId="48" r:id="rId27"/>
  </sheets>
  <definedNames>
    <definedName name="\A" localSheetId="1">#REF!</definedName>
    <definedName name="\A" localSheetId="2">#REF!</definedName>
    <definedName name="\A" localSheetId="3">#REF!</definedName>
    <definedName name="\A" localSheetId="8">#REF!</definedName>
    <definedName name="\A" localSheetId="10">#REF!</definedName>
    <definedName name="\A" localSheetId="19">#REF!</definedName>
    <definedName name="\A" localSheetId="23">#REF!</definedName>
    <definedName name="\A" localSheetId="24">#REF!</definedName>
    <definedName name="\A">#REF!</definedName>
    <definedName name="\B" localSheetId="1">#REF!</definedName>
    <definedName name="\B" localSheetId="2">#REF!</definedName>
    <definedName name="\B" localSheetId="3">#REF!</definedName>
    <definedName name="\B" localSheetId="8">#REF!</definedName>
    <definedName name="\B" localSheetId="10">#REF!</definedName>
    <definedName name="\B" localSheetId="19">#REF!</definedName>
    <definedName name="\B" localSheetId="23">#REF!</definedName>
    <definedName name="\B" localSheetId="24">#REF!</definedName>
    <definedName name="\B">#REF!</definedName>
    <definedName name="\C" localSheetId="1">#REF!</definedName>
    <definedName name="\C" localSheetId="2">#REF!</definedName>
    <definedName name="\C" localSheetId="3">#REF!</definedName>
    <definedName name="\C" localSheetId="8">#REF!</definedName>
    <definedName name="\C" localSheetId="10">#REF!</definedName>
    <definedName name="\C" localSheetId="19">#REF!</definedName>
    <definedName name="\C" localSheetId="23">#REF!</definedName>
    <definedName name="\C" localSheetId="24">#REF!</definedName>
    <definedName name="\C">#REF!</definedName>
    <definedName name="\D" localSheetId="1">#REF!</definedName>
    <definedName name="\D" localSheetId="2">#REF!</definedName>
    <definedName name="\D" localSheetId="3">#REF!</definedName>
    <definedName name="\D" localSheetId="8">#REF!</definedName>
    <definedName name="\D" localSheetId="10">#REF!</definedName>
    <definedName name="\D" localSheetId="19">#REF!</definedName>
    <definedName name="\D" localSheetId="23">#REF!</definedName>
    <definedName name="\D" localSheetId="24">#REF!</definedName>
    <definedName name="\D">#REF!</definedName>
    <definedName name="\E" localSheetId="1">#REF!</definedName>
    <definedName name="\E" localSheetId="2">#REF!</definedName>
    <definedName name="\E" localSheetId="3">#REF!</definedName>
    <definedName name="\E" localSheetId="8">#REF!</definedName>
    <definedName name="\E" localSheetId="10">#REF!</definedName>
    <definedName name="\E" localSheetId="19">#REF!</definedName>
    <definedName name="\E" localSheetId="23">#REF!</definedName>
    <definedName name="\E" localSheetId="24">#REF!</definedName>
    <definedName name="\E">#REF!</definedName>
    <definedName name="\F" localSheetId="1">#REF!</definedName>
    <definedName name="\F" localSheetId="2">#REF!</definedName>
    <definedName name="\F" localSheetId="3">#REF!</definedName>
    <definedName name="\F" localSheetId="8">#REF!</definedName>
    <definedName name="\F" localSheetId="10">#REF!</definedName>
    <definedName name="\F" localSheetId="19">#REF!</definedName>
    <definedName name="\F" localSheetId="23">#REF!</definedName>
    <definedName name="\F" localSheetId="24">#REF!</definedName>
    <definedName name="\F">#REF!</definedName>
    <definedName name="\G" localSheetId="1">#REF!</definedName>
    <definedName name="\G" localSheetId="2">#REF!</definedName>
    <definedName name="\G" localSheetId="3">#REF!</definedName>
    <definedName name="\G" localSheetId="8">#REF!</definedName>
    <definedName name="\G" localSheetId="10">#REF!</definedName>
    <definedName name="\G" localSheetId="19">#REF!</definedName>
    <definedName name="\G" localSheetId="23">#REF!</definedName>
    <definedName name="\G" localSheetId="24">#REF!</definedName>
    <definedName name="\G">#REF!</definedName>
    <definedName name="\H" localSheetId="1">#REF!</definedName>
    <definedName name="\H" localSheetId="2">#REF!</definedName>
    <definedName name="\H" localSheetId="3">#REF!</definedName>
    <definedName name="\H" localSheetId="8">#REF!</definedName>
    <definedName name="\H" localSheetId="10">#REF!</definedName>
    <definedName name="\H" localSheetId="19">#REF!</definedName>
    <definedName name="\H" localSheetId="23">#REF!</definedName>
    <definedName name="\H" localSheetId="24">#REF!</definedName>
    <definedName name="\H">#REF!</definedName>
    <definedName name="\I" localSheetId="1">#REF!</definedName>
    <definedName name="\I" localSheetId="2">#REF!</definedName>
    <definedName name="\I" localSheetId="3">#REF!</definedName>
    <definedName name="\I" localSheetId="8">#REF!</definedName>
    <definedName name="\I" localSheetId="10">#REF!</definedName>
    <definedName name="\I" localSheetId="19">#REF!</definedName>
    <definedName name="\I" localSheetId="23">#REF!</definedName>
    <definedName name="\I" localSheetId="24">#REF!</definedName>
    <definedName name="\I">#REF!</definedName>
    <definedName name="\J" localSheetId="1">#REF!</definedName>
    <definedName name="\J" localSheetId="2">#REF!</definedName>
    <definedName name="\J" localSheetId="3">#REF!</definedName>
    <definedName name="\J" localSheetId="8">#REF!</definedName>
    <definedName name="\J" localSheetId="10">#REF!</definedName>
    <definedName name="\J" localSheetId="19">#REF!</definedName>
    <definedName name="\J" localSheetId="23">#REF!</definedName>
    <definedName name="\J" localSheetId="24">#REF!</definedName>
    <definedName name="\J">#REF!</definedName>
    <definedName name="\K" localSheetId="1">#REF!</definedName>
    <definedName name="\K" localSheetId="2">#REF!</definedName>
    <definedName name="\K" localSheetId="3">#REF!</definedName>
    <definedName name="\K" localSheetId="8">#REF!</definedName>
    <definedName name="\K" localSheetId="10">#REF!</definedName>
    <definedName name="\K" localSheetId="19">#REF!</definedName>
    <definedName name="\K" localSheetId="23">#REF!</definedName>
    <definedName name="\K" localSheetId="24">#REF!</definedName>
    <definedName name="\K">#REF!</definedName>
    <definedName name="\L" localSheetId="1">#REF!</definedName>
    <definedName name="\L" localSheetId="2">#REF!</definedName>
    <definedName name="\L" localSheetId="3">#REF!</definedName>
    <definedName name="\L" localSheetId="8">#REF!</definedName>
    <definedName name="\L" localSheetId="10">#REF!</definedName>
    <definedName name="\L" localSheetId="19">#REF!</definedName>
    <definedName name="\L" localSheetId="23">#REF!</definedName>
    <definedName name="\L" localSheetId="24">#REF!</definedName>
    <definedName name="\L">#REF!</definedName>
    <definedName name="\M" localSheetId="1">#REF!</definedName>
    <definedName name="\M" localSheetId="2">#REF!</definedName>
    <definedName name="\M" localSheetId="3">#REF!</definedName>
    <definedName name="\M" localSheetId="8">#REF!</definedName>
    <definedName name="\M" localSheetId="10">#REF!</definedName>
    <definedName name="\M" localSheetId="19">#REF!</definedName>
    <definedName name="\M" localSheetId="23">#REF!</definedName>
    <definedName name="\M" localSheetId="24">#REF!</definedName>
    <definedName name="\M">#REF!</definedName>
    <definedName name="\N" localSheetId="1">#REF!</definedName>
    <definedName name="\N" localSheetId="2">#REF!</definedName>
    <definedName name="\N" localSheetId="3">#REF!</definedName>
    <definedName name="\N" localSheetId="8">#REF!</definedName>
    <definedName name="\N" localSheetId="10">#REF!</definedName>
    <definedName name="\N" localSheetId="19">#REF!</definedName>
    <definedName name="\N" localSheetId="23">#REF!</definedName>
    <definedName name="\N" localSheetId="24">#REF!</definedName>
    <definedName name="\N">#REF!</definedName>
    <definedName name="\O" localSheetId="1">#REF!</definedName>
    <definedName name="\O" localSheetId="2">#REF!</definedName>
    <definedName name="\O" localSheetId="3">#REF!</definedName>
    <definedName name="\O" localSheetId="8">#REF!</definedName>
    <definedName name="\O" localSheetId="10">#REF!</definedName>
    <definedName name="\O" localSheetId="19">#REF!</definedName>
    <definedName name="\O" localSheetId="23">#REF!</definedName>
    <definedName name="\O" localSheetId="24">#REF!</definedName>
    <definedName name="\O">#REF!</definedName>
    <definedName name="\P" localSheetId="1">#REF!</definedName>
    <definedName name="\P" localSheetId="2">#REF!</definedName>
    <definedName name="\P" localSheetId="3">#REF!</definedName>
    <definedName name="\P" localSheetId="8">#REF!</definedName>
    <definedName name="\P" localSheetId="10">#REF!</definedName>
    <definedName name="\P" localSheetId="19">#REF!</definedName>
    <definedName name="\P" localSheetId="23">#REF!</definedName>
    <definedName name="\P" localSheetId="24">#REF!</definedName>
    <definedName name="\P">#REF!</definedName>
    <definedName name="\Q" localSheetId="1">#REF!</definedName>
    <definedName name="\Q" localSheetId="2">#REF!</definedName>
    <definedName name="\Q" localSheetId="3">#REF!</definedName>
    <definedName name="\Q" localSheetId="8">#REF!</definedName>
    <definedName name="\Q" localSheetId="10">#REF!</definedName>
    <definedName name="\Q" localSheetId="19">#REF!</definedName>
    <definedName name="\Q" localSheetId="23">#REF!</definedName>
    <definedName name="\Q" localSheetId="24">#REF!</definedName>
    <definedName name="\Q">#REF!</definedName>
    <definedName name="\R" localSheetId="1">#REF!</definedName>
    <definedName name="\R" localSheetId="2">#REF!</definedName>
    <definedName name="\R" localSheetId="3">#REF!</definedName>
    <definedName name="\R" localSheetId="8">#REF!</definedName>
    <definedName name="\R" localSheetId="10">#REF!</definedName>
    <definedName name="\R" localSheetId="19">#REF!</definedName>
    <definedName name="\R" localSheetId="23">#REF!</definedName>
    <definedName name="\R" localSheetId="24">#REF!</definedName>
    <definedName name="\R">#REF!</definedName>
    <definedName name="\S" localSheetId="1">#REF!</definedName>
    <definedName name="\S" localSheetId="2">#REF!</definedName>
    <definedName name="\S" localSheetId="3">#REF!</definedName>
    <definedName name="\S" localSheetId="8">#REF!</definedName>
    <definedName name="\S" localSheetId="10">#REF!</definedName>
    <definedName name="\S" localSheetId="19">#REF!</definedName>
    <definedName name="\S" localSheetId="23">#REF!</definedName>
    <definedName name="\S" localSheetId="24">#REF!</definedName>
    <definedName name="\S">#REF!</definedName>
    <definedName name="\T" localSheetId="1">#REF!</definedName>
    <definedName name="\T" localSheetId="2">#REF!</definedName>
    <definedName name="\T" localSheetId="3">#REF!</definedName>
    <definedName name="\T" localSheetId="8">#REF!</definedName>
    <definedName name="\T" localSheetId="10">#REF!</definedName>
    <definedName name="\T" localSheetId="19">#REF!</definedName>
    <definedName name="\T" localSheetId="23">#REF!</definedName>
    <definedName name="\T" localSheetId="24">#REF!</definedName>
    <definedName name="\T">#REF!</definedName>
    <definedName name="\U" localSheetId="1">#REF!</definedName>
    <definedName name="\U" localSheetId="2">#REF!</definedName>
    <definedName name="\U" localSheetId="3">#REF!</definedName>
    <definedName name="\U" localSheetId="8">#REF!</definedName>
    <definedName name="\U" localSheetId="10">#REF!</definedName>
    <definedName name="\U" localSheetId="19">#REF!</definedName>
    <definedName name="\U" localSheetId="23">#REF!</definedName>
    <definedName name="\U" localSheetId="24">#REF!</definedName>
    <definedName name="\U">#REF!</definedName>
    <definedName name="\V" localSheetId="1">#REF!</definedName>
    <definedName name="\V" localSheetId="2">#REF!</definedName>
    <definedName name="\V" localSheetId="3">#REF!</definedName>
    <definedName name="\V" localSheetId="8">#REF!</definedName>
    <definedName name="\V" localSheetId="10">#REF!</definedName>
    <definedName name="\V" localSheetId="19">#REF!</definedName>
    <definedName name="\V" localSheetId="23">#REF!</definedName>
    <definedName name="\V" localSheetId="24">#REF!</definedName>
    <definedName name="\V">#REF!</definedName>
    <definedName name="\W" localSheetId="1">#REF!</definedName>
    <definedName name="\W" localSheetId="2">#REF!</definedName>
    <definedName name="\W" localSheetId="3">#REF!</definedName>
    <definedName name="\W" localSheetId="8">#REF!</definedName>
    <definedName name="\W" localSheetId="10">#REF!</definedName>
    <definedName name="\W" localSheetId="19">#REF!</definedName>
    <definedName name="\W" localSheetId="23">#REF!</definedName>
    <definedName name="\W" localSheetId="24">#REF!</definedName>
    <definedName name="\W">#REF!</definedName>
    <definedName name="\Z" localSheetId="1">#REF!</definedName>
    <definedName name="\Z" localSheetId="2">#REF!</definedName>
    <definedName name="\Z" localSheetId="3">#REF!</definedName>
    <definedName name="\Z" localSheetId="8">#REF!</definedName>
    <definedName name="\Z" localSheetId="10">#REF!</definedName>
    <definedName name="\Z" localSheetId="19">#REF!</definedName>
    <definedName name="\Z" localSheetId="23">#REF!</definedName>
    <definedName name="\Z" localSheetId="24">#REF!</definedName>
    <definedName name="\Z">#REF!</definedName>
    <definedName name="___BM359439" localSheetId="24">#REF!</definedName>
    <definedName name="___BM359439">#REF!</definedName>
    <definedName name="___INDEX_SHEET___ASAP_Utilities" localSheetId="24">#REF!</definedName>
    <definedName name="___INDEX_SHEET___ASAP_Utilities">#REF!</definedName>
    <definedName name="__BM359439" localSheetId="24">#REF!</definedName>
    <definedName name="__BM359439">#REF!</definedName>
    <definedName name="_F_" localSheetId="19">#REF!</definedName>
    <definedName name="_F_" localSheetId="24">#REF!</definedName>
    <definedName name="_F_">#REF!</definedName>
    <definedName name="_xlnm._FilterDatabase" localSheetId="8" hidden="1">'S5.1 '!$AF$11:$AM$58</definedName>
    <definedName name="_xlnm._FilterDatabase" localSheetId="9" hidden="1">'S5.2'!$Z$9:$AG$422</definedName>
    <definedName name="_xlnm._FilterDatabase" localSheetId="24" hidden="1">'S9.2'!$A$10:$T$438</definedName>
    <definedName name="_H_" localSheetId="19">#REF!</definedName>
    <definedName name="_H_" localSheetId="24">#REF!</definedName>
    <definedName name="_H_">#REF!</definedName>
    <definedName name="_L_" localSheetId="19">#REF!</definedName>
    <definedName name="_L_" localSheetId="24">#REF!</definedName>
    <definedName name="_L_">#REF!</definedName>
    <definedName name="_O_" localSheetId="19">#REF!</definedName>
    <definedName name="_O_" localSheetId="24">#REF!</definedName>
    <definedName name="_O_">#REF!</definedName>
    <definedName name="_P_" localSheetId="19">#REF!</definedName>
    <definedName name="_P_" localSheetId="24">#REF!</definedName>
    <definedName name="_P_">#REF!</definedName>
    <definedName name="_RM_" localSheetId="19">#REF!</definedName>
    <definedName name="_RM_" localSheetId="24">#REF!</definedName>
    <definedName name="_RM_">#REF!</definedName>
    <definedName name="_SS_" localSheetId="19">#REF!</definedName>
    <definedName name="_SS_" localSheetId="24">#REF!</definedName>
    <definedName name="_SS_">#REF!</definedName>
    <definedName name="_TL_" localSheetId="19">#REF!</definedName>
    <definedName name="_TL_" localSheetId="24">#REF!</definedName>
    <definedName name="_TL_">#REF!</definedName>
    <definedName name="_V_" localSheetId="19">#REF!</definedName>
    <definedName name="_V_" localSheetId="24">#REF!</definedName>
    <definedName name="_V_">#REF!</definedName>
    <definedName name="aaaaaaaa" localSheetId="24">#REF!</definedName>
    <definedName name="aaaaaaaa">#REF!</definedName>
    <definedName name="all" localSheetId="1">#REF!</definedName>
    <definedName name="all" localSheetId="2">#REF!</definedName>
    <definedName name="all" localSheetId="3">#REF!</definedName>
    <definedName name="all" localSheetId="8">#REF!</definedName>
    <definedName name="all" localSheetId="10">#REF!</definedName>
    <definedName name="all" localSheetId="19">#REF!</definedName>
    <definedName name="all" localSheetId="23">#REF!</definedName>
    <definedName name="all" localSheetId="24">#REF!</definedName>
    <definedName name="all">#REF!</definedName>
    <definedName name="beCO81" localSheetId="24">#REF!</definedName>
    <definedName name="beCO81">#REF!</definedName>
    <definedName name="Call_Centre_cost" localSheetId="19">#REF!</definedName>
    <definedName name="Call_Centre_cost" localSheetId="24">#REF!</definedName>
    <definedName name="Call_Centre_cost">#REF!</definedName>
    <definedName name="Call_Centre_num" localSheetId="19">#REF!</definedName>
    <definedName name="Call_Centre_num" localSheetId="24">#REF!</definedName>
    <definedName name="Call_Centre_num">#REF!</definedName>
    <definedName name="Contribution" localSheetId="24">#REF!</definedName>
    <definedName name="Contribution">#REF!</definedName>
    <definedName name="_xlnm.Criteria" localSheetId="24">#REF!</definedName>
    <definedName name="_xlnm.Criteria">#REF!</definedName>
    <definedName name="_xlnm.Database" localSheetId="10">#REF!</definedName>
    <definedName name="_xlnm.Database" localSheetId="19">#REF!</definedName>
    <definedName name="_xlnm.Database" localSheetId="24">#REF!</definedName>
    <definedName name="_xlnm.Database">#REF!</definedName>
    <definedName name="DPK_K" localSheetId="24">#REF!</definedName>
    <definedName name="DPK_K">#REF!</definedName>
    <definedName name="Estimated_Voice___South" localSheetId="19">#REF!</definedName>
    <definedName name="Estimated_Voice___South" localSheetId="24">#REF!</definedName>
    <definedName name="Estimated_Voice___South">#REF!</definedName>
    <definedName name="FP_K" localSheetId="24">#REF!</definedName>
    <definedName name="FP_K">#REF!</definedName>
    <definedName name="HPSET" localSheetId="1">#REF!</definedName>
    <definedName name="HPSET" localSheetId="2">#REF!</definedName>
    <definedName name="HPSET" localSheetId="3">#REF!</definedName>
    <definedName name="HPSET" localSheetId="8">#REF!</definedName>
    <definedName name="HPSET" localSheetId="10">#REF!</definedName>
    <definedName name="HPSET" localSheetId="19">#REF!</definedName>
    <definedName name="HPSET" localSheetId="23">#REF!</definedName>
    <definedName name="HPSET" localSheetId="24">#REF!</definedName>
    <definedName name="HPSET">#REF!</definedName>
    <definedName name="hpset1" localSheetId="10">#REF!</definedName>
    <definedName name="hpset1" localSheetId="19">#REF!</definedName>
    <definedName name="hpset1" localSheetId="24">#REF!</definedName>
    <definedName name="hpset1">#REF!</definedName>
    <definedName name="HPSETMACRO" localSheetId="1">#REF!</definedName>
    <definedName name="HPSETMACRO" localSheetId="2">#REF!</definedName>
    <definedName name="HPSETMACRO" localSheetId="3">#REF!</definedName>
    <definedName name="HPSETMACRO" localSheetId="8">#REF!</definedName>
    <definedName name="HPSETMACRO" localSheetId="10">#REF!</definedName>
    <definedName name="HPSETMACRO" localSheetId="19">#REF!</definedName>
    <definedName name="HPSETMACRO" localSheetId="23">#REF!</definedName>
    <definedName name="HPSETMACRO" localSheetId="24">#REF!</definedName>
    <definedName name="HPSETMACRO">#REF!</definedName>
    <definedName name="hpsetmacro2" localSheetId="19">#REF!</definedName>
    <definedName name="hpsetmacro2" localSheetId="24">#REF!</definedName>
    <definedName name="hpsetmacro2">#REF!</definedName>
    <definedName name="HR_K" localSheetId="24">#REF!</definedName>
    <definedName name="HR_K">#REF!</definedName>
    <definedName name="HRSUM" localSheetId="24">#REF!</definedName>
    <definedName name="HRSUM">#REF!</definedName>
    <definedName name="index" localSheetId="19">#REF!</definedName>
    <definedName name="index" localSheetId="24">#REF!</definedName>
    <definedName name="index">#REF!</definedName>
    <definedName name="input" localSheetId="19">#REF!</definedName>
    <definedName name="input" localSheetId="24">#REF!</definedName>
    <definedName name="input">#REF!</definedName>
    <definedName name="Laptops_cost" localSheetId="19">#REF!</definedName>
    <definedName name="Laptops_cost" localSheetId="24">#REF!</definedName>
    <definedName name="Laptops_cost">#REF!</definedName>
    <definedName name="Laptops_num" localSheetId="19">#REF!</definedName>
    <definedName name="Laptops_num" localSheetId="24">#REF!</definedName>
    <definedName name="Laptops_num">#REF!</definedName>
    <definedName name="LESS__Hardware___Voice_Costs_to_be_capitalized" localSheetId="19">#REF!</definedName>
    <definedName name="LESS__Hardware___Voice_Costs_to_be_capitalized" localSheetId="24">#REF!</definedName>
    <definedName name="LESS__Hardware___Voice_Costs_to_be_capitalized">#REF!</definedName>
    <definedName name="Number_of_staff" localSheetId="19">#REF!</definedName>
    <definedName name="Number_of_staff" localSheetId="24">#REF!</definedName>
    <definedName name="Number_of_staff">#REF!</definedName>
    <definedName name="pafe2" localSheetId="10">#REF!</definedName>
    <definedName name="pafe2" localSheetId="19">#REF!</definedName>
    <definedName name="pafe2" localSheetId="24">#REF!</definedName>
    <definedName name="pafe2">#REF!</definedName>
    <definedName name="page1" localSheetId="10">#REF!</definedName>
    <definedName name="page1" localSheetId="19">#REF!</definedName>
    <definedName name="page1" localSheetId="24">#REF!</definedName>
    <definedName name="page1">#REF!</definedName>
    <definedName name="part1" localSheetId="10">#REF!</definedName>
    <definedName name="part1" localSheetId="19">#REF!</definedName>
    <definedName name="part1" localSheetId="24">#REF!</definedName>
    <definedName name="part1">#REF!</definedName>
    <definedName name="part2" localSheetId="19">#REF!</definedName>
    <definedName name="part2" localSheetId="24">#REF!</definedName>
    <definedName name="part2">#REF!</definedName>
    <definedName name="PCs_cost" localSheetId="19">#REF!</definedName>
    <definedName name="PCs_cost" localSheetId="24">#REF!</definedName>
    <definedName name="PCs_cost">#REF!</definedName>
    <definedName name="PCs_num" localSheetId="19">#REF!</definedName>
    <definedName name="PCs_num" localSheetId="24">#REF!</definedName>
    <definedName name="PCs_num">#REF!</definedName>
    <definedName name="_xlnm.Print_Area" localSheetId="1">'S1.1'!$A$1:$U$25</definedName>
    <definedName name="_xlnm.Print_Area" localSheetId="25">'S10.1'!$A$1:$T$46</definedName>
    <definedName name="_xlnm.Print_Area" localSheetId="2">'S2.1'!$A$1:$U$75</definedName>
    <definedName name="_xlnm.Print_Area" localSheetId="3">'S2.2'!$A$1:$U$21</definedName>
    <definedName name="_xlnm.Print_Area" localSheetId="4">'S3.1'!$A$1:$U$33</definedName>
    <definedName name="_xlnm.Print_Area" localSheetId="5">'S3.2'!$A$1:$U$31</definedName>
    <definedName name="_xlnm.Print_Area" localSheetId="6">'S4.1'!$A$1:$T$16</definedName>
    <definedName name="_xlnm.Print_Area" localSheetId="7">'S4.2'!$A$1:$T$42</definedName>
    <definedName name="_xlnm.Print_Area" localSheetId="8">'S5.1 '!$A$1:$T$60</definedName>
    <definedName name="_xlnm.Print_Area" localSheetId="9">'S5.2'!$A$1:$Q$426</definedName>
    <definedName name="_xlnm.Print_Area" localSheetId="10">'S5.3'!$A$1:$U$29</definedName>
    <definedName name="_xlnm.Print_Area" localSheetId="11">'S7.1'!$A$1:$Q$15</definedName>
    <definedName name="_xlnm.Print_Area" localSheetId="12">'S8.1'!$A$1:$H$124</definedName>
    <definedName name="_xlnm.Print_Area" localSheetId="20">'S8.10'!$A$1:$R$46</definedName>
    <definedName name="_xlnm.Print_Area" localSheetId="21">'S8.11'!$A$1:$R$45</definedName>
    <definedName name="_xlnm.Print_Area" localSheetId="22">'S8.12'!$A$1:$R$20</definedName>
    <definedName name="_xlnm.Print_Area" localSheetId="13">'S8.2 &amp; 8.3'!$A$1:$N$305</definedName>
    <definedName name="_xlnm.Print_Area" localSheetId="14">'S8.4 '!$A$1:$P$42</definedName>
    <definedName name="_xlnm.Print_Area" localSheetId="15">'S8.5'!$A$1:$S$34</definedName>
    <definedName name="_xlnm.Print_Area" localSheetId="16">'S8.6 '!$A$1:$R$37</definedName>
    <definedName name="_xlnm.Print_Area" localSheetId="17">'S8.7'!$A$1:$R$42</definedName>
    <definedName name="_xlnm.Print_Area" localSheetId="18">'S8.8 '!$A$1:$R$69</definedName>
    <definedName name="_xlnm.Print_Area" localSheetId="19">'S8.9'!$A$1:$F$17</definedName>
    <definedName name="_xlnm.Print_Area" localSheetId="23">'S9.1'!$A$1:$T$47</definedName>
    <definedName name="_xlnm.Print_Area" localSheetId="24">'S9.2'!$A$1:$R$441</definedName>
    <definedName name="Print_Area_MI" localSheetId="1">#REF!</definedName>
    <definedName name="Print_Area_MI" localSheetId="2">#REF!</definedName>
    <definedName name="Print_Area_MI" localSheetId="3">#REF!</definedName>
    <definedName name="Print_Area_MI" localSheetId="8">#REF!</definedName>
    <definedName name="Print_Area_MI" localSheetId="10">#REF!</definedName>
    <definedName name="Print_Area_MI" localSheetId="19">#REF!</definedName>
    <definedName name="Print_Area_MI" localSheetId="23">#REF!</definedName>
    <definedName name="Print_Area_MI" localSheetId="24">#REF!</definedName>
    <definedName name="Print_Area_MI">#REF!</definedName>
    <definedName name="_xlnm.Print_Titles" localSheetId="9">'S5.2'!$1:$8</definedName>
    <definedName name="_xlnm.Print_Titles" localSheetId="12">'S8.1'!$1:$9</definedName>
    <definedName name="_xlnm.Print_Titles" localSheetId="20">'S8.10'!$1:$8</definedName>
    <definedName name="_xlnm.Print_Titles" localSheetId="21">'S8.11'!$1:$8</definedName>
    <definedName name="_xlnm.Print_Titles" localSheetId="13">'S8.2 &amp; 8.3'!$1:$6</definedName>
    <definedName name="_xlnm.Print_Titles" localSheetId="18">'S8.8 '!$1:$8</definedName>
    <definedName name="_xlnm.Print_Titles" localSheetId="24">'S9.2'!$1:$8</definedName>
    <definedName name="Printer___High_cost" localSheetId="10">#REF!</definedName>
    <definedName name="Printer___High_cost" localSheetId="19">#REF!</definedName>
    <definedName name="Printer___High_cost" localSheetId="24">#REF!</definedName>
    <definedName name="Printer___High_cost">#REF!</definedName>
    <definedName name="Printer___High_num" localSheetId="10">#REF!</definedName>
    <definedName name="Printer___High_num" localSheetId="19">#REF!</definedName>
    <definedName name="Printer___High_num" localSheetId="24">#REF!</definedName>
    <definedName name="Printer___High_num">#REF!</definedName>
    <definedName name="Printer___Low_cost" localSheetId="19">#REF!</definedName>
    <definedName name="Printer___Low_cost" localSheetId="24">#REF!</definedName>
    <definedName name="Printer___Low_cost">#REF!</definedName>
    <definedName name="Printer___Low_num" localSheetId="19">#REF!</definedName>
    <definedName name="Printer___Low_num" localSheetId="24">#REF!</definedName>
    <definedName name="Printer___Low_num">#REF!</definedName>
    <definedName name="Printer___Standard_cost" localSheetId="19">#REF!</definedName>
    <definedName name="Printer___Standard_cost" localSheetId="24">#REF!</definedName>
    <definedName name="Printer___Standard_cost">#REF!</definedName>
    <definedName name="Printer___Standard_num" localSheetId="19">#REF!</definedName>
    <definedName name="Printer___Standard_num" localSheetId="24">#REF!</definedName>
    <definedName name="Printer___Standard_num">#REF!</definedName>
    <definedName name="Proj55156" localSheetId="19">#REF!</definedName>
    <definedName name="Proj55156" localSheetId="24">#REF!</definedName>
    <definedName name="Proj55156">#REF!</definedName>
    <definedName name="Proj55156." localSheetId="19">#REF!</definedName>
    <definedName name="Proj55156." localSheetId="24">#REF!</definedName>
    <definedName name="Proj55156.">#REF!</definedName>
    <definedName name="prt_diesel_I_y0" localSheetId="24">#REF!</definedName>
    <definedName name="prt_diesel_I_y0">#REF!</definedName>
    <definedName name="prt_diesel_I_y1" localSheetId="24">#REF!</definedName>
    <definedName name="prt_diesel_I_y1">#REF!</definedName>
    <definedName name="prt_diesel_I_y2" localSheetId="24">#REF!</definedName>
    <definedName name="prt_diesel_I_y2">#REF!</definedName>
    <definedName name="prt_diesel_II_y0" localSheetId="24">#REF!</definedName>
    <definedName name="prt_diesel_II_y0">#REF!</definedName>
    <definedName name="prt_diesel_II_y1" localSheetId="24">#REF!</definedName>
    <definedName name="prt_diesel_II_y1">#REF!</definedName>
    <definedName name="prt_diesel_II_y2" localSheetId="24">#REF!</definedName>
    <definedName name="prt_diesel_II_y2">#REF!</definedName>
    <definedName name="prt_diesel_III_y0" localSheetId="24">#REF!</definedName>
    <definedName name="prt_diesel_III_y0">#REF!</definedName>
    <definedName name="prt_diesel_III_y1" localSheetId="24">#REF!</definedName>
    <definedName name="prt_diesel_III_y1">#REF!</definedName>
    <definedName name="prt_diesel_III_y2" localSheetId="24">#REF!</definedName>
    <definedName name="prt_diesel_III_y2">#REF!</definedName>
    <definedName name="prt_hyd_diesel_y0" localSheetId="24">#REF!</definedName>
    <definedName name="prt_hyd_diesel_y0">#REF!</definedName>
    <definedName name="prt_hyd_diesel_y1" localSheetId="24">#REF!</definedName>
    <definedName name="prt_hyd_diesel_y1">#REF!</definedName>
    <definedName name="prt_hyd_diesel_y2" localSheetId="24">#REF!</definedName>
    <definedName name="prt_hyd_diesel_y2">#REF!</definedName>
    <definedName name="prt_system_y0" localSheetId="24">#REF!</definedName>
    <definedName name="prt_system_y0">#REF!</definedName>
    <definedName name="prt_system_y1" localSheetId="24">#REF!</definedName>
    <definedName name="prt_system_y1">#REF!</definedName>
    <definedName name="prt_system_y2" localSheetId="24">#REF!</definedName>
    <definedName name="prt_system_y2">#REF!</definedName>
    <definedName name="RiderJForecast" localSheetId="26">'S13.1'!#REF!</definedName>
    <definedName name="RiderJForecast" localSheetId="19">#REF!</definedName>
    <definedName name="RiderJForecast" localSheetId="24">#REF!</definedName>
    <definedName name="RiderJForecast">#REF!</definedName>
    <definedName name="rolling" localSheetId="1">#REF!</definedName>
    <definedName name="rolling" localSheetId="2">#REF!</definedName>
    <definedName name="rolling" localSheetId="3">#REF!</definedName>
    <definedName name="rolling" localSheetId="8">#REF!</definedName>
    <definedName name="rolling" localSheetId="10">#REF!</definedName>
    <definedName name="rolling" localSheetId="19">#REF!</definedName>
    <definedName name="rolling" localSheetId="23">#REF!</definedName>
    <definedName name="rolling" localSheetId="24">#REF!</definedName>
    <definedName name="rolling">#REF!</definedName>
    <definedName name="Salesforecastdollars" localSheetId="10">#REF!</definedName>
    <definedName name="Salesforecastdollars" localSheetId="19">#REF!</definedName>
    <definedName name="Salesforecastdollars" localSheetId="24">#REF!</definedName>
    <definedName name="Salesforecastdollars">#REF!</definedName>
    <definedName name="SalesforecastKWh" localSheetId="19">#REF!</definedName>
    <definedName name="SalesforecastKWh" localSheetId="24">#REF!</definedName>
    <definedName name="SalesforecastKWh">#REF!</definedName>
    <definedName name="Schedule_11.1" localSheetId="24">#REF!</definedName>
    <definedName name="Schedule_11.1">#REF!</definedName>
    <definedName name="Schedule_11.10" localSheetId="24">#REF!</definedName>
    <definedName name="Schedule_11.10">#REF!</definedName>
    <definedName name="Schedule_11.11" localSheetId="24">#REF!</definedName>
    <definedName name="Schedule_11.11">#REF!</definedName>
    <definedName name="Schedule_11.12" localSheetId="24">#REF!</definedName>
    <definedName name="Schedule_11.12">#REF!</definedName>
    <definedName name="Schedule_11.13" localSheetId="24">#REF!</definedName>
    <definedName name="Schedule_11.13">#REF!</definedName>
    <definedName name="Schedule_11.14" localSheetId="24">#REF!</definedName>
    <definedName name="Schedule_11.14">#REF!</definedName>
    <definedName name="Schedule_11.15" localSheetId="24">#REF!</definedName>
    <definedName name="Schedule_11.15">#REF!</definedName>
    <definedName name="Schedule_11.16" localSheetId="24">#REF!</definedName>
    <definedName name="Schedule_11.16">#REF!</definedName>
    <definedName name="Schedule_11.17" localSheetId="24">#REF!</definedName>
    <definedName name="Schedule_11.17">#REF!</definedName>
    <definedName name="Schedule_11.18" localSheetId="24">#REF!</definedName>
    <definedName name="Schedule_11.18">#REF!</definedName>
    <definedName name="Schedule_11.19" localSheetId="24">#REF!</definedName>
    <definedName name="Schedule_11.19">#REF!</definedName>
    <definedName name="Schedule_11.2" localSheetId="24">#REF!</definedName>
    <definedName name="Schedule_11.2">#REF!</definedName>
    <definedName name="Schedule_11.20" localSheetId="24">#REF!</definedName>
    <definedName name="Schedule_11.20">#REF!</definedName>
    <definedName name="Schedule_11.21" localSheetId="24">#REF!</definedName>
    <definedName name="Schedule_11.21">#REF!</definedName>
    <definedName name="Schedule_11.22" localSheetId="24">#REF!</definedName>
    <definedName name="Schedule_11.22">#REF!</definedName>
    <definedName name="Schedule_11.23" localSheetId="24">#REF!</definedName>
    <definedName name="Schedule_11.23">#REF!</definedName>
    <definedName name="Schedule_11.24" localSheetId="24">#REF!</definedName>
    <definedName name="Schedule_11.24">#REF!</definedName>
    <definedName name="Schedule_11.25" localSheetId="24">#REF!</definedName>
    <definedName name="Schedule_11.25">#REF!</definedName>
    <definedName name="Schedule_11.26" localSheetId="24">#REF!</definedName>
    <definedName name="Schedule_11.26">#REF!</definedName>
    <definedName name="Schedule_11.27" localSheetId="24">#REF!</definedName>
    <definedName name="Schedule_11.27">#REF!</definedName>
    <definedName name="Schedule_11.28" localSheetId="24">#REF!</definedName>
    <definedName name="Schedule_11.28">#REF!</definedName>
    <definedName name="Schedule_11.29" localSheetId="24">#REF!</definedName>
    <definedName name="Schedule_11.29">#REF!</definedName>
    <definedName name="Schedule_11.3" localSheetId="24">#REF!</definedName>
    <definedName name="Schedule_11.3">#REF!</definedName>
    <definedName name="Schedule_11.4" localSheetId="24">#REF!</definedName>
    <definedName name="Schedule_11.4">#REF!</definedName>
    <definedName name="Schedule_11.5" localSheetId="24">#REF!</definedName>
    <definedName name="Schedule_11.5">#REF!</definedName>
    <definedName name="Schedule_11.6" localSheetId="24">#REF!</definedName>
    <definedName name="Schedule_11.6">#REF!</definedName>
    <definedName name="Schedule_11.7" localSheetId="24">#REF!</definedName>
    <definedName name="Schedule_11.7">#REF!</definedName>
    <definedName name="Schedule_11.8" localSheetId="24">#REF!</definedName>
    <definedName name="Schedule_11.8">#REF!</definedName>
    <definedName name="Schedule_11.9" localSheetId="24">#REF!</definedName>
    <definedName name="Schedule_11.9">#REF!</definedName>
    <definedName name="Schedule10B5" localSheetId="19">#REF!</definedName>
    <definedName name="Schedule10B5" localSheetId="24">#REF!</definedName>
    <definedName name="Schedule10B5">#REF!</definedName>
    <definedName name="Schedule11B4" localSheetId="19">#REF!</definedName>
    <definedName name="Schedule11B4" localSheetId="24">#REF!</definedName>
    <definedName name="Schedule11B4">#REF!</definedName>
    <definedName name="Schedule11B5" localSheetId="19">#REF!</definedName>
    <definedName name="Schedule11B5" localSheetId="24">#REF!</definedName>
    <definedName name="Schedule11B5">#REF!</definedName>
    <definedName name="Schedule12B2" localSheetId="19">#REF!</definedName>
    <definedName name="Schedule12B2" localSheetId="24">#REF!</definedName>
    <definedName name="Schedule12B2">#REF!</definedName>
    <definedName name="Schedule15B2" localSheetId="19">#REF!</definedName>
    <definedName name="Schedule15B2" localSheetId="24">#REF!</definedName>
    <definedName name="Schedule15B2">#REF!</definedName>
    <definedName name="Schedule15B3" localSheetId="19">#REF!</definedName>
    <definedName name="Schedule15B3" localSheetId="24">#REF!</definedName>
    <definedName name="Schedule15B3">#REF!</definedName>
    <definedName name="Schedule16B3" localSheetId="19">#REF!</definedName>
    <definedName name="Schedule16B3" localSheetId="24">#REF!</definedName>
    <definedName name="Schedule16B3">#REF!</definedName>
    <definedName name="Schedule16B4" localSheetId="19">#REF!</definedName>
    <definedName name="Schedule16B4" localSheetId="24">#REF!</definedName>
    <definedName name="Schedule16B4">#REF!</definedName>
    <definedName name="Schedule16B5" localSheetId="19">#REF!</definedName>
    <definedName name="Schedule16B5" localSheetId="24">#REF!</definedName>
    <definedName name="Schedule16B5">#REF!</definedName>
    <definedName name="Schedule17B3" localSheetId="19">#REF!</definedName>
    <definedName name="Schedule17B3" localSheetId="24">#REF!</definedName>
    <definedName name="Schedule17B3">#REF!</definedName>
    <definedName name="Schedule17B4" localSheetId="19">#REF!</definedName>
    <definedName name="Schedule17B4" localSheetId="24">#REF!</definedName>
    <definedName name="Schedule17B4">#REF!</definedName>
    <definedName name="Schedule19B2" localSheetId="10">#REF!</definedName>
    <definedName name="Schedule19B2" localSheetId="19">#REF!</definedName>
    <definedName name="Schedule19B2" localSheetId="24">#REF!</definedName>
    <definedName name="Schedule19B2">#REF!</definedName>
    <definedName name="Schedule20B5" localSheetId="10">#REF!</definedName>
    <definedName name="Schedule20B5" localSheetId="19">#REF!</definedName>
    <definedName name="Schedule20B5" localSheetId="24">#REF!</definedName>
    <definedName name="Schedule20B5">#REF!</definedName>
    <definedName name="Schedule21B4" localSheetId="10">#REF!</definedName>
    <definedName name="Schedule21B4" localSheetId="19">#REF!</definedName>
    <definedName name="Schedule21B4" localSheetId="24">#REF!</definedName>
    <definedName name="Schedule21B4">#REF!</definedName>
    <definedName name="Schedule21B5" localSheetId="19">#REF!</definedName>
    <definedName name="Schedule21B5" localSheetId="24">#REF!</definedName>
    <definedName name="Schedule21B5">#REF!</definedName>
    <definedName name="Schedule22B2" localSheetId="19">#REF!</definedName>
    <definedName name="Schedule22B2" localSheetId="24">#REF!</definedName>
    <definedName name="Schedule22B2">#REF!</definedName>
    <definedName name="Schedule22B4" localSheetId="19">#REF!</definedName>
    <definedName name="Schedule22B4" localSheetId="24">#REF!</definedName>
    <definedName name="Schedule22B4">#REF!</definedName>
    <definedName name="Schedule22B5" localSheetId="19">#REF!</definedName>
    <definedName name="Schedule22B5" localSheetId="24">#REF!</definedName>
    <definedName name="Schedule22B5">#REF!</definedName>
    <definedName name="Schedule22B8" localSheetId="19">#REF!</definedName>
    <definedName name="Schedule22B8" localSheetId="24">#REF!</definedName>
    <definedName name="Schedule22B8">#REF!</definedName>
    <definedName name="Schedule24E1" localSheetId="19">#REF!</definedName>
    <definedName name="Schedule24E1" localSheetId="24">#REF!</definedName>
    <definedName name="Schedule24E1">#REF!</definedName>
    <definedName name="Schedule24E2" localSheetId="19">#REF!</definedName>
    <definedName name="Schedule24E2" localSheetId="24">#REF!</definedName>
    <definedName name="Schedule24E2">#REF!</definedName>
    <definedName name="Schedule24E3" localSheetId="19">#REF!</definedName>
    <definedName name="Schedule24E3" localSheetId="24">#REF!</definedName>
    <definedName name="Schedule24E3">#REF!</definedName>
    <definedName name="Schedule26E4" localSheetId="19">#REF!</definedName>
    <definedName name="Schedule26E4" localSheetId="24">#REF!</definedName>
    <definedName name="Schedule26E4">#REF!</definedName>
    <definedName name="Schedule26E5" localSheetId="19">#REF!</definedName>
    <definedName name="Schedule26E5" localSheetId="24">#REF!</definedName>
    <definedName name="Schedule26E5">#REF!</definedName>
    <definedName name="Schedule29B1" localSheetId="19">#REF!</definedName>
    <definedName name="Schedule29B1" localSheetId="24">#REF!</definedName>
    <definedName name="Schedule29B1">#REF!</definedName>
    <definedName name="Schedule29B10" localSheetId="19">#REF!</definedName>
    <definedName name="Schedule29B10" localSheetId="24">#REF!</definedName>
    <definedName name="Schedule29B10">#REF!</definedName>
    <definedName name="Schedule30B1" localSheetId="19">#REF!</definedName>
    <definedName name="Schedule30B1" localSheetId="24">#REF!</definedName>
    <definedName name="Schedule30B1">#REF!</definedName>
    <definedName name="Schedule4B2" localSheetId="19">#REF!</definedName>
    <definedName name="Schedule4B2" localSheetId="24">#REF!</definedName>
    <definedName name="Schedule4B2">#REF!</definedName>
    <definedName name="Schedule4B5" localSheetId="19">#REF!</definedName>
    <definedName name="Schedule4B5" localSheetId="24">#REF!</definedName>
    <definedName name="Schedule4B5">#REF!</definedName>
    <definedName name="Schedule5B2" localSheetId="19">#REF!</definedName>
    <definedName name="Schedule5B2" localSheetId="24">#REF!</definedName>
    <definedName name="Schedule5B2">#REF!</definedName>
    <definedName name="Schedule5B3" localSheetId="19">#REF!</definedName>
    <definedName name="Schedule5B3" localSheetId="24">#REF!</definedName>
    <definedName name="Schedule5B3">#REF!</definedName>
    <definedName name="Schedule5B4" localSheetId="19">#REF!</definedName>
    <definedName name="Schedule5B4" localSheetId="24">#REF!</definedName>
    <definedName name="Schedule5B4">#REF!</definedName>
    <definedName name="Schedule6B3" localSheetId="19">#REF!</definedName>
    <definedName name="Schedule6B3" localSheetId="24">#REF!</definedName>
    <definedName name="Schedule6B3">#REF!</definedName>
    <definedName name="Schedule6B4" localSheetId="19">#REF!</definedName>
    <definedName name="Schedule6B4" localSheetId="24">#REF!</definedName>
    <definedName name="Schedule6B4">#REF!</definedName>
    <definedName name="Schedule6B5" localSheetId="19">#REF!</definedName>
    <definedName name="Schedule6B5" localSheetId="24">#REF!</definedName>
    <definedName name="Schedule6B5">#REF!</definedName>
    <definedName name="Schedule7B4" localSheetId="19">#REF!</definedName>
    <definedName name="Schedule7B4" localSheetId="24">#REF!</definedName>
    <definedName name="Schedule7B4">#REF!</definedName>
    <definedName name="Schedule9B2" localSheetId="10">#REF!</definedName>
    <definedName name="Schedule9B2" localSheetId="19">#REF!</definedName>
    <definedName name="Schedule9B2" localSheetId="24">#REF!</definedName>
    <definedName name="Schedule9B2">#REF!</definedName>
    <definedName name="snare" localSheetId="24">#REF!</definedName>
    <definedName name="snare">#REF!</definedName>
    <definedName name="snare1" localSheetId="24">#REF!</definedName>
    <definedName name="snare1">#REF!</definedName>
    <definedName name="Specialized_Hardware" localSheetId="19">#REF!</definedName>
    <definedName name="Specialized_Hardware" localSheetId="24">#REF!</definedName>
    <definedName name="Specialized_Hardware">#REF!</definedName>
    <definedName name="SUMMARY" localSheetId="1">#REF!</definedName>
    <definedName name="SUMMARY" localSheetId="2">#REF!</definedName>
    <definedName name="SUMMARY" localSheetId="3">#REF!</definedName>
    <definedName name="SUMMARY" localSheetId="8">#REF!</definedName>
    <definedName name="SUMMARY" localSheetId="10">#REF!</definedName>
    <definedName name="SUMMARY" localSheetId="19">#REF!</definedName>
    <definedName name="SUMMARY" localSheetId="23">#REF!</definedName>
    <definedName name="SUMMARY" localSheetId="24">#REF!</definedName>
    <definedName name="SUMMARY">#REF!</definedName>
    <definedName name="Terminals_cost" localSheetId="10">#REF!</definedName>
    <definedName name="Terminals_cost" localSheetId="19">#REF!</definedName>
    <definedName name="Terminals_cost" localSheetId="24">#REF!</definedName>
    <definedName name="Terminals_cost">#REF!</definedName>
    <definedName name="Terminals_num" localSheetId="10">#REF!</definedName>
    <definedName name="Terminals_num" localSheetId="19">#REF!</definedName>
    <definedName name="Terminals_num" localSheetId="24">#REF!</definedName>
    <definedName name="Terminals_num">#REF!</definedName>
    <definedName name="TL_K" localSheetId="24">#REF!</definedName>
    <definedName name="TL_K">#REF!</definedName>
    <definedName name="TOdepall" localSheetId="24">#REF!</definedName>
    <definedName name="TOdepall">#REF!</definedName>
    <definedName name="TOforeall" localSheetId="24">#REF!</definedName>
    <definedName name="TOforeall">#REF!</definedName>
    <definedName name="Total_Distributed" localSheetId="19">#REF!</definedName>
    <definedName name="Total_Distributed" localSheetId="24">#REF!</definedName>
    <definedName name="Total_Distributed">#REF!</definedName>
    <definedName name="Total_Hardware" localSheetId="19">#REF!</definedName>
    <definedName name="Total_Hardware" localSheetId="24">#REF!</definedName>
    <definedName name="Total_Hardware">#REF!</definedName>
    <definedName name="Total_Mainframe_Costs" localSheetId="19">#REF!</definedName>
    <definedName name="Total_Mainframe_Costs" localSheetId="24">#REF!</definedName>
    <definedName name="Total_Mainframe_Costs">#REF!</definedName>
    <definedName name="TOTAL_O_M" localSheetId="19">#REF!</definedName>
    <definedName name="TOTAL_O_M" localSheetId="24">#REF!</definedName>
    <definedName name="TOTAL_O_M">#REF!</definedName>
    <definedName name="Total_Standard_Hardware" localSheetId="19">#REF!</definedName>
    <definedName name="Total_Standard_Hardware" localSheetId="24">#REF!</definedName>
    <definedName name="Total_Standard_Hardware">#REF!</definedName>
    <definedName name="Training_Cost" localSheetId="19">#REF!</definedName>
    <definedName name="Training_Cost" localSheetId="24">#REF!</definedName>
    <definedName name="Training_Cost">#REF!</definedName>
    <definedName name="trout1" localSheetId="24">#REF!</definedName>
    <definedName name="trout1">#REF!</definedName>
    <definedName name="variance" localSheetId="1">#REF!</definedName>
    <definedName name="variance" localSheetId="2">#REF!</definedName>
    <definedName name="variance" localSheetId="3">#REF!</definedName>
    <definedName name="variance" localSheetId="8">#REF!</definedName>
    <definedName name="variance" localSheetId="10">#REF!</definedName>
    <definedName name="variance" localSheetId="19">#REF!</definedName>
    <definedName name="variance" localSheetId="23">#REF!</definedName>
    <definedName name="variance" localSheetId="24">#REF!</definedName>
    <definedName name="variance">#REF!</definedName>
    <definedName name="Voice___Long_Distance" localSheetId="10">#REF!</definedName>
    <definedName name="Voice___Long_Distance" localSheetId="19">#REF!</definedName>
    <definedName name="Voice___Long_Distance" localSheetId="24">#REF!</definedName>
    <definedName name="Voice___Long_Distance">#REF!</definedName>
    <definedName name="Voice_Lines_cost" localSheetId="10">#REF!</definedName>
    <definedName name="Voice_Lines_cost" localSheetId="19">#REF!</definedName>
    <definedName name="Voice_Lines_cost" localSheetId="24">#REF!</definedName>
    <definedName name="Voice_Lines_cost">#REF!</definedName>
    <definedName name="Voice_Lines_num" localSheetId="19">#REF!</definedName>
    <definedName name="Voice_Lines_num" localSheetId="24">#REF!</definedName>
    <definedName name="Voice_Lines_num">#REF!</definedName>
    <definedName name="Voice_Mail_cost" localSheetId="19">#REF!</definedName>
    <definedName name="Voice_Mail_cost" localSheetId="24">#REF!</definedName>
    <definedName name="Voice_Mail_cost">#REF!</definedName>
    <definedName name="Voice_Mail_num" localSheetId="19">#REF!</definedName>
    <definedName name="Voice_Mail_num" localSheetId="24">#REF!</definedName>
    <definedName name="Voice_Mail_num">#REF!</definedName>
    <definedName name="Voice_Sets_cost" localSheetId="19">#REF!</definedName>
    <definedName name="Voice_Sets_cost" localSheetId="24">#REF!</definedName>
    <definedName name="Voice_Sets_cost">#REF!</definedName>
    <definedName name="Voice_Sets_num" localSheetId="19">#REF!</definedName>
    <definedName name="Voice_Sets_num" localSheetId="24">#REF!</definedName>
    <definedName name="Voice_Sets_num">#REF!</definedName>
    <definedName name="WAN" localSheetId="19">#REF!</definedName>
    <definedName name="WAN" localSheetId="24">#REF!</definedName>
    <definedName name="WAN">#REF!</definedName>
    <definedName name="Wek_K" localSheetId="24">#REF!</definedName>
    <definedName name="Wek_K">#REF!</definedName>
    <definedName name="xxExistingRiderC" localSheetId="24">#REF!</definedName>
    <definedName name="xxExistingRiderC">#REF!</definedName>
    <definedName name="xxExistingRiderP" localSheetId="24">#REF!</definedName>
    <definedName name="xxExistingRiderP">#REF!</definedName>
    <definedName name="xxHR05TOT" localSheetId="24">#REF!</definedName>
    <definedName name="xxHR05TOT">#REF!</definedName>
    <definedName name="xxHRGS" localSheetId="24">#REF!</definedName>
    <definedName name="xxHRGS">#REF!</definedName>
    <definedName name="xxHRLGS" localSheetId="24">#REF!</definedName>
    <definedName name="xxHRLGS">#REF!</definedName>
    <definedName name="xxHRR" localSheetId="24">#REF!</definedName>
    <definedName name="xxHRR">#REF!</definedName>
    <definedName name="xxHRSPL" localSheetId="24">#REF!</definedName>
    <definedName name="xxHRSPL">#REF!</definedName>
    <definedName name="xxHRSTL" localSheetId="24">#REF!</definedName>
    <definedName name="xxHRSTL">#REF!</definedName>
    <definedName name="xyrlabel" localSheetId="24">#REF!</definedName>
    <definedName name="xyrlabel">#REF!</definedName>
    <definedName name="Z_275E5119_9E8C_43ED_ACD2_DF40CF10B219_.wvu.PrintArea" localSheetId="10" hidden="1">'S5.3'!$A$1:$V$29</definedName>
    <definedName name="Z_275E5119_9E8C_43ED_ACD2_DF40CF10B219_.wvu.PrintArea" localSheetId="19" hidden="1">'S8.9'!$A$1:$G$17</definedName>
    <definedName name="Z_418DF6FE_13EF_11D2_8C37_00A0C92A9A63_.wvu.Rows" localSheetId="26" hidden="1">'S13.1'!#REF!,'S13.1'!#REF!,'S13.1'!#REF!,'S13.1'!#REF!,'S13.1'!#REF!,'S13.1'!#REF!,'S13.1'!#REF!</definedName>
    <definedName name="Z_418DF6FE_13EF_11D2_8C37_00A0C92A9A63_.wvu.Rows" localSheetId="10" hidden="1">#REF!,#REF!,#REF!,#REF!,#REF!,#REF!,#REF!</definedName>
    <definedName name="Z_418DF6FE_13EF_11D2_8C37_00A0C92A9A63_.wvu.Rows" localSheetId="19" hidden="1">#REF!,#REF!,#REF!,#REF!,#REF!,#REF!,#REF!</definedName>
    <definedName name="Z_418DF6FE_13EF_11D2_8C37_00A0C92A9A63_.wvu.Rows" localSheetId="24" hidden="1">#REF!,#REF!,#REF!,#REF!,#REF!,#REF!,#REF!</definedName>
    <definedName name="Z_418DF6FE_13EF_11D2_8C37_00A0C92A9A63_.wvu.Rows" hidden="1">#REF!,#REF!,#REF!,#REF!,#REF!,#REF!,#REF!</definedName>
  </definedNames>
  <calcPr calcId="191028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7" i="26" l="1"/>
  <c r="N47" i="26"/>
  <c r="A27" i="48"/>
  <c r="A28" i="48" s="1"/>
  <c r="A30" i="6"/>
  <c r="A31" i="6" s="1"/>
  <c r="A12" i="4"/>
  <c r="A13" i="4" s="1"/>
  <c r="A14" i="4" s="1"/>
  <c r="A15" i="4" s="1"/>
  <c r="A16" i="4" s="1"/>
  <c r="A17" i="4" s="1"/>
  <c r="A18" i="4" s="1"/>
  <c r="A19" i="4" s="1"/>
  <c r="A20" i="4" s="1"/>
  <c r="A21" i="4" s="1"/>
  <c r="A11" i="4"/>
  <c r="A63" i="3"/>
  <c r="A64" i="3"/>
  <c r="A65" i="3"/>
  <c r="A66" i="3"/>
  <c r="A67" i="3"/>
  <c r="A68" i="3"/>
  <c r="A69" i="3"/>
  <c r="A70" i="3"/>
  <c r="A71" i="3" s="1"/>
  <c r="A72" i="3" s="1"/>
  <c r="A73" i="3" s="1"/>
  <c r="A74" i="3" s="1"/>
  <c r="A75" i="3" s="1"/>
  <c r="A28" i="3"/>
  <c r="A29" i="3"/>
  <c r="A30" i="3"/>
  <c r="A31" i="3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L38" i="27"/>
  <c r="N40" i="27"/>
  <c r="N23" i="27"/>
  <c r="N42" i="27" s="1"/>
  <c r="N38" i="27"/>
  <c r="L16" i="27"/>
  <c r="A38" i="27"/>
  <c r="A39" i="27" s="1"/>
  <c r="A40" i="27" s="1"/>
  <c r="A41" i="27" s="1"/>
  <c r="J13" i="22"/>
  <c r="R40" i="27"/>
  <c r="T40" i="27"/>
  <c r="I13" i="22"/>
  <c r="L13" i="22"/>
  <c r="O20" i="2"/>
  <c r="A63" i="42"/>
  <c r="J23" i="35"/>
  <c r="H20" i="35"/>
  <c r="I23" i="35"/>
  <c r="I20" i="35"/>
  <c r="Q64" i="26" l="1"/>
  <c r="E15" i="12"/>
  <c r="F319" i="42"/>
  <c r="G319" i="42"/>
  <c r="H319" i="42"/>
  <c r="I319" i="42"/>
  <c r="J319" i="42"/>
  <c r="I23" i="2"/>
  <c r="K319" i="42"/>
  <c r="F408" i="42" l="1"/>
  <c r="K408" i="42"/>
  <c r="J408" i="42"/>
  <c r="K15" i="4"/>
  <c r="G47" i="26"/>
  <c r="F27" i="27"/>
  <c r="G27" i="27"/>
  <c r="I27" i="27"/>
  <c r="J27" i="27"/>
  <c r="K27" i="27"/>
  <c r="L27" i="27"/>
  <c r="B15" i="44"/>
  <c r="B31" i="44"/>
  <c r="B33" i="44"/>
  <c r="E39" i="18"/>
  <c r="E15" i="20"/>
  <c r="A17" i="2"/>
  <c r="A18" i="2" s="1"/>
  <c r="A19" i="2" s="1"/>
  <c r="A20" i="2" s="1"/>
  <c r="A21" i="2" s="1"/>
  <c r="A22" i="2" s="1"/>
  <c r="A23" i="2" s="1"/>
  <c r="A24" i="2" s="1"/>
  <c r="A25" i="2" s="1"/>
  <c r="N11" i="23"/>
  <c r="L11" i="23"/>
  <c r="J11" i="23"/>
  <c r="I11" i="23"/>
  <c r="Q16" i="2"/>
  <c r="O16" i="2"/>
  <c r="I16" i="2"/>
  <c r="J16" i="2"/>
  <c r="K16" i="2"/>
  <c r="L16" i="2"/>
  <c r="M16" i="2"/>
  <c r="H16" i="2"/>
  <c r="G16" i="2"/>
  <c r="J18" i="22"/>
  <c r="D78" i="16"/>
  <c r="D117" i="16"/>
  <c r="D106" i="16"/>
  <c r="A16" i="5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J56" i="22"/>
  <c r="H33" i="27"/>
  <c r="I33" i="27"/>
  <c r="J33" i="27"/>
  <c r="K33" i="27"/>
  <c r="L33" i="27"/>
  <c r="M33" i="27"/>
  <c r="N33" i="27"/>
  <c r="O33" i="27"/>
  <c r="P33" i="27"/>
  <c r="G33" i="27"/>
  <c r="F33" i="27"/>
  <c r="F29" i="27"/>
  <c r="F28" i="27"/>
  <c r="I28" i="27"/>
  <c r="J28" i="27"/>
  <c r="K28" i="27"/>
  <c r="L28" i="27"/>
  <c r="D25" i="18"/>
  <c r="I151" i="47"/>
  <c r="H151" i="47"/>
  <c r="D69" i="22"/>
  <c r="D61" i="22"/>
  <c r="D24" i="22" s="1"/>
  <c r="D53" i="22"/>
  <c r="D44" i="22"/>
  <c r="D22" i="22" s="1"/>
  <c r="D35" i="22"/>
  <c r="D16" i="22"/>
  <c r="D14" i="22"/>
  <c r="D13" i="22"/>
  <c r="E41" i="21"/>
  <c r="D41" i="18" l="1"/>
  <c r="D33" i="18"/>
  <c r="D17" i="18"/>
  <c r="K23" i="35"/>
  <c r="L23" i="35"/>
  <c r="L27" i="35" s="1"/>
  <c r="M23" i="35"/>
  <c r="N23" i="35"/>
  <c r="H23" i="35"/>
  <c r="K116" i="42"/>
  <c r="K397" i="42"/>
  <c r="M319" i="42"/>
  <c r="E319" i="42"/>
  <c r="A10" i="42"/>
  <c r="A11" i="42" s="1"/>
  <c r="A12" i="42" s="1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A34" i="42" s="1"/>
  <c r="A35" i="42" s="1"/>
  <c r="A36" i="42" s="1"/>
  <c r="A37" i="42" s="1"/>
  <c r="A38" i="42" s="1"/>
  <c r="A39" i="42" s="1"/>
  <c r="A40" i="42" s="1"/>
  <c r="H22" i="2"/>
  <c r="J22" i="2"/>
  <c r="K22" i="2"/>
  <c r="F16" i="7"/>
  <c r="F15" i="7"/>
  <c r="G18" i="6"/>
  <c r="H18" i="6"/>
  <c r="I18" i="6"/>
  <c r="J18" i="6"/>
  <c r="K18" i="6"/>
  <c r="L18" i="6"/>
  <c r="M18" i="6"/>
  <c r="O18" i="6"/>
  <c r="Q18" i="6"/>
  <c r="L30" i="5"/>
  <c r="G20" i="5"/>
  <c r="G19" i="5"/>
  <c r="N68" i="3"/>
  <c r="A96" i="47"/>
  <c r="A97" i="47" s="1"/>
  <c r="A98" i="47" s="1"/>
  <c r="A99" i="47" s="1"/>
  <c r="A100" i="47" s="1"/>
  <c r="A101" i="47" s="1"/>
  <c r="A102" i="47" s="1"/>
  <c r="A103" i="47" s="1"/>
  <c r="A104" i="47" s="1"/>
  <c r="A105" i="47" s="1"/>
  <c r="A106" i="47" s="1"/>
  <c r="A107" i="47" s="1"/>
  <c r="A108" i="47" s="1"/>
  <c r="A109" i="47" s="1"/>
  <c r="A110" i="47" s="1"/>
  <c r="A111" i="47" s="1"/>
  <c r="A112" i="47" s="1"/>
  <c r="A113" i="47" s="1"/>
  <c r="A114" i="47" s="1"/>
  <c r="A115" i="47" s="1"/>
  <c r="A116" i="47" s="1"/>
  <c r="A117" i="47" s="1"/>
  <c r="A118" i="47" s="1"/>
  <c r="A119" i="47" s="1"/>
  <c r="A120" i="47" s="1"/>
  <c r="A121" i="47" s="1"/>
  <c r="A122" i="47" s="1"/>
  <c r="A123" i="47" s="1"/>
  <c r="A124" i="47" s="1"/>
  <c r="A125" i="47" s="1"/>
  <c r="A126" i="47" s="1"/>
  <c r="A127" i="47" s="1"/>
  <c r="A128" i="47" s="1"/>
  <c r="A129" i="47" s="1"/>
  <c r="A130" i="47" s="1"/>
  <c r="A131" i="47" s="1"/>
  <c r="A132" i="47" s="1"/>
  <c r="A133" i="47" s="1"/>
  <c r="A134" i="47" s="1"/>
  <c r="A135" i="47" s="1"/>
  <c r="A136" i="47" s="1"/>
  <c r="A137" i="47" s="1"/>
  <c r="A138" i="47" s="1"/>
  <c r="A139" i="47" s="1"/>
  <c r="A140" i="47" s="1"/>
  <c r="A141" i="47" s="1"/>
  <c r="A142" i="47" s="1"/>
  <c r="A143" i="47" s="1"/>
  <c r="A144" i="47" s="1"/>
  <c r="A145" i="47" s="1"/>
  <c r="A146" i="47" s="1"/>
  <c r="A147" i="47" s="1"/>
  <c r="A148" i="47" s="1"/>
  <c r="A149" i="47" s="1"/>
  <c r="A150" i="47" s="1"/>
  <c r="A151" i="47" s="1"/>
  <c r="A152" i="47" s="1"/>
  <c r="A153" i="47" s="1"/>
  <c r="A154" i="47" s="1"/>
  <c r="A155" i="47" s="1"/>
  <c r="A156" i="47" s="1"/>
  <c r="A157" i="47" s="1"/>
  <c r="A158" i="47" s="1"/>
  <c r="A159" i="47" s="1"/>
  <c r="A160" i="47" s="1"/>
  <c r="A161" i="47" s="1"/>
  <c r="A162" i="47" s="1"/>
  <c r="A163" i="47" s="1"/>
  <c r="A164" i="47" s="1"/>
  <c r="A165" i="47" s="1"/>
  <c r="A166" i="47" s="1"/>
  <c r="A167" i="47" s="1"/>
  <c r="A168" i="47" s="1"/>
  <c r="A169" i="47" s="1"/>
  <c r="A170" i="47" s="1"/>
  <c r="A171" i="47" s="1"/>
  <c r="A172" i="47" s="1"/>
  <c r="A173" i="47" s="1"/>
  <c r="A174" i="47" s="1"/>
  <c r="A175" i="47" s="1"/>
  <c r="A176" i="47" s="1"/>
  <c r="A177" i="47" s="1"/>
  <c r="A178" i="47" s="1"/>
  <c r="A179" i="47" s="1"/>
  <c r="A180" i="47" s="1"/>
  <c r="A181" i="47" s="1"/>
  <c r="A182" i="47" s="1"/>
  <c r="A183" i="47" s="1"/>
  <c r="A184" i="47" s="1"/>
  <c r="A185" i="47" s="1"/>
  <c r="A186" i="47" s="1"/>
  <c r="A187" i="47" s="1"/>
  <c r="A188" i="47" s="1"/>
  <c r="A189" i="47" s="1"/>
  <c r="A190" i="47" s="1"/>
  <c r="A191" i="47" s="1"/>
  <c r="A192" i="47" s="1"/>
  <c r="A193" i="47" s="1"/>
  <c r="A194" i="47" s="1"/>
  <c r="A195" i="47" s="1"/>
  <c r="A196" i="47" s="1"/>
  <c r="A197" i="47" s="1"/>
  <c r="A198" i="47" s="1"/>
  <c r="A199" i="47" s="1"/>
  <c r="A200" i="47" s="1"/>
  <c r="A201" i="47" s="1"/>
  <c r="A202" i="47" s="1"/>
  <c r="A203" i="47" s="1"/>
  <c r="A204" i="47" s="1"/>
  <c r="A205" i="47" s="1"/>
  <c r="A206" i="47" s="1"/>
  <c r="A207" i="47" s="1"/>
  <c r="A208" i="47" s="1"/>
  <c r="A209" i="47" s="1"/>
  <c r="A210" i="47" s="1"/>
  <c r="A211" i="47" s="1"/>
  <c r="A212" i="47" s="1"/>
  <c r="A213" i="47" s="1"/>
  <c r="A214" i="47" s="1"/>
  <c r="A215" i="47" s="1"/>
  <c r="A216" i="47" s="1"/>
  <c r="A217" i="47" s="1"/>
  <c r="A218" i="47" s="1"/>
  <c r="A219" i="47" s="1"/>
  <c r="A220" i="47" s="1"/>
  <c r="A221" i="47" s="1"/>
  <c r="A222" i="47" s="1"/>
  <c r="A223" i="47" s="1"/>
  <c r="A224" i="47" s="1"/>
  <c r="A225" i="47" s="1"/>
  <c r="A226" i="47" s="1"/>
  <c r="A227" i="47" s="1"/>
  <c r="A228" i="47" s="1"/>
  <c r="A229" i="47" s="1"/>
  <c r="A230" i="47" s="1"/>
  <c r="A231" i="47" s="1"/>
  <c r="A232" i="47" s="1"/>
  <c r="A233" i="47" s="1"/>
  <c r="A234" i="47" s="1"/>
  <c r="A235" i="47" s="1"/>
  <c r="A236" i="47" s="1"/>
  <c r="A237" i="47" s="1"/>
  <c r="A238" i="47" s="1"/>
  <c r="A239" i="47" s="1"/>
  <c r="A240" i="47" s="1"/>
  <c r="A241" i="47" s="1"/>
  <c r="A242" i="47" s="1"/>
  <c r="A243" i="47" s="1"/>
  <c r="A244" i="47" s="1"/>
  <c r="A245" i="47" s="1"/>
  <c r="A246" i="47" s="1"/>
  <c r="A247" i="47" s="1"/>
  <c r="A248" i="47" s="1"/>
  <c r="A249" i="47" s="1"/>
  <c r="A250" i="47" s="1"/>
  <c r="A251" i="47" s="1"/>
  <c r="A252" i="47" s="1"/>
  <c r="A253" i="47" s="1"/>
  <c r="A254" i="47" s="1"/>
  <c r="A255" i="47" s="1"/>
  <c r="A256" i="47" s="1"/>
  <c r="A257" i="47" s="1"/>
  <c r="A258" i="47" s="1"/>
  <c r="A259" i="47" s="1"/>
  <c r="A260" i="47" s="1"/>
  <c r="A261" i="47" s="1"/>
  <c r="A262" i="47" s="1"/>
  <c r="A263" i="47" s="1"/>
  <c r="A264" i="47" s="1"/>
  <c r="A265" i="47" s="1"/>
  <c r="A266" i="47" s="1"/>
  <c r="A267" i="47" s="1"/>
  <c r="A268" i="47" s="1"/>
  <c r="A269" i="47" s="1"/>
  <c r="A270" i="47" s="1"/>
  <c r="A271" i="47" s="1"/>
  <c r="A272" i="47" s="1"/>
  <c r="A273" i="47" s="1"/>
  <c r="A274" i="47" s="1"/>
  <c r="A275" i="47" s="1"/>
  <c r="A276" i="47" s="1"/>
  <c r="A277" i="47" s="1"/>
  <c r="A278" i="47" s="1"/>
  <c r="A279" i="47" s="1"/>
  <c r="A280" i="47" s="1"/>
  <c r="A281" i="47" s="1"/>
  <c r="A282" i="47" s="1"/>
  <c r="A283" i="47" s="1"/>
  <c r="A284" i="47" s="1"/>
  <c r="A285" i="47" s="1"/>
  <c r="A286" i="47" s="1"/>
  <c r="A287" i="47" s="1"/>
  <c r="A288" i="47" s="1"/>
  <c r="A289" i="47" s="1"/>
  <c r="A290" i="47" s="1"/>
  <c r="A291" i="47" s="1"/>
  <c r="A292" i="47" s="1"/>
  <c r="A293" i="47" s="1"/>
  <c r="A294" i="47" s="1"/>
  <c r="A295" i="47" s="1"/>
  <c r="A296" i="47" s="1"/>
  <c r="A297" i="47" s="1"/>
  <c r="A298" i="47" s="1"/>
  <c r="A299" i="47" s="1"/>
  <c r="A300" i="47" s="1"/>
  <c r="A301" i="47" s="1"/>
  <c r="A302" i="47" s="1"/>
  <c r="A303" i="47" s="1"/>
  <c r="A304" i="47" s="1"/>
  <c r="A305" i="47" s="1"/>
  <c r="A306" i="47" s="1"/>
  <c r="A307" i="47" s="1"/>
  <c r="A308" i="47" s="1"/>
  <c r="A309" i="47" s="1"/>
  <c r="A310" i="47" s="1"/>
  <c r="A311" i="47" s="1"/>
  <c r="A312" i="47" s="1"/>
  <c r="A313" i="47" s="1"/>
  <c r="A314" i="47" s="1"/>
  <c r="A315" i="47" s="1"/>
  <c r="A316" i="47" s="1"/>
  <c r="A317" i="47" s="1"/>
  <c r="A318" i="47" s="1"/>
  <c r="A319" i="47" s="1"/>
  <c r="A320" i="47" s="1"/>
  <c r="A321" i="47" s="1"/>
  <c r="A322" i="47" s="1"/>
  <c r="A323" i="47" s="1"/>
  <c r="A324" i="47" s="1"/>
  <c r="A325" i="47" s="1"/>
  <c r="A326" i="47" s="1"/>
  <c r="A327" i="47" s="1"/>
  <c r="A328" i="47" s="1"/>
  <c r="A329" i="47" s="1"/>
  <c r="A330" i="47" s="1"/>
  <c r="A331" i="47" s="1"/>
  <c r="A332" i="47" s="1"/>
  <c r="A333" i="47" s="1"/>
  <c r="A334" i="47" s="1"/>
  <c r="A335" i="47" s="1"/>
  <c r="A336" i="47" s="1"/>
  <c r="A337" i="47" s="1"/>
  <c r="A338" i="47" s="1"/>
  <c r="A339" i="47" s="1"/>
  <c r="A340" i="47" s="1"/>
  <c r="A341" i="47" s="1"/>
  <c r="A342" i="47" s="1"/>
  <c r="A343" i="47" s="1"/>
  <c r="A344" i="47" s="1"/>
  <c r="A345" i="47" s="1"/>
  <c r="A346" i="47" s="1"/>
  <c r="A347" i="47" s="1"/>
  <c r="A348" i="47" s="1"/>
  <c r="A349" i="47" s="1"/>
  <c r="A350" i="47" s="1"/>
  <c r="A351" i="47" s="1"/>
  <c r="A352" i="47" s="1"/>
  <c r="A353" i="47" s="1"/>
  <c r="A354" i="47" s="1"/>
  <c r="A355" i="47" s="1"/>
  <c r="A356" i="47" s="1"/>
  <c r="A357" i="47" s="1"/>
  <c r="A358" i="47" s="1"/>
  <c r="A359" i="47" s="1"/>
  <c r="A360" i="47" s="1"/>
  <c r="A361" i="47" s="1"/>
  <c r="A362" i="47" s="1"/>
  <c r="A363" i="47" s="1"/>
  <c r="A364" i="47" s="1"/>
  <c r="A365" i="47" s="1"/>
  <c r="A366" i="47" s="1"/>
  <c r="A367" i="47" s="1"/>
  <c r="A368" i="47" s="1"/>
  <c r="A369" i="47" s="1"/>
  <c r="A370" i="47" s="1"/>
  <c r="A371" i="47" s="1"/>
  <c r="A372" i="47" s="1"/>
  <c r="A373" i="47" s="1"/>
  <c r="A374" i="47" s="1"/>
  <c r="A375" i="47" s="1"/>
  <c r="A376" i="47" s="1"/>
  <c r="A377" i="47" s="1"/>
  <c r="A378" i="47" s="1"/>
  <c r="A379" i="47" s="1"/>
  <c r="A380" i="47" s="1"/>
  <c r="A381" i="47" s="1"/>
  <c r="A382" i="47" s="1"/>
  <c r="A383" i="47" s="1"/>
  <c r="A384" i="47" s="1"/>
  <c r="A385" i="47" s="1"/>
  <c r="A386" i="47" s="1"/>
  <c r="A387" i="47" s="1"/>
  <c r="A388" i="47" s="1"/>
  <c r="A389" i="47" s="1"/>
  <c r="A390" i="47" s="1"/>
  <c r="A391" i="47" s="1"/>
  <c r="A392" i="47" s="1"/>
  <c r="A393" i="47" s="1"/>
  <c r="A394" i="47" s="1"/>
  <c r="A395" i="47" s="1"/>
  <c r="A396" i="47" s="1"/>
  <c r="A397" i="47" s="1"/>
  <c r="A398" i="47" s="1"/>
  <c r="A399" i="47" s="1"/>
  <c r="A400" i="47" s="1"/>
  <c r="A401" i="47" s="1"/>
  <c r="A402" i="47" s="1"/>
  <c r="A403" i="47" s="1"/>
  <c r="A404" i="47" s="1"/>
  <c r="A405" i="47" s="1"/>
  <c r="A406" i="47" s="1"/>
  <c r="A407" i="47" s="1"/>
  <c r="A408" i="47" s="1"/>
  <c r="A409" i="47" s="1"/>
  <c r="A410" i="47" s="1"/>
  <c r="A411" i="47" s="1"/>
  <c r="A412" i="47" s="1"/>
  <c r="A413" i="47" s="1"/>
  <c r="A414" i="47" s="1"/>
  <c r="A415" i="47" s="1"/>
  <c r="A416" i="47" s="1"/>
  <c r="A417" i="47" s="1"/>
  <c r="A418" i="47" s="1"/>
  <c r="A419" i="47" s="1"/>
  <c r="A420" i="47" s="1"/>
  <c r="A421" i="47" s="1"/>
  <c r="A422" i="47" s="1"/>
  <c r="A423" i="47" s="1"/>
  <c r="A424" i="47" s="1"/>
  <c r="A425" i="47" s="1"/>
  <c r="A426" i="47" s="1"/>
  <c r="A427" i="47" s="1"/>
  <c r="A428" i="47" s="1"/>
  <c r="A429" i="47" s="1"/>
  <c r="A430" i="47" s="1"/>
  <c r="A431" i="47" s="1"/>
  <c r="A432" i="47" s="1"/>
  <c r="A433" i="47" s="1"/>
  <c r="A434" i="47" s="1"/>
  <c r="A435" i="47" s="1"/>
  <c r="A436" i="47" s="1"/>
  <c r="A437" i="47" s="1"/>
  <c r="A438" i="47" s="1"/>
  <c r="L138" i="47"/>
  <c r="J315" i="47"/>
  <c r="D422" i="47"/>
  <c r="N66" i="42"/>
  <c r="N52" i="42"/>
  <c r="N365" i="42"/>
  <c r="P50" i="9" s="1"/>
  <c r="G23" i="2"/>
  <c r="A41" i="42" l="1"/>
  <c r="A42" i="42" s="1"/>
  <c r="A43" i="42" s="1"/>
  <c r="A44" i="42" s="1"/>
  <c r="A45" i="42" s="1"/>
  <c r="A46" i="42" s="1"/>
  <c r="A47" i="42" s="1"/>
  <c r="A48" i="42" s="1"/>
  <c r="A15" i="22"/>
  <c r="A16" i="22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1" i="22" s="1"/>
  <c r="A52" i="22" s="1"/>
  <c r="A53" i="22" s="1"/>
  <c r="A54" i="22" s="1"/>
  <c r="A55" i="22" s="1"/>
  <c r="A56" i="22" s="1"/>
  <c r="A57" i="22" s="1"/>
  <c r="A58" i="22" s="1"/>
  <c r="A59" i="22" s="1"/>
  <c r="A60" i="22" s="1"/>
  <c r="A61" i="22" s="1"/>
  <c r="A62" i="22" s="1"/>
  <c r="A63" i="22" s="1"/>
  <c r="A64" i="22" s="1"/>
  <c r="A65" i="22" s="1"/>
  <c r="A66" i="22" s="1"/>
  <c r="A67" i="22" s="1"/>
  <c r="A68" i="22" s="1"/>
  <c r="A69" i="22" s="1"/>
  <c r="K135" i="42"/>
  <c r="J135" i="42"/>
  <c r="J115" i="42"/>
  <c r="R33" i="24"/>
  <c r="R32" i="24"/>
  <c r="P33" i="24"/>
  <c r="P32" i="24"/>
  <c r="L33" i="24"/>
  <c r="N33" i="24"/>
  <c r="N32" i="24"/>
  <c r="L32" i="24"/>
  <c r="E32" i="24"/>
  <c r="F32" i="24"/>
  <c r="G32" i="24"/>
  <c r="H32" i="24"/>
  <c r="I32" i="24"/>
  <c r="J32" i="24"/>
  <c r="E33" i="24"/>
  <c r="F33" i="24"/>
  <c r="G33" i="24"/>
  <c r="H33" i="24"/>
  <c r="I33" i="24"/>
  <c r="J33" i="24"/>
  <c r="D33" i="24"/>
  <c r="D32" i="24"/>
  <c r="I146" i="47"/>
  <c r="A50" i="42" l="1"/>
  <c r="A51" i="42" s="1"/>
  <c r="A52" i="42" s="1"/>
  <c r="A53" i="42" s="1"/>
  <c r="A54" i="42" s="1"/>
  <c r="A55" i="42" s="1"/>
  <c r="A56" i="42" s="1"/>
  <c r="A57" i="42" s="1"/>
  <c r="A58" i="42" s="1"/>
  <c r="A59" i="42" s="1"/>
  <c r="A60" i="42" s="1"/>
  <c r="A61" i="42" s="1"/>
  <c r="A64" i="42" s="1"/>
  <c r="A65" i="42" s="1"/>
  <c r="A66" i="42" s="1"/>
  <c r="A67" i="42" s="1"/>
  <c r="A68" i="42" s="1"/>
  <c r="A69" i="42" s="1"/>
  <c r="A70" i="42" s="1"/>
  <c r="A49" i="42"/>
  <c r="D12" i="40"/>
  <c r="A71" i="42" l="1"/>
  <c r="A72" i="42" s="1"/>
  <c r="A73" i="42" s="1"/>
  <c r="A74" i="42" s="1"/>
  <c r="A75" i="42" s="1"/>
  <c r="A76" i="42" s="1"/>
  <c r="A77" i="42" s="1"/>
  <c r="A78" i="42" s="1"/>
  <c r="A79" i="42" s="1"/>
  <c r="A80" i="42" s="1"/>
  <c r="A81" i="42" s="1"/>
  <c r="A82" i="42" s="1"/>
  <c r="A83" i="42" s="1"/>
  <c r="A84" i="42" s="1"/>
  <c r="A85" i="42" s="1"/>
  <c r="A86" i="42" s="1"/>
  <c r="A87" i="42" s="1"/>
  <c r="A88" i="42" s="1"/>
  <c r="A89" i="42" s="1"/>
  <c r="A90" i="42" s="1"/>
  <c r="A91" i="42" s="1"/>
  <c r="A92" i="42" s="1"/>
  <c r="A93" i="42" s="1"/>
  <c r="A94" i="42" s="1"/>
  <c r="A95" i="42" s="1"/>
  <c r="A96" i="42" s="1"/>
  <c r="A97" i="42" s="1"/>
  <c r="A98" i="42" s="1"/>
  <c r="A99" i="42" s="1"/>
  <c r="A100" i="42" s="1"/>
  <c r="A101" i="42" s="1"/>
  <c r="A102" i="42" s="1"/>
  <c r="A103" i="42" s="1"/>
  <c r="A104" i="42" s="1"/>
  <c r="A105" i="42" s="1"/>
  <c r="A106" i="42" s="1"/>
  <c r="A107" i="42" s="1"/>
  <c r="A108" i="42" s="1"/>
  <c r="A109" i="42" s="1"/>
  <c r="A110" i="42" s="1"/>
  <c r="A111" i="42" s="1"/>
  <c r="A112" i="42" s="1"/>
  <c r="A113" i="42" s="1"/>
  <c r="A114" i="42" s="1"/>
  <c r="A115" i="42" s="1"/>
  <c r="A116" i="42" s="1"/>
  <c r="A117" i="42" s="1"/>
  <c r="A118" i="42" s="1"/>
  <c r="A119" i="42" s="1"/>
  <c r="A120" i="42" s="1"/>
  <c r="A121" i="42" s="1"/>
  <c r="A122" i="42" s="1"/>
  <c r="A123" i="42" s="1"/>
  <c r="A124" i="42" s="1"/>
  <c r="A125" i="42" s="1"/>
  <c r="A126" i="42" s="1"/>
  <c r="A127" i="42" s="1"/>
  <c r="A128" i="42" s="1"/>
  <c r="A129" i="42" s="1"/>
  <c r="A130" i="42" s="1"/>
  <c r="A131" i="42" s="1"/>
  <c r="A132" i="42" s="1"/>
  <c r="A133" i="42" l="1"/>
  <c r="A134" i="42" s="1"/>
  <c r="A135" i="42" s="1"/>
  <c r="A136" i="42" s="1"/>
  <c r="A137" i="42" s="1"/>
  <c r="A138" i="42" s="1"/>
  <c r="A139" i="42" s="1"/>
  <c r="A140" i="42" s="1"/>
  <c r="A141" i="42" s="1"/>
  <c r="A142" i="42" s="1"/>
  <c r="A143" i="42" s="1"/>
  <c r="A144" i="42" s="1"/>
  <c r="A145" i="42" s="1"/>
  <c r="A146" i="42" s="1"/>
  <c r="A147" i="42" s="1"/>
  <c r="A148" i="42" s="1"/>
  <c r="A149" i="42" s="1"/>
  <c r="A150" i="42" s="1"/>
  <c r="A151" i="42" s="1"/>
  <c r="A152" i="42" s="1"/>
  <c r="A153" i="42" s="1"/>
  <c r="A154" i="42" s="1"/>
  <c r="A155" i="42" s="1"/>
  <c r="A156" i="42" s="1"/>
  <c r="A157" i="42" s="1"/>
  <c r="A158" i="42" s="1"/>
  <c r="A159" i="42" s="1"/>
  <c r="A160" i="42" s="1"/>
  <c r="A161" i="42" s="1"/>
  <c r="A162" i="42" s="1"/>
  <c r="A163" i="42" s="1"/>
  <c r="A164" i="42" s="1"/>
  <c r="A165" i="42" s="1"/>
  <c r="M192" i="17"/>
  <c r="M136" i="17"/>
  <c r="A166" i="42" l="1"/>
  <c r="A167" i="42" s="1"/>
  <c r="A168" i="42" s="1"/>
  <c r="A169" i="42" s="1"/>
  <c r="A170" i="42" s="1"/>
  <c r="A171" i="42" s="1"/>
  <c r="A172" i="42" s="1"/>
  <c r="A173" i="42" s="1"/>
  <c r="A174" i="42" s="1"/>
  <c r="A175" i="42" s="1"/>
  <c r="A176" i="42" s="1"/>
  <c r="A177" i="42" s="1"/>
  <c r="A178" i="42" s="1"/>
  <c r="A179" i="42" s="1"/>
  <c r="A180" i="42" s="1"/>
  <c r="A181" i="42" s="1"/>
  <c r="A182" i="42" s="1"/>
  <c r="A183" i="42" s="1"/>
  <c r="A184" i="42" s="1"/>
  <c r="A185" i="42" s="1"/>
  <c r="A186" i="42" s="1"/>
  <c r="A187" i="42" s="1"/>
  <c r="A188" i="42" s="1"/>
  <c r="A189" i="42" s="1"/>
  <c r="A190" i="42" s="1"/>
  <c r="A191" i="42" s="1"/>
  <c r="A192" i="42" s="1"/>
  <c r="A193" i="42" s="1"/>
  <c r="A194" i="42" s="1"/>
  <c r="A195" i="42" s="1"/>
  <c r="A196" i="42" s="1"/>
  <c r="A197" i="42" s="1"/>
  <c r="A198" i="42" s="1"/>
  <c r="A199" i="42" s="1"/>
  <c r="A200" i="42" s="1"/>
  <c r="A201" i="42" l="1"/>
  <c r="A202" i="42" s="1"/>
  <c r="A203" i="42" s="1"/>
  <c r="A204" i="42" s="1"/>
  <c r="A205" i="42" s="1"/>
  <c r="A206" i="42" s="1"/>
  <c r="A207" i="42" s="1"/>
  <c r="A208" i="42" s="1"/>
  <c r="A209" i="42" s="1"/>
  <c r="A210" i="42" s="1"/>
  <c r="A211" i="42" s="1"/>
  <c r="A212" i="42" s="1"/>
  <c r="A213" i="42" s="1"/>
  <c r="A214" i="42" s="1"/>
  <c r="A215" i="42" s="1"/>
  <c r="A216" i="42" s="1"/>
  <c r="A217" i="42" s="1"/>
  <c r="A218" i="42" s="1"/>
  <c r="A219" i="42" s="1"/>
  <c r="A220" i="42" s="1"/>
  <c r="A221" i="42" s="1"/>
  <c r="A222" i="42" s="1"/>
  <c r="A223" i="42" s="1"/>
  <c r="A224" i="42" s="1"/>
  <c r="A225" i="42" s="1"/>
  <c r="A226" i="42" s="1"/>
  <c r="A227" i="42" s="1"/>
  <c r="A228" i="42" s="1"/>
  <c r="A229" i="42" s="1"/>
  <c r="N409" i="42"/>
  <c r="P55" i="9" s="1"/>
  <c r="M409" i="42"/>
  <c r="N55" i="9" s="1"/>
  <c r="N398" i="42"/>
  <c r="P53" i="9" s="1"/>
  <c r="M398" i="42"/>
  <c r="N53" i="9" s="1"/>
  <c r="N382" i="42"/>
  <c r="P52" i="9" s="1"/>
  <c r="M382" i="42"/>
  <c r="N52" i="9" s="1"/>
  <c r="N370" i="42"/>
  <c r="P51" i="9" s="1"/>
  <c r="M370" i="42"/>
  <c r="N51" i="9" s="1"/>
  <c r="M357" i="42"/>
  <c r="N49" i="9" s="1"/>
  <c r="N258" i="42"/>
  <c r="P39" i="9" s="1"/>
  <c r="M258" i="42"/>
  <c r="N39" i="9" s="1"/>
  <c r="N200" i="42"/>
  <c r="P30" i="9" s="1"/>
  <c r="M200" i="42"/>
  <c r="N30" i="9" s="1"/>
  <c r="N173" i="42"/>
  <c r="P25" i="9" s="1"/>
  <c r="M173" i="42"/>
  <c r="N25" i="9" s="1"/>
  <c r="N161" i="42"/>
  <c r="P24" i="9" s="1"/>
  <c r="M161" i="42"/>
  <c r="N24" i="9" s="1"/>
  <c r="N144" i="42"/>
  <c r="P23" i="9" s="1"/>
  <c r="M144" i="42"/>
  <c r="N23" i="9" s="1"/>
  <c r="N53" i="42"/>
  <c r="P14" i="9" s="1"/>
  <c r="M53" i="42"/>
  <c r="N14" i="9" s="1"/>
  <c r="M37" i="42"/>
  <c r="N13" i="9" s="1"/>
  <c r="N27" i="42"/>
  <c r="P12" i="9" s="1"/>
  <c r="M27" i="42"/>
  <c r="N12" i="9" s="1"/>
  <c r="E27" i="42"/>
  <c r="F12" i="9" s="1"/>
  <c r="M13" i="42"/>
  <c r="N11" i="9" s="1"/>
  <c r="N13" i="42"/>
  <c r="P11" i="9" s="1"/>
  <c r="M66" i="42"/>
  <c r="N319" i="42"/>
  <c r="A230" i="42" l="1"/>
  <c r="A231" i="42" s="1"/>
  <c r="A232" i="42" s="1"/>
  <c r="A233" i="42" s="1"/>
  <c r="A234" i="42" s="1"/>
  <c r="A235" i="42" s="1"/>
  <c r="A236" i="42" s="1"/>
  <c r="A237" i="42" s="1"/>
  <c r="A238" i="42" s="1"/>
  <c r="A239" i="42" s="1"/>
  <c r="A240" i="42" s="1"/>
  <c r="A241" i="42" s="1"/>
  <c r="A242" i="42" s="1"/>
  <c r="A243" i="42" s="1"/>
  <c r="A244" i="42" s="1"/>
  <c r="A245" i="42" s="1"/>
  <c r="A246" i="42" s="1"/>
  <c r="A247" i="42" s="1"/>
  <c r="A248" i="42" s="1"/>
  <c r="A249" i="42" s="1"/>
  <c r="A250" i="42" s="1"/>
  <c r="A251" i="42" s="1"/>
  <c r="A252" i="42" s="1"/>
  <c r="A253" i="42" s="1"/>
  <c r="A254" i="42" s="1"/>
  <c r="A255" i="42" s="1"/>
  <c r="A256" i="42" s="1"/>
  <c r="A257" i="42" s="1"/>
  <c r="A258" i="42" s="1"/>
  <c r="A259" i="42" s="1"/>
  <c r="A260" i="42" s="1"/>
  <c r="A261" i="42" s="1"/>
  <c r="A262" i="42" s="1"/>
  <c r="A263" i="42" s="1"/>
  <c r="A264" i="42" s="1"/>
  <c r="A265" i="42" s="1"/>
  <c r="A266" i="42" s="1"/>
  <c r="A267" i="42" s="1"/>
  <c r="A268" i="42" s="1"/>
  <c r="A269" i="42" s="1"/>
  <c r="A270" i="42" s="1"/>
  <c r="A271" i="42" s="1"/>
  <c r="A272" i="42" s="1"/>
  <c r="A273" i="42" s="1"/>
  <c r="A274" i="42" s="1"/>
  <c r="A275" i="42" s="1"/>
  <c r="A276" i="42" s="1"/>
  <c r="A277" i="42" s="1"/>
  <c r="A278" i="42" s="1"/>
  <c r="A279" i="42" s="1"/>
  <c r="A280" i="42" s="1"/>
  <c r="A281" i="42" s="1"/>
  <c r="A282" i="42" s="1"/>
  <c r="A283" i="42" s="1"/>
  <c r="A284" i="42" s="1"/>
  <c r="A285" i="42" s="1"/>
  <c r="A286" i="42" s="1"/>
  <c r="A287" i="42" s="1"/>
  <c r="A288" i="42" s="1"/>
  <c r="A289" i="42" s="1"/>
  <c r="A290" i="42" s="1"/>
  <c r="A291" i="42" s="1"/>
  <c r="A292" i="42" s="1"/>
  <c r="A293" i="42" s="1"/>
  <c r="A294" i="42" s="1"/>
  <c r="A295" i="42" s="1"/>
  <c r="A296" i="42" s="1"/>
  <c r="A297" i="42" s="1"/>
  <c r="A298" i="42" s="1"/>
  <c r="A299" i="42" s="1"/>
  <c r="A300" i="42" s="1"/>
  <c r="M318" i="42"/>
  <c r="N208" i="42"/>
  <c r="M208" i="42"/>
  <c r="A301" i="42" l="1"/>
  <c r="A302" i="42" s="1"/>
  <c r="A303" i="42" s="1"/>
  <c r="A304" i="42" s="1"/>
  <c r="A305" i="42" s="1"/>
  <c r="A306" i="42" s="1"/>
  <c r="A307" i="42" s="1"/>
  <c r="A308" i="42" s="1"/>
  <c r="A309" i="42" s="1"/>
  <c r="A310" i="42" s="1"/>
  <c r="A311" i="42" s="1"/>
  <c r="A312" i="42" s="1"/>
  <c r="A313" i="42" s="1"/>
  <c r="A314" i="42" s="1"/>
  <c r="A315" i="42" s="1"/>
  <c r="A316" i="42" s="1"/>
  <c r="A317" i="42" s="1"/>
  <c r="A318" i="42" s="1"/>
  <c r="A319" i="42" s="1"/>
  <c r="A320" i="42" s="1"/>
  <c r="A321" i="42" s="1"/>
  <c r="A322" i="42" s="1"/>
  <c r="A323" i="42" s="1"/>
  <c r="A324" i="42" s="1"/>
  <c r="A325" i="42" s="1"/>
  <c r="A326" i="42" s="1"/>
  <c r="O17" i="4"/>
  <c r="K66" i="42"/>
  <c r="K36" i="42"/>
  <c r="N67" i="42"/>
  <c r="P15" i="9" s="1"/>
  <c r="M67" i="42"/>
  <c r="N15" i="9" s="1"/>
  <c r="N16" i="9" s="1"/>
  <c r="N83" i="42"/>
  <c r="M83" i="42"/>
  <c r="M84" i="42" s="1"/>
  <c r="N18" i="9" s="1"/>
  <c r="N347" i="42"/>
  <c r="N348" i="42" s="1"/>
  <c r="P48" i="9" s="1"/>
  <c r="M347" i="42"/>
  <c r="F347" i="42"/>
  <c r="A327" i="42" l="1"/>
  <c r="A328" i="42" s="1"/>
  <c r="A329" i="42" s="1"/>
  <c r="A330" i="42" s="1"/>
  <c r="A331" i="42" s="1"/>
  <c r="A332" i="42" s="1"/>
  <c r="A333" i="42" s="1"/>
  <c r="A334" i="42" s="1"/>
  <c r="A335" i="42" s="1"/>
  <c r="A336" i="42" s="1"/>
  <c r="A337" i="42" s="1"/>
  <c r="A338" i="42" s="1"/>
  <c r="A339" i="42" s="1"/>
  <c r="A340" i="42" s="1"/>
  <c r="A341" i="42" s="1"/>
  <c r="A342" i="42" s="1"/>
  <c r="A343" i="42" s="1"/>
  <c r="A344" i="42" s="1"/>
  <c r="A345" i="42" s="1"/>
  <c r="A346" i="42" s="1"/>
  <c r="A347" i="42" s="1"/>
  <c r="A348" i="42" s="1"/>
  <c r="A349" i="42" s="1"/>
  <c r="A350" i="42" s="1"/>
  <c r="A351" i="42" s="1"/>
  <c r="A352" i="42" s="1"/>
  <c r="A353" i="42" s="1"/>
  <c r="A354" i="42" s="1"/>
  <c r="A355" i="42" s="1"/>
  <c r="A356" i="42" s="1"/>
  <c r="A357" i="42" s="1"/>
  <c r="M348" i="42"/>
  <c r="N48" i="9" s="1"/>
  <c r="K347" i="42"/>
  <c r="J347" i="42"/>
  <c r="I347" i="42"/>
  <c r="H347" i="42"/>
  <c r="G347" i="42"/>
  <c r="A358" i="42" l="1"/>
  <c r="A359" i="42" s="1"/>
  <c r="A360" i="42" s="1"/>
  <c r="A361" i="42" s="1"/>
  <c r="A362" i="42" s="1"/>
  <c r="A363" i="42" s="1"/>
  <c r="A364" i="42" s="1"/>
  <c r="A365" i="42" s="1"/>
  <c r="A366" i="42" s="1"/>
  <c r="A367" i="42" s="1"/>
  <c r="A368" i="42" s="1"/>
  <c r="A369" i="42" s="1"/>
  <c r="A370" i="42" s="1"/>
  <c r="A371" i="42" s="1"/>
  <c r="A372" i="42" s="1"/>
  <c r="A373" i="42" s="1"/>
  <c r="A374" i="42" s="1"/>
  <c r="A375" i="42" s="1"/>
  <c r="A376" i="42" s="1"/>
  <c r="N267" i="42"/>
  <c r="N269" i="42" s="1"/>
  <c r="P40" i="9" s="1"/>
  <c r="M267" i="42"/>
  <c r="M269" i="42" s="1"/>
  <c r="N40" i="9" s="1"/>
  <c r="N291" i="42"/>
  <c r="N293" i="42" s="1"/>
  <c r="P42" i="9" s="1"/>
  <c r="M291" i="42"/>
  <c r="M293" i="42" s="1"/>
  <c r="N42" i="9" s="1"/>
  <c r="N357" i="42"/>
  <c r="P49" i="9" s="1"/>
  <c r="N278" i="42"/>
  <c r="N280" i="42" s="1"/>
  <c r="P41" i="9" s="1"/>
  <c r="M278" i="42"/>
  <c r="M280" i="42" s="1"/>
  <c r="N41" i="9" s="1"/>
  <c r="N298" i="42"/>
  <c r="N300" i="42" s="1"/>
  <c r="P43" i="9" s="1"/>
  <c r="M298" i="42"/>
  <c r="M300" i="42" s="1"/>
  <c r="N43" i="9" s="1"/>
  <c r="N306" i="42"/>
  <c r="P44" i="9" s="1"/>
  <c r="M306" i="42"/>
  <c r="N44" i="9" s="1"/>
  <c r="I298" i="42"/>
  <c r="I291" i="42"/>
  <c r="N251" i="42"/>
  <c r="N253" i="42" s="1"/>
  <c r="P38" i="9" s="1"/>
  <c r="M251" i="42"/>
  <c r="M253" i="42" s="1"/>
  <c r="N38" i="9" s="1"/>
  <c r="A377" i="42" l="1"/>
  <c r="A378" i="42" s="1"/>
  <c r="A379" i="42" s="1"/>
  <c r="A380" i="42" s="1"/>
  <c r="A381" i="42" s="1"/>
  <c r="A382" i="42" s="1"/>
  <c r="A383" i="42" s="1"/>
  <c r="A384" i="42" s="1"/>
  <c r="A385" i="42" s="1"/>
  <c r="A386" i="42" s="1"/>
  <c r="A387" i="42" s="1"/>
  <c r="A388" i="42" s="1"/>
  <c r="A389" i="42" s="1"/>
  <c r="A390" i="42" s="1"/>
  <c r="A391" i="42" s="1"/>
  <c r="A392" i="42" s="1"/>
  <c r="A393" i="42" s="1"/>
  <c r="A394" i="42" s="1"/>
  <c r="A395" i="42" s="1"/>
  <c r="A396" i="42" s="1"/>
  <c r="A397" i="42" s="1"/>
  <c r="A398" i="42" s="1"/>
  <c r="A399" i="42" s="1"/>
  <c r="A400" i="42" s="1"/>
  <c r="A401" i="42" s="1"/>
  <c r="A402" i="42" s="1"/>
  <c r="A403" i="42" s="1"/>
  <c r="A404" i="42" s="1"/>
  <c r="A405" i="42" s="1"/>
  <c r="A406" i="42" s="1"/>
  <c r="A407" i="42" s="1"/>
  <c r="A408" i="42" s="1"/>
  <c r="A409" i="42" s="1"/>
  <c r="A410" i="42" s="1"/>
  <c r="A411" i="42" s="1"/>
  <c r="A412" i="42" s="1"/>
  <c r="L34" i="24"/>
  <c r="A413" i="42" l="1"/>
  <c r="A414" i="42" s="1"/>
  <c r="A415" i="42" s="1"/>
  <c r="A416" i="42" s="1"/>
  <c r="A417" i="42" s="1"/>
  <c r="A418" i="42" s="1"/>
  <c r="A419" i="42" s="1"/>
  <c r="A420" i="42" s="1"/>
  <c r="A421" i="42" s="1"/>
  <c r="A422" i="42" s="1"/>
  <c r="A423" i="42" s="1"/>
  <c r="A424" i="42" s="1"/>
  <c r="A425" i="42" s="1"/>
  <c r="A426" i="42" s="1"/>
  <c r="Q17" i="4"/>
  <c r="N36" i="42"/>
  <c r="N37" i="42" s="1"/>
  <c r="P13" i="9" s="1"/>
  <c r="P16" i="9" s="1"/>
  <c r="M209" i="42"/>
  <c r="N31" i="9" s="1"/>
  <c r="N192" i="42"/>
  <c r="N193" i="42" s="1"/>
  <c r="P29" i="9" s="1"/>
  <c r="M192" i="42"/>
  <c r="M193" i="42" s="1"/>
  <c r="N29" i="9" s="1"/>
  <c r="M234" i="42" l="1"/>
  <c r="N35" i="9" s="1"/>
  <c r="N227" i="42"/>
  <c r="P34" i="9" s="1"/>
  <c r="M227" i="42"/>
  <c r="N34" i="9" s="1"/>
  <c r="N209" i="42"/>
  <c r="P31" i="9" s="1"/>
  <c r="N232" i="42"/>
  <c r="N234" i="42" s="1"/>
  <c r="P35" i="9" s="1"/>
  <c r="M247" i="42" l="1"/>
  <c r="U27" i="35" l="1"/>
  <c r="R27" i="35"/>
  <c r="I27" i="35"/>
  <c r="J27" i="35"/>
  <c r="K27" i="35"/>
  <c r="M27" i="35"/>
  <c r="N27" i="35"/>
  <c r="H27" i="35"/>
  <c r="A41" i="9" l="1"/>
  <c r="A42" i="9" s="1"/>
  <c r="A43" i="9" s="1"/>
  <c r="A44" i="9" s="1"/>
  <c r="A45" i="9" s="1"/>
  <c r="E53" i="42" l="1"/>
  <c r="F14" i="9" s="1"/>
  <c r="F53" i="42"/>
  <c r="G14" i="9" s="1"/>
  <c r="G53" i="42"/>
  <c r="H14" i="9" s="1"/>
  <c r="H53" i="42"/>
  <c r="I14" i="9" s="1"/>
  <c r="I53" i="42"/>
  <c r="J14" i="9" s="1"/>
  <c r="J53" i="42"/>
  <c r="K14" i="9" s="1"/>
  <c r="K53" i="42"/>
  <c r="L14" i="9" s="1"/>
  <c r="N176" i="42" l="1"/>
  <c r="N178" i="42" s="1"/>
  <c r="P26" i="9" s="1"/>
  <c r="M176" i="42"/>
  <c r="M178" i="42" s="1"/>
  <c r="N26" i="9" s="1"/>
  <c r="N117" i="42"/>
  <c r="P21" i="9" s="1"/>
  <c r="M117" i="42"/>
  <c r="N21" i="9" s="1"/>
  <c r="N318" i="42" l="1"/>
  <c r="N320" i="42" s="1"/>
  <c r="P47" i="9" s="1"/>
  <c r="N94" i="42"/>
  <c r="N96" i="42" s="1"/>
  <c r="P19" i="9" s="1"/>
  <c r="M94" i="42"/>
  <c r="M96" i="42" s="1"/>
  <c r="N19" i="9" s="1"/>
  <c r="H398" i="42"/>
  <c r="I53" i="9" s="1"/>
  <c r="E347" i="42"/>
  <c r="M424" i="42" l="1"/>
  <c r="K226" i="42"/>
  <c r="J226" i="42"/>
  <c r="I226" i="42"/>
  <c r="H226" i="42"/>
  <c r="G226" i="42"/>
  <c r="F226" i="42"/>
  <c r="F425" i="42" s="1"/>
  <c r="E226" i="42"/>
  <c r="P21" i="26"/>
  <c r="P22" i="26"/>
  <c r="N21" i="26"/>
  <c r="N22" i="26"/>
  <c r="J21" i="26"/>
  <c r="K21" i="26"/>
  <c r="L21" i="26"/>
  <c r="J22" i="26"/>
  <c r="K22" i="26"/>
  <c r="L22" i="26"/>
  <c r="G21" i="26"/>
  <c r="H21" i="26"/>
  <c r="I21" i="26"/>
  <c r="G22" i="26"/>
  <c r="H22" i="26"/>
  <c r="I22" i="26"/>
  <c r="F22" i="26"/>
  <c r="F21" i="26"/>
  <c r="M320" i="42" l="1"/>
  <c r="N47" i="9" s="1"/>
  <c r="D316" i="47"/>
  <c r="F19" i="26" s="1"/>
  <c r="G97" i="16" l="1"/>
  <c r="N350" i="47"/>
  <c r="M229" i="17"/>
  <c r="G12" i="5"/>
  <c r="H33" i="5"/>
  <c r="I33" i="5"/>
  <c r="J33" i="5"/>
  <c r="K33" i="5"/>
  <c r="M33" i="5"/>
  <c r="K279" i="42" l="1"/>
  <c r="M365" i="42" l="1"/>
  <c r="N50" i="9" s="1"/>
  <c r="M404" i="42"/>
  <c r="N404" i="42"/>
  <c r="I11" i="5" l="1"/>
  <c r="J11" i="5"/>
  <c r="K11" i="5"/>
  <c r="L11" i="5"/>
  <c r="M11" i="5"/>
  <c r="H11" i="5"/>
  <c r="N66" i="3" l="1"/>
  <c r="N136" i="42" l="1"/>
  <c r="P22" i="9" s="1"/>
  <c r="M136" i="42"/>
  <c r="N22" i="9" s="1"/>
  <c r="N82" i="42" l="1"/>
  <c r="N84" i="42" s="1"/>
  <c r="P18" i="9" s="1"/>
  <c r="P35" i="3"/>
  <c r="N35" i="3"/>
  <c r="P31" i="3"/>
  <c r="N31" i="3"/>
  <c r="N19" i="3"/>
  <c r="P19" i="3"/>
  <c r="N21" i="3"/>
  <c r="P21" i="3"/>
  <c r="N13" i="3"/>
  <c r="P13" i="3"/>
  <c r="N15" i="3"/>
  <c r="P15" i="3"/>
  <c r="N424" i="42" l="1"/>
  <c r="L20" i="3"/>
  <c r="L15" i="3" l="1"/>
  <c r="L13" i="3"/>
  <c r="N345" i="47" l="1"/>
  <c r="P20" i="26" s="1"/>
  <c r="P345" i="47"/>
  <c r="R345" i="47"/>
  <c r="H345" i="47"/>
  <c r="J20" i="26" s="1"/>
  <c r="D350" i="47"/>
  <c r="E350" i="47"/>
  <c r="I350" i="47"/>
  <c r="F350" i="47"/>
  <c r="G350" i="47"/>
  <c r="H350" i="47"/>
  <c r="J350" i="47"/>
  <c r="L350" i="47"/>
  <c r="P350" i="47"/>
  <c r="R350" i="47"/>
  <c r="N358" i="47"/>
  <c r="P23" i="26" s="1"/>
  <c r="D358" i="47"/>
  <c r="F23" i="26" s="1"/>
  <c r="E358" i="47"/>
  <c r="G23" i="26" s="1"/>
  <c r="F358" i="47"/>
  <c r="H23" i="26" s="1"/>
  <c r="G358" i="47"/>
  <c r="I23" i="26" s="1"/>
  <c r="H358" i="47"/>
  <c r="J23" i="26" s="1"/>
  <c r="I358" i="47"/>
  <c r="K23" i="26" s="1"/>
  <c r="J358" i="47"/>
  <c r="L23" i="26" s="1"/>
  <c r="L358" i="47"/>
  <c r="N23" i="26" s="1"/>
  <c r="P358" i="47"/>
  <c r="R358" i="47"/>
  <c r="G363" i="47"/>
  <c r="I27" i="26" s="1"/>
  <c r="H363" i="47"/>
  <c r="J27" i="26" s="1"/>
  <c r="N363" i="47"/>
  <c r="P27" i="26" s="1"/>
  <c r="D363" i="47"/>
  <c r="F27" i="26" s="1"/>
  <c r="E363" i="47"/>
  <c r="G27" i="26" s="1"/>
  <c r="F363" i="47"/>
  <c r="H27" i="26" s="1"/>
  <c r="I363" i="47"/>
  <c r="K27" i="26" s="1"/>
  <c r="J363" i="47"/>
  <c r="L27" i="26" s="1"/>
  <c r="L363" i="47"/>
  <c r="N27" i="26" s="1"/>
  <c r="P363" i="47"/>
  <c r="R363" i="47"/>
  <c r="F387" i="47"/>
  <c r="H30" i="26" s="1"/>
  <c r="R387" i="47"/>
  <c r="D387" i="47"/>
  <c r="F30" i="26" s="1"/>
  <c r="E387" i="47"/>
  <c r="G30" i="26" s="1"/>
  <c r="G387" i="47"/>
  <c r="I30" i="26" s="1"/>
  <c r="H387" i="47"/>
  <c r="J30" i="26" s="1"/>
  <c r="I387" i="47"/>
  <c r="K30" i="26" s="1"/>
  <c r="J387" i="47"/>
  <c r="L30" i="26" s="1"/>
  <c r="L387" i="47"/>
  <c r="N30" i="26" s="1"/>
  <c r="N387" i="47"/>
  <c r="P30" i="26" s="1"/>
  <c r="P387" i="47"/>
  <c r="E398" i="47"/>
  <c r="G28" i="26" s="1"/>
  <c r="D398" i="47"/>
  <c r="F28" i="26" s="1"/>
  <c r="F398" i="47"/>
  <c r="H28" i="26" s="1"/>
  <c r="G398" i="47"/>
  <c r="I28" i="26" s="1"/>
  <c r="H398" i="47"/>
  <c r="J28" i="26" s="1"/>
  <c r="I398" i="47"/>
  <c r="K28" i="26" s="1"/>
  <c r="J398" i="47"/>
  <c r="L28" i="26" s="1"/>
  <c r="L398" i="47"/>
  <c r="N28" i="26" s="1"/>
  <c r="N398" i="47"/>
  <c r="P28" i="26" s="1"/>
  <c r="P398" i="47"/>
  <c r="R398" i="47"/>
  <c r="I405" i="47"/>
  <c r="K31" i="26" s="1"/>
  <c r="D405" i="47"/>
  <c r="F31" i="26" s="1"/>
  <c r="E405" i="47"/>
  <c r="G31" i="26" s="1"/>
  <c r="F405" i="47"/>
  <c r="H31" i="26" s="1"/>
  <c r="G405" i="47"/>
  <c r="I31" i="26" s="1"/>
  <c r="H405" i="47"/>
  <c r="J31" i="26" s="1"/>
  <c r="J405" i="47"/>
  <c r="L31" i="26" s="1"/>
  <c r="L405" i="47"/>
  <c r="N31" i="26" s="1"/>
  <c r="N405" i="47"/>
  <c r="P31" i="26" s="1"/>
  <c r="P405" i="47"/>
  <c r="R405" i="47"/>
  <c r="E423" i="47"/>
  <c r="G32" i="26" s="1"/>
  <c r="P423" i="47"/>
  <c r="D423" i="47"/>
  <c r="F32" i="26" s="1"/>
  <c r="F423" i="47"/>
  <c r="H32" i="26" s="1"/>
  <c r="G423" i="47"/>
  <c r="I32" i="26" s="1"/>
  <c r="H423" i="47"/>
  <c r="J32" i="26" s="1"/>
  <c r="I423" i="47"/>
  <c r="K32" i="26" s="1"/>
  <c r="J423" i="47"/>
  <c r="L32" i="26" s="1"/>
  <c r="L423" i="47"/>
  <c r="N32" i="26" s="1"/>
  <c r="N423" i="47"/>
  <c r="P32" i="26" s="1"/>
  <c r="R423" i="47"/>
  <c r="D434" i="47"/>
  <c r="F434" i="47"/>
  <c r="H29" i="26" s="1"/>
  <c r="G434" i="47"/>
  <c r="I29" i="26" s="1"/>
  <c r="H434" i="47"/>
  <c r="I434" i="47"/>
  <c r="K29" i="26" s="1"/>
  <c r="J434" i="47"/>
  <c r="L29" i="26" s="1"/>
  <c r="L434" i="47"/>
  <c r="N434" i="47"/>
  <c r="P29" i="26" s="1"/>
  <c r="P434" i="47"/>
  <c r="R434" i="47"/>
  <c r="D345" i="47"/>
  <c r="F20" i="26" s="1"/>
  <c r="E345" i="47"/>
  <c r="G20" i="26" s="1"/>
  <c r="F345" i="47"/>
  <c r="H20" i="26" s="1"/>
  <c r="G345" i="47"/>
  <c r="I20" i="26" s="1"/>
  <c r="I345" i="47"/>
  <c r="K20" i="26" s="1"/>
  <c r="J345" i="47"/>
  <c r="L20" i="26" s="1"/>
  <c r="L345" i="47"/>
  <c r="N20" i="26" s="1"/>
  <c r="G316" i="47"/>
  <c r="I19" i="26" s="1"/>
  <c r="E316" i="47"/>
  <c r="G19" i="26" s="1"/>
  <c r="F316" i="47"/>
  <c r="H19" i="26" s="1"/>
  <c r="H316" i="47"/>
  <c r="J19" i="26" s="1"/>
  <c r="I316" i="47"/>
  <c r="K19" i="26" s="1"/>
  <c r="J316" i="47"/>
  <c r="L19" i="26" s="1"/>
  <c r="L316" i="47"/>
  <c r="N19" i="26" s="1"/>
  <c r="N316" i="47"/>
  <c r="P19" i="26" s="1"/>
  <c r="P316" i="47"/>
  <c r="R316" i="47"/>
  <c r="E188" i="47"/>
  <c r="G18" i="26" s="1"/>
  <c r="J188" i="47"/>
  <c r="L18" i="26" s="1"/>
  <c r="D188" i="47"/>
  <c r="F18" i="26" s="1"/>
  <c r="F188" i="47"/>
  <c r="H18" i="26" s="1"/>
  <c r="G188" i="47"/>
  <c r="I18" i="26" s="1"/>
  <c r="H188" i="47"/>
  <c r="J18" i="26" s="1"/>
  <c r="I188" i="47"/>
  <c r="K18" i="26" s="1"/>
  <c r="L188" i="47"/>
  <c r="N18" i="26" s="1"/>
  <c r="N188" i="47"/>
  <c r="P18" i="26" s="1"/>
  <c r="P188" i="47"/>
  <c r="R188" i="47"/>
  <c r="I180" i="47"/>
  <c r="K17" i="26" s="1"/>
  <c r="J180" i="47"/>
  <c r="L17" i="26" s="1"/>
  <c r="L180" i="47"/>
  <c r="N17" i="26" s="1"/>
  <c r="D180" i="47"/>
  <c r="F17" i="26" s="1"/>
  <c r="E180" i="47"/>
  <c r="G17" i="26" s="1"/>
  <c r="F180" i="47"/>
  <c r="H17" i="26" s="1"/>
  <c r="G180" i="47"/>
  <c r="I17" i="26" s="1"/>
  <c r="H180" i="47"/>
  <c r="J17" i="26" s="1"/>
  <c r="N180" i="47"/>
  <c r="P17" i="26" s="1"/>
  <c r="P180" i="47"/>
  <c r="R180" i="47"/>
  <c r="H147" i="47"/>
  <c r="J14" i="26" s="1"/>
  <c r="D147" i="47"/>
  <c r="F14" i="26" s="1"/>
  <c r="E147" i="47"/>
  <c r="G14" i="26" s="1"/>
  <c r="F147" i="47"/>
  <c r="H14" i="26" s="1"/>
  <c r="G147" i="47"/>
  <c r="I14" i="26" s="1"/>
  <c r="I147" i="47"/>
  <c r="K14" i="26" s="1"/>
  <c r="J147" i="47"/>
  <c r="L14" i="26" s="1"/>
  <c r="L147" i="47"/>
  <c r="N14" i="26" s="1"/>
  <c r="N147" i="47"/>
  <c r="P14" i="26" s="1"/>
  <c r="P147" i="47"/>
  <c r="R147" i="47"/>
  <c r="J140" i="47"/>
  <c r="L13" i="26" s="1"/>
  <c r="D140" i="47"/>
  <c r="F13" i="26" s="1"/>
  <c r="E140" i="47"/>
  <c r="G13" i="26" s="1"/>
  <c r="F140" i="47"/>
  <c r="H13" i="26" s="1"/>
  <c r="G140" i="47"/>
  <c r="I13" i="26" s="1"/>
  <c r="H140" i="47"/>
  <c r="J13" i="26" s="1"/>
  <c r="I140" i="47"/>
  <c r="K13" i="26" s="1"/>
  <c r="L140" i="47"/>
  <c r="N13" i="26" s="1"/>
  <c r="N140" i="47"/>
  <c r="P13" i="26" s="1"/>
  <c r="P140" i="47"/>
  <c r="R140" i="47"/>
  <c r="J437" i="47" l="1"/>
  <c r="J438" i="47" s="1"/>
  <c r="L437" i="47"/>
  <c r="L438" i="47" s="1"/>
  <c r="N29" i="26"/>
  <c r="H437" i="47"/>
  <c r="H438" i="47" s="1"/>
  <c r="J29" i="26"/>
  <c r="P25" i="26"/>
  <c r="D437" i="47"/>
  <c r="D438" i="47" s="1"/>
  <c r="F29" i="26"/>
  <c r="N437" i="47"/>
  <c r="N438" i="47" s="1"/>
  <c r="F437" i="47"/>
  <c r="F438" i="47" s="1"/>
  <c r="R437" i="47"/>
  <c r="R438" i="47" s="1"/>
  <c r="G437" i="47"/>
  <c r="G438" i="47" s="1"/>
  <c r="P437" i="47"/>
  <c r="P438" i="47" s="1"/>
  <c r="I437" i="47"/>
  <c r="I438" i="47" s="1"/>
  <c r="K424" i="42" l="1"/>
  <c r="E209" i="42"/>
  <c r="F31" i="9" s="1"/>
  <c r="G381" i="42"/>
  <c r="E320" i="42" l="1"/>
  <c r="F47" i="9" s="1"/>
  <c r="P32" i="27" l="1"/>
  <c r="N32" i="27"/>
  <c r="A29" i="48" l="1"/>
  <c r="A30" i="48" s="1"/>
  <c r="A31" i="48" s="1"/>
  <c r="A32" i="48" s="1"/>
  <c r="A33" i="48" s="1"/>
  <c r="A34" i="48" s="1"/>
  <c r="A35" i="48" s="1"/>
  <c r="A36" i="48" s="1"/>
  <c r="A37" i="48" s="1"/>
  <c r="A38" i="48" s="1"/>
  <c r="A39" i="48" s="1"/>
  <c r="A40" i="48" s="1"/>
  <c r="A41" i="48" s="1"/>
  <c r="A42" i="48" s="1"/>
  <c r="A43" i="48" s="1"/>
  <c r="A12" i="48"/>
  <c r="A13" i="48" s="1"/>
  <c r="A14" i="48" s="1"/>
  <c r="A15" i="48" s="1"/>
  <c r="A16" i="48" s="1"/>
  <c r="A17" i="48" s="1"/>
  <c r="A18" i="48" s="1"/>
  <c r="A19" i="48" s="1"/>
  <c r="A20" i="48" s="1"/>
  <c r="A21" i="48" s="1"/>
  <c r="A22" i="48" s="1"/>
  <c r="A23" i="48" s="1"/>
  <c r="A24" i="48" s="1"/>
  <c r="A25" i="48" s="1"/>
  <c r="A26" i="48" s="1"/>
  <c r="A1" i="48"/>
  <c r="A2" i="48"/>
  <c r="L32" i="27" l="1"/>
  <c r="K32" i="27"/>
  <c r="J32" i="27"/>
  <c r="I32" i="27"/>
  <c r="H32" i="27"/>
  <c r="G32" i="27"/>
  <c r="F32" i="27"/>
  <c r="A15" i="12" l="1"/>
  <c r="A13" i="12" l="1"/>
  <c r="A14" i="12" s="1"/>
  <c r="E424" i="42" l="1"/>
  <c r="A11" i="27" l="1"/>
  <c r="A12" i="27" s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11" i="26"/>
  <c r="A42" i="27" l="1"/>
  <c r="A43" i="27" s="1"/>
  <c r="A44" i="27" s="1"/>
  <c r="A45" i="27" s="1"/>
  <c r="A46" i="27" s="1"/>
  <c r="A11" i="23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11" i="22"/>
  <c r="A12" i="22" s="1"/>
  <c r="A13" i="22" s="1"/>
  <c r="A14" i="22" s="1"/>
  <c r="A41" i="21"/>
  <c r="A37" i="21"/>
  <c r="A38" i="21"/>
  <c r="A39" i="21"/>
  <c r="A40" i="21"/>
  <c r="A11" i="19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B22" i="44"/>
  <c r="A1" i="19"/>
  <c r="A2" i="19"/>
  <c r="A50" i="17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3" i="17" s="1"/>
  <c r="A294" i="17" s="1"/>
  <c r="A295" i="17" s="1"/>
  <c r="A296" i="17" s="1"/>
  <c r="A297" i="17" s="1"/>
  <c r="A298" i="17" s="1"/>
  <c r="A299" i="17" s="1"/>
  <c r="A300" i="17" s="1"/>
  <c r="A301" i="17" s="1"/>
  <c r="A302" i="17" s="1"/>
  <c r="A303" i="17" s="1"/>
  <c r="A304" i="17" s="1"/>
  <c r="A50" i="16"/>
  <c r="A51" i="16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8" i="16" s="1"/>
  <c r="A99" i="16" s="1"/>
  <c r="A100" i="16" s="1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1" i="16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B32" i="44"/>
  <c r="B30" i="44"/>
  <c r="B29" i="44"/>
  <c r="B28" i="44"/>
  <c r="B27" i="44"/>
  <c r="B26" i="44"/>
  <c r="B25" i="44"/>
  <c r="B24" i="44"/>
  <c r="B23" i="44"/>
  <c r="B21" i="44"/>
  <c r="B20" i="44"/>
  <c r="B19" i="44"/>
  <c r="B18" i="44"/>
  <c r="B17" i="44"/>
  <c r="B16" i="44"/>
  <c r="B14" i="44"/>
  <c r="B13" i="44"/>
  <c r="B12" i="44"/>
  <c r="B11" i="44"/>
  <c r="A11" i="47"/>
  <c r="A12" i="47" s="1"/>
  <c r="A13" i="47" s="1"/>
  <c r="A14" i="47" s="1"/>
  <c r="A15" i="47" s="1"/>
  <c r="A16" i="47" s="1"/>
  <c r="A17" i="47" s="1"/>
  <c r="A18" i="47" s="1"/>
  <c r="A19" i="47" s="1"/>
  <c r="A20" i="47" s="1"/>
  <c r="A21" i="47" s="1"/>
  <c r="A22" i="47" s="1"/>
  <c r="A23" i="47" s="1"/>
  <c r="A24" i="47" s="1"/>
  <c r="A25" i="47" s="1"/>
  <c r="A26" i="47" s="1"/>
  <c r="A27" i="47" s="1"/>
  <c r="A28" i="47" s="1"/>
  <c r="A29" i="47" s="1"/>
  <c r="A30" i="47" s="1"/>
  <c r="A31" i="47" s="1"/>
  <c r="A32" i="47" s="1"/>
  <c r="A33" i="47" s="1"/>
  <c r="A34" i="47" s="1"/>
  <c r="A35" i="47" s="1"/>
  <c r="A36" i="47" s="1"/>
  <c r="A37" i="47" s="1"/>
  <c r="A38" i="47" s="1"/>
  <c r="A39" i="47" s="1"/>
  <c r="A40" i="47" s="1"/>
  <c r="A41" i="47" s="1"/>
  <c r="A42" i="47" s="1"/>
  <c r="A43" i="47" s="1"/>
  <c r="A44" i="47" s="1"/>
  <c r="A45" i="47" s="1"/>
  <c r="A46" i="47" s="1"/>
  <c r="A47" i="47" s="1"/>
  <c r="A48" i="47" s="1"/>
  <c r="A49" i="47" s="1"/>
  <c r="B9" i="44"/>
  <c r="B8" i="44"/>
  <c r="A50" i="47" l="1"/>
  <c r="A51" i="47" s="1"/>
  <c r="A52" i="47" s="1"/>
  <c r="A53" i="47" s="1"/>
  <c r="A54" i="47" s="1"/>
  <c r="A55" i="47" s="1"/>
  <c r="A56" i="47" s="1"/>
  <c r="A57" i="47" s="1"/>
  <c r="A58" i="47" s="1"/>
  <c r="A59" i="47" s="1"/>
  <c r="A60" i="47" s="1"/>
  <c r="A61" i="47" s="1"/>
  <c r="A62" i="47" s="1"/>
  <c r="A63" i="47" s="1"/>
  <c r="A64" i="47" s="1"/>
  <c r="A65" i="47" s="1"/>
  <c r="A66" i="47" s="1"/>
  <c r="A67" i="47" s="1"/>
  <c r="A68" i="47" s="1"/>
  <c r="A69" i="47" s="1"/>
  <c r="A70" i="47" s="1"/>
  <c r="A71" i="47" s="1"/>
  <c r="A72" i="47" s="1"/>
  <c r="A73" i="47" s="1"/>
  <c r="A74" i="47" s="1"/>
  <c r="A75" i="47" s="1"/>
  <c r="A76" i="47" s="1"/>
  <c r="A77" i="47" s="1"/>
  <c r="A1" i="16"/>
  <c r="A2" i="17"/>
  <c r="A1" i="17"/>
  <c r="A1" i="18"/>
  <c r="A1" i="20"/>
  <c r="A1" i="21"/>
  <c r="A1" i="22"/>
  <c r="A1" i="40"/>
  <c r="A1" i="23"/>
  <c r="A1" i="24"/>
  <c r="A1" i="25"/>
  <c r="A1" i="26"/>
  <c r="A1" i="27"/>
  <c r="A78" i="47" l="1"/>
  <c r="A79" i="47" s="1"/>
  <c r="A80" i="47" s="1"/>
  <c r="A81" i="47" s="1"/>
  <c r="A82" i="47" s="1"/>
  <c r="A83" i="47" s="1"/>
  <c r="A84" i="47" s="1"/>
  <c r="A85" i="47" s="1"/>
  <c r="A86" i="47" s="1"/>
  <c r="A87" i="47" s="1"/>
  <c r="A2" i="3"/>
  <c r="L32" i="22"/>
  <c r="A88" i="47" l="1"/>
  <c r="A89" i="47" s="1"/>
  <c r="A90" i="47" s="1"/>
  <c r="A91" i="47" s="1"/>
  <c r="A92" i="47" s="1"/>
  <c r="A93" i="47" s="1"/>
  <c r="A94" i="47" s="1"/>
  <c r="A95" i="47" s="1"/>
  <c r="A17" i="18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2" i="12"/>
  <c r="A2" i="42" l="1"/>
  <c r="P45" i="9" l="1"/>
  <c r="M20" i="5"/>
  <c r="I20" i="23" l="1"/>
  <c r="G86" i="16" l="1"/>
  <c r="A29" i="6" l="1"/>
  <c r="A22" i="6"/>
  <c r="N15" i="27"/>
  <c r="P15" i="27" s="1"/>
  <c r="L41" i="22"/>
  <c r="G28" i="27" l="1"/>
  <c r="L26" i="23" l="1"/>
  <c r="N26" i="23" s="1"/>
  <c r="H17" i="22" l="1"/>
  <c r="I17" i="22"/>
  <c r="J17" i="22"/>
  <c r="N24" i="19" l="1"/>
  <c r="L24" i="19"/>
  <c r="P19" i="27" l="1"/>
  <c r="L14" i="20" l="1"/>
  <c r="N24" i="24" l="1"/>
  <c r="F424" i="42"/>
  <c r="E24" i="24" s="1"/>
  <c r="G424" i="42"/>
  <c r="F24" i="24" s="1"/>
  <c r="H424" i="42"/>
  <c r="G24" i="24" s="1"/>
  <c r="I424" i="42"/>
  <c r="J424" i="42"/>
  <c r="G425" i="42"/>
  <c r="H425" i="42"/>
  <c r="I425" i="42"/>
  <c r="J425" i="42"/>
  <c r="K425" i="42"/>
  <c r="D24" i="24"/>
  <c r="K426" i="42" l="1"/>
  <c r="J24" i="24"/>
  <c r="J426" i="42"/>
  <c r="I426" i="42"/>
  <c r="H426" i="42"/>
  <c r="G426" i="42"/>
  <c r="I24" i="24"/>
  <c r="F426" i="42"/>
  <c r="H24" i="24"/>
  <c r="L24" i="24"/>
  <c r="E13" i="42" l="1"/>
  <c r="F11" i="9" s="1"/>
  <c r="N420" i="42" l="1"/>
  <c r="N314" i="42" l="1"/>
  <c r="M314" i="42" l="1"/>
  <c r="M221" i="42" l="1"/>
  <c r="N247" i="42"/>
  <c r="N221" i="42"/>
  <c r="N112" i="42" l="1"/>
  <c r="P20" i="9" s="1"/>
  <c r="N187" i="42" l="1"/>
  <c r="N78" i="42" l="1"/>
  <c r="N422" i="42" s="1"/>
  <c r="N425" i="42" l="1"/>
  <c r="N426" i="42" s="1"/>
  <c r="E17" i="22" l="1"/>
  <c r="F17" i="22"/>
  <c r="G17" i="22"/>
  <c r="D17" i="22"/>
  <c r="F15" i="22" l="1"/>
  <c r="G15" i="22"/>
  <c r="H15" i="22"/>
  <c r="I15" i="22"/>
  <c r="J15" i="22"/>
  <c r="D15" i="22" l="1"/>
  <c r="E15" i="22"/>
  <c r="D51" i="22" l="1"/>
  <c r="N21" i="27" l="1"/>
  <c r="P21" i="27" s="1"/>
  <c r="N30" i="27"/>
  <c r="P30" i="27" s="1"/>
  <c r="F15" i="26" l="1"/>
  <c r="O16" i="5"/>
  <c r="G11" i="5" l="1"/>
  <c r="F409" i="42" l="1"/>
  <c r="G409" i="42"/>
  <c r="H55" i="9" s="1"/>
  <c r="H409" i="42"/>
  <c r="I55" i="9" s="1"/>
  <c r="I409" i="42"/>
  <c r="J55" i="9" s="1"/>
  <c r="J409" i="42"/>
  <c r="K55" i="9" s="1"/>
  <c r="K409" i="42"/>
  <c r="L55" i="9" s="1"/>
  <c r="E409" i="42"/>
  <c r="F55" i="9" s="1"/>
  <c r="F404" i="42"/>
  <c r="G404" i="42"/>
  <c r="H404" i="42"/>
  <c r="I404" i="42"/>
  <c r="J404" i="42"/>
  <c r="K404" i="42"/>
  <c r="E404" i="42"/>
  <c r="F398" i="42"/>
  <c r="G53" i="9" s="1"/>
  <c r="G398" i="42"/>
  <c r="H53" i="9" s="1"/>
  <c r="I398" i="42"/>
  <c r="J53" i="9" s="1"/>
  <c r="J398" i="42"/>
  <c r="K53" i="9" s="1"/>
  <c r="K398" i="42"/>
  <c r="L53" i="9" s="1"/>
  <c r="E398" i="42"/>
  <c r="F53" i="9" s="1"/>
  <c r="F382" i="42"/>
  <c r="G52" i="9" s="1"/>
  <c r="G382" i="42"/>
  <c r="H52" i="9" s="1"/>
  <c r="H382" i="42"/>
  <c r="I52" i="9" s="1"/>
  <c r="I382" i="42"/>
  <c r="J52" i="9" s="1"/>
  <c r="J382" i="42"/>
  <c r="K52" i="9" s="1"/>
  <c r="K382" i="42"/>
  <c r="L52" i="9" s="1"/>
  <c r="E382" i="42"/>
  <c r="F370" i="42"/>
  <c r="G51" i="9" s="1"/>
  <c r="G370" i="42"/>
  <c r="H51" i="9" s="1"/>
  <c r="H370" i="42"/>
  <c r="I51" i="9" s="1"/>
  <c r="I370" i="42"/>
  <c r="J51" i="9" s="1"/>
  <c r="J370" i="42"/>
  <c r="K51" i="9" s="1"/>
  <c r="K370" i="42"/>
  <c r="L51" i="9" s="1"/>
  <c r="E370" i="42"/>
  <c r="F51" i="9" s="1"/>
  <c r="F365" i="42"/>
  <c r="G50" i="9" s="1"/>
  <c r="G365" i="42"/>
  <c r="H50" i="9" s="1"/>
  <c r="H365" i="42"/>
  <c r="I50" i="9" s="1"/>
  <c r="I365" i="42"/>
  <c r="J50" i="9" s="1"/>
  <c r="J365" i="42"/>
  <c r="K50" i="9" s="1"/>
  <c r="K365" i="42"/>
  <c r="L50" i="9" s="1"/>
  <c r="E365" i="42"/>
  <c r="F50" i="9" s="1"/>
  <c r="F357" i="42"/>
  <c r="G49" i="9" s="1"/>
  <c r="G357" i="42"/>
  <c r="H49" i="9" s="1"/>
  <c r="H357" i="42"/>
  <c r="I49" i="9" s="1"/>
  <c r="I357" i="42"/>
  <c r="J49" i="9" s="1"/>
  <c r="J357" i="42"/>
  <c r="K49" i="9" s="1"/>
  <c r="K357" i="42"/>
  <c r="L49" i="9" s="1"/>
  <c r="E357" i="42"/>
  <c r="F49" i="9" s="1"/>
  <c r="F348" i="42"/>
  <c r="G48" i="9" s="1"/>
  <c r="G348" i="42"/>
  <c r="H48" i="9" s="1"/>
  <c r="H348" i="42"/>
  <c r="I48" i="9" s="1"/>
  <c r="I348" i="42"/>
  <c r="J48" i="9" s="1"/>
  <c r="J348" i="42"/>
  <c r="K48" i="9" s="1"/>
  <c r="K348" i="42"/>
  <c r="L48" i="9" s="1"/>
  <c r="E348" i="42"/>
  <c r="F48" i="9" s="1"/>
  <c r="F320" i="42"/>
  <c r="G47" i="9" s="1"/>
  <c r="G320" i="42"/>
  <c r="H320" i="42"/>
  <c r="I47" i="9" s="1"/>
  <c r="I320" i="42"/>
  <c r="J47" i="9" s="1"/>
  <c r="J320" i="42"/>
  <c r="K47" i="9" s="1"/>
  <c r="K320" i="42"/>
  <c r="L47" i="9" s="1"/>
  <c r="E269" i="42"/>
  <c r="F40" i="9" s="1"/>
  <c r="F280" i="42"/>
  <c r="G41" i="9" s="1"/>
  <c r="G280" i="42"/>
  <c r="H41" i="9" s="1"/>
  <c r="H280" i="42"/>
  <c r="I41" i="9" s="1"/>
  <c r="I280" i="42"/>
  <c r="J41" i="9" s="1"/>
  <c r="J280" i="42"/>
  <c r="K41" i="9" s="1"/>
  <c r="K280" i="42"/>
  <c r="L41" i="9" s="1"/>
  <c r="E280" i="42"/>
  <c r="F41" i="9" s="1"/>
  <c r="F293" i="42"/>
  <c r="G42" i="9" s="1"/>
  <c r="G293" i="42"/>
  <c r="H42" i="9" s="1"/>
  <c r="H293" i="42"/>
  <c r="I42" i="9" s="1"/>
  <c r="I293" i="42"/>
  <c r="J42" i="9" s="1"/>
  <c r="J293" i="42"/>
  <c r="K42" i="9" s="1"/>
  <c r="K293" i="42"/>
  <c r="L42" i="9" s="1"/>
  <c r="E293" i="42"/>
  <c r="F42" i="9" s="1"/>
  <c r="F300" i="42"/>
  <c r="G43" i="9" s="1"/>
  <c r="G300" i="42"/>
  <c r="H43" i="9" s="1"/>
  <c r="H300" i="42"/>
  <c r="I43" i="9" s="1"/>
  <c r="I300" i="42"/>
  <c r="J43" i="9" s="1"/>
  <c r="J300" i="42"/>
  <c r="K43" i="9" s="1"/>
  <c r="K300" i="42"/>
  <c r="L43" i="9" s="1"/>
  <c r="E300" i="42"/>
  <c r="F43" i="9" s="1"/>
  <c r="F306" i="42"/>
  <c r="G44" i="9" s="1"/>
  <c r="G306" i="42"/>
  <c r="H44" i="9" s="1"/>
  <c r="H306" i="42"/>
  <c r="I44" i="9" s="1"/>
  <c r="I306" i="42"/>
  <c r="J44" i="9" s="1"/>
  <c r="J306" i="42"/>
  <c r="K44" i="9" s="1"/>
  <c r="K306" i="42"/>
  <c r="L44" i="9" s="1"/>
  <c r="E306" i="42"/>
  <c r="F44" i="9" s="1"/>
  <c r="F269" i="42"/>
  <c r="G40" i="9" s="1"/>
  <c r="G269" i="42"/>
  <c r="H40" i="9" s="1"/>
  <c r="H269" i="42"/>
  <c r="I40" i="9" s="1"/>
  <c r="I269" i="42"/>
  <c r="J40" i="9" s="1"/>
  <c r="J269" i="42"/>
  <c r="K40" i="9" s="1"/>
  <c r="K269" i="42"/>
  <c r="L40" i="9" s="1"/>
  <c r="F258" i="42"/>
  <c r="G39" i="9" s="1"/>
  <c r="G258" i="42"/>
  <c r="H39" i="9" s="1"/>
  <c r="H258" i="42"/>
  <c r="I39" i="9" s="1"/>
  <c r="I258" i="42"/>
  <c r="J39" i="9" s="1"/>
  <c r="J258" i="42"/>
  <c r="K39" i="9" s="1"/>
  <c r="K258" i="42"/>
  <c r="L39" i="9" s="1"/>
  <c r="E258" i="42"/>
  <c r="F39" i="9" s="1"/>
  <c r="F253" i="42"/>
  <c r="G38" i="9" s="1"/>
  <c r="G253" i="42"/>
  <c r="H38" i="9" s="1"/>
  <c r="H253" i="42"/>
  <c r="I38" i="9" s="1"/>
  <c r="I253" i="42"/>
  <c r="J38" i="9" s="1"/>
  <c r="J253" i="42"/>
  <c r="K38" i="9" s="1"/>
  <c r="K253" i="42"/>
  <c r="L38" i="9" s="1"/>
  <c r="E253" i="42"/>
  <c r="F38" i="9" s="1"/>
  <c r="F227" i="42"/>
  <c r="G34" i="9" s="1"/>
  <c r="G227" i="42"/>
  <c r="H34" i="9" s="1"/>
  <c r="H227" i="42"/>
  <c r="I34" i="9" s="1"/>
  <c r="I227" i="42"/>
  <c r="J34" i="9" s="1"/>
  <c r="J227" i="42"/>
  <c r="K34" i="9" s="1"/>
  <c r="K227" i="42"/>
  <c r="L34" i="9" s="1"/>
  <c r="F234" i="42"/>
  <c r="G35" i="9" s="1"/>
  <c r="G234" i="42"/>
  <c r="H35" i="9" s="1"/>
  <c r="H234" i="42"/>
  <c r="I35" i="9" s="1"/>
  <c r="I234" i="42"/>
  <c r="J35" i="9" s="1"/>
  <c r="J234" i="42"/>
  <c r="K35" i="9" s="1"/>
  <c r="K234" i="42"/>
  <c r="L35" i="9" s="1"/>
  <c r="E234" i="42"/>
  <c r="F35" i="9" s="1"/>
  <c r="E227" i="42"/>
  <c r="F34" i="9" s="1"/>
  <c r="F209" i="42"/>
  <c r="G31" i="9" s="1"/>
  <c r="G209" i="42"/>
  <c r="H31" i="9" s="1"/>
  <c r="H209" i="42"/>
  <c r="I31" i="9" s="1"/>
  <c r="I209" i="42"/>
  <c r="J31" i="9" s="1"/>
  <c r="J209" i="42"/>
  <c r="K31" i="9" s="1"/>
  <c r="K209" i="42"/>
  <c r="L31" i="9" s="1"/>
  <c r="F200" i="42"/>
  <c r="G30" i="9" s="1"/>
  <c r="G200" i="42"/>
  <c r="H30" i="9" s="1"/>
  <c r="H200" i="42"/>
  <c r="I30" i="9" s="1"/>
  <c r="I200" i="42"/>
  <c r="J30" i="9" s="1"/>
  <c r="J200" i="42"/>
  <c r="K30" i="9" s="1"/>
  <c r="K200" i="42"/>
  <c r="L30" i="9" s="1"/>
  <c r="E200" i="42"/>
  <c r="F30" i="9" s="1"/>
  <c r="K193" i="42"/>
  <c r="L29" i="9" s="1"/>
  <c r="F193" i="42"/>
  <c r="G29" i="9" s="1"/>
  <c r="G193" i="42"/>
  <c r="H29" i="9" s="1"/>
  <c r="H193" i="42"/>
  <c r="I29" i="9" s="1"/>
  <c r="I193" i="42"/>
  <c r="J29" i="9" s="1"/>
  <c r="J193" i="42"/>
  <c r="K29" i="9" s="1"/>
  <c r="E193" i="42"/>
  <c r="F29" i="9" s="1"/>
  <c r="F178" i="42"/>
  <c r="G26" i="9" s="1"/>
  <c r="G178" i="42"/>
  <c r="H26" i="9" s="1"/>
  <c r="H178" i="42"/>
  <c r="I26" i="9" s="1"/>
  <c r="I178" i="42"/>
  <c r="J26" i="9" s="1"/>
  <c r="J178" i="42"/>
  <c r="K26" i="9" s="1"/>
  <c r="K178" i="42"/>
  <c r="L26" i="9" s="1"/>
  <c r="E178" i="42"/>
  <c r="F26" i="9" s="1"/>
  <c r="F173" i="42"/>
  <c r="G25" i="9" s="1"/>
  <c r="G173" i="42"/>
  <c r="H25" i="9" s="1"/>
  <c r="H173" i="42"/>
  <c r="I25" i="9" s="1"/>
  <c r="I173" i="42"/>
  <c r="J25" i="9" s="1"/>
  <c r="J173" i="42"/>
  <c r="K25" i="9" s="1"/>
  <c r="K173" i="42"/>
  <c r="L25" i="9" s="1"/>
  <c r="E173" i="42"/>
  <c r="F25" i="9" s="1"/>
  <c r="F161" i="42"/>
  <c r="G24" i="9" s="1"/>
  <c r="G161" i="42"/>
  <c r="H24" i="9" s="1"/>
  <c r="H161" i="42"/>
  <c r="I24" i="9" s="1"/>
  <c r="I161" i="42"/>
  <c r="J24" i="9" s="1"/>
  <c r="J161" i="42"/>
  <c r="K24" i="9" s="1"/>
  <c r="K161" i="42"/>
  <c r="L24" i="9" s="1"/>
  <c r="E161" i="42"/>
  <c r="F24" i="9" s="1"/>
  <c r="F144" i="42"/>
  <c r="G23" i="9" s="1"/>
  <c r="G144" i="42"/>
  <c r="H23" i="9" s="1"/>
  <c r="H144" i="42"/>
  <c r="I23" i="9" s="1"/>
  <c r="I144" i="42"/>
  <c r="J23" i="9" s="1"/>
  <c r="J144" i="42"/>
  <c r="K23" i="9" s="1"/>
  <c r="K144" i="42"/>
  <c r="L23" i="9" s="1"/>
  <c r="E144" i="42"/>
  <c r="F23" i="9" s="1"/>
  <c r="F136" i="42"/>
  <c r="G22" i="9" s="1"/>
  <c r="G136" i="42"/>
  <c r="H22" i="9" s="1"/>
  <c r="H136" i="42"/>
  <c r="I22" i="9" s="1"/>
  <c r="I136" i="42"/>
  <c r="J22" i="9" s="1"/>
  <c r="J136" i="42"/>
  <c r="K22" i="9" s="1"/>
  <c r="K136" i="42"/>
  <c r="L22" i="9" s="1"/>
  <c r="E136" i="42"/>
  <c r="F22" i="9" s="1"/>
  <c r="F117" i="42"/>
  <c r="G21" i="9" s="1"/>
  <c r="G117" i="42"/>
  <c r="H21" i="9" s="1"/>
  <c r="H117" i="42"/>
  <c r="I21" i="9" s="1"/>
  <c r="I117" i="42"/>
  <c r="J21" i="9" s="1"/>
  <c r="J117" i="42"/>
  <c r="K21" i="9" s="1"/>
  <c r="K117" i="42"/>
  <c r="F112" i="42"/>
  <c r="G20" i="9" s="1"/>
  <c r="G112" i="42"/>
  <c r="H20" i="9" s="1"/>
  <c r="H112" i="42"/>
  <c r="I20" i="9" s="1"/>
  <c r="I112" i="42"/>
  <c r="J20" i="9" s="1"/>
  <c r="J112" i="42"/>
  <c r="K20" i="9" s="1"/>
  <c r="K112" i="42"/>
  <c r="L20" i="9" s="1"/>
  <c r="E112" i="42"/>
  <c r="F20" i="9" s="1"/>
  <c r="F96" i="42"/>
  <c r="G19" i="9" s="1"/>
  <c r="G96" i="42"/>
  <c r="H19" i="9" s="1"/>
  <c r="H96" i="42"/>
  <c r="I19" i="9" s="1"/>
  <c r="I96" i="42"/>
  <c r="J19" i="9" s="1"/>
  <c r="J96" i="42"/>
  <c r="K19" i="9" s="1"/>
  <c r="K96" i="42"/>
  <c r="L19" i="9" s="1"/>
  <c r="E96" i="42"/>
  <c r="F19" i="9" s="1"/>
  <c r="F84" i="42"/>
  <c r="G18" i="9" s="1"/>
  <c r="G84" i="42"/>
  <c r="H18" i="9" s="1"/>
  <c r="H84" i="42"/>
  <c r="I18" i="9" s="1"/>
  <c r="I84" i="42"/>
  <c r="J18" i="9" s="1"/>
  <c r="J84" i="42"/>
  <c r="K18" i="9" s="1"/>
  <c r="K84" i="42"/>
  <c r="L18" i="9" s="1"/>
  <c r="E84" i="42"/>
  <c r="F18" i="9" s="1"/>
  <c r="F67" i="42"/>
  <c r="G15" i="9" s="1"/>
  <c r="G67" i="42"/>
  <c r="H15" i="9" s="1"/>
  <c r="H67" i="42"/>
  <c r="I15" i="9" s="1"/>
  <c r="I67" i="42"/>
  <c r="J15" i="9" s="1"/>
  <c r="J67" i="42"/>
  <c r="K15" i="9" s="1"/>
  <c r="K67" i="42"/>
  <c r="L15" i="9" s="1"/>
  <c r="E67" i="42"/>
  <c r="F37" i="42"/>
  <c r="G13" i="9" s="1"/>
  <c r="G37" i="42"/>
  <c r="H13" i="9" s="1"/>
  <c r="H37" i="42"/>
  <c r="I13" i="9" s="1"/>
  <c r="I37" i="42"/>
  <c r="J13" i="9" s="1"/>
  <c r="J37" i="42"/>
  <c r="K13" i="9" s="1"/>
  <c r="K37" i="42"/>
  <c r="L13" i="9" s="1"/>
  <c r="E37" i="42"/>
  <c r="F13" i="9" s="1"/>
  <c r="F27" i="42"/>
  <c r="G12" i="9" s="1"/>
  <c r="G27" i="42"/>
  <c r="H12" i="9" s="1"/>
  <c r="H27" i="42"/>
  <c r="I12" i="9" s="1"/>
  <c r="I27" i="42"/>
  <c r="J12" i="9" s="1"/>
  <c r="J27" i="42"/>
  <c r="K12" i="9" s="1"/>
  <c r="K27" i="42"/>
  <c r="L12" i="9" s="1"/>
  <c r="F13" i="42"/>
  <c r="G11" i="9" s="1"/>
  <c r="G13" i="42"/>
  <c r="H11" i="9" s="1"/>
  <c r="H13" i="42"/>
  <c r="I11" i="9" s="1"/>
  <c r="I13" i="42"/>
  <c r="J11" i="9" s="1"/>
  <c r="J13" i="42"/>
  <c r="K11" i="9" s="1"/>
  <c r="K13" i="42"/>
  <c r="L11" i="9" s="1"/>
  <c r="L21" i="9" l="1"/>
  <c r="H47" i="9"/>
  <c r="F52" i="9"/>
  <c r="K16" i="9"/>
  <c r="L45" i="9"/>
  <c r="E78" i="42"/>
  <c r="F15" i="9"/>
  <c r="F420" i="42"/>
  <c r="G55" i="9"/>
  <c r="E221" i="42"/>
  <c r="E247" i="42"/>
  <c r="K247" i="42"/>
  <c r="J221" i="42"/>
  <c r="F247" i="42"/>
  <c r="H221" i="42"/>
  <c r="K187" i="42"/>
  <c r="I187" i="42"/>
  <c r="H187" i="42"/>
  <c r="G187" i="42"/>
  <c r="F187" i="42"/>
  <c r="K78" i="42"/>
  <c r="F221" i="42"/>
  <c r="I314" i="42"/>
  <c r="H78" i="42"/>
  <c r="J247" i="42"/>
  <c r="H314" i="42"/>
  <c r="K221" i="42"/>
  <c r="I247" i="42"/>
  <c r="G314" i="42"/>
  <c r="I78" i="42"/>
  <c r="H247" i="42"/>
  <c r="K314" i="42"/>
  <c r="F314" i="42"/>
  <c r="J78" i="42"/>
  <c r="G78" i="42"/>
  <c r="F78" i="42"/>
  <c r="G221" i="42"/>
  <c r="I221" i="42"/>
  <c r="G247" i="42"/>
  <c r="J314" i="42"/>
  <c r="E314" i="42"/>
  <c r="K420" i="42"/>
  <c r="J420" i="42"/>
  <c r="I420" i="42"/>
  <c r="H420" i="42"/>
  <c r="G420" i="42"/>
  <c r="E420" i="42"/>
  <c r="J187" i="42"/>
  <c r="F56" i="9" l="1"/>
  <c r="G56" i="9"/>
  <c r="I422" i="42"/>
  <c r="K422" i="42"/>
  <c r="H422" i="42"/>
  <c r="J422" i="42"/>
  <c r="F422" i="42"/>
  <c r="G422" i="42"/>
  <c r="M236" i="17" l="1"/>
  <c r="R69" i="22" l="1"/>
  <c r="P69" i="22"/>
  <c r="G69" i="22"/>
  <c r="G25" i="22" s="1"/>
  <c r="F69" i="22"/>
  <c r="F25" i="22" s="1"/>
  <c r="E69" i="22"/>
  <c r="E25" i="22" s="1"/>
  <c r="D25" i="22"/>
  <c r="J65" i="22"/>
  <c r="I65" i="22"/>
  <c r="G17" i="2" l="1"/>
  <c r="J15" i="7"/>
  <c r="K17" i="2" s="1"/>
  <c r="L15" i="7"/>
  <c r="M17" i="2" s="1"/>
  <c r="I15" i="7"/>
  <c r="J17" i="2" s="1"/>
  <c r="H15" i="7"/>
  <c r="I17" i="2" s="1"/>
  <c r="K15" i="7"/>
  <c r="L17" i="2" s="1"/>
  <c r="G15" i="7"/>
  <c r="H17" i="2" s="1"/>
  <c r="H67" i="22" l="1"/>
  <c r="H69" i="22" l="1"/>
  <c r="H25" i="22" s="1"/>
  <c r="I64" i="22"/>
  <c r="I67" i="22" s="1"/>
  <c r="I69" i="22" l="1"/>
  <c r="I25" i="22" s="1"/>
  <c r="J64" i="22"/>
  <c r="J67" i="22" l="1"/>
  <c r="L64" i="22" s="1"/>
  <c r="L66" i="22" s="1"/>
  <c r="L17" i="22" s="1"/>
  <c r="J69" i="22" l="1"/>
  <c r="J25" i="22" s="1"/>
  <c r="L67" i="22"/>
  <c r="N64" i="22" l="1"/>
  <c r="L69" i="22"/>
  <c r="L25" i="22" s="1"/>
  <c r="N66" i="22" l="1"/>
  <c r="N17" i="22" s="1"/>
  <c r="N67" i="22" l="1"/>
  <c r="N69" i="22" s="1"/>
  <c r="N25" i="22" s="1"/>
  <c r="O19" i="2" l="1"/>
  <c r="L135" i="17" l="1"/>
  <c r="I135" i="17"/>
  <c r="H135" i="17"/>
  <c r="H162" i="17"/>
  <c r="L162" i="17"/>
  <c r="N44" i="3" l="1"/>
  <c r="L55" i="17" l="1"/>
  <c r="I55" i="17"/>
  <c r="H55" i="17"/>
  <c r="I191" i="17"/>
  <c r="M161" i="17" l="1"/>
  <c r="L15" i="23" l="1"/>
  <c r="N15" i="23" s="1"/>
  <c r="Q19" i="2" l="1"/>
  <c r="J18" i="25"/>
  <c r="I18" i="25"/>
  <c r="H18" i="25"/>
  <c r="G18" i="25"/>
  <c r="F18" i="25"/>
  <c r="E18" i="25"/>
  <c r="G21" i="2"/>
  <c r="F14" i="27" s="1"/>
  <c r="D18" i="25"/>
  <c r="D30" i="20" l="1"/>
  <c r="P28" i="27" l="1"/>
  <c r="N28" i="27"/>
  <c r="T15" i="26" l="1"/>
  <c r="R15" i="26"/>
  <c r="U59" i="3"/>
  <c r="S59" i="3"/>
  <c r="S61" i="3" s="1"/>
  <c r="S64" i="3" s="1"/>
  <c r="P11" i="24" s="1"/>
  <c r="N40" i="22" l="1"/>
  <c r="L40" i="22"/>
  <c r="L23" i="2" l="1"/>
  <c r="K246" i="17"/>
  <c r="K245" i="17"/>
  <c r="K218" i="17"/>
  <c r="F112" i="16" l="1"/>
  <c r="K38" i="3" l="1"/>
  <c r="Q11" i="5" l="1"/>
  <c r="O11" i="5"/>
  <c r="S11" i="5"/>
  <c r="S10" i="5" s="1"/>
  <c r="U11" i="5"/>
  <c r="U10" i="5" s="1"/>
  <c r="F34" i="27"/>
  <c r="T27" i="2"/>
  <c r="O15" i="5" l="1"/>
  <c r="Q15" i="5" s="1"/>
  <c r="U15" i="5" s="1"/>
  <c r="M19" i="5"/>
  <c r="Q16" i="5"/>
  <c r="S15" i="5"/>
  <c r="M23" i="5" l="1"/>
  <c r="S22" i="6" l="1"/>
  <c r="S26" i="6" s="1"/>
  <c r="U22" i="6"/>
  <c r="U24" i="6" s="1"/>
  <c r="N56" i="3"/>
  <c r="N58" i="3" s="1"/>
  <c r="N61" i="3" s="1"/>
  <c r="D13" i="48" s="1"/>
  <c r="P52" i="3"/>
  <c r="P50" i="3"/>
  <c r="N52" i="3"/>
  <c r="N50" i="3"/>
  <c r="P44" i="3"/>
  <c r="P46" i="3"/>
  <c r="N46" i="3"/>
  <c r="N37" i="3"/>
  <c r="G50" i="3"/>
  <c r="H50" i="3"/>
  <c r="I50" i="3"/>
  <c r="J50" i="3"/>
  <c r="K50" i="3"/>
  <c r="L50" i="3"/>
  <c r="I52" i="3"/>
  <c r="J52" i="3"/>
  <c r="K52" i="3"/>
  <c r="L52" i="3"/>
  <c r="G52" i="3"/>
  <c r="H52" i="3"/>
  <c r="I44" i="3"/>
  <c r="K44" i="3"/>
  <c r="L44" i="3"/>
  <c r="G44" i="3"/>
  <c r="H44" i="3"/>
  <c r="J44" i="3"/>
  <c r="L46" i="3"/>
  <c r="G46" i="3"/>
  <c r="H46" i="3"/>
  <c r="I46" i="3"/>
  <c r="J46" i="3"/>
  <c r="K46" i="3"/>
  <c r="N54" i="3"/>
  <c r="N55" i="3"/>
  <c r="J19" i="3"/>
  <c r="K19" i="3"/>
  <c r="L19" i="3"/>
  <c r="F19" i="3"/>
  <c r="G19" i="3"/>
  <c r="H19" i="3"/>
  <c r="I19" i="3"/>
  <c r="H21" i="3"/>
  <c r="I21" i="3"/>
  <c r="J21" i="3"/>
  <c r="K21" i="3"/>
  <c r="L21" i="3"/>
  <c r="F21" i="3"/>
  <c r="G21" i="3"/>
  <c r="P37" i="3"/>
  <c r="N39" i="3"/>
  <c r="D17" i="48" s="1"/>
  <c r="D20" i="48" s="1"/>
  <c r="N38" i="3"/>
  <c r="G13" i="3"/>
  <c r="H13" i="3"/>
  <c r="I13" i="3"/>
  <c r="J13" i="3"/>
  <c r="K13" i="3"/>
  <c r="G15" i="3"/>
  <c r="H15" i="3"/>
  <c r="I15" i="3"/>
  <c r="J15" i="3"/>
  <c r="K15" i="3"/>
  <c r="F13" i="3"/>
  <c r="S24" i="6" l="1"/>
  <c r="N64" i="3"/>
  <c r="N57" i="3"/>
  <c r="N40" i="3"/>
  <c r="F15" i="3"/>
  <c r="P56" i="3"/>
  <c r="P55" i="3"/>
  <c r="Q11" i="6" s="1"/>
  <c r="U26" i="6"/>
  <c r="U25" i="6"/>
  <c r="P54" i="3"/>
  <c r="S25" i="6"/>
  <c r="P39" i="3"/>
  <c r="D34" i="48" s="1"/>
  <c r="D37" i="48" s="1"/>
  <c r="P38" i="3"/>
  <c r="P40" i="3" l="1"/>
  <c r="P66" i="3"/>
  <c r="P57" i="3"/>
  <c r="P58" i="3"/>
  <c r="P61" i="3" s="1"/>
  <c r="P64" i="3" l="1"/>
  <c r="D30" i="48"/>
  <c r="A11" i="21" l="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R37" i="21"/>
  <c r="P37" i="21"/>
  <c r="R27" i="21"/>
  <c r="P27" i="21"/>
  <c r="R14" i="21"/>
  <c r="P14" i="21"/>
  <c r="A33" i="21" l="1"/>
  <c r="A34" i="21" s="1"/>
  <c r="A35" i="21" s="1"/>
  <c r="A36" i="21" s="1"/>
  <c r="I14" i="21"/>
  <c r="P41" i="21"/>
  <c r="R41" i="21"/>
  <c r="J14" i="21"/>
  <c r="H14" i="21"/>
  <c r="K14" i="21"/>
  <c r="N14" i="21"/>
  <c r="H28" i="27" l="1"/>
  <c r="L29" i="18"/>
  <c r="G29" i="27"/>
  <c r="G40" i="27" s="1"/>
  <c r="I16" i="22"/>
  <c r="J16" i="22"/>
  <c r="E51" i="22"/>
  <c r="I14" i="22"/>
  <c r="J14" i="22"/>
  <c r="L21" i="18" l="1"/>
  <c r="L29" i="27"/>
  <c r="L40" i="27" s="1"/>
  <c r="L22" i="18"/>
  <c r="K29" i="27"/>
  <c r="K40" i="27" s="1"/>
  <c r="J29" i="27"/>
  <c r="J40" i="27" s="1"/>
  <c r="I29" i="27"/>
  <c r="I40" i="27" s="1"/>
  <c r="J31" i="22"/>
  <c r="I18" i="22"/>
  <c r="L22" i="27"/>
  <c r="K22" i="27"/>
  <c r="J22" i="27"/>
  <c r="I22" i="27"/>
  <c r="G22" i="27"/>
  <c r="F22" i="27"/>
  <c r="L14" i="22"/>
  <c r="L30" i="18"/>
  <c r="A20" i="6"/>
  <c r="A23" i="6" s="1"/>
  <c r="A24" i="6" s="1"/>
  <c r="A25" i="6" s="1"/>
  <c r="A26" i="6" s="1"/>
  <c r="L31" i="22" l="1"/>
  <c r="J33" i="22"/>
  <c r="L22" i="2"/>
  <c r="M29" i="18"/>
  <c r="M30" i="18"/>
  <c r="L300" i="17"/>
  <c r="M300" i="17" s="1"/>
  <c r="I300" i="17"/>
  <c r="F300" i="17"/>
  <c r="K299" i="17"/>
  <c r="H299" i="17"/>
  <c r="H301" i="17" s="1"/>
  <c r="G299" i="17"/>
  <c r="E299" i="17"/>
  <c r="M298" i="17"/>
  <c r="F298" i="17"/>
  <c r="M297" i="17"/>
  <c r="M296" i="17"/>
  <c r="M295" i="17"/>
  <c r="M294" i="17"/>
  <c r="M293" i="17"/>
  <c r="M292" i="17"/>
  <c r="M291" i="17"/>
  <c r="M290" i="17"/>
  <c r="M289" i="17"/>
  <c r="M288" i="17"/>
  <c r="M287" i="17"/>
  <c r="M285" i="17"/>
  <c r="M284" i="17"/>
  <c r="M283" i="17"/>
  <c r="H274" i="17"/>
  <c r="L273" i="17"/>
  <c r="L274" i="17" s="1"/>
  <c r="L276" i="17" s="1"/>
  <c r="L277" i="17" s="1"/>
  <c r="I273" i="17"/>
  <c r="F273" i="17"/>
  <c r="F299" i="17" s="1"/>
  <c r="M272" i="17"/>
  <c r="F272" i="17"/>
  <c r="M271" i="17"/>
  <c r="F271" i="17"/>
  <c r="M270" i="17"/>
  <c r="F270" i="17"/>
  <c r="M269" i="17"/>
  <c r="M268" i="17"/>
  <c r="M267" i="17"/>
  <c r="M266" i="17"/>
  <c r="M265" i="17"/>
  <c r="M264" i="17"/>
  <c r="M263" i="17"/>
  <c r="M262" i="17"/>
  <c r="M261" i="17"/>
  <c r="M260" i="17"/>
  <c r="M259" i="17"/>
  <c r="M258" i="17"/>
  <c r="M257" i="17"/>
  <c r="M22" i="2" l="1"/>
  <c r="L302" i="17"/>
  <c r="I299" i="17"/>
  <c r="L299" i="17" s="1"/>
  <c r="M273" i="17"/>
  <c r="M274" i="17" s="1"/>
  <c r="M302" i="17" s="1"/>
  <c r="L301" i="17" l="1"/>
  <c r="L303" i="17" s="1"/>
  <c r="L304" i="17" s="1"/>
  <c r="M299" i="17"/>
  <c r="M301" i="17" s="1"/>
  <c r="N274" i="17"/>
  <c r="N302" i="17" s="1"/>
  <c r="M276" i="17"/>
  <c r="M277" i="17" s="1"/>
  <c r="N277" i="17" s="1"/>
  <c r="G106" i="16" s="1"/>
  <c r="N301" i="17" l="1"/>
  <c r="M303" i="17"/>
  <c r="M304" i="17" s="1"/>
  <c r="N304" i="17" s="1"/>
  <c r="G117" i="16" s="1"/>
  <c r="L244" i="17" l="1"/>
  <c r="M243" i="17"/>
  <c r="M242" i="17"/>
  <c r="M241" i="17"/>
  <c r="M240" i="17"/>
  <c r="M239" i="17"/>
  <c r="M238" i="17"/>
  <c r="M237" i="17"/>
  <c r="M235" i="17"/>
  <c r="M234" i="17"/>
  <c r="M233" i="17"/>
  <c r="M232" i="17"/>
  <c r="M231" i="17"/>
  <c r="M230" i="17"/>
  <c r="L217" i="17"/>
  <c r="M217" i="17"/>
  <c r="M216" i="17"/>
  <c r="M215" i="17"/>
  <c r="M214" i="17"/>
  <c r="M213" i="17"/>
  <c r="M212" i="17"/>
  <c r="M211" i="17"/>
  <c r="M210" i="17"/>
  <c r="M209" i="17"/>
  <c r="M208" i="17"/>
  <c r="M207" i="17"/>
  <c r="M206" i="17"/>
  <c r="M205" i="17"/>
  <c r="M204" i="17"/>
  <c r="M203" i="17"/>
  <c r="M202" i="17"/>
  <c r="M201" i="17"/>
  <c r="H191" i="17"/>
  <c r="M188" i="17"/>
  <c r="M191" i="17" s="1"/>
  <c r="M187" i="17"/>
  <c r="M186" i="17"/>
  <c r="M185" i="17"/>
  <c r="M184" i="17"/>
  <c r="M183" i="17"/>
  <c r="M182" i="17"/>
  <c r="M181" i="17"/>
  <c r="M180" i="17"/>
  <c r="M179" i="17"/>
  <c r="M178" i="17"/>
  <c r="M177" i="17"/>
  <c r="M176" i="17"/>
  <c r="M175" i="17"/>
  <c r="M174" i="17"/>
  <c r="M173" i="17"/>
  <c r="M172" i="17"/>
  <c r="M171" i="17"/>
  <c r="L191" i="17" l="1"/>
  <c r="M244" i="17"/>
  <c r="L220" i="17" l="1"/>
  <c r="N191" i="17"/>
  <c r="M220" i="17"/>
  <c r="N220" i="17" s="1"/>
  <c r="L192" i="17" l="1"/>
  <c r="L193" i="17" s="1"/>
  <c r="L194" i="17" s="1"/>
  <c r="D74" i="16" s="1"/>
  <c r="M160" i="17"/>
  <c r="M159" i="17"/>
  <c r="M158" i="17"/>
  <c r="M157" i="17"/>
  <c r="M156" i="17"/>
  <c r="M155" i="17"/>
  <c r="M154" i="17"/>
  <c r="M153" i="17"/>
  <c r="M152" i="17"/>
  <c r="M151" i="17"/>
  <c r="M150" i="17"/>
  <c r="M149" i="17"/>
  <c r="M148" i="17"/>
  <c r="M147" i="17"/>
  <c r="M146" i="17"/>
  <c r="M145" i="17"/>
  <c r="M144" i="17"/>
  <c r="M162" i="17" l="1"/>
  <c r="N162" i="17" l="1"/>
  <c r="L108" i="17"/>
  <c r="L136" i="17" s="1"/>
  <c r="H108" i="17"/>
  <c r="L163" i="17"/>
  <c r="L164" i="17" s="1"/>
  <c r="L165" i="17" s="1"/>
  <c r="M133" i="17"/>
  <c r="M132" i="17"/>
  <c r="M131" i="17"/>
  <c r="M130" i="17"/>
  <c r="M129" i="17"/>
  <c r="M128" i="17"/>
  <c r="M127" i="17"/>
  <c r="M126" i="17"/>
  <c r="M125" i="17"/>
  <c r="M124" i="17"/>
  <c r="M123" i="17"/>
  <c r="M122" i="17"/>
  <c r="M121" i="17"/>
  <c r="M120" i="17"/>
  <c r="M119" i="17"/>
  <c r="M118" i="17"/>
  <c r="M117" i="17"/>
  <c r="M135" i="17" l="1"/>
  <c r="N192" i="17"/>
  <c r="M193" i="17"/>
  <c r="M194" i="17" s="1"/>
  <c r="N194" i="17" s="1"/>
  <c r="G74" i="16" l="1"/>
  <c r="N135" i="17"/>
  <c r="N163" i="17" s="1"/>
  <c r="M163" i="17"/>
  <c r="M164" i="17" s="1"/>
  <c r="M165" i="17" s="1"/>
  <c r="N165" i="17" s="1"/>
  <c r="G64" i="16" s="1"/>
  <c r="M107" i="17"/>
  <c r="F107" i="17"/>
  <c r="M106" i="17"/>
  <c r="F106" i="17"/>
  <c r="M105" i="17"/>
  <c r="F105" i="17"/>
  <c r="M104" i="17"/>
  <c r="F104" i="17"/>
  <c r="M103" i="17"/>
  <c r="F103" i="17"/>
  <c r="M102" i="17"/>
  <c r="F102" i="17"/>
  <c r="M101" i="17"/>
  <c r="F101" i="17"/>
  <c r="M100" i="17"/>
  <c r="M99" i="17"/>
  <c r="M98" i="17"/>
  <c r="M97" i="17"/>
  <c r="M96" i="17"/>
  <c r="M95" i="17"/>
  <c r="M94" i="17"/>
  <c r="M93" i="17"/>
  <c r="M92" i="17"/>
  <c r="M91" i="17"/>
  <c r="M108" i="17" l="1"/>
  <c r="N108" i="17"/>
  <c r="L82" i="17" l="1"/>
  <c r="L109" i="17" s="1"/>
  <c r="L110" i="17" s="1"/>
  <c r="L111" i="17" s="1"/>
  <c r="H82" i="17"/>
  <c r="M81" i="17"/>
  <c r="F81" i="17"/>
  <c r="M80" i="17"/>
  <c r="F80" i="17"/>
  <c r="M79" i="17"/>
  <c r="F79" i="17"/>
  <c r="M78" i="17"/>
  <c r="F78" i="17"/>
  <c r="M77" i="17"/>
  <c r="F77" i="17"/>
  <c r="M76" i="17"/>
  <c r="F76" i="17"/>
  <c r="M75" i="17"/>
  <c r="M74" i="17"/>
  <c r="M73" i="17"/>
  <c r="M72" i="17"/>
  <c r="M71" i="17"/>
  <c r="M70" i="17"/>
  <c r="M69" i="17"/>
  <c r="M68" i="17"/>
  <c r="M67" i="17"/>
  <c r="M66" i="17"/>
  <c r="M65" i="17"/>
  <c r="M64" i="17"/>
  <c r="L137" i="17" l="1"/>
  <c r="L138" i="17" s="1"/>
  <c r="D54" i="16" s="1"/>
  <c r="D44" i="16"/>
  <c r="M82" i="17"/>
  <c r="N82" i="17" l="1"/>
  <c r="N109" i="17" s="1"/>
  <c r="M109" i="17"/>
  <c r="M110" i="17" s="1"/>
  <c r="M111" i="17" s="1"/>
  <c r="L83" i="17"/>
  <c r="L84" i="17" s="1"/>
  <c r="L85" i="17" s="1"/>
  <c r="D34" i="16" s="1"/>
  <c r="M53" i="17"/>
  <c r="F53" i="17"/>
  <c r="M52" i="17"/>
  <c r="F52" i="17"/>
  <c r="M51" i="17"/>
  <c r="F51" i="17"/>
  <c r="M50" i="17"/>
  <c r="F50" i="17"/>
  <c r="M49" i="17"/>
  <c r="F49" i="17"/>
  <c r="M48" i="17"/>
  <c r="M47" i="17"/>
  <c r="M46" i="17"/>
  <c r="M45" i="17"/>
  <c r="M44" i="17"/>
  <c r="M43" i="17"/>
  <c r="M42" i="17"/>
  <c r="M41" i="17"/>
  <c r="M40" i="17"/>
  <c r="M39" i="17"/>
  <c r="M38" i="17"/>
  <c r="M37" i="17"/>
  <c r="M55" i="17" l="1"/>
  <c r="N111" i="17"/>
  <c r="M137" i="17"/>
  <c r="M138" i="17" s="1"/>
  <c r="N138" i="17" s="1"/>
  <c r="G54" i="16" s="1"/>
  <c r="N136" i="17" l="1"/>
  <c r="G44" i="16"/>
  <c r="N55" i="17"/>
  <c r="N83" i="17" s="1"/>
  <c r="M83" i="17"/>
  <c r="M84" i="17" s="1"/>
  <c r="M85" i="17" s="1"/>
  <c r="N85" i="17" s="1"/>
  <c r="G34" i="16" s="1"/>
  <c r="M12" i="17"/>
  <c r="N29" i="17"/>
  <c r="L28" i="17"/>
  <c r="H28" i="17"/>
  <c r="M27" i="17"/>
  <c r="F27" i="17"/>
  <c r="M26" i="17"/>
  <c r="F26" i="17"/>
  <c r="M25" i="17"/>
  <c r="F25" i="17"/>
  <c r="M24" i="17"/>
  <c r="F24" i="17"/>
  <c r="M23" i="17"/>
  <c r="M22" i="17"/>
  <c r="M21" i="17"/>
  <c r="M20" i="17"/>
  <c r="M19" i="17"/>
  <c r="M18" i="17"/>
  <c r="M17" i="17"/>
  <c r="M16" i="17"/>
  <c r="M15" i="17"/>
  <c r="M14" i="17"/>
  <c r="M13" i="17"/>
  <c r="M11" i="17"/>
  <c r="L30" i="17" l="1"/>
  <c r="L31" i="17" s="1"/>
  <c r="D14" i="16" s="1"/>
  <c r="L56" i="17"/>
  <c r="L57" i="17" s="1"/>
  <c r="L58" i="17" s="1"/>
  <c r="M28" i="17"/>
  <c r="M56" i="17" s="1"/>
  <c r="M57" i="17" s="1"/>
  <c r="M58" i="17" s="1"/>
  <c r="N58" i="17" l="1"/>
  <c r="G24" i="16" s="1"/>
  <c r="N28" i="17"/>
  <c r="N56" i="17" s="1"/>
  <c r="M30" i="17"/>
  <c r="M31" i="17" s="1"/>
  <c r="N31" i="17" s="1"/>
  <c r="G14" i="16" s="1"/>
  <c r="M17" i="6" l="1"/>
  <c r="L17" i="6"/>
  <c r="K17" i="6"/>
  <c r="J17" i="6"/>
  <c r="I17" i="6"/>
  <c r="H17" i="6"/>
  <c r="G17" i="6"/>
  <c r="G60" i="3"/>
  <c r="H60" i="3"/>
  <c r="I60" i="3"/>
  <c r="J60" i="3"/>
  <c r="K60" i="3"/>
  <c r="L60" i="3"/>
  <c r="F60" i="3"/>
  <c r="G23" i="5" l="1"/>
  <c r="D11" i="23" l="1"/>
  <c r="G33" i="5"/>
  <c r="G17" i="4" l="1"/>
  <c r="H17" i="4"/>
  <c r="J23" i="2"/>
  <c r="H23" i="2"/>
  <c r="H12" i="2" l="1"/>
  <c r="G12" i="2"/>
  <c r="F37" i="3"/>
  <c r="Q12" i="2" l="1"/>
  <c r="G45" i="9"/>
  <c r="G36" i="9"/>
  <c r="G32" i="9"/>
  <c r="G27" i="9"/>
  <c r="G16" i="9"/>
  <c r="F45" i="9"/>
  <c r="F36" i="9"/>
  <c r="F32" i="9"/>
  <c r="F16" i="9"/>
  <c r="P36" i="9"/>
  <c r="P32" i="9"/>
  <c r="P27" i="9"/>
  <c r="N56" i="9"/>
  <c r="N45" i="9"/>
  <c r="N36" i="9"/>
  <c r="N32" i="9"/>
  <c r="G41" i="8"/>
  <c r="G12" i="7" s="1"/>
  <c r="G16" i="7" s="1"/>
  <c r="G24" i="8"/>
  <c r="G10" i="7" s="1"/>
  <c r="F41" i="8"/>
  <c r="F12" i="7" s="1"/>
  <c r="N30" i="20"/>
  <c r="N15" i="20"/>
  <c r="L15" i="20"/>
  <c r="E30" i="20"/>
  <c r="F30" i="20"/>
  <c r="G30" i="20"/>
  <c r="H30" i="20"/>
  <c r="I30" i="20"/>
  <c r="J30" i="20"/>
  <c r="D15" i="20"/>
  <c r="F15" i="20"/>
  <c r="N24" i="23"/>
  <c r="N13" i="23"/>
  <c r="L24" i="23"/>
  <c r="L20" i="23"/>
  <c r="L13" i="23"/>
  <c r="N28" i="24"/>
  <c r="N23" i="24"/>
  <c r="L28" i="24"/>
  <c r="L23" i="24"/>
  <c r="E24" i="23"/>
  <c r="E20" i="23"/>
  <c r="E13" i="23"/>
  <c r="D24" i="23"/>
  <c r="D20" i="23"/>
  <c r="D13" i="23"/>
  <c r="P34" i="27"/>
  <c r="N34" i="27"/>
  <c r="G17" i="27"/>
  <c r="F17" i="27"/>
  <c r="E41" i="24"/>
  <c r="E29" i="24"/>
  <c r="E28" i="24"/>
  <c r="E23" i="24"/>
  <c r="E17" i="24"/>
  <c r="D41" i="24"/>
  <c r="D29" i="24"/>
  <c r="D28" i="24"/>
  <c r="D23" i="24"/>
  <c r="D17" i="24"/>
  <c r="D14" i="25"/>
  <c r="E11" i="25" s="1"/>
  <c r="E14" i="25" s="1"/>
  <c r="F11" i="25" s="1"/>
  <c r="E24" i="19"/>
  <c r="E23" i="18"/>
  <c r="E25" i="18" s="1"/>
  <c r="D39" i="18"/>
  <c r="E36" i="18" s="1"/>
  <c r="D23" i="18"/>
  <c r="F15" i="12"/>
  <c r="E29" i="20" s="1"/>
  <c r="D29" i="20"/>
  <c r="N7" i="9"/>
  <c r="N7" i="7"/>
  <c r="Q21" i="5"/>
  <c r="O21" i="5"/>
  <c r="O11" i="6"/>
  <c r="O12" i="2"/>
  <c r="G56" i="3"/>
  <c r="F56" i="3"/>
  <c r="G55" i="3"/>
  <c r="H11" i="6" s="1"/>
  <c r="F55" i="3"/>
  <c r="G11" i="6" s="1"/>
  <c r="G54" i="3"/>
  <c r="F54" i="3"/>
  <c r="F52" i="3"/>
  <c r="F50" i="3"/>
  <c r="F46" i="3"/>
  <c r="F44" i="3"/>
  <c r="G39" i="3"/>
  <c r="F39" i="3"/>
  <c r="G38" i="3"/>
  <c r="F38" i="3"/>
  <c r="G37" i="3"/>
  <c r="G35" i="3"/>
  <c r="F35" i="3"/>
  <c r="G31" i="3"/>
  <c r="F31" i="3"/>
  <c r="H31" i="3"/>
  <c r="I31" i="3"/>
  <c r="J31" i="3"/>
  <c r="H35" i="3"/>
  <c r="I35" i="3"/>
  <c r="J35" i="3"/>
  <c r="H37" i="3"/>
  <c r="I37" i="3"/>
  <c r="J37" i="3"/>
  <c r="H38" i="3"/>
  <c r="I38" i="3"/>
  <c r="J38" i="3"/>
  <c r="H39" i="3"/>
  <c r="I39" i="3"/>
  <c r="P68" i="3" s="1"/>
  <c r="J39" i="3"/>
  <c r="H54" i="3"/>
  <c r="I54" i="3"/>
  <c r="J54" i="3"/>
  <c r="H55" i="3"/>
  <c r="I55" i="3"/>
  <c r="J55" i="3"/>
  <c r="H56" i="3"/>
  <c r="H58" i="3" s="1"/>
  <c r="H61" i="3" s="1"/>
  <c r="H64" i="3" s="1"/>
  <c r="I11" i="2" s="1"/>
  <c r="I56" i="3"/>
  <c r="J56" i="3"/>
  <c r="J58" i="3" s="1"/>
  <c r="J61" i="3" s="1"/>
  <c r="J64" i="3" s="1"/>
  <c r="G58" i="9" l="1"/>
  <c r="H18" i="2" s="1"/>
  <c r="K11" i="2"/>
  <c r="E53" i="22"/>
  <c r="E23" i="22" s="1"/>
  <c r="F51" i="22"/>
  <c r="D19" i="25"/>
  <c r="E16" i="25" s="1"/>
  <c r="E19" i="25" s="1"/>
  <c r="F16" i="25" s="1"/>
  <c r="F40" i="3"/>
  <c r="G11" i="7"/>
  <c r="G40" i="3"/>
  <c r="I40" i="3"/>
  <c r="J40" i="3"/>
  <c r="D31" i="18"/>
  <c r="I57" i="3"/>
  <c r="F57" i="3"/>
  <c r="H40" i="3"/>
  <c r="G57" i="3"/>
  <c r="F58" i="3"/>
  <c r="F61" i="3" s="1"/>
  <c r="F64" i="3" s="1"/>
  <c r="H57" i="3"/>
  <c r="J57" i="3"/>
  <c r="G58" i="3"/>
  <c r="G61" i="3" s="1"/>
  <c r="G64" i="3" s="1"/>
  <c r="H11" i="2" s="1"/>
  <c r="I58" i="3"/>
  <c r="I61" i="3" s="1"/>
  <c r="I64" i="3" s="1"/>
  <c r="J11" i="2" s="1"/>
  <c r="G11" i="2" l="1"/>
  <c r="E41" i="18"/>
  <c r="F36" i="18"/>
  <c r="E11" i="24"/>
  <c r="D20" i="25"/>
  <c r="E20" i="25"/>
  <c r="D18" i="16"/>
  <c r="E31" i="18"/>
  <c r="D11" i="24" l="1"/>
  <c r="D13" i="24" s="1"/>
  <c r="D19" i="24" s="1"/>
  <c r="E13" i="24"/>
  <c r="D28" i="19"/>
  <c r="E28" i="19"/>
  <c r="E33" i="18"/>
  <c r="E17" i="18" s="1"/>
  <c r="E19" i="24" l="1"/>
  <c r="F29" i="19"/>
  <c r="D30" i="19"/>
  <c r="D32" i="19" s="1"/>
  <c r="E29" i="19"/>
  <c r="E30" i="19" s="1"/>
  <c r="E32" i="19" s="1"/>
  <c r="D28" i="16"/>
  <c r="H21" i="2" l="1"/>
  <c r="H20" i="2"/>
  <c r="E10" i="23"/>
  <c r="E12" i="23"/>
  <c r="G20" i="2"/>
  <c r="D12" i="23"/>
  <c r="G13" i="2"/>
  <c r="H13" i="2" l="1"/>
  <c r="D26" i="24"/>
  <c r="G14" i="27"/>
  <c r="E26" i="24"/>
  <c r="D42" i="23"/>
  <c r="D44" i="23" s="1"/>
  <c r="D25" i="24"/>
  <c r="F13" i="27"/>
  <c r="E42" i="23"/>
  <c r="E44" i="23" s="1"/>
  <c r="G13" i="27"/>
  <c r="E25" i="24"/>
  <c r="A2" i="6" l="1"/>
  <c r="A2" i="7"/>
  <c r="A2" i="8"/>
  <c r="A2" i="9"/>
  <c r="A2" i="35"/>
  <c r="A2" i="16"/>
  <c r="A2" i="18"/>
  <c r="A2" i="20"/>
  <c r="A2" i="21"/>
  <c r="A2" i="22"/>
  <c r="A2" i="40"/>
  <c r="A2" i="23"/>
  <c r="A2" i="24"/>
  <c r="A2" i="25"/>
  <c r="A2" i="26"/>
  <c r="A2" i="27"/>
  <c r="A2" i="5"/>
  <c r="A2" i="4"/>
  <c r="T40" i="8"/>
  <c r="L56" i="3" l="1"/>
  <c r="K56" i="3"/>
  <c r="L55" i="3"/>
  <c r="K55" i="3"/>
  <c r="L39" i="3"/>
  <c r="K39" i="3"/>
  <c r="L11" i="6" l="1"/>
  <c r="G15" i="20" l="1"/>
  <c r="H15" i="20"/>
  <c r="I15" i="20"/>
  <c r="J15" i="20"/>
  <c r="R15" i="20"/>
  <c r="H17" i="27" l="1"/>
  <c r="I17" i="27"/>
  <c r="J17" i="27"/>
  <c r="P29" i="18" l="1"/>
  <c r="A10" i="8" l="1"/>
  <c r="A11" i="8" l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I59" i="22" l="1"/>
  <c r="I61" i="22" s="1"/>
  <c r="I24" i="22" s="1"/>
  <c r="J59" i="22" l="1"/>
  <c r="J61" i="22" l="1"/>
  <c r="J24" i="22" s="1"/>
  <c r="L56" i="22"/>
  <c r="P61" i="22"/>
  <c r="L58" i="22" l="1"/>
  <c r="L16" i="22" s="1"/>
  <c r="R61" i="22"/>
  <c r="L59" i="22" l="1"/>
  <c r="N56" i="22" s="1"/>
  <c r="L61" i="22"/>
  <c r="L24" i="22" s="1"/>
  <c r="N58" i="22" l="1"/>
  <c r="N16" i="22" s="1"/>
  <c r="N59" i="22" l="1"/>
  <c r="N61" i="22" s="1"/>
  <c r="N24" i="22" s="1"/>
  <c r="P15" i="20" l="1"/>
  <c r="P23" i="35" l="1"/>
  <c r="P27" i="35" s="1"/>
  <c r="O21" i="18" l="1"/>
  <c r="R18" i="25" l="1"/>
  <c r="P18" i="25"/>
  <c r="T35" i="8" l="1"/>
  <c r="R40" i="8"/>
  <c r="P30" i="18" l="1"/>
  <c r="R35" i="8" l="1"/>
  <c r="S66" i="3" l="1"/>
  <c r="S68" i="3" s="1"/>
  <c r="P30" i="20" l="1"/>
  <c r="K56" i="9" l="1"/>
  <c r="K45" i="9"/>
  <c r="K36" i="9"/>
  <c r="K32" i="9"/>
  <c r="K27" i="9"/>
  <c r="I56" i="9"/>
  <c r="I45" i="9"/>
  <c r="I36" i="9"/>
  <c r="I32" i="9"/>
  <c r="I27" i="9"/>
  <c r="I16" i="9"/>
  <c r="K58" i="9" l="1"/>
  <c r="I58" i="9"/>
  <c r="J18" i="2" s="1"/>
  <c r="L18" i="2" l="1"/>
  <c r="Q23" i="35"/>
  <c r="Q27" i="35" s="1"/>
  <c r="G51" i="22" l="1"/>
  <c r="F53" i="22"/>
  <c r="F23" i="22" s="1"/>
  <c r="H51" i="22" l="1"/>
  <c r="G53" i="22"/>
  <c r="G23" i="22" s="1"/>
  <c r="I51" i="22" l="1"/>
  <c r="H53" i="22"/>
  <c r="H23" i="22" s="1"/>
  <c r="J51" i="22" l="1"/>
  <c r="I53" i="22"/>
  <c r="I23" i="22" s="1"/>
  <c r="P53" i="22"/>
  <c r="R53" i="22"/>
  <c r="L47" i="22" l="1"/>
  <c r="L50" i="22" s="1"/>
  <c r="L15" i="22" s="1"/>
  <c r="J53" i="22"/>
  <c r="J23" i="22" s="1"/>
  <c r="L51" i="22" l="1"/>
  <c r="P21" i="18"/>
  <c r="N47" i="22" l="1"/>
  <c r="N50" i="22" s="1"/>
  <c r="L53" i="22"/>
  <c r="L23" i="22" s="1"/>
  <c r="N51" i="22" l="1"/>
  <c r="N53" i="22" s="1"/>
  <c r="N23" i="22" s="1"/>
  <c r="N15" i="22"/>
  <c r="I42" i="22" l="1"/>
  <c r="I44" i="22" s="1"/>
  <c r="I22" i="22" s="1"/>
  <c r="J42" i="22" l="1"/>
  <c r="L42" i="22" l="1"/>
  <c r="N38" i="22" s="1"/>
  <c r="J44" i="22"/>
  <c r="J22" i="22" s="1"/>
  <c r="L44" i="22" l="1"/>
  <c r="L22" i="22" s="1"/>
  <c r="A11" i="20" l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12" i="26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A43" i="26" s="1"/>
  <c r="A44" i="26" s="1"/>
  <c r="A45" i="26" s="1"/>
  <c r="A46" i="26" s="1"/>
  <c r="A47" i="26" s="1"/>
  <c r="L38" i="3" l="1"/>
  <c r="D17" i="40" l="1"/>
  <c r="L30" i="22" l="1"/>
  <c r="A11" i="40"/>
  <c r="A12" i="40" s="1"/>
  <c r="A13" i="40" s="1"/>
  <c r="A14" i="40" s="1"/>
  <c r="A15" i="40" s="1"/>
  <c r="A16" i="40" s="1"/>
  <c r="A17" i="40" s="1"/>
  <c r="F17" i="40" l="1"/>
  <c r="N30" i="22" s="1"/>
  <c r="J28" i="24" l="1"/>
  <c r="P31" i="24"/>
  <c r="J31" i="24"/>
  <c r="R30" i="24"/>
  <c r="P30" i="24"/>
  <c r="R29" i="24"/>
  <c r="P29" i="24"/>
  <c r="J29" i="24"/>
  <c r="R28" i="24"/>
  <c r="P28" i="24"/>
  <c r="J23" i="24"/>
  <c r="J24" i="23"/>
  <c r="J20" i="23"/>
  <c r="J13" i="23"/>
  <c r="A22" i="3" l="1"/>
  <c r="A23" i="3" s="1"/>
  <c r="A24" i="3" s="1"/>
  <c r="A25" i="3" s="1"/>
  <c r="A26" i="3" s="1"/>
  <c r="A27" i="3" s="1"/>
  <c r="U58" i="3" l="1"/>
  <c r="U61" i="3" s="1"/>
  <c r="U64" i="3" s="1"/>
  <c r="R11" i="24" s="1"/>
  <c r="M21" i="2" l="1"/>
  <c r="J26" i="24" l="1"/>
  <c r="R30" i="20" l="1"/>
  <c r="J24" i="19" l="1"/>
  <c r="D24" i="16" l="1"/>
  <c r="P23" i="24" l="1"/>
  <c r="P13" i="23"/>
  <c r="R13" i="23" l="1"/>
  <c r="R23" i="24"/>
  <c r="L17" i="27"/>
  <c r="K17" i="27"/>
  <c r="J12" i="23" l="1"/>
  <c r="L24" i="8"/>
  <c r="L10" i="7" s="1"/>
  <c r="R39" i="8"/>
  <c r="R37" i="8"/>
  <c r="R36" i="8"/>
  <c r="T38" i="8" l="1"/>
  <c r="T37" i="8"/>
  <c r="R38" i="8"/>
  <c r="T36" i="8"/>
  <c r="R24" i="8"/>
  <c r="R10" i="7" s="1"/>
  <c r="T24" i="8"/>
  <c r="T10" i="7" s="1"/>
  <c r="T39" i="8"/>
  <c r="R41" i="8" l="1"/>
  <c r="R12" i="7" s="1"/>
  <c r="R16" i="7" s="1"/>
  <c r="T41" i="8"/>
  <c r="T12" i="7" l="1"/>
  <c r="T16" i="7" s="1"/>
  <c r="L35" i="3" l="1"/>
  <c r="L54" i="3"/>
  <c r="L31" i="3"/>
  <c r="U66" i="3"/>
  <c r="U68" i="3" s="1"/>
  <c r="L37" i="3"/>
  <c r="L40" i="3"/>
  <c r="L57" i="3" l="1"/>
  <c r="M11" i="6"/>
  <c r="L58" i="3"/>
  <c r="M17" i="4"/>
  <c r="M12" i="2" l="1"/>
  <c r="L61" i="3"/>
  <c r="L64" i="3" s="1"/>
  <c r="M11" i="2" l="1"/>
  <c r="J11" i="24"/>
  <c r="A11" i="35"/>
  <c r="J13" i="24" l="1"/>
  <c r="A12" i="35"/>
  <c r="A13" i="35" s="1"/>
  <c r="A14" i="35" s="1"/>
  <c r="A15" i="35" s="1"/>
  <c r="A16" i="35" s="1"/>
  <c r="A17" i="35" s="1"/>
  <c r="A18" i="35" s="1"/>
  <c r="A19" i="35" s="1"/>
  <c r="A20" i="35" s="1"/>
  <c r="A21" i="35" s="1"/>
  <c r="A22" i="35" s="1"/>
  <c r="A23" i="35" s="1"/>
  <c r="A24" i="35" s="1"/>
  <c r="A25" i="35" s="1"/>
  <c r="A26" i="35" s="1"/>
  <c r="A27" i="35" s="1"/>
  <c r="L21" i="2" l="1"/>
  <c r="I24" i="19"/>
  <c r="I24" i="23"/>
  <c r="I13" i="23"/>
  <c r="I31" i="24"/>
  <c r="I30" i="24"/>
  <c r="I29" i="24"/>
  <c r="I28" i="24"/>
  <c r="I23" i="24"/>
  <c r="A11" i="2"/>
  <c r="A12" i="2" s="1"/>
  <c r="A13" i="2" s="1"/>
  <c r="A14" i="2" s="1"/>
  <c r="A15" i="2" s="1"/>
  <c r="A16" i="2" s="1"/>
  <c r="I21" i="2"/>
  <c r="J21" i="2"/>
  <c r="K21" i="2"/>
  <c r="J14" i="27" s="1"/>
  <c r="K31" i="3"/>
  <c r="K35" i="3"/>
  <c r="K37" i="3"/>
  <c r="K54" i="3"/>
  <c r="A10" i="5"/>
  <c r="A11" i="5" s="1"/>
  <c r="A12" i="5" s="1"/>
  <c r="A13" i="5" s="1"/>
  <c r="A14" i="5" s="1"/>
  <c r="A15" i="5" s="1"/>
  <c r="H24" i="8"/>
  <c r="H10" i="7" s="1"/>
  <c r="I24" i="8"/>
  <c r="I10" i="7" s="1"/>
  <c r="J24" i="8"/>
  <c r="J10" i="7" s="1"/>
  <c r="K24" i="8"/>
  <c r="K10" i="7" s="1"/>
  <c r="H41" i="8"/>
  <c r="I41" i="8"/>
  <c r="I12" i="7" s="1"/>
  <c r="I16" i="7" s="1"/>
  <c r="J41" i="8"/>
  <c r="J12" i="7" s="1"/>
  <c r="J16" i="7" s="1"/>
  <c r="K41" i="8"/>
  <c r="K12" i="7" s="1"/>
  <c r="K16" i="7" s="1"/>
  <c r="A11" i="9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12" i="17"/>
  <c r="A13" i="17" s="1"/>
  <c r="A14" i="17" s="1"/>
  <c r="A15" i="17" s="1"/>
  <c r="A16" i="17" s="1"/>
  <c r="A17" i="17" s="1"/>
  <c r="A11" i="18"/>
  <c r="A12" i="18" s="1"/>
  <c r="A13" i="18" s="1"/>
  <c r="A14" i="18" s="1"/>
  <c r="A15" i="18" s="1"/>
  <c r="A16" i="18" s="1"/>
  <c r="F39" i="18"/>
  <c r="G36" i="18" s="1"/>
  <c r="G24" i="19"/>
  <c r="H24" i="19"/>
  <c r="F13" i="23"/>
  <c r="G13" i="23"/>
  <c r="H13" i="23"/>
  <c r="F20" i="23"/>
  <c r="G20" i="23"/>
  <c r="H20" i="23"/>
  <c r="F24" i="23"/>
  <c r="G24" i="23"/>
  <c r="H24" i="23"/>
  <c r="F28" i="24"/>
  <c r="F29" i="24"/>
  <c r="G28" i="24"/>
  <c r="G29" i="24"/>
  <c r="H28" i="24"/>
  <c r="H29" i="24"/>
  <c r="A11" i="24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F23" i="24"/>
  <c r="G23" i="24"/>
  <c r="H23" i="24"/>
  <c r="A10" i="25"/>
  <c r="I12" i="23" l="1"/>
  <c r="A28" i="24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K14" i="27"/>
  <c r="I26" i="24"/>
  <c r="F12" i="23"/>
  <c r="F26" i="24"/>
  <c r="J11" i="6"/>
  <c r="I11" i="6"/>
  <c r="F41" i="18"/>
  <c r="K11" i="6"/>
  <c r="G26" i="24"/>
  <c r="A18" i="17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H12" i="7"/>
  <c r="H16" i="7" s="1"/>
  <c r="H12" i="23"/>
  <c r="I17" i="4"/>
  <c r="J11" i="7"/>
  <c r="K11" i="7"/>
  <c r="H14" i="27"/>
  <c r="H26" i="24"/>
  <c r="F17" i="24"/>
  <c r="I14" i="27"/>
  <c r="K40" i="3"/>
  <c r="F19" i="25"/>
  <c r="G16" i="25" s="1"/>
  <c r="F14" i="25"/>
  <c r="G11" i="25" s="1"/>
  <c r="G39" i="18"/>
  <c r="H36" i="18" s="1"/>
  <c r="I11" i="7"/>
  <c r="J17" i="4"/>
  <c r="L17" i="4"/>
  <c r="K17" i="4"/>
  <c r="K12" i="2" l="1"/>
  <c r="I12" i="2"/>
  <c r="J12" i="2"/>
  <c r="L12" i="2"/>
  <c r="G12" i="23"/>
  <c r="A30" i="17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J30" i="24"/>
  <c r="F31" i="18"/>
  <c r="H40" i="24"/>
  <c r="F41" i="24"/>
  <c r="K16" i="27"/>
  <c r="H16" i="24"/>
  <c r="G17" i="24"/>
  <c r="I10" i="23"/>
  <c r="F20" i="25"/>
  <c r="H39" i="18"/>
  <c r="I36" i="18" s="1"/>
  <c r="G41" i="18"/>
  <c r="K58" i="3"/>
  <c r="K57" i="3"/>
  <c r="P39" i="24" l="1"/>
  <c r="K61" i="3"/>
  <c r="K64" i="3" s="1"/>
  <c r="G14" i="25"/>
  <c r="H11" i="25" s="1"/>
  <c r="G19" i="25"/>
  <c r="H16" i="25" s="1"/>
  <c r="F28" i="19"/>
  <c r="F33" i="18"/>
  <c r="G31" i="18"/>
  <c r="G41" i="24"/>
  <c r="G10" i="23"/>
  <c r="I41" i="24"/>
  <c r="H41" i="24"/>
  <c r="J40" i="24"/>
  <c r="I17" i="24"/>
  <c r="H17" i="24"/>
  <c r="J16" i="24"/>
  <c r="H41" i="18"/>
  <c r="I39" i="18"/>
  <c r="J36" i="18" s="1"/>
  <c r="H11" i="24"/>
  <c r="K13" i="2"/>
  <c r="R39" i="24" l="1"/>
  <c r="L16" i="24"/>
  <c r="L40" i="24"/>
  <c r="H13" i="24"/>
  <c r="L11" i="2"/>
  <c r="L13" i="2" s="1"/>
  <c r="G29" i="19"/>
  <c r="I11" i="24"/>
  <c r="G20" i="25"/>
  <c r="H14" i="25"/>
  <c r="I11" i="25" s="1"/>
  <c r="H19" i="25"/>
  <c r="I16" i="25" s="1"/>
  <c r="F30" i="19"/>
  <c r="F32" i="19" s="1"/>
  <c r="G28" i="19"/>
  <c r="G33" i="18"/>
  <c r="H31" i="18"/>
  <c r="I31" i="18" s="1"/>
  <c r="J13" i="2"/>
  <c r="G11" i="24"/>
  <c r="I13" i="2"/>
  <c r="F11" i="24"/>
  <c r="P16" i="24"/>
  <c r="P17" i="24" s="1"/>
  <c r="J17" i="24"/>
  <c r="P40" i="24"/>
  <c r="P41" i="24" s="1"/>
  <c r="J41" i="24"/>
  <c r="I41" i="18"/>
  <c r="J39" i="18"/>
  <c r="D64" i="16"/>
  <c r="J19" i="24" l="1"/>
  <c r="L17" i="24"/>
  <c r="R16" i="24"/>
  <c r="R17" i="24" s="1"/>
  <c r="N16" i="24"/>
  <c r="N17" i="24" s="1"/>
  <c r="L41" i="24"/>
  <c r="R40" i="24"/>
  <c r="R41" i="24" s="1"/>
  <c r="N40" i="24"/>
  <c r="N41" i="24" s="1"/>
  <c r="H19" i="24"/>
  <c r="I13" i="24"/>
  <c r="F13" i="24"/>
  <c r="G13" i="24"/>
  <c r="H29" i="19"/>
  <c r="G30" i="19"/>
  <c r="G32" i="19" s="1"/>
  <c r="H20" i="25"/>
  <c r="I14" i="25"/>
  <c r="L36" i="18"/>
  <c r="D20" i="16"/>
  <c r="H33" i="18"/>
  <c r="J31" i="18"/>
  <c r="I33" i="22"/>
  <c r="I33" i="18"/>
  <c r="J41" i="18"/>
  <c r="F19" i="24" l="1"/>
  <c r="G19" i="24"/>
  <c r="I19" i="24"/>
  <c r="E14" i="16"/>
  <c r="E16" i="16"/>
  <c r="L28" i="18"/>
  <c r="L31" i="18" s="1"/>
  <c r="J33" i="18"/>
  <c r="I19" i="25"/>
  <c r="J16" i="25" s="1"/>
  <c r="J19" i="25" s="1"/>
  <c r="H28" i="19"/>
  <c r="H30" i="19" s="1"/>
  <c r="H32" i="19" s="1"/>
  <c r="J11" i="25"/>
  <c r="J14" i="25" s="1"/>
  <c r="L11" i="25" s="1"/>
  <c r="L33" i="18"/>
  <c r="L15" i="18" s="1"/>
  <c r="M28" i="18"/>
  <c r="M31" i="18" s="1"/>
  <c r="M33" i="18" s="1"/>
  <c r="M15" i="18" s="1"/>
  <c r="D30" i="16"/>
  <c r="E18" i="16"/>
  <c r="I35" i="22"/>
  <c r="I21" i="22" s="1"/>
  <c r="L29" i="22"/>
  <c r="O39" i="18"/>
  <c r="I20" i="25" l="1"/>
  <c r="I29" i="19"/>
  <c r="I28" i="19"/>
  <c r="I30" i="19" s="1"/>
  <c r="I32" i="19" s="1"/>
  <c r="L29" i="24"/>
  <c r="N17" i="27"/>
  <c r="L39" i="18"/>
  <c r="E28" i="16"/>
  <c r="E26" i="16"/>
  <c r="E24" i="16"/>
  <c r="E20" i="16"/>
  <c r="J35" i="22"/>
  <c r="J21" i="22" s="1"/>
  <c r="O31" i="18"/>
  <c r="O41" i="18"/>
  <c r="O16" i="18" s="1"/>
  <c r="P36" i="18"/>
  <c r="P39" i="18" s="1"/>
  <c r="L31" i="24" l="1"/>
  <c r="L33" i="22"/>
  <c r="N29" i="22" s="1"/>
  <c r="J29" i="19"/>
  <c r="L41" i="18"/>
  <c r="L16" i="18" s="1"/>
  <c r="M36" i="18"/>
  <c r="L30" i="24"/>
  <c r="N27" i="27"/>
  <c r="E30" i="16"/>
  <c r="P41" i="18"/>
  <c r="P16" i="18" s="1"/>
  <c r="O33" i="18"/>
  <c r="O15" i="18" s="1"/>
  <c r="P28" i="18"/>
  <c r="P31" i="18" s="1"/>
  <c r="P33" i="18" s="1"/>
  <c r="P15" i="18" s="1"/>
  <c r="P56" i="9" l="1"/>
  <c r="L35" i="22"/>
  <c r="L21" i="22" s="1"/>
  <c r="P35" i="22"/>
  <c r="P58" i="9" l="1"/>
  <c r="Q18" i="2" s="1"/>
  <c r="N29" i="24"/>
  <c r="P17" i="27"/>
  <c r="M39" i="18"/>
  <c r="M41" i="18" s="1"/>
  <c r="M16" i="18" s="1"/>
  <c r="O23" i="18"/>
  <c r="P20" i="18" s="1"/>
  <c r="P23" i="18" s="1"/>
  <c r="P25" i="18" s="1"/>
  <c r="P14" i="18" s="1"/>
  <c r="P17" i="18" s="1"/>
  <c r="D121" i="16" s="1"/>
  <c r="N10" i="23" l="1"/>
  <c r="D123" i="16"/>
  <c r="R31" i="24"/>
  <c r="O25" i="18"/>
  <c r="O14" i="18" s="1"/>
  <c r="O17" i="18" s="1"/>
  <c r="D110" i="16" s="1"/>
  <c r="D112" i="16" l="1"/>
  <c r="E110" i="16" s="1"/>
  <c r="E119" i="16"/>
  <c r="E117" i="16"/>
  <c r="E121" i="16"/>
  <c r="R35" i="22"/>
  <c r="E123" i="16" l="1"/>
  <c r="E108" i="16"/>
  <c r="E106" i="16"/>
  <c r="E112" i="16" l="1"/>
  <c r="L16" i="25"/>
  <c r="L14" i="27"/>
  <c r="J20" i="25" l="1"/>
  <c r="J28" i="19" l="1"/>
  <c r="U19" i="5"/>
  <c r="T11" i="7"/>
  <c r="L29" i="19" l="1"/>
  <c r="U12" i="5"/>
  <c r="U29" i="6" l="1"/>
  <c r="P20" i="23" l="1"/>
  <c r="P29" i="20" l="1"/>
  <c r="P25" i="24" l="1"/>
  <c r="P24" i="23"/>
  <c r="R29" i="20" l="1"/>
  <c r="R25" i="24" l="1"/>
  <c r="R20" i="23" l="1"/>
  <c r="R24" i="23" l="1"/>
  <c r="R15" i="7" l="1"/>
  <c r="P12" i="23" l="1"/>
  <c r="L41" i="8" l="1"/>
  <c r="L12" i="7" s="1"/>
  <c r="L16" i="7" s="1"/>
  <c r="L11" i="7" l="1"/>
  <c r="J32" i="9" l="1"/>
  <c r="J36" i="9"/>
  <c r="H56" i="9"/>
  <c r="H16" i="9"/>
  <c r="J45" i="9"/>
  <c r="H32" i="9"/>
  <c r="H27" i="9"/>
  <c r="J16" i="9"/>
  <c r="J56" i="9"/>
  <c r="J27" i="9"/>
  <c r="H36" i="9"/>
  <c r="H45" i="9"/>
  <c r="H58" i="9" l="1"/>
  <c r="I18" i="2" s="1"/>
  <c r="J58" i="9"/>
  <c r="K18" i="2" s="1"/>
  <c r="H10" i="23" l="1"/>
  <c r="F10" i="23"/>
  <c r="L32" i="9" l="1"/>
  <c r="L16" i="9"/>
  <c r="L27" i="9"/>
  <c r="L56" i="9"/>
  <c r="L36" i="9"/>
  <c r="L58" i="9" l="1"/>
  <c r="M18" i="2" s="1"/>
  <c r="J10" i="23" l="1"/>
  <c r="U17" i="4" l="1"/>
  <c r="S17" i="4"/>
  <c r="T36" i="9" l="1"/>
  <c r="R32" i="9"/>
  <c r="T56" i="9"/>
  <c r="T27" i="9"/>
  <c r="T45" i="9"/>
  <c r="T16" i="9"/>
  <c r="R16" i="9" l="1"/>
  <c r="R10" i="23" l="1"/>
  <c r="P10" i="23" l="1"/>
  <c r="U20" i="5" l="1"/>
  <c r="U23" i="5" l="1"/>
  <c r="R11" i="23" s="1"/>
  <c r="S20" i="5"/>
  <c r="F24" i="19" l="1"/>
  <c r="P32" i="20" l="1"/>
  <c r="P34" i="20" s="1"/>
  <c r="R32" i="20" l="1"/>
  <c r="R34" i="20" l="1"/>
  <c r="S23" i="35" l="1"/>
  <c r="S27" i="35" s="1"/>
  <c r="R11" i="25" l="1"/>
  <c r="R14" i="25" l="1"/>
  <c r="P19" i="25" l="1"/>
  <c r="R16" i="25" l="1"/>
  <c r="P20" i="25"/>
  <c r="P26" i="24"/>
  <c r="R23" i="27"/>
  <c r="P42" i="23"/>
  <c r="P44" i="23" s="1"/>
  <c r="T23" i="27" l="1"/>
  <c r="R19" i="25"/>
  <c r="R26" i="24" l="1"/>
  <c r="R42" i="23"/>
  <c r="R44" i="23" s="1"/>
  <c r="R20" i="25"/>
  <c r="P21" i="20"/>
  <c r="R36" i="26"/>
  <c r="R25" i="26" l="1"/>
  <c r="R40" i="26" s="1"/>
  <c r="R43" i="26" s="1"/>
  <c r="P34" i="24" l="1"/>
  <c r="R21" i="20" l="1"/>
  <c r="T36" i="26" l="1"/>
  <c r="T25" i="26"/>
  <c r="T40" i="26" s="1"/>
  <c r="R34" i="24" l="1"/>
  <c r="T43" i="26"/>
  <c r="R14" i="20" l="1"/>
  <c r="T45" i="26"/>
  <c r="T15" i="7" l="1"/>
  <c r="R12" i="23" l="1"/>
  <c r="R14" i="23" s="1"/>
  <c r="R16" i="23" s="1"/>
  <c r="H11" i="7" l="1"/>
  <c r="R11" i="7" l="1"/>
  <c r="P44" i="22" l="1"/>
  <c r="R44" i="22" l="1"/>
  <c r="P32" i="23" l="1"/>
  <c r="R32" i="23"/>
  <c r="S19" i="5" l="1"/>
  <c r="S23" i="5" l="1"/>
  <c r="S12" i="5"/>
  <c r="S29" i="6"/>
  <c r="P11" i="23" l="1"/>
  <c r="P14" i="23" s="1"/>
  <c r="P16" i="23" s="1"/>
  <c r="R42" i="27" l="1"/>
  <c r="R44" i="27" s="1"/>
  <c r="R46" i="27" s="1"/>
  <c r="P27" i="24" l="1"/>
  <c r="P22" i="24"/>
  <c r="P35" i="24" l="1"/>
  <c r="P37" i="24" s="1"/>
  <c r="P43" i="24" s="1"/>
  <c r="T42" i="27"/>
  <c r="T44" i="27" s="1"/>
  <c r="T46" i="27" s="1"/>
  <c r="R27" i="24" l="1"/>
  <c r="P13" i="24"/>
  <c r="P19" i="24" l="1"/>
  <c r="P45" i="24" s="1"/>
  <c r="P28" i="23" s="1"/>
  <c r="R22" i="24"/>
  <c r="R35" i="24" s="1"/>
  <c r="R37" i="24" s="1"/>
  <c r="R43" i="24" s="1"/>
  <c r="R13" i="24" l="1"/>
  <c r="R19" i="24" l="1"/>
  <c r="R45" i="24" s="1"/>
  <c r="R28" i="23" s="1"/>
  <c r="J20" i="5"/>
  <c r="H20" i="5"/>
  <c r="H12" i="5"/>
  <c r="I20" i="5"/>
  <c r="L20" i="5" l="1"/>
  <c r="H19" i="6"/>
  <c r="K20" i="5"/>
  <c r="H19" i="5"/>
  <c r="H23" i="5" l="1"/>
  <c r="Q20" i="5"/>
  <c r="O20" i="5"/>
  <c r="J19" i="5"/>
  <c r="J12" i="5"/>
  <c r="M12" i="5"/>
  <c r="K19" i="5"/>
  <c r="K12" i="5"/>
  <c r="L19" i="5"/>
  <c r="L12" i="5"/>
  <c r="I19" i="5"/>
  <c r="I12" i="5"/>
  <c r="E11" i="23" l="1"/>
  <c r="K23" i="5"/>
  <c r="L23" i="5"/>
  <c r="I23" i="5"/>
  <c r="J23" i="5"/>
  <c r="I19" i="6"/>
  <c r="M19" i="6"/>
  <c r="J19" i="6"/>
  <c r="K19" i="6"/>
  <c r="L19" i="6"/>
  <c r="F11" i="23" l="1"/>
  <c r="G11" i="23"/>
  <c r="H11" i="23"/>
  <c r="J14" i="23"/>
  <c r="E14" i="23"/>
  <c r="E16" i="23" s="1"/>
  <c r="H14" i="23" l="1"/>
  <c r="H16" i="23" s="1"/>
  <c r="G14" i="23"/>
  <c r="G16" i="23" s="1"/>
  <c r="F14" i="23"/>
  <c r="F16" i="23" s="1"/>
  <c r="L18" i="22" l="1"/>
  <c r="N16" i="27" s="1"/>
  <c r="O22" i="2" l="1"/>
  <c r="N41" i="22" l="1"/>
  <c r="N14" i="22" s="1"/>
  <c r="N42" i="22" l="1"/>
  <c r="N44" i="22" s="1"/>
  <c r="N22" i="22" s="1"/>
  <c r="N31" i="22"/>
  <c r="N13" i="22" s="1"/>
  <c r="N18" i="22" l="1"/>
  <c r="Q22" i="2" s="1"/>
  <c r="N31" i="24"/>
  <c r="N30" i="24"/>
  <c r="P27" i="27"/>
  <c r="N33" i="22"/>
  <c r="N35" i="22" s="1"/>
  <c r="N21" i="22" s="1"/>
  <c r="P16" i="27" l="1"/>
  <c r="N26" i="22"/>
  <c r="N23" i="19" s="1"/>
  <c r="L26" i="22"/>
  <c r="L23" i="19" s="1"/>
  <c r="E16" i="22" l="1"/>
  <c r="F16" i="22"/>
  <c r="G16" i="22"/>
  <c r="H16" i="22"/>
  <c r="F31" i="27"/>
  <c r="F40" i="27" s="1"/>
  <c r="E14" i="22"/>
  <c r="F14" i="22"/>
  <c r="G14" i="22"/>
  <c r="H14" i="22"/>
  <c r="E13" i="22"/>
  <c r="F13" i="22"/>
  <c r="G13" i="22"/>
  <c r="H31" i="24" l="1"/>
  <c r="H13" i="22"/>
  <c r="H18" i="22"/>
  <c r="D18" i="22"/>
  <c r="E18" i="22"/>
  <c r="F18" i="22"/>
  <c r="I22" i="2" s="1"/>
  <c r="G18" i="22"/>
  <c r="G59" i="22"/>
  <c r="G61" i="22" s="1"/>
  <c r="G24" i="22" s="1"/>
  <c r="E42" i="22"/>
  <c r="E44" i="22" s="1"/>
  <c r="E22" i="22" s="1"/>
  <c r="H59" i="22"/>
  <c r="H61" i="22" s="1"/>
  <c r="H24" i="22" s="1"/>
  <c r="D42" i="22"/>
  <c r="F42" i="22"/>
  <c r="F44" i="22" s="1"/>
  <c r="F22" i="22" s="1"/>
  <c r="D59" i="22"/>
  <c r="E59" i="22"/>
  <c r="E61" i="22" s="1"/>
  <c r="E24" i="22" s="1"/>
  <c r="F59" i="22"/>
  <c r="F61" i="22" s="1"/>
  <c r="F24" i="22" s="1"/>
  <c r="F31" i="24"/>
  <c r="F33" i="22"/>
  <c r="E31" i="24"/>
  <c r="E33" i="22"/>
  <c r="E35" i="22" s="1"/>
  <c r="E21" i="22" s="1"/>
  <c r="D33" i="22"/>
  <c r="D21" i="22" s="1"/>
  <c r="D31" i="24"/>
  <c r="H30" i="24"/>
  <c r="G30" i="24"/>
  <c r="D23" i="22"/>
  <c r="F30" i="24"/>
  <c r="H42" i="22"/>
  <c r="H44" i="22" s="1"/>
  <c r="H22" i="22" s="1"/>
  <c r="E30" i="24"/>
  <c r="G42" i="22"/>
  <c r="G44" i="22" s="1"/>
  <c r="G22" i="22" s="1"/>
  <c r="G31" i="24"/>
  <c r="G33" i="22"/>
  <c r="G35" i="22" s="1"/>
  <c r="G21" i="22" s="1"/>
  <c r="D30" i="24"/>
  <c r="G22" i="2" l="1"/>
  <c r="D26" i="22"/>
  <c r="D23" i="19" s="1"/>
  <c r="E26" i="22"/>
  <c r="E23" i="19"/>
  <c r="F16" i="27"/>
  <c r="I16" i="27"/>
  <c r="H33" i="22"/>
  <c r="H35" i="22" s="1"/>
  <c r="H21" i="22" s="1"/>
  <c r="F35" i="22"/>
  <c r="F21" i="22" s="1"/>
  <c r="G16" i="27"/>
  <c r="G23" i="27" s="1"/>
  <c r="J16" i="27"/>
  <c r="H16" i="27"/>
  <c r="F26" i="22" l="1"/>
  <c r="F23" i="19" s="1"/>
  <c r="G26" i="22"/>
  <c r="F23" i="27"/>
  <c r="G15" i="12"/>
  <c r="F42" i="27" l="1"/>
  <c r="F44" i="27" s="1"/>
  <c r="F46" i="27" s="1"/>
  <c r="G23" i="19"/>
  <c r="I20" i="2"/>
  <c r="F29" i="20"/>
  <c r="H26" i="22" l="1"/>
  <c r="F25" i="24"/>
  <c r="F42" i="23"/>
  <c r="F44" i="23" s="1"/>
  <c r="H13" i="27"/>
  <c r="J26" i="22" l="1"/>
  <c r="J23" i="19" s="1"/>
  <c r="I26" i="22"/>
  <c r="I23" i="19" s="1"/>
  <c r="H23" i="19"/>
  <c r="I15" i="12"/>
  <c r="K15" i="12"/>
  <c r="H15" i="12"/>
  <c r="J29" i="20" l="1"/>
  <c r="J20" i="2"/>
  <c r="G29" i="20"/>
  <c r="M20" i="2"/>
  <c r="K20" i="2"/>
  <c r="H29" i="20"/>
  <c r="J15" i="12"/>
  <c r="L20" i="2" l="1"/>
  <c r="I29" i="20"/>
  <c r="H25" i="24"/>
  <c r="J13" i="27"/>
  <c r="H42" i="23"/>
  <c r="H44" i="23" s="1"/>
  <c r="J25" i="24"/>
  <c r="J42" i="23"/>
  <c r="J44" i="23" s="1"/>
  <c r="L13" i="27"/>
  <c r="I13" i="27"/>
  <c r="G25" i="24"/>
  <c r="G42" i="23"/>
  <c r="G44" i="23" s="1"/>
  <c r="L23" i="27" l="1"/>
  <c r="L42" i="27" s="1"/>
  <c r="J23" i="27"/>
  <c r="I23" i="27"/>
  <c r="I25" i="24"/>
  <c r="K13" i="27"/>
  <c r="I42" i="23"/>
  <c r="I44" i="23" s="1"/>
  <c r="K23" i="27" l="1"/>
  <c r="R45" i="26" l="1"/>
  <c r="P14" i="20"/>
  <c r="P17" i="20" s="1"/>
  <c r="P19" i="20" s="1"/>
  <c r="R12" i="20" l="1"/>
  <c r="R23" i="20" s="1"/>
  <c r="P23" i="20"/>
  <c r="P37" i="20" l="1"/>
  <c r="R37" i="20"/>
  <c r="F123" i="16" l="1"/>
  <c r="G123" i="16" l="1"/>
  <c r="F121" i="16"/>
  <c r="H121" i="16" s="1"/>
  <c r="F117" i="16"/>
  <c r="H117" i="16" s="1"/>
  <c r="F119" i="16"/>
  <c r="H119" i="16" l="1"/>
  <c r="G119" i="16" s="1"/>
  <c r="G42" i="27" l="1"/>
  <c r="G44" i="27" s="1"/>
  <c r="G46" i="27" s="1"/>
  <c r="G24" i="2" l="1"/>
  <c r="H24" i="2"/>
  <c r="H25" i="2" s="1"/>
  <c r="G15" i="26"/>
  <c r="L15" i="26"/>
  <c r="F25" i="26"/>
  <c r="L36" i="26"/>
  <c r="G25" i="26"/>
  <c r="F36" i="26"/>
  <c r="L25" i="26"/>
  <c r="E27" i="24" l="1"/>
  <c r="D27" i="24"/>
  <c r="L40" i="26"/>
  <c r="F40" i="26"/>
  <c r="F47" i="26" s="1"/>
  <c r="G10" i="26" s="1"/>
  <c r="E22" i="24"/>
  <c r="K15" i="26"/>
  <c r="K36" i="26"/>
  <c r="K25" i="26"/>
  <c r="K40" i="26" l="1"/>
  <c r="E35" i="24" l="1"/>
  <c r="E37" i="24" s="1"/>
  <c r="L45" i="26"/>
  <c r="J14" i="20"/>
  <c r="G45" i="26"/>
  <c r="E14" i="20"/>
  <c r="J42" i="27"/>
  <c r="J44" i="27" s="1"/>
  <c r="J46" i="27" s="1"/>
  <c r="K24" i="2" l="1"/>
  <c r="E43" i="24"/>
  <c r="I14" i="20"/>
  <c r="K45" i="26"/>
  <c r="J15" i="26"/>
  <c r="J36" i="26"/>
  <c r="J25" i="26"/>
  <c r="H27" i="24" l="1"/>
  <c r="J40" i="26"/>
  <c r="E45" i="24"/>
  <c r="E28" i="23" l="1"/>
  <c r="J45" i="26"/>
  <c r="H14" i="20"/>
  <c r="I42" i="27"/>
  <c r="I44" i="27" s="1"/>
  <c r="I46" i="27" s="1"/>
  <c r="J24" i="2" l="1"/>
  <c r="J25" i="2" s="1"/>
  <c r="I15" i="26"/>
  <c r="I36" i="26"/>
  <c r="I25" i="26"/>
  <c r="G27" i="24" l="1"/>
  <c r="G22" i="24"/>
  <c r="I40" i="26"/>
  <c r="G14" i="20" l="1"/>
  <c r="I45" i="26"/>
  <c r="G35" i="24" l="1"/>
  <c r="H36" i="26"/>
  <c r="H15" i="26"/>
  <c r="H25" i="26"/>
  <c r="G37" i="24" l="1"/>
  <c r="G43" i="24" s="1"/>
  <c r="F106" i="16"/>
  <c r="H106" i="16" s="1"/>
  <c r="F108" i="16"/>
  <c r="G112" i="16"/>
  <c r="F110" i="16"/>
  <c r="H110" i="16" s="1"/>
  <c r="G45" i="24" l="1"/>
  <c r="H108" i="16"/>
  <c r="G108" i="16" s="1"/>
  <c r="G28" i="23" l="1"/>
  <c r="M14" i="21"/>
  <c r="K23" i="2" l="1"/>
  <c r="K25" i="2" s="1"/>
  <c r="H22" i="24" l="1"/>
  <c r="H35" i="24" l="1"/>
  <c r="R36" i="23"/>
  <c r="H37" i="24" l="1"/>
  <c r="R40" i="23"/>
  <c r="H43" i="24" l="1"/>
  <c r="H45" i="24" l="1"/>
  <c r="D14" i="20"/>
  <c r="H28" i="23" l="1"/>
  <c r="F45" i="26"/>
  <c r="P36" i="23" l="1"/>
  <c r="P40" i="23"/>
  <c r="H40" i="26" l="1"/>
  <c r="H45" i="26" l="1"/>
  <c r="F14" i="20"/>
  <c r="J30" i="19" l="1"/>
  <c r="J32" i="19" s="1"/>
  <c r="H29" i="27" l="1"/>
  <c r="H40" i="27" s="1"/>
  <c r="N29" i="27" l="1"/>
  <c r="M22" i="18"/>
  <c r="P29" i="27" s="1"/>
  <c r="P40" i="27" s="1"/>
  <c r="H22" i="27" l="1"/>
  <c r="H23" i="27" s="1"/>
  <c r="H42" i="27" s="1"/>
  <c r="H44" i="27" s="1"/>
  <c r="H46" i="27" s="1"/>
  <c r="F23" i="18"/>
  <c r="F25" i="18" s="1"/>
  <c r="I24" i="2" l="1"/>
  <c r="I25" i="2" s="1"/>
  <c r="G23" i="18"/>
  <c r="G25" i="18" s="1"/>
  <c r="F17" i="18"/>
  <c r="D38" i="16" s="1"/>
  <c r="N22" i="27"/>
  <c r="M21" i="18"/>
  <c r="P22" i="27" s="1"/>
  <c r="F27" i="24" l="1"/>
  <c r="D40" i="16"/>
  <c r="E38" i="16" s="1"/>
  <c r="F22" i="24"/>
  <c r="F35" i="24" l="1"/>
  <c r="G17" i="18"/>
  <c r="D48" i="16" s="1"/>
  <c r="H23" i="18"/>
  <c r="H25" i="18" s="1"/>
  <c r="E36" i="16"/>
  <c r="E34" i="16"/>
  <c r="F37" i="24" l="1"/>
  <c r="I23" i="18"/>
  <c r="I25" i="18" s="1"/>
  <c r="D50" i="16"/>
  <c r="E48" i="16" s="1"/>
  <c r="E40" i="16"/>
  <c r="H17" i="18"/>
  <c r="D58" i="16" s="1"/>
  <c r="D60" i="16" s="1"/>
  <c r="F43" i="24" l="1"/>
  <c r="E58" i="16"/>
  <c r="E54" i="16"/>
  <c r="E56" i="16"/>
  <c r="I17" i="18"/>
  <c r="D68" i="16" s="1"/>
  <c r="D70" i="16" s="1"/>
  <c r="E46" i="16"/>
  <c r="E44" i="16"/>
  <c r="J23" i="18"/>
  <c r="L20" i="18" s="1"/>
  <c r="F45" i="24" l="1"/>
  <c r="J25" i="18"/>
  <c r="E50" i="16"/>
  <c r="J17" i="18"/>
  <c r="D80" i="16" s="1"/>
  <c r="E68" i="16"/>
  <c r="E64" i="16"/>
  <c r="E66" i="16"/>
  <c r="E60" i="16"/>
  <c r="L23" i="18"/>
  <c r="M20" i="18" s="1"/>
  <c r="M23" i="18" s="1"/>
  <c r="M25" i="18" s="1"/>
  <c r="M14" i="18" s="1"/>
  <c r="M17" i="18" s="1"/>
  <c r="D99" i="16" s="1"/>
  <c r="F28" i="23" l="1"/>
  <c r="L25" i="18"/>
  <c r="L14" i="18" s="1"/>
  <c r="L17" i="18" s="1"/>
  <c r="D88" i="16" s="1"/>
  <c r="E78" i="16"/>
  <c r="E74" i="16"/>
  <c r="E76" i="16"/>
  <c r="E70" i="16"/>
  <c r="E80" i="16" l="1"/>
  <c r="F24" i="8" l="1"/>
  <c r="F10" i="7" s="1"/>
  <c r="F11" i="7" l="1"/>
  <c r="Q26" i="5" l="1"/>
  <c r="O26" i="5"/>
  <c r="O30" i="5" l="1"/>
  <c r="O32" i="5" s="1"/>
  <c r="Q30" i="5"/>
  <c r="Q32" i="5" s="1"/>
  <c r="L26" i="5"/>
  <c r="L32" i="5" l="1"/>
  <c r="M26" i="5"/>
  <c r="L33" i="5" l="1"/>
  <c r="M30" i="5"/>
  <c r="M32" i="5" s="1"/>
  <c r="J16" i="23"/>
  <c r="I14" i="23" l="1"/>
  <c r="H22" i="6"/>
  <c r="I16" i="23" l="1"/>
  <c r="H24" i="6"/>
  <c r="H25" i="6"/>
  <c r="H14" i="6"/>
  <c r="H12" i="6" s="1"/>
  <c r="H13" i="6" s="1"/>
  <c r="H26" i="6"/>
  <c r="K22" i="6"/>
  <c r="K28" i="6" s="1"/>
  <c r="J22" i="6"/>
  <c r="J28" i="6" s="1"/>
  <c r="M22" i="6"/>
  <c r="M28" i="6" s="1"/>
  <c r="L22" i="6"/>
  <c r="L28" i="6" s="1"/>
  <c r="I22" i="6"/>
  <c r="I28" i="6" s="1"/>
  <c r="H29" i="6" l="1"/>
  <c r="K24" i="6"/>
  <c r="K14" i="6"/>
  <c r="K12" i="6" s="1"/>
  <c r="K13" i="6" s="1"/>
  <c r="K25" i="6"/>
  <c r="K26" i="6"/>
  <c r="I24" i="6"/>
  <c r="I26" i="6"/>
  <c r="I14" i="6"/>
  <c r="I12" i="6" s="1"/>
  <c r="I13" i="6" s="1"/>
  <c r="I25" i="6"/>
  <c r="J24" i="6"/>
  <c r="J25" i="6"/>
  <c r="J26" i="6"/>
  <c r="J14" i="6"/>
  <c r="J12" i="6" s="1"/>
  <c r="J13" i="6" s="1"/>
  <c r="L24" i="6"/>
  <c r="I29" i="6" l="1"/>
  <c r="J29" i="6"/>
  <c r="K29" i="6"/>
  <c r="M26" i="6"/>
  <c r="M14" i="6"/>
  <c r="M12" i="6" s="1"/>
  <c r="M13" i="6" s="1"/>
  <c r="M25" i="6"/>
  <c r="M27" i="6"/>
  <c r="M24" i="6"/>
  <c r="L14" i="6"/>
  <c r="L12" i="6" s="1"/>
  <c r="L13" i="6" s="1"/>
  <c r="L25" i="6"/>
  <c r="L26" i="6"/>
  <c r="L27" i="6"/>
  <c r="L29" i="6" l="1"/>
  <c r="M29" i="6"/>
  <c r="N38" i="8" l="1"/>
  <c r="N37" i="8"/>
  <c r="P37" i="8"/>
  <c r="P38" i="8" l="1"/>
  <c r="N36" i="8"/>
  <c r="P39" i="8"/>
  <c r="N39" i="8"/>
  <c r="P36" i="8"/>
  <c r="N35" i="8" l="1"/>
  <c r="N40" i="8" l="1"/>
  <c r="O17" i="6"/>
  <c r="N24" i="8"/>
  <c r="N10" i="7" s="1"/>
  <c r="P35" i="8"/>
  <c r="Q17" i="6" l="1"/>
  <c r="P24" i="8"/>
  <c r="P10" i="7" s="1"/>
  <c r="P40" i="8"/>
  <c r="N41" i="8"/>
  <c r="N12" i="7" s="1"/>
  <c r="N11" i="7" s="1"/>
  <c r="N16" i="7" l="1"/>
  <c r="N15" i="7"/>
  <c r="O17" i="2" s="1"/>
  <c r="P41" i="8"/>
  <c r="P12" i="7" s="1"/>
  <c r="P11" i="7" s="1"/>
  <c r="P15" i="7" l="1"/>
  <c r="Q17" i="2" s="1"/>
  <c r="P16" i="7"/>
  <c r="L12" i="23"/>
  <c r="N12" i="23" l="1"/>
  <c r="J37" i="21" l="1"/>
  <c r="E14" i="21"/>
  <c r="N27" i="21"/>
  <c r="F37" i="21"/>
  <c r="J27" i="21"/>
  <c r="H37" i="21"/>
  <c r="M37" i="21"/>
  <c r="F27" i="21"/>
  <c r="F14" i="21"/>
  <c r="H27" i="21"/>
  <c r="M27" i="21"/>
  <c r="E37" i="21"/>
  <c r="I37" i="21"/>
  <c r="K27" i="21"/>
  <c r="G27" i="21"/>
  <c r="N37" i="21"/>
  <c r="N41" i="21" s="1"/>
  <c r="N16" i="20" s="1"/>
  <c r="N32" i="20" s="1"/>
  <c r="I27" i="21"/>
  <c r="G14" i="21"/>
  <c r="G37" i="21"/>
  <c r="K37" i="21"/>
  <c r="E27" i="21"/>
  <c r="K41" i="21" l="1"/>
  <c r="J41" i="21"/>
  <c r="M41" i="21"/>
  <c r="H41" i="21"/>
  <c r="I41" i="21"/>
  <c r="H16" i="20" s="1"/>
  <c r="F41" i="21"/>
  <c r="G41" i="21"/>
  <c r="J16" i="20"/>
  <c r="D16" i="20" l="1"/>
  <c r="D32" i="20" s="1"/>
  <c r="D34" i="20" s="1"/>
  <c r="L16" i="20"/>
  <c r="L32" i="20" s="1"/>
  <c r="G16" i="20"/>
  <c r="F16" i="20"/>
  <c r="H32" i="20"/>
  <c r="H17" i="20"/>
  <c r="I16" i="20"/>
  <c r="J17" i="20"/>
  <c r="J32" i="20"/>
  <c r="E16" i="20"/>
  <c r="D17" i="20" l="1"/>
  <c r="D19" i="20" s="1"/>
  <c r="E12" i="20" s="1"/>
  <c r="I32" i="20"/>
  <c r="I17" i="20"/>
  <c r="D13" i="19"/>
  <c r="E27" i="20"/>
  <c r="F32" i="20"/>
  <c r="F17" i="20"/>
  <c r="E17" i="20"/>
  <c r="E32" i="20"/>
  <c r="G17" i="20"/>
  <c r="G32" i="20"/>
  <c r="E19" i="20" l="1"/>
  <c r="E34" i="20"/>
  <c r="F12" i="20" l="1"/>
  <c r="F19" i="20" s="1"/>
  <c r="F27" i="20"/>
  <c r="F34" i="20" s="1"/>
  <c r="E13" i="19"/>
  <c r="G27" i="20" l="1"/>
  <c r="G34" i="20" s="1"/>
  <c r="F13" i="19"/>
  <c r="G12" i="20"/>
  <c r="G19" i="20" s="1"/>
  <c r="H12" i="20" l="1"/>
  <c r="H19" i="20" s="1"/>
  <c r="G13" i="19"/>
  <c r="H27" i="20"/>
  <c r="H34" i="20" s="1"/>
  <c r="I27" i="20" l="1"/>
  <c r="I34" i="20" s="1"/>
  <c r="H13" i="19"/>
  <c r="I12" i="20"/>
  <c r="I19" i="20" s="1"/>
  <c r="J12" i="20" l="1"/>
  <c r="J19" i="20" s="1"/>
  <c r="J27" i="20"/>
  <c r="J34" i="20" s="1"/>
  <c r="I13" i="19"/>
  <c r="L27" i="20" l="1"/>
  <c r="J13" i="19"/>
  <c r="L12" i="20"/>
  <c r="L18" i="25" l="1"/>
  <c r="N45" i="26" l="1"/>
  <c r="M15" i="12" l="1"/>
  <c r="L17" i="20"/>
  <c r="L19" i="20" l="1"/>
  <c r="N12" i="20" l="1"/>
  <c r="K42" i="27" l="1"/>
  <c r="K44" i="27" s="1"/>
  <c r="K46" i="27" s="1"/>
  <c r="L44" i="27"/>
  <c r="L46" i="27" l="1"/>
  <c r="L24" i="2"/>
  <c r="L25" i="2" s="1"/>
  <c r="M24" i="2" l="1"/>
  <c r="J27" i="24"/>
  <c r="I27" i="24"/>
  <c r="I22" i="24"/>
  <c r="I35" i="24" l="1"/>
  <c r="M13" i="2"/>
  <c r="L14" i="25"/>
  <c r="I37" i="24" l="1"/>
  <c r="N11" i="25"/>
  <c r="I43" i="24" l="1"/>
  <c r="N14" i="20"/>
  <c r="P45" i="26"/>
  <c r="I45" i="24" l="1"/>
  <c r="N17" i="20"/>
  <c r="I28" i="23" l="1"/>
  <c r="N19" i="20"/>
  <c r="N15" i="12" l="1"/>
  <c r="N29" i="20" l="1"/>
  <c r="Q20" i="2"/>
  <c r="P13" i="27" s="1"/>
  <c r="N25" i="24" l="1"/>
  <c r="N18" i="25"/>
  <c r="N14" i="25"/>
  <c r="O21" i="2" l="1"/>
  <c r="L19" i="25"/>
  <c r="N16" i="25" l="1"/>
  <c r="L20" i="25"/>
  <c r="L28" i="19" s="1"/>
  <c r="N14" i="27"/>
  <c r="L26" i="24"/>
  <c r="L30" i="19" l="1"/>
  <c r="L32" i="19" s="1"/>
  <c r="N29" i="19"/>
  <c r="Q21" i="2" l="1"/>
  <c r="N19" i="25"/>
  <c r="N20" i="25" s="1"/>
  <c r="N28" i="19" s="1"/>
  <c r="N30" i="19" l="1"/>
  <c r="N32" i="19" s="1"/>
  <c r="N26" i="24"/>
  <c r="P14" i="27"/>
  <c r="P23" i="27" s="1"/>
  <c r="N42" i="23"/>
  <c r="N44" i="23" s="1"/>
  <c r="D21" i="20" l="1"/>
  <c r="D23" i="20" l="1"/>
  <c r="D14" i="19"/>
  <c r="D15" i="19" s="1"/>
  <c r="D11" i="19" l="1"/>
  <c r="D37" i="20"/>
  <c r="D17" i="19" l="1"/>
  <c r="D19" i="19"/>
  <c r="D21" i="19" s="1"/>
  <c r="E18" i="19"/>
  <c r="P15" i="26" l="1"/>
  <c r="P36" i="26" l="1"/>
  <c r="P40" i="26" s="1"/>
  <c r="N15" i="26"/>
  <c r="N36" i="26" l="1"/>
  <c r="N25" i="26"/>
  <c r="N40" i="26" l="1"/>
  <c r="P42" i="27" l="1"/>
  <c r="P44" i="27" l="1"/>
  <c r="P46" i="27" s="1"/>
  <c r="Q24" i="2" l="1"/>
  <c r="N18" i="23"/>
  <c r="N20" i="23" s="1"/>
  <c r="N27" i="24"/>
  <c r="D24" i="19" l="1"/>
  <c r="D25" i="19" l="1"/>
  <c r="D33" i="19" s="1"/>
  <c r="F20" i="16" l="1"/>
  <c r="F14" i="16" s="1"/>
  <c r="H14" i="16" s="1"/>
  <c r="F16" i="16" l="1"/>
  <c r="G20" i="16"/>
  <c r="F18" i="16"/>
  <c r="H18" i="16" s="1"/>
  <c r="H16" i="16" s="1"/>
  <c r="D30" i="23"/>
  <c r="D32" i="23" s="1"/>
  <c r="D34" i="23" l="1"/>
  <c r="G16" i="16"/>
  <c r="D36" i="23" l="1"/>
  <c r="D38" i="23"/>
  <c r="D40" i="23" s="1"/>
  <c r="L30" i="20" l="1"/>
  <c r="L42" i="23" l="1"/>
  <c r="L44" i="23" s="1"/>
  <c r="L25" i="24"/>
  <c r="N13" i="27"/>
  <c r="N44" i="27" s="1"/>
  <c r="L29" i="20"/>
  <c r="L34" i="20" s="1"/>
  <c r="N46" i="27" l="1"/>
  <c r="N27" i="20"/>
  <c r="N34" i="20" s="1"/>
  <c r="L13" i="19"/>
  <c r="O24" i="2" l="1"/>
  <c r="L27" i="24"/>
  <c r="N13" i="19"/>
  <c r="E425" i="42" l="1"/>
  <c r="E117" i="42"/>
  <c r="E187" i="42" l="1"/>
  <c r="E422" i="42" s="1"/>
  <c r="F21" i="9"/>
  <c r="E426" i="42"/>
  <c r="Q13" i="6"/>
  <c r="Q12" i="6" s="1"/>
  <c r="Q14" i="6" s="1"/>
  <c r="Q19" i="6" s="1"/>
  <c r="O12" i="6"/>
  <c r="O14" i="6" s="1"/>
  <c r="O19" i="6" s="1"/>
  <c r="F27" i="9" l="1"/>
  <c r="F58" i="9" s="1"/>
  <c r="O10" i="5"/>
  <c r="O22" i="6"/>
  <c r="Q10" i="5"/>
  <c r="Q22" i="6"/>
  <c r="Q12" i="5" l="1"/>
  <c r="Q19" i="5"/>
  <c r="O24" i="6"/>
  <c r="O25" i="6"/>
  <c r="O28" i="6"/>
  <c r="O27" i="6"/>
  <c r="O26" i="6"/>
  <c r="Q27" i="6"/>
  <c r="Q24" i="6"/>
  <c r="Q25" i="6"/>
  <c r="Q28" i="6"/>
  <c r="Q26" i="6"/>
  <c r="O12" i="5"/>
  <c r="O19" i="5"/>
  <c r="G18" i="2" l="1"/>
  <c r="O29" i="6"/>
  <c r="O23" i="5"/>
  <c r="Q29" i="6"/>
  <c r="Q23" i="5"/>
  <c r="O33" i="5" l="1"/>
  <c r="Q33" i="5"/>
  <c r="D10" i="23"/>
  <c r="G25" i="2"/>
  <c r="D22" i="24" l="1"/>
  <c r="D14" i="23"/>
  <c r="D16" i="23" s="1"/>
  <c r="N14" i="23"/>
  <c r="D35" i="24" l="1"/>
  <c r="N16" i="23"/>
  <c r="D37" i="24" l="1"/>
  <c r="D43" i="24" s="1"/>
  <c r="D45" i="24" l="1"/>
  <c r="D28" i="23" l="1"/>
  <c r="G19" i="6"/>
  <c r="G22" i="6" l="1"/>
  <c r="G14" i="6" s="1"/>
  <c r="G25" i="6" l="1"/>
  <c r="G12" i="6"/>
  <c r="G24" i="6"/>
  <c r="G26" i="6"/>
  <c r="G29" i="6" l="1"/>
  <c r="M78" i="42" l="1"/>
  <c r="M420" i="42" l="1"/>
  <c r="M425" i="42" l="1"/>
  <c r="M426" i="42" s="1"/>
  <c r="M112" i="42"/>
  <c r="M187" i="42" l="1"/>
  <c r="N20" i="9"/>
  <c r="M422" i="42" l="1"/>
  <c r="N27" i="9"/>
  <c r="N58" i="9" l="1"/>
  <c r="O18" i="2" l="1"/>
  <c r="L10" i="23" l="1"/>
  <c r="L14" i="23" l="1"/>
  <c r="L16" i="23" s="1"/>
  <c r="I246" i="17" l="1"/>
  <c r="L246" i="17" s="1"/>
  <c r="M246" i="17" s="1"/>
  <c r="H219" i="17"/>
  <c r="H245" i="17"/>
  <c r="I218" i="17"/>
  <c r="I219" i="17" s="1"/>
  <c r="H248" i="17" l="1"/>
  <c r="I245" i="17"/>
  <c r="L218" i="17"/>
  <c r="L219" i="17" l="1"/>
  <c r="M218" i="17"/>
  <c r="M219" i="17" s="1"/>
  <c r="I248" i="17"/>
  <c r="L245" i="17"/>
  <c r="L248" i="17" l="1"/>
  <c r="M245" i="17"/>
  <c r="M248" i="17" s="1"/>
  <c r="N219" i="17"/>
  <c r="M221" i="17"/>
  <c r="M222" i="17" s="1"/>
  <c r="M249" i="17"/>
  <c r="L249" i="17"/>
  <c r="L221" i="17"/>
  <c r="L222" i="17" s="1"/>
  <c r="D84" i="16" s="1"/>
  <c r="N222" i="17" l="1"/>
  <c r="G84" i="16" s="1"/>
  <c r="D90" i="16"/>
  <c r="E84" i="16" s="1"/>
  <c r="N249" i="17"/>
  <c r="N248" i="17"/>
  <c r="M250" i="17"/>
  <c r="M251" i="17" s="1"/>
  <c r="L250" i="17"/>
  <c r="L251" i="17" s="1"/>
  <c r="D95" i="16" s="1"/>
  <c r="N251" i="17" l="1"/>
  <c r="G95" i="16" s="1"/>
  <c r="D101" i="16"/>
  <c r="E95" i="16" s="1"/>
  <c r="E88" i="16"/>
  <c r="E86" i="16"/>
  <c r="E90" i="16" l="1"/>
  <c r="E99" i="16"/>
  <c r="E97" i="16"/>
  <c r="E101" i="16" s="1"/>
  <c r="E434" i="47" l="1"/>
  <c r="G29" i="26" l="1"/>
  <c r="G36" i="26" s="1"/>
  <c r="G40" i="26" s="1"/>
  <c r="E437" i="47"/>
  <c r="E438" i="47" s="1"/>
  <c r="H10" i="26" l="1"/>
  <c r="E21" i="20"/>
  <c r="E14" i="19" l="1"/>
  <c r="E15" i="19" s="1"/>
  <c r="E23" i="20"/>
  <c r="H47" i="26"/>
  <c r="I10" i="26" l="1"/>
  <c r="F21" i="20"/>
  <c r="E37" i="20"/>
  <c r="E11" i="19"/>
  <c r="E17" i="19" s="1"/>
  <c r="F18" i="19" l="1"/>
  <c r="E19" i="19"/>
  <c r="E21" i="19" s="1"/>
  <c r="E25" i="19" s="1"/>
  <c r="E33" i="19" s="1"/>
  <c r="F14" i="19"/>
  <c r="F15" i="19" s="1"/>
  <c r="F23" i="20"/>
  <c r="I47" i="26"/>
  <c r="J10" i="26" l="1"/>
  <c r="G21" i="20"/>
  <c r="F37" i="20"/>
  <c r="F11" i="19"/>
  <c r="F17" i="19" s="1"/>
  <c r="F19" i="19" s="1"/>
  <c r="F21" i="19" s="1"/>
  <c r="F25" i="19" s="1"/>
  <c r="F33" i="19" s="1"/>
  <c r="F30" i="16"/>
  <c r="F40" i="16" l="1"/>
  <c r="F28" i="16"/>
  <c r="H28" i="16" s="1"/>
  <c r="F26" i="16"/>
  <c r="F24" i="16"/>
  <c r="H24" i="16" s="1"/>
  <c r="G30" i="16"/>
  <c r="G18" i="19"/>
  <c r="G23" i="20"/>
  <c r="G14" i="19"/>
  <c r="G15" i="19" s="1"/>
  <c r="J47" i="26"/>
  <c r="G11" i="19" l="1"/>
  <c r="G17" i="19" s="1"/>
  <c r="G19" i="19" s="1"/>
  <c r="G21" i="19" s="1"/>
  <c r="G37" i="20"/>
  <c r="E30" i="23"/>
  <c r="E32" i="23" s="1"/>
  <c r="H26" i="16"/>
  <c r="G40" i="16"/>
  <c r="F36" i="16"/>
  <c r="F38" i="16"/>
  <c r="H38" i="16" s="1"/>
  <c r="F34" i="16"/>
  <c r="H34" i="16" s="1"/>
  <c r="H21" i="20"/>
  <c r="K10" i="26"/>
  <c r="H36" i="16" l="1"/>
  <c r="F30" i="23"/>
  <c r="F32" i="23" s="1"/>
  <c r="G26" i="16"/>
  <c r="E34" i="23"/>
  <c r="G25" i="19"/>
  <c r="G33" i="19" s="1"/>
  <c r="K47" i="26"/>
  <c r="H14" i="19"/>
  <c r="H15" i="19" s="1"/>
  <c r="H23" i="20"/>
  <c r="H18" i="19"/>
  <c r="L10" i="26" l="1"/>
  <c r="I21" i="20"/>
  <c r="E38" i="23"/>
  <c r="E40" i="23" s="1"/>
  <c r="E36" i="23"/>
  <c r="H11" i="19"/>
  <c r="H17" i="19" s="1"/>
  <c r="H37" i="20"/>
  <c r="F50" i="16"/>
  <c r="F34" i="23"/>
  <c r="G36" i="16"/>
  <c r="F46" i="16" l="1"/>
  <c r="F44" i="16"/>
  <c r="H44" i="16" s="1"/>
  <c r="F48" i="16"/>
  <c r="H48" i="16" s="1"/>
  <c r="G50" i="16"/>
  <c r="I18" i="19"/>
  <c r="H19" i="19"/>
  <c r="H21" i="19" s="1"/>
  <c r="I23" i="20"/>
  <c r="I14" i="19"/>
  <c r="I15" i="19" s="1"/>
  <c r="F38" i="23"/>
  <c r="F40" i="23" s="1"/>
  <c r="F36" i="23"/>
  <c r="L47" i="26"/>
  <c r="I11" i="19" l="1"/>
  <c r="I17" i="19" s="1"/>
  <c r="I19" i="19" s="1"/>
  <c r="I21" i="19" s="1"/>
  <c r="I37" i="20"/>
  <c r="H25" i="19"/>
  <c r="H33" i="19" s="1"/>
  <c r="J21" i="20"/>
  <c r="N10" i="26"/>
  <c r="H46" i="16"/>
  <c r="G30" i="23"/>
  <c r="G32" i="23" s="1"/>
  <c r="G34" i="23" l="1"/>
  <c r="G46" i="16"/>
  <c r="J14" i="19"/>
  <c r="J15" i="19" s="1"/>
  <c r="J23" i="20"/>
  <c r="I25" i="19"/>
  <c r="I33" i="19" s="1"/>
  <c r="F60" i="16"/>
  <c r="J18" i="19"/>
  <c r="J37" i="20" l="1"/>
  <c r="J11" i="19"/>
  <c r="J17" i="19" s="1"/>
  <c r="L21" i="20"/>
  <c r="P10" i="26"/>
  <c r="F56" i="16"/>
  <c r="G60" i="16"/>
  <c r="F58" i="16"/>
  <c r="H58" i="16" s="1"/>
  <c r="F54" i="16"/>
  <c r="H54" i="16" s="1"/>
  <c r="G36" i="23"/>
  <c r="G38" i="23"/>
  <c r="G40" i="23" s="1"/>
  <c r="F70" i="16"/>
  <c r="N21" i="20" l="1"/>
  <c r="L14" i="19"/>
  <c r="L15" i="19" s="1"/>
  <c r="L23" i="20"/>
  <c r="F68" i="16"/>
  <c r="H68" i="16" s="1"/>
  <c r="F66" i="16"/>
  <c r="F64" i="16"/>
  <c r="H64" i="16" s="1"/>
  <c r="G70" i="16"/>
  <c r="H30" i="23"/>
  <c r="H32" i="23" s="1"/>
  <c r="H56" i="16"/>
  <c r="J19" i="19"/>
  <c r="J21" i="19" s="1"/>
  <c r="L18" i="19"/>
  <c r="J25" i="19" l="1"/>
  <c r="J33" i="19" s="1"/>
  <c r="I30" i="23"/>
  <c r="I32" i="23" s="1"/>
  <c r="H66" i="16"/>
  <c r="L11" i="19"/>
  <c r="L37" i="20"/>
  <c r="H34" i="23"/>
  <c r="G56" i="16"/>
  <c r="N23" i="20"/>
  <c r="N14" i="19"/>
  <c r="N15" i="19" s="1"/>
  <c r="H38" i="23" l="1"/>
  <c r="H40" i="23" s="1"/>
  <c r="H36" i="23"/>
  <c r="N11" i="19"/>
  <c r="N17" i="19" s="1"/>
  <c r="N37" i="20"/>
  <c r="G66" i="16"/>
  <c r="I34" i="23"/>
  <c r="F80" i="16"/>
  <c r="L17" i="19"/>
  <c r="N18" i="19" l="1"/>
  <c r="N19" i="19" s="1"/>
  <c r="N21" i="19" s="1"/>
  <c r="N25" i="19" s="1"/>
  <c r="N33" i="19" s="1"/>
  <c r="L19" i="19"/>
  <c r="L21" i="19" s="1"/>
  <c r="L25" i="19" s="1"/>
  <c r="L33" i="19" s="1"/>
  <c r="F74" i="16"/>
  <c r="H74" i="16" s="1"/>
  <c r="F76" i="16"/>
  <c r="F78" i="16"/>
  <c r="H78" i="16" s="1"/>
  <c r="I36" i="23"/>
  <c r="I38" i="23"/>
  <c r="I40" i="23" s="1"/>
  <c r="F101" i="16" l="1"/>
  <c r="J30" i="23"/>
  <c r="J32" i="23" s="1"/>
  <c r="F90" i="16"/>
  <c r="F84" i="16" l="1"/>
  <c r="H84" i="16" s="1"/>
  <c r="F88" i="16"/>
  <c r="H88" i="16" s="1"/>
  <c r="F86" i="16"/>
  <c r="F95" i="16"/>
  <c r="H95" i="16" s="1"/>
  <c r="F97" i="16"/>
  <c r="F99" i="16"/>
  <c r="H99" i="16" s="1"/>
  <c r="H86" i="16" l="1"/>
  <c r="H97" i="16"/>
  <c r="L30" i="23"/>
  <c r="L32" i="23" s="1"/>
  <c r="N30" i="23"/>
  <c r="N32" i="23" s="1"/>
  <c r="H101" i="16" l="1"/>
  <c r="H90" i="16"/>
  <c r="Q23" i="2"/>
  <c r="G101" i="16"/>
  <c r="G90" i="16"/>
  <c r="O23" i="2"/>
  <c r="N34" i="23"/>
  <c r="L34" i="23"/>
  <c r="L36" i="23" l="1"/>
  <c r="L38" i="23"/>
  <c r="L40" i="23" s="1"/>
  <c r="N38" i="23"/>
  <c r="N40" i="23" s="1"/>
  <c r="N36" i="23"/>
  <c r="O25" i="2"/>
  <c r="Q25" i="2"/>
  <c r="N22" i="24" l="1"/>
  <c r="N35" i="24" s="1"/>
  <c r="N37" i="24" s="1"/>
  <c r="N43" i="24" s="1"/>
  <c r="Q13" i="2"/>
  <c r="O13" i="2"/>
  <c r="L22" i="24"/>
  <c r="L35" i="24" s="1"/>
  <c r="L37" i="24" s="1"/>
  <c r="L43" i="24" s="1"/>
  <c r="O11" i="2" l="1"/>
  <c r="Q11" i="2"/>
  <c r="Q59" i="3" l="1"/>
  <c r="O59" i="3"/>
  <c r="O70" i="3" l="1"/>
  <c r="O61" i="3"/>
  <c r="O72" i="3"/>
  <c r="Q72" i="3"/>
  <c r="Q70" i="3"/>
  <c r="Q61" i="3"/>
  <c r="Q64" i="3" l="1"/>
  <c r="N11" i="24" s="1"/>
  <c r="N13" i="24" s="1"/>
  <c r="N19" i="24" s="1"/>
  <c r="N45" i="24" s="1"/>
  <c r="N28" i="23" s="1"/>
  <c r="D29" i="48"/>
  <c r="D31" i="48" s="1"/>
  <c r="D39" i="48" s="1"/>
  <c r="D43" i="48" s="1"/>
  <c r="D12" i="48"/>
  <c r="D14" i="48" s="1"/>
  <c r="D22" i="48" s="1"/>
  <c r="D26" i="48" s="1"/>
  <c r="O64" i="3"/>
  <c r="L11" i="24" l="1"/>
  <c r="L13" i="24" s="1"/>
  <c r="L19" i="24" s="1"/>
  <c r="L45" i="24" s="1"/>
  <c r="L28" i="23" s="1"/>
  <c r="M23" i="2" l="1"/>
  <c r="M25" i="2" s="1"/>
  <c r="G80" i="16"/>
  <c r="H76" i="16"/>
  <c r="J34" i="23" s="1"/>
  <c r="J22" i="24" l="1"/>
  <c r="J35" i="24" s="1"/>
  <c r="J36" i="23"/>
  <c r="J38" i="23"/>
  <c r="J40" i="23" s="1"/>
  <c r="G76" i="16"/>
  <c r="J37" i="24" l="1"/>
  <c r="J43" i="24" l="1"/>
  <c r="J45" i="24" l="1"/>
  <c r="J28" i="23" l="1"/>
</calcChain>
</file>

<file path=xl/sharedStrings.xml><?xml version="1.0" encoding="utf-8"?>
<sst xmlns="http://schemas.openxmlformats.org/spreadsheetml/2006/main" count="2233" uniqueCount="1144">
  <si>
    <t>ATCO Electric Yukon (AEY)</t>
  </si>
  <si>
    <t>2023 - 2024 General Rate Application (GRA)</t>
  </si>
  <si>
    <t>Index</t>
  </si>
  <si>
    <t>Schedule</t>
  </si>
  <si>
    <t>Miscellaneous Revenue</t>
  </si>
  <si>
    <t>Utility Revenue Requirement</t>
  </si>
  <si>
    <t>($000)</t>
  </si>
  <si>
    <t>Line</t>
  </si>
  <si>
    <t>Cross</t>
  </si>
  <si>
    <t>Actuals</t>
  </si>
  <si>
    <t>Test Period</t>
  </si>
  <si>
    <t>Approved</t>
  </si>
  <si>
    <t>No.</t>
  </si>
  <si>
    <t>Description</t>
  </si>
  <si>
    <t>Ref.</t>
  </si>
  <si>
    <t>Revenues</t>
  </si>
  <si>
    <t>Retail Revenues</t>
  </si>
  <si>
    <t>S.2.1 L.54</t>
  </si>
  <si>
    <t>Other Revenue</t>
  </si>
  <si>
    <t>S.2.2 L.8</t>
  </si>
  <si>
    <t>Total Revenues</t>
  </si>
  <si>
    <t>Costs</t>
  </si>
  <si>
    <t>Purchase Power</t>
  </si>
  <si>
    <t>S.3.1 L.14</t>
  </si>
  <si>
    <t>Fuel</t>
  </si>
  <si>
    <t>S.4.1 L.6</t>
  </si>
  <si>
    <t>Operations and Maintenance</t>
  </si>
  <si>
    <t>S.5.1 L.49</t>
  </si>
  <si>
    <t>Property Taxes</t>
  </si>
  <si>
    <t>Section 6-1</t>
  </si>
  <si>
    <t>Depreciation</t>
  </si>
  <si>
    <t>S.7.1 L.6</t>
  </si>
  <si>
    <t>Amortization of Contributions</t>
  </si>
  <si>
    <t>S.8.12 L.8</t>
  </si>
  <si>
    <t>Amortization of Deferred Charges &amp; Credits</t>
  </si>
  <si>
    <t>S.8.8 L.11</t>
  </si>
  <si>
    <t>Return on Rate Base</t>
  </si>
  <si>
    <t>S.8.1 L.11, 21, 31, 41, 51, 61, 71, 81, 92</t>
  </si>
  <si>
    <t>Income Taxes</t>
  </si>
  <si>
    <t>S.10.1 L.37</t>
  </si>
  <si>
    <t>Total Costs</t>
  </si>
  <si>
    <t>Summary of Customers, Energy Sales and Revenue</t>
  </si>
  <si>
    <t>Existing</t>
  </si>
  <si>
    <t>Proposed</t>
  </si>
  <si>
    <t>Residential</t>
  </si>
  <si>
    <t xml:space="preserve">  Customers (average during year)</t>
  </si>
  <si>
    <t xml:space="preserve">  Sales in MWh</t>
  </si>
  <si>
    <t xml:space="preserve">  MWh sales per customer</t>
  </si>
  <si>
    <t xml:space="preserve">  Revenue ($000)</t>
  </si>
  <si>
    <t xml:space="preserve">  Cents per kWh</t>
  </si>
  <si>
    <t>Commercial</t>
  </si>
  <si>
    <t>Industrial</t>
  </si>
  <si>
    <t>Street Lights</t>
  </si>
  <si>
    <t>Private Lights</t>
  </si>
  <si>
    <t>Total Company - Retail - Primary</t>
  </si>
  <si>
    <t xml:space="preserve">  Customers</t>
  </si>
  <si>
    <t>Secondary Sales</t>
  </si>
  <si>
    <t>Wholesale Sales</t>
  </si>
  <si>
    <t xml:space="preserve">Total Company </t>
  </si>
  <si>
    <t>Base Retail Revenues</t>
  </si>
  <si>
    <t>RIDER R (RATE INCREASE @ CURRENT RATES)</t>
  </si>
  <si>
    <t>YEC Revenue Shortfall (Rider J)</t>
  </si>
  <si>
    <t>S.3.1 L. 12</t>
  </si>
  <si>
    <t>Total Retail Revenue</t>
  </si>
  <si>
    <t>Fuel Variance Rider (Rider F)</t>
  </si>
  <si>
    <t>Note 1</t>
  </si>
  <si>
    <t>NET REVENUES</t>
  </si>
  <si>
    <t>% Rate Increase over Existing Rates</t>
  </si>
  <si>
    <t>AEY Primary Retail Revenue</t>
  </si>
  <si>
    <t>L.30</t>
  </si>
  <si>
    <t>YEC Firm Revenue</t>
  </si>
  <si>
    <t>Total YEC/AEY Retail Revenue Primary Rates ($000)</t>
  </si>
  <si>
    <t>L.56 + L.57</t>
  </si>
  <si>
    <t>% Rate Increase Over Existing Rates</t>
  </si>
  <si>
    <t>L.50 / L.58</t>
  </si>
  <si>
    <t>% Rate Increase - Net Customer Impact</t>
  </si>
  <si>
    <t>Note 2</t>
  </si>
  <si>
    <t xml:space="preserve">Note 1 - 2023-2024 Rider F calculated based on average 2022 fuel price and new heat rate </t>
  </si>
  <si>
    <t>Note 2 - Net impact of higher revenue requirement and fuel price variance to be flowed through to customers.</t>
  </si>
  <si>
    <t>Reconnect Revenue</t>
  </si>
  <si>
    <t>Joint Use</t>
  </si>
  <si>
    <t>Services to Outside Parties</t>
  </si>
  <si>
    <t>Affiliate Services</t>
  </si>
  <si>
    <t>Carbon Tax Rebate</t>
  </si>
  <si>
    <t>Other</t>
  </si>
  <si>
    <t>Total</t>
  </si>
  <si>
    <t>Note 1: In 2021 and a portion of 2022 AEY employees supported affiliate initiatives. All of their costs including any overheads were recovered from affiliates on a cost recovery basis with no element of profit, offsetting expenses were included in Services to Outside Parties in schedule 5.1</t>
  </si>
  <si>
    <t>Note 2: Other revenues are mainly made up of penalty charges as per the Terms and Conditions as well as service fees charged to YEC for billing services.</t>
  </si>
  <si>
    <t>ATCO Electric  (AEY)</t>
  </si>
  <si>
    <t>Schedule of Purchase Power</t>
  </si>
  <si>
    <t>Actual</t>
  </si>
  <si>
    <t>Purchases (MWh)</t>
  </si>
  <si>
    <t>Primary Energy</t>
  </si>
  <si>
    <t>S.2.1 L.34</t>
  </si>
  <si>
    <t>Purchase Power Rates</t>
  </si>
  <si>
    <t>Primary Energy Charge ($ per kWh)</t>
  </si>
  <si>
    <t>Secondary Sales ($ per kWh)</t>
  </si>
  <si>
    <t>Purchase Power Expense ($000)</t>
  </si>
  <si>
    <t>Primary Energy Expense</t>
  </si>
  <si>
    <t>L.2 x L.7</t>
  </si>
  <si>
    <t>Secondary Energy Expense</t>
  </si>
  <si>
    <t>L.3 x L.8</t>
  </si>
  <si>
    <t xml:space="preserve">Shortfall Rider J </t>
  </si>
  <si>
    <t>Less: Capitalized</t>
  </si>
  <si>
    <t>Total Purchase Power Expense</t>
  </si>
  <si>
    <t xml:space="preserve">Independent Electricity Purchases </t>
  </si>
  <si>
    <t>S.3.2 L. 11</t>
  </si>
  <si>
    <t>Average Electricity Purchase Rates ($ per MWh)</t>
  </si>
  <si>
    <t>Renewable Purchase Expense ($000)</t>
  </si>
  <si>
    <t>L.18 x L.20</t>
  </si>
  <si>
    <t>Constraints</t>
  </si>
  <si>
    <t xml:space="preserve">     Total Renewable Purchase Expenses</t>
  </si>
  <si>
    <t>Total Purchase Power</t>
  </si>
  <si>
    <t>Schedule of Energy Losses</t>
  </si>
  <si>
    <t>(MWh)</t>
  </si>
  <si>
    <t>Sales and Losses</t>
  </si>
  <si>
    <t>Total Energy Sales - MWh</t>
  </si>
  <si>
    <t>S.2.1 L.46</t>
  </si>
  <si>
    <t>Losses and Company Used - MWh</t>
  </si>
  <si>
    <t>Losses -%</t>
  </si>
  <si>
    <t>Total Generation and Purchases (MWh)</t>
  </si>
  <si>
    <t>L. 13</t>
  </si>
  <si>
    <t>Sources - MWh</t>
  </si>
  <si>
    <t xml:space="preserve">Hydro Generation </t>
  </si>
  <si>
    <t>Hydro Grid Standby Diesel Generation</t>
  </si>
  <si>
    <t>S.4.2 L.15</t>
  </si>
  <si>
    <t>Diesel Generation</t>
  </si>
  <si>
    <t xml:space="preserve">(S.4.1 L.1) - L.8 </t>
  </si>
  <si>
    <t>Wholesales Purchases</t>
  </si>
  <si>
    <t>S.3.1 L.4</t>
  </si>
  <si>
    <t>Independent Purchases</t>
  </si>
  <si>
    <r>
      <t>Micro-Generation</t>
    </r>
    <r>
      <rPr>
        <vertAlign val="superscript"/>
        <sz val="12"/>
        <rFont val="Arial"/>
        <family val="2"/>
      </rPr>
      <t>1</t>
    </r>
  </si>
  <si>
    <t>Sources - %</t>
  </si>
  <si>
    <t>Hydro Generation</t>
  </si>
  <si>
    <t xml:space="preserve">Note 1 -  Micro-Generation MWh is the power that microgeneration sites put back onto the Electricity System </t>
  </si>
  <si>
    <t>Diesel Generation and Fuel Summary</t>
  </si>
  <si>
    <t>Total Diesel Generation (in MWh)</t>
  </si>
  <si>
    <t>S. 4.2 L.16</t>
  </si>
  <si>
    <t>Fuel Heat Rate (kWh per litre)</t>
  </si>
  <si>
    <t>Litres of Fuel (000)</t>
  </si>
  <si>
    <t>S. 4.2 L.33</t>
  </si>
  <si>
    <t>Fuel Costs ($000)</t>
  </si>
  <si>
    <t>Fuel Variance</t>
  </si>
  <si>
    <t>Fuel Expense</t>
  </si>
  <si>
    <t>Average Cost (cents per litre)</t>
  </si>
  <si>
    <t>(L.4 / L.3)x100</t>
  </si>
  <si>
    <t>Fuel Information</t>
  </si>
  <si>
    <t>Average Cost (in cents per litre)</t>
  </si>
  <si>
    <t>Watson Lake</t>
  </si>
  <si>
    <t>Beaver Creek</t>
  </si>
  <si>
    <t>Destruction Bay</t>
  </si>
  <si>
    <t>Old Crow</t>
  </si>
  <si>
    <t>Swift River</t>
  </si>
  <si>
    <t>Standby Units</t>
  </si>
  <si>
    <t>Generation (MWh)</t>
  </si>
  <si>
    <t>Net Heat Rate (kWh/litre)</t>
  </si>
  <si>
    <t xml:space="preserve"> </t>
  </si>
  <si>
    <t>Litres Consumed  (000)</t>
  </si>
  <si>
    <t>ATCO Electric Yukon</t>
  </si>
  <si>
    <t>Operations and Maintenance Expenses</t>
  </si>
  <si>
    <t xml:space="preserve">   Description</t>
  </si>
  <si>
    <t xml:space="preserve">  Production</t>
  </si>
  <si>
    <t>62600 - Hydro Generation</t>
  </si>
  <si>
    <t>S.5.2 L.5</t>
  </si>
  <si>
    <t>64000 - Supervision and Engineering Diesel</t>
  </si>
  <si>
    <t>S.5.2 L.19</t>
  </si>
  <si>
    <t>64600 - Diesel Generation</t>
  </si>
  <si>
    <t>S.5.2 L.29</t>
  </si>
  <si>
    <t>82600 - Hydro Maintenance</t>
  </si>
  <si>
    <t>S.5.2 L.46</t>
  </si>
  <si>
    <t>84600 - Diesel Maintenance</t>
  </si>
  <si>
    <t>S.5.2 L.59</t>
  </si>
  <si>
    <t xml:space="preserve">  Distribution</t>
  </si>
  <si>
    <t>87000 - Supervision</t>
  </si>
  <si>
    <t>S.5.2 L.76</t>
  </si>
  <si>
    <t>87100 - Brushing</t>
  </si>
  <si>
    <t>S.5.2 L.88</t>
  </si>
  <si>
    <t>87200 - Vehicle Depreciation</t>
  </si>
  <si>
    <t>S.5.2 L.104</t>
  </si>
  <si>
    <t>87300 - Maintenance</t>
  </si>
  <si>
    <t>S.5.2 L.109</t>
  </si>
  <si>
    <t>87310 - Service to Outside Parties</t>
  </si>
  <si>
    <t>S.5.2 L.128</t>
  </si>
  <si>
    <t>`</t>
  </si>
  <si>
    <t>87400 - Underground Line Maintenance</t>
  </si>
  <si>
    <t>S.5.2 L.136</t>
  </si>
  <si>
    <t>87500 - Meter and Meter Testing</t>
  </si>
  <si>
    <t>S.5.2 L.153</t>
  </si>
  <si>
    <t>87700 - Transformer Repair and Replacement</t>
  </si>
  <si>
    <t>S.5.2 L.165</t>
  </si>
  <si>
    <t>87800 - Street Light Maintenance</t>
  </si>
  <si>
    <t>S.5.2 L.170</t>
  </si>
  <si>
    <t xml:space="preserve">  General</t>
  </si>
  <si>
    <t>88400 - Communication</t>
  </si>
  <si>
    <t>S.5.2 L.185</t>
  </si>
  <si>
    <t>88800 - Maintenance Company-Owned Houses</t>
  </si>
  <si>
    <t>S.5.2 L.192</t>
  </si>
  <si>
    <t>88900 - Maintenance Warehouse and Office</t>
  </si>
  <si>
    <t>S.5.2 L.201</t>
  </si>
  <si>
    <t xml:space="preserve">  Public Information</t>
  </si>
  <si>
    <t>70100 - Public Information Administration</t>
  </si>
  <si>
    <t>S.5.2 L.219</t>
  </si>
  <si>
    <t>70200 - General Public Information</t>
  </si>
  <si>
    <t>S.5.2 L.226</t>
  </si>
  <si>
    <t>Customer Accounting</t>
  </si>
  <si>
    <t>71000 - Supervision</t>
  </si>
  <si>
    <t>S.5.2 L.245</t>
  </si>
  <si>
    <t>71100 - Customer Applications and Service Orders</t>
  </si>
  <si>
    <t>S.5.2 L.250</t>
  </si>
  <si>
    <t>71200 - Meter Reading</t>
  </si>
  <si>
    <t>S.5.2 L.261</t>
  </si>
  <si>
    <t>71300 - Customer Billing and Accounting</t>
  </si>
  <si>
    <t>S.5.2 L.272</t>
  </si>
  <si>
    <t>71400 - Revenue Collections</t>
  </si>
  <si>
    <t>S.5.2 L.285</t>
  </si>
  <si>
    <t>71500 - Collection of Delinquent Accounts</t>
  </si>
  <si>
    <t>S.5.2 L.292</t>
  </si>
  <si>
    <t>71800 - Provision for Uncollectible Accounts</t>
  </si>
  <si>
    <t>S.5.2 L.298</t>
  </si>
  <si>
    <t xml:space="preserve">  Administration and General</t>
  </si>
  <si>
    <t xml:space="preserve">72100 - Administrative </t>
  </si>
  <si>
    <t>S.5.2 L.312</t>
  </si>
  <si>
    <t>72200 - Administrative Corporate</t>
  </si>
  <si>
    <t>S.5.2 L.340</t>
  </si>
  <si>
    <t>72300 - Insurance</t>
  </si>
  <si>
    <t>S.5.2 L.349</t>
  </si>
  <si>
    <t>72400 - Injuries &amp; Damages</t>
  </si>
  <si>
    <t>S.5.2 L.357</t>
  </si>
  <si>
    <t>72500 - Employee Expenses</t>
  </si>
  <si>
    <t>S.5.2 L.362</t>
  </si>
  <si>
    <t>72600 - Training and Safety</t>
  </si>
  <si>
    <t>S.5.2 L.374</t>
  </si>
  <si>
    <t>72700 - Relocation</t>
  </si>
  <si>
    <t>S.5.2 L.390</t>
  </si>
  <si>
    <t>72800 - Miscellaneous General</t>
  </si>
  <si>
    <t>72900 - Audit/Legal Fees &amp; Special Studies</t>
  </si>
  <si>
    <t>S.5.2 L.401</t>
  </si>
  <si>
    <t>Total Operations and Maintenance Expenses</t>
  </si>
  <si>
    <t>Breakdown of Operations &amp; Maintenance Expenses - Labour, Other</t>
  </si>
  <si>
    <t>Production</t>
  </si>
  <si>
    <t>Labour</t>
  </si>
  <si>
    <t>Costs decrease in 2019 due to lower environmental costs related to the Fish Lake water license than in 2018.</t>
  </si>
  <si>
    <t>Costs increase in 2021 due to higher environmental costs related to the Fish Lake water license process ($50) and brushing at site ($20).</t>
  </si>
  <si>
    <t>Costs increase in 2023 due to additional environmental costs for the dam breach study ($140) related to the Fish Lake water license</t>
  </si>
  <si>
    <t>process. As well as labour cost increase of ($40) in 2023 due to additional plant maintenance resource.</t>
  </si>
  <si>
    <t>Costs decrease in 2024 due to lower environmental costs, as the dam breach study will be done in 2023.</t>
  </si>
  <si>
    <t>Costs increase in 2018 due to the addition of engineering resources ($84) as well as inflation.</t>
  </si>
  <si>
    <t>Costs increase in 2022 due to the addition of engineering resources ($40) in addition to inflation.</t>
  </si>
  <si>
    <t>Costs fluctuate from 2016 through 2020 mainly due to fluctuations in vacancies.</t>
  </si>
  <si>
    <t>Costs increase in 2021 mainly due to higher contractor services for cyclical fuel tank cleaning and certification ($120), partially offset by</t>
  </si>
  <si>
    <t>lower labour costs due to vacancies ($54).</t>
  </si>
  <si>
    <t>Costs decrease in 2022 mainly due to the cyclical nature of fuel tank cleaning and certification ($54).</t>
  </si>
  <si>
    <t>Costs increase in 2023 mainly due to additional plant maintenance resource ($70).</t>
  </si>
  <si>
    <t>Costs increase in 2024 mainly due to fuel tank maintenance ($30).</t>
  </si>
  <si>
    <t xml:space="preserve">Costs increase in 2017 mainly due to contract service for assessment and maintenance at the Fish Lake plant ($80) as well as incremental labour due to </t>
  </si>
  <si>
    <t>filling vacant positions ($65).</t>
  </si>
  <si>
    <t>Costs decrease in 2019 mainly due to less contract service for maintenance required over previous years.</t>
  </si>
  <si>
    <t>Costs increase in 2022 and 2023 due to additional cost for ongoing maintenance on Fish Lake 2; this unit was out of service due to</t>
  </si>
  <si>
    <t xml:space="preserve">failure from July 2016 to January 2021 and requires regular ongoing maintenance.  In addition labour costs increase in 2023 and </t>
  </si>
  <si>
    <t>2024 due to additional plant maintenance resource.</t>
  </si>
  <si>
    <t xml:space="preserve">In general contractor costs in Diesel Maintenance fluctuate year over year due to diesel generator top end maintenance and overhaul costs. </t>
  </si>
  <si>
    <t>Scheduled overhauls are performed as per the manufacturer specifications which vary by the unit type and hours operated. The frequency of</t>
  </si>
  <si>
    <t>unscheduled overhauls vary depending on the age and condition of the units.</t>
  </si>
  <si>
    <t>Labour costs fluctuate year over year due to fluctuations in vacancies, otherwise changes in the 2016-2020 period are inflationary.</t>
  </si>
  <si>
    <t>Costs increase in 2023 increase mainly due to incremental labour costs for an additional plant maintenance resource ($86).</t>
  </si>
  <si>
    <t>Total Production</t>
  </si>
  <si>
    <t>Distribution</t>
  </si>
  <si>
    <t xml:space="preserve">Costs increase in 2017 mainly due to higher after-hours call management services costs ($70), costs for after-hours call management vary </t>
  </si>
  <si>
    <t>based on the volume of incidents after-hours.</t>
  </si>
  <si>
    <t>Costs decrease in 2020 mainly due to vacancies ($60).</t>
  </si>
  <si>
    <t>Costs increase in 2021 mainly due to higher after-hours call management services costs ($40) and higher labour rates ($28).</t>
  </si>
  <si>
    <t>Costs increase in 2017 mainly due to advancement of brushing activities from 2018 due to optimal weather conditions and contractor availability.</t>
  </si>
  <si>
    <t>Costs decrease in 2018 mainly due to lower brushing requirements due to advancement of 2018 brushing into 2017.</t>
  </si>
  <si>
    <t xml:space="preserve">Costs increase in 2019 mainly due to the annual brushing program returning closer to historical averages. </t>
  </si>
  <si>
    <t>Costs increase in 2021 and 2022 mainly due to optimal weather conditions and contractor availability allowing for above average kms of line to</t>
  </si>
  <si>
    <t xml:space="preserve"> be covered annually in addition to higher contractor rates when the COVID restrictions lifted.</t>
  </si>
  <si>
    <t>Costs decrease in 2023 mainly due to forecast assuming normalized weather and contractor availability, partially offset by increased costs</t>
  </si>
  <si>
    <t>for incremental km of line requiring brushing due to system growth ($86) as well as higher contractor pricing ($30).</t>
  </si>
  <si>
    <t>Costs decrease in 2017 mainly due to vacancies ($190), partially offset by higher costs for various services, materials &amp; equipment.</t>
  </si>
  <si>
    <t>Costs increase in 2018 mainly due to reduction in vacancies ($120) as well as inflationary increases ($60).</t>
  </si>
  <si>
    <t>Costs increase in 2019 due to labour and non-labour inflation ($63), full year impact of vacancies filled in the prior year ($91) and higher</t>
  </si>
  <si>
    <t>costs for various services, materials and equipment ($16).</t>
  </si>
  <si>
    <t>Costs increase in 2020 and 2021 mainly due to inflationary increases year over year as well as incremental costs to adhere to rigorous safety</t>
  </si>
  <si>
    <t>procedures in place (e.g. social distancing) in response to the pandemic, a portion of these costs were offset by reductions in travel costs.</t>
  </si>
  <si>
    <t xml:space="preserve">Costs increase in 2022 mainly due to higher inflationary increases ($179), write off of cancelled projects ($127), higher travel and vehicle charges </t>
  </si>
  <si>
    <t>with the lifting of COVID restrictions ($120), as well as higher costs to catch up on maintenance work deferred due to the pandemic.</t>
  </si>
  <si>
    <t>Costs decrease in 2023 due to lower one-time expenses in 2022, partially offset by higher inflation and an additional resource ($70).</t>
  </si>
  <si>
    <t>Costs fluctuate year over year depending on outside party requests and are fully recoverable. Revenue offsets for services to outside parties are</t>
  </si>
  <si>
    <t>included in Schedule 2.2.</t>
  </si>
  <si>
    <t>Costs increase in 2017 mainly due to the use of contractors in the short term to cover internal vacancies.</t>
  </si>
  <si>
    <t>Costs increase in 2018 mainly due to reduced vacancies and inflationary increases, partially offset by lower contractor services than 2017.</t>
  </si>
  <si>
    <t>Costs decrease in 2019 through 2021 mainly due to vacancies.  Non-critical work was deferred due to staffing issues and limited contractor</t>
  </si>
  <si>
    <t>availability as a result of the pandemic.</t>
  </si>
  <si>
    <t>Costs increase in 2022 mainly due to reduced vacancies and resuming normal maintenance program activities after lifting of COVID</t>
  </si>
  <si>
    <t>restrictions.</t>
  </si>
  <si>
    <t>Costs increase in 2023 and 2024 due to full year impact of filling vacant positions in 2022 and inflation.</t>
  </si>
  <si>
    <t>Costs increase in 2017 mainly due to additional meter testing which requirements as determined by Measurement Canada.</t>
  </si>
  <si>
    <t>Costs increase in 2020 mainly due to higher meter change outs identified through the annual testing and inspection program. Costs in the following</t>
  </si>
  <si>
    <t>years returned back to ordinary meter testing program levels.</t>
  </si>
  <si>
    <t>Costs increase in the 2023 mainly due incremental maintenance to support AMI metering functions.</t>
  </si>
  <si>
    <t>Costs increase in 2018 mainly due to increased streetlight maintenance and repair activity.</t>
  </si>
  <si>
    <t>Costs increase in 2021 mainly due to increased streetlight testing ($80) scheduled to be completed over the next several years as well as</t>
  </si>
  <si>
    <t>incremental costs to catch up on maintenance activities deferred due to COVID restrictions and supply chain issues.</t>
  </si>
  <si>
    <t>Costs increase in 2023 and 2024 mainly due to increased streetlight maintenance and repair activity due to system growth and continuation of the testing program.</t>
  </si>
  <si>
    <t>Total Distribution</t>
  </si>
  <si>
    <t>General</t>
  </si>
  <si>
    <t>Costs increase in 2023 mainly due to annual subscription for a new radio system ($60) installed in 2022 as the old system had reached end of life</t>
  </si>
  <si>
    <t>Costs decrease in 2018 is mainly due to the reversal of an over accrual of contractor in 2017 ($59).</t>
  </si>
  <si>
    <t>Costs increase in the 2023 and 2024 forecast to assess and address deficiencies due to aging infrastructure.</t>
  </si>
  <si>
    <t>Costs increase in 2021 mainly due to additional contractor services for general warehouse and building maintenance and repairs to address deficiencies</t>
  </si>
  <si>
    <t>as the warehouse and yard had begun to show wear due to age and to address drainage issues ($94), maintenance on HVAC system in the building ($49)</t>
  </si>
  <si>
    <t>and inflation.</t>
  </si>
  <si>
    <t>Costs increase in 2022 mainly due to maintenance and reinsulating at the Service Complex ($102) to address deficiencies due to aging of the building as</t>
  </si>
  <si>
    <t xml:space="preserve"> well as the continuation of additional general warehouse and building repairs and maintenance at the warehouse and yard ($45) and inflation.</t>
  </si>
  <si>
    <t>Costs decrease in 2023 and 2024 in line with inflated historical averages mainly due to not foreseeing any major building, warehouse or yard</t>
  </si>
  <si>
    <t>deficiencies requiring additional maintenance in the Test Period.</t>
  </si>
  <si>
    <t>Total General</t>
  </si>
  <si>
    <t>Public Information</t>
  </si>
  <si>
    <t>Costs increase in 2021 and 2022 mainly due to sponsorships of community events.</t>
  </si>
  <si>
    <t>Costs increase in 2017 mainly due to reduction in vacancies in 2016.</t>
  </si>
  <si>
    <t>Costs decrease in 2018 mainly due to vacancy for the Senior Communication Advisor, this role was temporarily resourced through Head Office.</t>
  </si>
  <si>
    <t>eventually replaced with a Head Office based corporate communications and marketing service.</t>
  </si>
  <si>
    <t>Costs increase in 2021 mainly due to filling the vacant Whitehorse based position late in the year ($12) and incremental costs for advertising ($11).</t>
  </si>
  <si>
    <t xml:space="preserve">Costs increase in 2020 mainly due to the full year impact of filling the vacant position in 2021. </t>
  </si>
  <si>
    <t>Costs increase in 2023 due to communication material and video costs for 'understanding your bill campaign' and notification of billing system changes ($35)</t>
  </si>
  <si>
    <t>as well as update of design and images on the AEY website.</t>
  </si>
  <si>
    <t xml:space="preserve">Total Public Information </t>
  </si>
  <si>
    <t>Costs fluctuate 2017 through 2021 mainly due to fluctuations in vacancies and volumes of service requests.</t>
  </si>
  <si>
    <t>Costs increase in 2022 due to increase in contractor services to integrate weather stations into Old Crow Control system ($70).</t>
  </si>
  <si>
    <t>Costs in 2023 and 2024 are based on inflated historical averages.</t>
  </si>
  <si>
    <t>Costs decrease in 2020 mainly due to vacancies and restrictions in place during COVID ($75), partially offset by higher vehicle expenses ($25).</t>
  </si>
  <si>
    <t>Costs increase in 2022 mainly due to higher labour and vehicle charges with the filling of the vacant position and resumption of normal activates</t>
  </si>
  <si>
    <t>with the lifting of COVID restrictions ($22) in addition to inflationary increases.</t>
  </si>
  <si>
    <t>Costs in 2023 and 2024 on based on historical averages with inflation.</t>
  </si>
  <si>
    <t>Costs fluctuate 2017 through 2021 mainly due to fluctuations in vacancies.</t>
  </si>
  <si>
    <t>Costs increase in 2022 manly due to reduced vacancies ($35) as well as inflation.</t>
  </si>
  <si>
    <t>Costs increase in 2023 mainly due to incremental CCS billing system subscription fees ($300) due to the transition to a cloud based application.</t>
  </si>
  <si>
    <t>Costs increase in 2024 mainly due to full year incremental CCS billing system subscription fees ($300).</t>
  </si>
  <si>
    <t>Costs increase in 2020 mainly due to reduced vacancies and incremental costs due to increasing receivables.</t>
  </si>
  <si>
    <t>Costs fluctuate year over year depending on volume of delinquent accounts, the costs in 2023 and 2024 are based on inflated historical averages.</t>
  </si>
  <si>
    <t xml:space="preserve">Costs fluctuate 2017 through 2022 mainly due to fluctuations in aged receivables. Negative values are accounts previously written off that are subsequently collected. </t>
  </si>
  <si>
    <t>Costs increased in 2020 mainly due to increased uncollectable accounts during Covid due to economic instability.</t>
  </si>
  <si>
    <t>Total Customer Accounting</t>
  </si>
  <si>
    <t>Admin &amp; General</t>
  </si>
  <si>
    <t>Costs increase in 2017 mainly due to reduced administrative and head office vacancies ($174) and higher IT costs ($92) in addition to inflationary increases.</t>
  </si>
  <si>
    <t xml:space="preserve">Costs decrease in 2018 mainly due to higher head office vacancies ($112), lower IT ($68), travel ($39) and employee benefit costs ($38) partially offset </t>
  </si>
  <si>
    <t>by inflationary increases.</t>
  </si>
  <si>
    <t>Costs decrease in 2019 mainly due to vacancies, partially offset by inflationary increases.</t>
  </si>
  <si>
    <t>Costs increase in 2020 mainly due to early termination of the Master Service Agreement with WIPRO ($470) this one time incremental cost was excluded in</t>
  </si>
  <si>
    <t>all determinations of the 2023 and 2024 costs.</t>
  </si>
  <si>
    <t>Costs increase in 2021 mainly due to higher employee incentive and benefits ($239) and transition costs related to transition to a new IT service provider ($290).</t>
  </si>
  <si>
    <t>These costs were exogenous and excluded from determination of the 2023 and 2024 costs, the increase in 2021 was partially offset by the termination charge in the</t>
  </si>
  <si>
    <t>previous year and lower head office costs due to vacancies.</t>
  </si>
  <si>
    <t>Costs decrease in 2022 due to onetime costs incurred in the prior year ($529) and lower head office costs due to high vacancy ($295) the reductions are</t>
  </si>
  <si>
    <t>offset by severance payments due to terminations as a result of ATCO's COVID Vaccination Policy ($400) and inflationary increases.</t>
  </si>
  <si>
    <t>Costs increase in 2023 mainly due to filling of Head Office vacancies ($327), incremental Head Office positions ($162) and higher IT costs ($53).</t>
  </si>
  <si>
    <t>These costs are partially offset by the onetime severance payment in 2022.</t>
  </si>
  <si>
    <t>Costs increase in 2024 mainly due to inflationary increases.</t>
  </si>
  <si>
    <t>Costs fluctuate year over year based on the volume of digital banking transactions incurred and valuation of long term incentives.</t>
  </si>
  <si>
    <t>Costs decrease from 2016 to 2017 and again in 2018 due to costs incurred in the previous general rate application and excluded from revenue requirement.</t>
  </si>
  <si>
    <t>Costs increase in 2020 through 2022 mainly due to higher market premiums.</t>
  </si>
  <si>
    <t>Costs in 2023and 2024 increase due to inflation.</t>
  </si>
  <si>
    <t>Costs decrease in 2019 and 2020 mainly due to transition to standard labour rates. Previously costs associated with paid absences where charged to Employee</t>
  </si>
  <si>
    <t xml:space="preserve">Expenses. These costs are now included in the standard labour rates and are charged as part of the employees cost to either the O&amp;M activity or Capital project in </t>
  </si>
  <si>
    <t>which the employees perform work. The decreases is also due to lower travel benefit costs due to vacancies and employee turnover.</t>
  </si>
  <si>
    <t xml:space="preserve">Costs increase from 2021 to 2022 mainly due to inflation as well as planned retirement and employee recognition events deferred in previous years </t>
  </si>
  <si>
    <t>due to the pandemic.</t>
  </si>
  <si>
    <t>Costs increase in 2017 mainly due to employee safety training costs ($60) and inflation ($12).</t>
  </si>
  <si>
    <t>Costs increase in 2020 mainly due to virtual safety training programs in light of COVID restrictions.</t>
  </si>
  <si>
    <t>Costs decrease in 2021 due to deferral of on the job PLT training due to uncertainty of travel and scheduling due to the pandemic.</t>
  </si>
  <si>
    <t>Costs increase in 2022 mainly due to comprehensive offsite PLT training sessions deferred in 2020 and 2021 due to COVID restrictions.</t>
  </si>
  <si>
    <t>Costs decrease in 2023, but are higher than the historical averages due to significant turn over experienced during the pandemic and</t>
  </si>
  <si>
    <t>in recent years resulting in a focused effort to develop and train employees in addition to apprenticeship training for new apprentices.</t>
  </si>
  <si>
    <t>Costs fluctuate year over year to fill vacancies as required, 2023 and 2024 relocation costs are based on historical average costs.</t>
  </si>
  <si>
    <t xml:space="preserve">Costs increase in 2018 ($40) and 2019 ($65) mainly due to higher audit fees. </t>
  </si>
  <si>
    <t>Costs increase in 2020 mainly due to legal fees ($145) and higher audit fees ($23).</t>
  </si>
  <si>
    <t>Costs increase in 2021 mainly due to write down of feasibility study costs previously included in WIP ($188) in addition to inflationary increases.</t>
  </si>
  <si>
    <t xml:space="preserve">Costs decrease in 2022 mainly due to completion of the renewable's study in 2021 ($188) and lower audit and legal costs, partially offset </t>
  </si>
  <si>
    <t>Total Admin &amp; General</t>
  </si>
  <si>
    <t>Grand Total</t>
  </si>
  <si>
    <t>Affiliate Charges included in Operations and Maintenance Expenses</t>
  </si>
  <si>
    <t>O&amp;M Category</t>
  </si>
  <si>
    <t>Affiliate Company</t>
  </si>
  <si>
    <t>Services Provided</t>
  </si>
  <si>
    <t>Details of Affiliate Costs in Operations and Maintenance</t>
  </si>
  <si>
    <t>87500 - Meters and Meter Testing</t>
  </si>
  <si>
    <t>ATCO Electric</t>
  </si>
  <si>
    <t>Metering Services</t>
  </si>
  <si>
    <t xml:space="preserve">After Hours - Call Answering </t>
  </si>
  <si>
    <t>ATCO Gas</t>
  </si>
  <si>
    <t>Meter Services</t>
  </si>
  <si>
    <t>72100 - Administrative Expenses</t>
  </si>
  <si>
    <t>Office Services</t>
  </si>
  <si>
    <t>Customer Care &amp; Billing</t>
  </si>
  <si>
    <t>Details of Head Office Costs</t>
  </si>
  <si>
    <t>Governance, HR, and Health &amp; Safety</t>
  </si>
  <si>
    <t>Rates and Terms &amp; Conditions</t>
  </si>
  <si>
    <t>Financial Reporting and Regulatory Support</t>
  </si>
  <si>
    <t>Payroll, Use of Systems and IT</t>
  </si>
  <si>
    <t>70202 - General Public Information</t>
  </si>
  <si>
    <t>General Marketing</t>
  </si>
  <si>
    <t>Total Head Office Fees</t>
  </si>
  <si>
    <t>Material Management</t>
  </si>
  <si>
    <t>Total Affiliate Costs included in Operations and Maintenance</t>
  </si>
  <si>
    <t>Schedule of Depreciation Expense</t>
  </si>
  <si>
    <t>General Provision- Life</t>
  </si>
  <si>
    <t>Amortization of Differences- Life</t>
  </si>
  <si>
    <t>Vehicle Depreciation Capitalized- Life</t>
  </si>
  <si>
    <t>General Provision- Salvage</t>
  </si>
  <si>
    <t>Amortization of Differences- Salvage</t>
  </si>
  <si>
    <t>Total Depreciation Expense</t>
  </si>
  <si>
    <t>Mid Year</t>
  </si>
  <si>
    <t>Cost</t>
  </si>
  <si>
    <t>Rate</t>
  </si>
  <si>
    <t>Balance</t>
  </si>
  <si>
    <t>Ratio</t>
  </si>
  <si>
    <t>Base</t>
  </si>
  <si>
    <t>Return</t>
  </si>
  <si>
    <t>2016 Actual</t>
  </si>
  <si>
    <t>Long-Term Debt</t>
  </si>
  <si>
    <t>"S.8.2 &amp; 8.3" L.21</t>
  </si>
  <si>
    <t>Common Stock</t>
  </si>
  <si>
    <t>No Cost Capital</t>
  </si>
  <si>
    <t>S.8.4 L.8</t>
  </si>
  <si>
    <t>2017 Actual</t>
  </si>
  <si>
    <t>"S.8.2 &amp; 8.3" L.48</t>
  </si>
  <si>
    <t>2018 Actual</t>
  </si>
  <si>
    <t>"S.8.2 &amp; 8.3" L.75</t>
  </si>
  <si>
    <t>2019 Actual</t>
  </si>
  <si>
    <t>"S.8.2 &amp; 8.3" L.101</t>
  </si>
  <si>
    <t>2020 Actual</t>
  </si>
  <si>
    <t>"S.8.2 &amp; 8.3" L.128</t>
  </si>
  <si>
    <t>2021 Actual</t>
  </si>
  <si>
    <t>"S.8.2 &amp; 8.3" L.155</t>
  </si>
  <si>
    <t>2022 Actual</t>
  </si>
  <si>
    <t>"S.8.2 &amp; 8.3" L.184</t>
  </si>
  <si>
    <t>2023 Test Period</t>
  </si>
  <si>
    <t>"S.8.2 &amp; 8.3" L.212</t>
  </si>
  <si>
    <t>2024 Test Period</t>
  </si>
  <si>
    <t>"S.8.2 &amp; 8.3" L.241</t>
  </si>
  <si>
    <t>2016 Approved</t>
  </si>
  <si>
    <t>"S.8.2 &amp; 8.3" L.267</t>
  </si>
  <si>
    <t>2017 Approved</t>
  </si>
  <si>
    <t>"S.8.2 &amp; 8.3" L.294</t>
  </si>
  <si>
    <t>Schedule of Debt Capital Employed and Embedded Cost</t>
  </si>
  <si>
    <t>Net Capital Employed</t>
  </si>
  <si>
    <t>Principal</t>
  </si>
  <si>
    <t>Per $100 of</t>
  </si>
  <si>
    <t>Average</t>
  </si>
  <si>
    <t xml:space="preserve">Issue </t>
  </si>
  <si>
    <t>Coupon</t>
  </si>
  <si>
    <t xml:space="preserve">Maturity </t>
  </si>
  <si>
    <t>Amount</t>
  </si>
  <si>
    <t>Effective</t>
  </si>
  <si>
    <t>Outstanding</t>
  </si>
  <si>
    <t>Carrying</t>
  </si>
  <si>
    <t>Embedded</t>
  </si>
  <si>
    <t>Series</t>
  </si>
  <si>
    <t>Date</t>
  </si>
  <si>
    <t>Offered</t>
  </si>
  <si>
    <t>Cost Rate</t>
  </si>
  <si>
    <t>D</t>
  </si>
  <si>
    <t>E</t>
  </si>
  <si>
    <t>K</t>
  </si>
  <si>
    <t>N</t>
  </si>
  <si>
    <t>O</t>
  </si>
  <si>
    <t>Q</t>
  </si>
  <si>
    <t>R</t>
  </si>
  <si>
    <t xml:space="preserve">S 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</si>
  <si>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</si>
  <si>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</si>
  <si>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</si>
  <si>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</si>
  <si>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</si>
  <si>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</si>
  <si>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</si>
  <si>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</si>
  <si>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</si>
  <si>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Prior Year</t>
  </si>
  <si>
    <t>AC</t>
  </si>
  <si>
    <t>AD</t>
  </si>
  <si>
    <t>AE</t>
  </si>
  <si>
    <t>AF</t>
  </si>
  <si>
    <t>AG</t>
  </si>
  <si>
    <t>AH</t>
  </si>
  <si>
    <t>AI</t>
  </si>
  <si>
    <t>Continuity Schedule of No Cost Capital</t>
  </si>
  <si>
    <t>Deferred Pension and Regulatory Asset/Liability</t>
  </si>
  <si>
    <t>Mid-Year Balance Summary</t>
  </si>
  <si>
    <t>Other Post Employment Benefits (OPEB)</t>
  </si>
  <si>
    <t>Defined Benefit Pension</t>
  </si>
  <si>
    <t>Injuries &amp; Damages</t>
  </si>
  <si>
    <t>Total No Cost Capital Mid-Year Balance</t>
  </si>
  <si>
    <t>Balance at Beginning of Year</t>
  </si>
  <si>
    <t>Add: Charges</t>
  </si>
  <si>
    <t>Less: Cash Payments</t>
  </si>
  <si>
    <t>Balance at End of Year</t>
  </si>
  <si>
    <t>Mid-Year Balance</t>
  </si>
  <si>
    <t>(L.11+L.14) / 2</t>
  </si>
  <si>
    <t>(L.19+L.22) / 2</t>
  </si>
  <si>
    <t>Add: Write-off</t>
  </si>
  <si>
    <t>Less: Costs</t>
  </si>
  <si>
    <t>(L.26+L.29) / 2</t>
  </si>
  <si>
    <t>Computation of Rate Base</t>
  </si>
  <si>
    <t>Property, Plant and Equipment</t>
  </si>
  <si>
    <t>Year End Balance</t>
  </si>
  <si>
    <t>S.8.6 L.14</t>
  </si>
  <si>
    <t>Deduct:</t>
  </si>
  <si>
    <t>Accumulated Depreciation</t>
  </si>
  <si>
    <t>S.8.6 L.25</t>
  </si>
  <si>
    <t>Construction-in-Progress</t>
  </si>
  <si>
    <t>S.8.6 L.12</t>
  </si>
  <si>
    <t>Total Deductions</t>
  </si>
  <si>
    <t>Net Plant in Service</t>
  </si>
  <si>
    <t>Current Year End Balance</t>
  </si>
  <si>
    <t>Previous Year End Balance</t>
  </si>
  <si>
    <t>Mid-Year Deferred Charges/Credits</t>
  </si>
  <si>
    <t>S.8.8 L.17</t>
  </si>
  <si>
    <t>Working Capital</t>
  </si>
  <si>
    <t>S.8.10 L.37</t>
  </si>
  <si>
    <t>Gross Rate Base</t>
  </si>
  <si>
    <t>Contributions in Aid of Construction</t>
  </si>
  <si>
    <t>S.8.12 L.11</t>
  </si>
  <si>
    <t>Net Rate Base</t>
  </si>
  <si>
    <t>Continuity Schedule of Property, Plant and Equipment</t>
  </si>
  <si>
    <t>Additions</t>
  </si>
  <si>
    <t>S.9.1 L.34</t>
  </si>
  <si>
    <t>Reclassify from Deferred Charges</t>
  </si>
  <si>
    <t>S. 8.8 L.40</t>
  </si>
  <si>
    <t>Retirement and Disposals</t>
  </si>
  <si>
    <t>S.8.7 L.32</t>
  </si>
  <si>
    <t>S.9.1 L.38</t>
  </si>
  <si>
    <t>Total Property, Plant and Equipment</t>
  </si>
  <si>
    <t>Depreciation Expense</t>
  </si>
  <si>
    <t>Depreciation Capitalized</t>
  </si>
  <si>
    <t>S.7.1 L.3</t>
  </si>
  <si>
    <t>Dismantling</t>
  </si>
  <si>
    <t>Retirements</t>
  </si>
  <si>
    <t>Net Property, Plant and Equipment</t>
  </si>
  <si>
    <t>Continuity Schedule of Capital Retirements by Function</t>
  </si>
  <si>
    <t>Generation</t>
  </si>
  <si>
    <t>Internal Combustion</t>
  </si>
  <si>
    <t>Hydro</t>
  </si>
  <si>
    <t>Other Retirements Less Than $20,000</t>
  </si>
  <si>
    <t>Total Generation Retirements</t>
  </si>
  <si>
    <t>Poles, Towers &amp; Fixtures</t>
  </si>
  <si>
    <t>Line Transformers</t>
  </si>
  <si>
    <t>Meters</t>
  </si>
  <si>
    <t>Overhead Conductor, Devices, and Services</t>
  </si>
  <si>
    <t>Underground Conductor And Devices</t>
  </si>
  <si>
    <t>Station Equipment</t>
  </si>
  <si>
    <t>Total Distribution Retirements</t>
  </si>
  <si>
    <t>General Plant</t>
  </si>
  <si>
    <t>Office Furniture &amp; Equipment</t>
  </si>
  <si>
    <t>Vehicles</t>
  </si>
  <si>
    <t>Tool &amp; Work Equipment</t>
  </si>
  <si>
    <t>Demand Side Management</t>
  </si>
  <si>
    <t>Computer Hardware &amp; Software</t>
  </si>
  <si>
    <t>Structures &amp; Improvements</t>
  </si>
  <si>
    <t>Total General Plant Retirements</t>
  </si>
  <si>
    <t>Miscellaneous Other</t>
  </si>
  <si>
    <t>Total Capital Retirements</t>
  </si>
  <si>
    <t>Continuity Schedule of Deferred Charges &amp; Credits</t>
  </si>
  <si>
    <t>Total Deferred Charges &amp; Credits Summary</t>
  </si>
  <si>
    <t>Write-off Summary</t>
  </si>
  <si>
    <t>Rate Case Costs</t>
  </si>
  <si>
    <t>L. 22</t>
  </si>
  <si>
    <t>Watson Lake LNG Study Costs</t>
  </si>
  <si>
    <t>L. 32</t>
  </si>
  <si>
    <t>Pension Deferral Account</t>
  </si>
  <si>
    <t>L. 49</t>
  </si>
  <si>
    <t>ERA/IPP Legal Costs</t>
  </si>
  <si>
    <t>Total Write-off</t>
  </si>
  <si>
    <t>Deferred Credits Mid-Year Balance Summary</t>
  </si>
  <si>
    <t>Rate Case Reserve</t>
  </si>
  <si>
    <t>L. 26</t>
  </si>
  <si>
    <t>L. 35</t>
  </si>
  <si>
    <t>Demand Side Management Program Costs</t>
  </si>
  <si>
    <t>L. 44</t>
  </si>
  <si>
    <t>L. 52</t>
  </si>
  <si>
    <t>Total Deferred Credits Mid-Year Balance</t>
  </si>
  <si>
    <t>Add:   Rate Case Costs</t>
  </si>
  <si>
    <t>Less: Rate Case (Write-off) Credit</t>
  </si>
  <si>
    <t>Less: Adjustment for YUB 2022-13</t>
  </si>
  <si>
    <t>(L.20+L.24)/2</t>
  </si>
  <si>
    <t>Add: Costs/AFUDC</t>
  </si>
  <si>
    <t>Add: Transfers from Plant Additions</t>
  </si>
  <si>
    <t>Less: Write-off</t>
  </si>
  <si>
    <t>(L.29+L.33)/2</t>
  </si>
  <si>
    <t>Add: Costs</t>
  </si>
  <si>
    <t>Less: Transfer to Rate Base</t>
  </si>
  <si>
    <t>Less: Write Off</t>
  </si>
  <si>
    <t>(L.38+L.42)/2</t>
  </si>
  <si>
    <t>Pension Deferral</t>
  </si>
  <si>
    <t xml:space="preserve">Less: Write-off </t>
  </si>
  <si>
    <t>(L.47+L.50)/2</t>
  </si>
  <si>
    <t>EPA/IPP Legal Costs</t>
  </si>
  <si>
    <t>(L.55+L.58)/2</t>
  </si>
  <si>
    <t>Phase I</t>
  </si>
  <si>
    <t>Legal Expenses</t>
  </si>
  <si>
    <t>Consultant</t>
  </si>
  <si>
    <t>ATCO Electric Disbursements</t>
  </si>
  <si>
    <t>Yukon Electrical Disbursements</t>
  </si>
  <si>
    <t>Intervener Costs</t>
  </si>
  <si>
    <t>Board Costs</t>
  </si>
  <si>
    <t>Computation of Allowance for Working Capital</t>
  </si>
  <si>
    <t>S.1.1 L.9</t>
  </si>
  <si>
    <t>Diesel Fuel</t>
  </si>
  <si>
    <t>S.1.1 L.8</t>
  </si>
  <si>
    <t>S.1.1 L.10</t>
  </si>
  <si>
    <t>Net O&amp;M</t>
  </si>
  <si>
    <t>O&amp;M Lag Days</t>
  </si>
  <si>
    <t>Operating Expenses Working Capital</t>
  </si>
  <si>
    <t>Tax Installments</t>
  </si>
  <si>
    <t xml:space="preserve">Income Tax Installment Lag Days </t>
  </si>
  <si>
    <t>Tax Installments Working Capital</t>
  </si>
  <si>
    <t>Income Taxes Receivable (Payable)</t>
  </si>
  <si>
    <t xml:space="preserve">Tax Receivable Lag Days </t>
  </si>
  <si>
    <t>Taxes Payable Working Capital</t>
  </si>
  <si>
    <t>Inventory (Three-Year Average)</t>
  </si>
  <si>
    <t>GST Impact on Working Capital</t>
  </si>
  <si>
    <t>S.8.11 L.36</t>
  </si>
  <si>
    <t>Return - Long Term Debt</t>
  </si>
  <si>
    <t>Combined Long Term Debt Lag Days</t>
  </si>
  <si>
    <t>Long Term Debt Working Capital</t>
  </si>
  <si>
    <t>Return - 50% of Common Equity</t>
  </si>
  <si>
    <t>Dividend Lag Days</t>
  </si>
  <si>
    <t>Common Equity (Dividend) Working Capital</t>
  </si>
  <si>
    <t>Depreciation Lag Days</t>
  </si>
  <si>
    <t>Common Equity (Retained Earnings) Working Capital</t>
  </si>
  <si>
    <t>Net Depreciation</t>
  </si>
  <si>
    <t>Depreciation  Working Capital</t>
  </si>
  <si>
    <t>Effect of GST on Working Capital</t>
  </si>
  <si>
    <t>REVENUE:</t>
  </si>
  <si>
    <t>Total Operating Revenue Subject to GST</t>
  </si>
  <si>
    <t xml:space="preserve">GST Rate </t>
  </si>
  <si>
    <t>GST Billable</t>
  </si>
  <si>
    <t>Day Factor  - Revenues</t>
  </si>
  <si>
    <t>Day Factor - Remittance Lag</t>
  </si>
  <si>
    <t>GST Impact on Working Capital Increase/(Decrease)</t>
  </si>
  <si>
    <t>(L.4*L.8)/365</t>
  </si>
  <si>
    <t>EXPENSES:</t>
  </si>
  <si>
    <t>Total Utility Expenses</t>
  </si>
  <si>
    <t>S.1.1 L.16</t>
  </si>
  <si>
    <t>Labour and Fringe</t>
  </si>
  <si>
    <t>S.5.2 L. 416</t>
  </si>
  <si>
    <t>S.1.1 L.11</t>
  </si>
  <si>
    <t>S.1.1 L.12</t>
  </si>
  <si>
    <t>Income Tax</t>
  </si>
  <si>
    <t>S.1.1 L.15</t>
  </si>
  <si>
    <t>Injuries &amp; Damages Costs</t>
  </si>
  <si>
    <t>Injuries &amp; Damages Write-off</t>
  </si>
  <si>
    <t>Rate Case Write-off</t>
  </si>
  <si>
    <t>Other Deferrals and Studies Costs</t>
  </si>
  <si>
    <t>S.8.8 L.30</t>
  </si>
  <si>
    <t>Other Deferrals and Studies Write-off</t>
  </si>
  <si>
    <t>S.8.8 L.32</t>
  </si>
  <si>
    <t xml:space="preserve">Capital Expenditures Net of Contributions </t>
  </si>
  <si>
    <t>Net Costs Subject to GST</t>
  </si>
  <si>
    <t>GST Rate</t>
  </si>
  <si>
    <t>GST Refundable</t>
  </si>
  <si>
    <t>Day Factor - Expense (Including Capital)</t>
  </si>
  <si>
    <t>(L.28*L.32)/365</t>
  </si>
  <si>
    <t>Net Impact of GST on Working Capital</t>
  </si>
  <si>
    <t>Continuity Schedule of Contributions in Aid of Construction</t>
  </si>
  <si>
    <t>Prior Year Gross Contributions</t>
  </si>
  <si>
    <t>Additions to Property</t>
  </si>
  <si>
    <t>Current Year Gross Contributions</t>
  </si>
  <si>
    <t>Accumulated Amortization</t>
  </si>
  <si>
    <t>Prior Year Accumulated Amortization</t>
  </si>
  <si>
    <t>Gross Amortization</t>
  </si>
  <si>
    <t>Current Year Accumulated Amortization</t>
  </si>
  <si>
    <t>Net Contributions in Aid of Construction</t>
  </si>
  <si>
    <t>Plant Additions</t>
  </si>
  <si>
    <t>Work in progress, Beginning of Year</t>
  </si>
  <si>
    <t>Generation:</t>
  </si>
  <si>
    <t>S.9.2 L.131</t>
  </si>
  <si>
    <t>Renewables</t>
  </si>
  <si>
    <t>S.9.2 L.138</t>
  </si>
  <si>
    <t>Distribution:</t>
  </si>
  <si>
    <t>New Extensions</t>
  </si>
  <si>
    <t>S.9.2 L.171</t>
  </si>
  <si>
    <t>New Extensions-IPP</t>
  </si>
  <si>
    <t>S.9.2 L.179</t>
  </si>
  <si>
    <t>Distribution Improvements</t>
  </si>
  <si>
    <t>S.9.2 L.307</t>
  </si>
  <si>
    <t>Street and Sentinel Lights</t>
  </si>
  <si>
    <t>S.9.2 L.336</t>
  </si>
  <si>
    <t>S.9.2 L.340</t>
  </si>
  <si>
    <t>Meters - AMR</t>
  </si>
  <si>
    <t>S.9.2 L.339</t>
  </si>
  <si>
    <t>Transformers and Regulators</t>
  </si>
  <si>
    <t>S.9.2 L.349</t>
  </si>
  <si>
    <t>General Property and Equipment:</t>
  </si>
  <si>
    <t>Computers</t>
  </si>
  <si>
    <t>S.9.2 L.354</t>
  </si>
  <si>
    <t>Communication Equipment</t>
  </si>
  <si>
    <t>S.9.2 L.389</t>
  </si>
  <si>
    <t>Transportation Equipment</t>
  </si>
  <si>
    <t>S.9.2 L.425</t>
  </si>
  <si>
    <t>Land and Buildings</t>
  </si>
  <si>
    <t>S.9.2 L.378</t>
  </si>
  <si>
    <t>Tools, Instruments &amp; Equip.</t>
  </si>
  <si>
    <t>S.9.2 L.396</t>
  </si>
  <si>
    <t>Office Computer Equipment</t>
  </si>
  <si>
    <t>S.9.2 L.414</t>
  </si>
  <si>
    <t>Total Capital Expenditures</t>
  </si>
  <si>
    <t>Less:</t>
  </si>
  <si>
    <t>Transfers to Rate Base</t>
  </si>
  <si>
    <t>Transfers to Deferred Charges</t>
  </si>
  <si>
    <t>Work in Progress, End of Year</t>
  </si>
  <si>
    <t>Continuity of Capital Expenditures</t>
  </si>
  <si>
    <t>Project Name</t>
  </si>
  <si>
    <t>2016</t>
  </si>
  <si>
    <t>2017</t>
  </si>
  <si>
    <t>Fish Lake Unit 2 - Replace Power Station -  Detailed Design</t>
  </si>
  <si>
    <t>Fish Lake 1 Roof Replacement</t>
  </si>
  <si>
    <t>Fish Lake 2 Replace Power Station FEED</t>
  </si>
  <si>
    <t>Fish Lake 2 Head pond Intake Building Replacement</t>
  </si>
  <si>
    <t>Fish Lake 2 Head Pond Spillway Replacement</t>
  </si>
  <si>
    <t>Fish Lake Ditch 1 Failure</t>
  </si>
  <si>
    <t>Fish Lake Ditch 1 Intake Building - Design</t>
  </si>
  <si>
    <t>Fish Lake Unit 1 Spillway Diversion Structure</t>
  </si>
  <si>
    <t>Fish Lake Unit 2 Assessment</t>
  </si>
  <si>
    <t xml:space="preserve"> Fish Lake Unit 2 Condition Assessment and Options Analysis</t>
  </si>
  <si>
    <t>Fish Lake 2 TIV actuator and wicket gates</t>
  </si>
  <si>
    <t>Fish Lake Unit 1 Roof Design</t>
  </si>
  <si>
    <t>Fish Lake Unit 2 Bearing and Shaft Repair</t>
  </si>
  <si>
    <t>Fish Lake Unit 2 TIV Replace</t>
  </si>
  <si>
    <t>Fish Lake 1 Add TIV Actuator</t>
  </si>
  <si>
    <t>Fish Lake 1 TIV replacement</t>
  </si>
  <si>
    <t>Fish Lake 2 Add bypass valve actuator and automation</t>
  </si>
  <si>
    <t xml:space="preserve">Fish Lake 2 PLC Replacement </t>
  </si>
  <si>
    <t xml:space="preserve"> Fish Lake Unit 2 DC TIV Actuator &amp; Wicket Gate Replacement</t>
  </si>
  <si>
    <t>Fish Lake Water Monitoring Upgrades</t>
  </si>
  <si>
    <t>Fish Lake Unit 1 Turbine and Building Replacement</t>
  </si>
  <si>
    <t>Fish Lake Ditch 3 Diversion Replacement</t>
  </si>
  <si>
    <t>Louise Lake Containment Dyke Seismic Analysis</t>
  </si>
  <si>
    <t>Watson Lake - Replace Air Start Piping</t>
  </si>
  <si>
    <t xml:space="preserve">Watson Lake Add Building Concrete Apron </t>
  </si>
  <si>
    <t>Watson Lake block heater pumps</t>
  </si>
  <si>
    <t>Watson Lake Expansion Tank and Access Replacement Design</t>
  </si>
  <si>
    <t>Watson Lake Fuel Piping Upgrade</t>
  </si>
  <si>
    <t>Watson Lake Fuel System Control Replacement</t>
  </si>
  <si>
    <t>Watson Lake Install Diverter Actuator, with limit switches, for #1/6 boilers</t>
  </si>
  <si>
    <t xml:space="preserve">Watson Lake Replace HRS pumps/motors </t>
  </si>
  <si>
    <t xml:space="preserve">Watson Lake Replace Non-Code Exchangers for #2/4 </t>
  </si>
  <si>
    <t>Watson Lake Unit 1 Replacement</t>
  </si>
  <si>
    <t>Watson Lake Unit 2 - Major Overhaul</t>
  </si>
  <si>
    <t>Watson Lake Unit 3 Replacement</t>
  </si>
  <si>
    <t>Watson Lake Unit 4 - Major Overhaul</t>
  </si>
  <si>
    <t>Watson Lake Unit 4 EMCP Replacement</t>
  </si>
  <si>
    <t>Watson Lake Unit 5 Major Overhaul</t>
  </si>
  <si>
    <t>Watson Lake Unit 6 Replacement</t>
  </si>
  <si>
    <t>Watson Lake Waste Heat Cathodic Protection</t>
  </si>
  <si>
    <t xml:space="preserve"> Watson Lake 125VDC Battery and Charger Replacement</t>
  </si>
  <si>
    <t xml:space="preserve"> Watson Lake Fuel Tank Access</t>
  </si>
  <si>
    <t xml:space="preserve"> Watson Lake Inverter Replacement</t>
  </si>
  <si>
    <t>Watson Lake Plant Fire Alarm System - Design</t>
  </si>
  <si>
    <t xml:space="preserve"> Watson Lake Plant Fire Alarm System</t>
  </si>
  <si>
    <t xml:space="preserve"> Watson Lake Plant Fuel Sys Control Replace</t>
  </si>
  <si>
    <t xml:space="preserve"> Watson Lake Plant Overhead Door Replacement</t>
  </si>
  <si>
    <t xml:space="preserve"> Watson Lake Plant Phone System Replacement</t>
  </si>
  <si>
    <t>Watson Lake Plant PLC</t>
  </si>
  <si>
    <t xml:space="preserve"> Watson Lake Unit 5 PLC</t>
  </si>
  <si>
    <t xml:space="preserve"> Watson Lake Utilidor Split/Fuel Sys</t>
  </si>
  <si>
    <t>Watson Lake Unit 2 Replacement</t>
  </si>
  <si>
    <t>Old Crow Add Day Tank and Fuel Transfer Pump</t>
  </si>
  <si>
    <t>Old Crow Boiler Metering and Control</t>
  </si>
  <si>
    <t>Old Crow Plant Tank Access</t>
  </si>
  <si>
    <t>Old Crow Unit 1 Major Overhaul YTCU414</t>
  </si>
  <si>
    <t>Old Crow Unit 2 Replacement</t>
  </si>
  <si>
    <t>Old Crow Unit 3 Failure - Major Overhaul</t>
  </si>
  <si>
    <t>Old Crow Unit 4 Major Overhaul</t>
  </si>
  <si>
    <t>Old Crow # 2 Long Block Replacement</t>
  </si>
  <si>
    <t>Old Crow Unit 2 Generator Refurbishment</t>
  </si>
  <si>
    <t xml:space="preserve"> Old Crow Old Plant Gantry Accessories</t>
  </si>
  <si>
    <t xml:space="preserve"> Old Crow Plant (old) Gantry Crane</t>
  </si>
  <si>
    <t>Old Crow Original Plant Rebuild</t>
  </si>
  <si>
    <t>Old Crow Unit 3 Replacement</t>
  </si>
  <si>
    <t>Old Crow Unit 2 - External Equipment</t>
  </si>
  <si>
    <t>Beaver Creek  Unit 3 Major Overhaul</t>
  </si>
  <si>
    <t>Beaver Creek Replace JW and CAC cooler</t>
  </si>
  <si>
    <t>Beaver Creek Station Service Transformer</t>
  </si>
  <si>
    <t>Beaver Creek Unit 1 Major Overhaul</t>
  </si>
  <si>
    <t>Beaver Creek Unit 2 Major</t>
  </si>
  <si>
    <t>Beaver Creek Utilidor Upgrades</t>
  </si>
  <si>
    <t>Destruction Bay/ Stewart/ Beaver Creek Plant Condition Assessment</t>
  </si>
  <si>
    <t>Destruction Bay Unit 2 Major Overhaul</t>
  </si>
  <si>
    <t>Destruction Bay Unit 1 Major Overhaul</t>
  </si>
  <si>
    <t>Destruction Bay Unit 3 Replacement</t>
  </si>
  <si>
    <t>Destruction Bay Programmable Logic Controller Upgrade</t>
  </si>
  <si>
    <t xml:space="preserve">Destruction Bay Unit 2 Replacement </t>
  </si>
  <si>
    <t>Destruction Bay Fuel Line Upgrade</t>
  </si>
  <si>
    <t>Destruction Bay Unit 3 Major Overhaul</t>
  </si>
  <si>
    <t>Destruction Bay Replace POW</t>
  </si>
  <si>
    <t>Pelly Crossing Fuel System Upgrade</t>
  </si>
  <si>
    <t>Pelly Crossing Ventilation System Upgrade</t>
  </si>
  <si>
    <t>Pelly Crossing Unit 2 Silencer</t>
  </si>
  <si>
    <t>Ross River Replace ABB 5HK Breakers</t>
  </si>
  <si>
    <t>Ross River Electrical Service Panel Upgrade</t>
  </si>
  <si>
    <t>Swift River Unit 2 Replacement</t>
  </si>
  <si>
    <t>Swift River Unit 1 Replacement</t>
  </si>
  <si>
    <t xml:space="preserve"> Swift River Fuel System Upgrade</t>
  </si>
  <si>
    <t xml:space="preserve"> Swift River Unit 1 PLC Replacement</t>
  </si>
  <si>
    <t xml:space="preserve"> Swift River Unit 2 Replace</t>
  </si>
  <si>
    <t>Teslin Plant Assessment</t>
  </si>
  <si>
    <t>Teslin PLC Replacement - Design</t>
  </si>
  <si>
    <t xml:space="preserve"> Teslin Plant Platform Replacement</t>
  </si>
  <si>
    <t xml:space="preserve"> Teslin Rad Core Replacement</t>
  </si>
  <si>
    <t>Haines Junction Fuel Containment Upgrade</t>
  </si>
  <si>
    <t xml:space="preserve"> Haines Junction Plant Positive Air Shutoff for YTCU416</t>
  </si>
  <si>
    <t xml:space="preserve"> Haines Junction Regulator Pad Replacement</t>
  </si>
  <si>
    <t>Louise Lake Auxiliary Structure Replacement</t>
  </si>
  <si>
    <t>IPP Remote monitoring</t>
  </si>
  <si>
    <t>Carmacks Plant Foundation Repair</t>
  </si>
  <si>
    <t>Mobile CUL-341 PLC replacement</t>
  </si>
  <si>
    <t>Pelly Unit 3 Block Replacement</t>
  </si>
  <si>
    <t>PLC Replacement Stage 1</t>
  </si>
  <si>
    <t>Replace fuel ESD valve within utilidor (x10)</t>
  </si>
  <si>
    <t>2017 Gen Failed Hardware Contingency</t>
  </si>
  <si>
    <t>Mobile Generator 250kW Voltage and Frequency Protection</t>
  </si>
  <si>
    <t>Mobile Generator 225 kW Refurbishment</t>
  </si>
  <si>
    <t>Mobile Generator 350 kW Refurbish Enclosure</t>
  </si>
  <si>
    <t>Standby plant equipment and building heat</t>
  </si>
  <si>
    <t>Add transfer trip scheme</t>
  </si>
  <si>
    <t>Fish Creek Diversion</t>
  </si>
  <si>
    <t xml:space="preserve">General Plant Improvements </t>
  </si>
  <si>
    <t>Fuel System Assessment</t>
  </si>
  <si>
    <t>IRC Chargers</t>
  </si>
  <si>
    <t>Generation &lt; $20,000</t>
  </si>
  <si>
    <t>Generation Total</t>
  </si>
  <si>
    <t>Kluane First Nation Wind Turbine Upgrades</t>
  </si>
  <si>
    <t>Renewables - Old Crow</t>
  </si>
  <si>
    <t>Watson Lk IPP - Integration to Plant</t>
  </si>
  <si>
    <t>Beaver Creek PV Generation</t>
  </si>
  <si>
    <t>Study Costs</t>
  </si>
  <si>
    <t>Renewables Total</t>
  </si>
  <si>
    <t>New Services Overhead and Underground</t>
  </si>
  <si>
    <t>Annual Land Rights</t>
  </si>
  <si>
    <t>General Drafting and Mapping</t>
  </si>
  <si>
    <t>Whistle Bend Stage 3</t>
  </si>
  <si>
    <t>Whistle Bend Stage 4</t>
  </si>
  <si>
    <t>Whistle Bend Stage 5</t>
  </si>
  <si>
    <t>Whistle Bend Stage 6</t>
  </si>
  <si>
    <t>Whistle Bend Stage 7</t>
  </si>
  <si>
    <t>Whistle Bend Stage 8</t>
  </si>
  <si>
    <t>Whistle Bend Stage 9</t>
  </si>
  <si>
    <t>Whistle Bend future stages - place holder</t>
  </si>
  <si>
    <t>Whistle Bend New Services</t>
  </si>
  <si>
    <t xml:space="preserve"> Mt Sima Pumphouse</t>
  </si>
  <si>
    <t>Brookside Phase 2B</t>
  </si>
  <si>
    <t>Challenge Development 704 Main Street</t>
  </si>
  <si>
    <t>Hammerstone Lots off Tlingit Street</t>
  </si>
  <si>
    <t>Loft 2240 2nd Avenue</t>
  </si>
  <si>
    <t>Mt Sima Hill Service</t>
  </si>
  <si>
    <t>Schmidt, Harold &amp; Savanah</t>
  </si>
  <si>
    <t>TSL/Ketza Old Crow Health &amp; Housing</t>
  </si>
  <si>
    <t>VGFN Houses on North Rd</t>
  </si>
  <si>
    <t>VoT Connector Road Subdivision</t>
  </si>
  <si>
    <t>YG Airport Hangar</t>
  </si>
  <si>
    <t>Yukon Lot 503</t>
  </si>
  <si>
    <t>New Extension &lt; $20,000</t>
  </si>
  <si>
    <t>New Extensions Total</t>
  </si>
  <si>
    <t xml:space="preserve">Arctic Pharm IPP </t>
  </si>
  <si>
    <t>Sunergy YEC HJ IPP</t>
  </si>
  <si>
    <t>Haeckel Hill</t>
  </si>
  <si>
    <t>THELP</t>
  </si>
  <si>
    <t>New Extensions - IPP Total</t>
  </si>
  <si>
    <t>Annual Right of Way Widening</t>
  </si>
  <si>
    <t>General Pole Replacements</t>
  </si>
  <si>
    <t>PCB Identification and Transformer Change Outs</t>
  </si>
  <si>
    <t>Vault Replacements</t>
  </si>
  <si>
    <t>General Clearance Upgrades/Fixes</t>
  </si>
  <si>
    <t>Test and Treat Pole Program</t>
  </si>
  <si>
    <t>Gang Switch Replacement</t>
  </si>
  <si>
    <t>T&amp;B Switch Change Out</t>
  </si>
  <si>
    <t>McIntyre Subdivision Rebuild</t>
  </si>
  <si>
    <t>Downtown Whitehorse Capacity Upgrade</t>
  </si>
  <si>
    <t>Hillcrest Subdivision Conversion</t>
  </si>
  <si>
    <t>Upgrade Underground Line Into Services and Shipyard Sub</t>
  </si>
  <si>
    <t>McCrae Substation Second Feeder Breaker</t>
  </si>
  <si>
    <t>McCrae Substation Transformer Upgrade to 10 MVA</t>
  </si>
  <si>
    <t>Whistle Bend Way Underground Crossing</t>
  </si>
  <si>
    <t>Upper Liard – Replace Liard River Crossing</t>
  </si>
  <si>
    <t>AEY 34.5kV Cable Replacement</t>
  </si>
  <si>
    <t>Fault Indicators in Padmount Equipment</t>
  </si>
  <si>
    <t>AEY Maintenance Work Request 241-2016 HJ Reg</t>
  </si>
  <si>
    <t>AEY 2016 Safety Audit F</t>
  </si>
  <si>
    <t>AEY Cable Testing 2016</t>
  </si>
  <si>
    <t>AEY Maintenance Work Request M97-2013 Pole Change</t>
  </si>
  <si>
    <t>AEY 102 Lambert Encroachment</t>
  </si>
  <si>
    <t>AEY Trespass L1131 Car</t>
  </si>
  <si>
    <t>5L622 - Lewes River Bridge Crossing Replacement</t>
  </si>
  <si>
    <t>Paint Mountain Conductor Replacement</t>
  </si>
  <si>
    <t>Range Road Rebuild</t>
  </si>
  <si>
    <t>Carcross Nares Bridge Relocation</t>
  </si>
  <si>
    <t>Replace Watson Lake Substation Transformer T2</t>
  </si>
  <si>
    <t>400 Amp Regulators in Logan Substation</t>
  </si>
  <si>
    <t>AEY Carcross Corner Pol</t>
  </si>
  <si>
    <t>AEY Maintenance Work Order M255-2016 3rd a</t>
  </si>
  <si>
    <t>AEY CCC Rd Rebuild</t>
  </si>
  <si>
    <t>3 Phase Hotsprings Rd</t>
  </si>
  <si>
    <t>Haines Junction OSS Replacement</t>
  </si>
  <si>
    <t>Single Regulator 5L631</t>
  </si>
  <si>
    <t>Steward Crossing Ferry Hill Line Rebuild - Design</t>
  </si>
  <si>
    <t>McRae Substation Regulator Upgrade</t>
  </si>
  <si>
    <t>Rebuild Line Behind City Municipal Services Building</t>
  </si>
  <si>
    <t>Distribution Improvements Continued</t>
  </si>
  <si>
    <t>AEY Old Crow Volt Issues-Loop</t>
  </si>
  <si>
    <t>AEY 25kV A.Hwy Hamilton Tie</t>
  </si>
  <si>
    <t>McIntyre Subdivision Contingency Loop</t>
  </si>
  <si>
    <t>Teslin Substn Metering</t>
  </si>
  <si>
    <t>Teslin OSS Replacement</t>
  </si>
  <si>
    <t>AEY 3rd Ave Burial Dwntwn</t>
  </si>
  <si>
    <t>AEY Wtsn Lk Vertical Strcts</t>
  </si>
  <si>
    <t>AEY Teslin Sub Gnd Grid</t>
  </si>
  <si>
    <t>AEY Lower Post Fire 2018</t>
  </si>
  <si>
    <t>AEY Cowley Rd Rebuild SKH</t>
  </si>
  <si>
    <t>AEY 2nd Ave Trespass</t>
  </si>
  <si>
    <t>AEY SCADA Swtch at Pinerdg</t>
  </si>
  <si>
    <t>YG Toyota Access, Intersection &amp; Frontage Road Upgrades</t>
  </si>
  <si>
    <t>AEY YG Nares River Bridge</t>
  </si>
  <si>
    <t>Whitehorse Airport Hanger D Area Rebuild</t>
  </si>
  <si>
    <t>AEY Reroute Mountain View</t>
  </si>
  <si>
    <t>AEY Aerial Trespass Lot 9 Blk 16 Adela Trail Watson Lake</t>
  </si>
  <si>
    <t>Rogers Street 25kV Conversion</t>
  </si>
  <si>
    <t>AEY Trespass Primary Line Reroute, Lot 1499 Hotsprings Road</t>
  </si>
  <si>
    <t>Install 35kV Regulators on Carcross Road</t>
  </si>
  <si>
    <t>HLC Breaker Replacement</t>
  </si>
  <si>
    <t>Upgrade Regulators at Laberge Substation</t>
  </si>
  <si>
    <t>Powerline Relocation Hillcrest YG Highway Realignment</t>
  </si>
  <si>
    <t>Reconductor Mayo Rd Mainline</t>
  </si>
  <si>
    <t>Shipyards Sub Replace Relays</t>
  </si>
  <si>
    <t>266 ACSR Upgrade Sumanik Drive</t>
  </si>
  <si>
    <t>AEY Aerial Trespass Lots 14A &amp; 14B Pilot Mtn Sub'd</t>
  </si>
  <si>
    <t>AEY D/C Powerline Reroute Cousins to Mayo Cutoff</t>
  </si>
  <si>
    <t>Riverdale Load Sectionalizing</t>
  </si>
  <si>
    <t>DWCI -Downtown South Voltage Conversion- prep</t>
  </si>
  <si>
    <t>AEY Reconductor Mayo Road Mainline - Stage 2</t>
  </si>
  <si>
    <t>AEY Powerline Relocation YG Alaska Hwy Crestview Phase 1 of 2</t>
  </si>
  <si>
    <t>Powerline Relocation Burns Road to Range Road Intersection</t>
  </si>
  <si>
    <t>AEY Hamilton to Alaska Highway 25kV Tie</t>
  </si>
  <si>
    <t>AEY Powerline Relocation Lot 2 Salvation Army</t>
  </si>
  <si>
    <t>Upgrade Recloser at Carx Substn</t>
  </si>
  <si>
    <t>AIS 9 Switch Cube Replacement - S2350 Hamilton Blvd</t>
  </si>
  <si>
    <t>AEY New Subst Mayo Rd</t>
  </si>
  <si>
    <t>AEY Voltage Issues Gold Road</t>
  </si>
  <si>
    <t>AEY Aerial Trespass Lot 23, Blk 25 or 102 Teslin Crescent, (Thomas Slager), Watson Lake</t>
  </si>
  <si>
    <t>Ross River Substn Voltage Regulator Control</t>
  </si>
  <si>
    <t>Upgrade Recloser Mountainview Substn</t>
  </si>
  <si>
    <t>New Substation Mayo Road</t>
  </si>
  <si>
    <t>Reconductor Mayo Rd Mainline - Stage 3</t>
  </si>
  <si>
    <t>Watson Lake Substation Feeder &amp; Feeder Protection Replacement</t>
  </si>
  <si>
    <t xml:space="preserve"> Downtown south voltage conversion</t>
  </si>
  <si>
    <t>AEY Choutla Long Span Rebuild</t>
  </si>
  <si>
    <t>AEY Dogwood voltage improvement</t>
  </si>
  <si>
    <t xml:space="preserve">AEY DWCI - New 12.5kV substation </t>
  </si>
  <si>
    <t>AEY Haines Junction Regulator Stand Replacement</t>
  </si>
  <si>
    <t>AEY New Substation Whistle Bend - Leota</t>
  </si>
  <si>
    <t>AEY Nisultlin Bridge Pole Relocation</t>
  </si>
  <si>
    <t>AEY SCADA Pineridge Switch</t>
  </si>
  <si>
    <t>AEY Upgrade 6L11 conductor S150 to Carcross Corner</t>
  </si>
  <si>
    <t>AEY Upgrade recloser</t>
  </si>
  <si>
    <t>AEY Voltage Improvement Destruction Bay</t>
  </si>
  <si>
    <t>AEY Whitehorse Escarpment line reroutes - Hoge</t>
  </si>
  <si>
    <t>Robinson sub capacity</t>
  </si>
  <si>
    <t>AEY Hillcrest Voltage Improvement</t>
  </si>
  <si>
    <t>AEY Pelly Crossing Voltage Improvement</t>
  </si>
  <si>
    <t>Watson Lake 5L621 Upgrade</t>
  </si>
  <si>
    <t>Power System Assessment - YEC and AEY</t>
  </si>
  <si>
    <t>Whitehorse CKES UG conversion</t>
  </si>
  <si>
    <t>Encroachment 3rd and Black Encroachment</t>
  </si>
  <si>
    <t>AEY 6L19 voltage improvement</t>
  </si>
  <si>
    <t>Relocate 100 A Carcross Cutoff Regulator</t>
  </si>
  <si>
    <t xml:space="preserve">Relocate 100 A Lewes River Regulator </t>
  </si>
  <si>
    <t>AEY Carcross PQ monitoring</t>
  </si>
  <si>
    <t>AEY Whitehorse Escarpment line reroutes - 5th avenue</t>
  </si>
  <si>
    <t>Old Crow voltage improvement - reconductor</t>
  </si>
  <si>
    <t>400 Amp Regulators in Arkell Substation</t>
  </si>
  <si>
    <t>Shipyards Spare 25kV Breaker</t>
  </si>
  <si>
    <t>Replace Underground Cables at Whitehorse Airport</t>
  </si>
  <si>
    <t>Distribution Improvements &lt; $20,000</t>
  </si>
  <si>
    <t>Distribution Improvements Total</t>
  </si>
  <si>
    <t>Street and Sentinel Lighting</t>
  </si>
  <si>
    <t>General Streetlight Replacements</t>
  </si>
  <si>
    <t>New Customer Streetlight Installations</t>
  </si>
  <si>
    <t>Whistle Bend Streetlights</t>
  </si>
  <si>
    <t>Watson Lake Street Light Replacement</t>
  </si>
  <si>
    <t>St Lt Replacements Hart Cr.</t>
  </si>
  <si>
    <t>Car Cross Streetlights</t>
  </si>
  <si>
    <t>Alaska Highway North Klondike Highway Intersection</t>
  </si>
  <si>
    <t>Street Lights Burns Road to Range Road Intersection</t>
  </si>
  <si>
    <t>Street Lights Lodestar to Philmars Phase 1</t>
  </si>
  <si>
    <t>Pelly Crossing Community Lights</t>
  </si>
  <si>
    <t>McIntyre Subdivision Streetlight Rebuild</t>
  </si>
  <si>
    <t>YG Nisutlin Bridge Streetlights</t>
  </si>
  <si>
    <t>Whistle Bend 3C Street Lights</t>
  </si>
  <si>
    <t>Whistle Bend Lights 4D</t>
  </si>
  <si>
    <t>Whistle Bend Street Lights - Stage 4</t>
  </si>
  <si>
    <t>Whistle Bend Street Lights - Stage 5</t>
  </si>
  <si>
    <t>Whistle Bend Street Lights - Stage 6</t>
  </si>
  <si>
    <t>Whistle Bend Street Lights - Stage 7</t>
  </si>
  <si>
    <t>Whistle Bend Street Lights - Stage 8</t>
  </si>
  <si>
    <t>Whistle Bend Street Lights - Stage 9A</t>
  </si>
  <si>
    <t>Whistle Bend Street Lights - Stage 9B</t>
  </si>
  <si>
    <t>Street and Sentinel Lighting &lt; $20,000</t>
  </si>
  <si>
    <t>Street and Sentinel Lighting Total</t>
  </si>
  <si>
    <t>AMI Project New Meters</t>
  </si>
  <si>
    <t>Replacement of Meters and New Installations</t>
  </si>
  <si>
    <t>Meters Total</t>
  </si>
  <si>
    <t>Transformers &amp; Regulators</t>
  </si>
  <si>
    <t>General Capitalizable Transformers</t>
  </si>
  <si>
    <t>Spare 10 MVA Transformer</t>
  </si>
  <si>
    <t>Spare Padmount Regulator for Shipyards Substation</t>
  </si>
  <si>
    <t>AEY Old Crow Regulators</t>
  </si>
  <si>
    <t>Transformers &amp; Regulators Total</t>
  </si>
  <si>
    <t>GP&amp;E</t>
  </si>
  <si>
    <t>Computer</t>
  </si>
  <si>
    <t>My Account- Technology Project</t>
  </si>
  <si>
    <t>Computer Total</t>
  </si>
  <si>
    <t>Land  &amp; Building</t>
  </si>
  <si>
    <t>Service Complex Heating System</t>
  </si>
  <si>
    <t>Annual Building Upgrades</t>
  </si>
  <si>
    <t>Downtown Office Interior Renovations</t>
  </si>
  <si>
    <t>Whitehorse Service Complex RTU'S Construction</t>
  </si>
  <si>
    <t>Whitehorse Service Complex  Rooftop Unit Design</t>
  </si>
  <si>
    <t>Service Complex Boiler Replacement</t>
  </si>
  <si>
    <t>Kilowatt - Misc. Imp</t>
  </si>
  <si>
    <t>102 Kilowatt Ln Refurbish</t>
  </si>
  <si>
    <t>101 Kilowatt Ln Refurbish</t>
  </si>
  <si>
    <t>Warehouse Mezzanine Upg</t>
  </si>
  <si>
    <t>DT Office Renos &amp; Improvements</t>
  </si>
  <si>
    <t>Service Complex Yard Extension</t>
  </si>
  <si>
    <t xml:space="preserve"> Fencing for Marwell Yard</t>
  </si>
  <si>
    <t>Old Crow Bunkhouse replacement</t>
  </si>
  <si>
    <t>Fish Lake 1 Storage building roof replacements</t>
  </si>
  <si>
    <t>Downtown Office Security and Fire Suppression</t>
  </si>
  <si>
    <t>Warehousing Seacan</t>
  </si>
  <si>
    <t>Furnace Replacements - Watson Lake</t>
  </si>
  <si>
    <t>Watson Lake Septic Upgrade</t>
  </si>
  <si>
    <t>Watson Lake Storage Solutions</t>
  </si>
  <si>
    <t>Land &amp; Buildings - Corporate &lt; $20,000</t>
  </si>
  <si>
    <t>Total Land &amp; Buildings</t>
  </si>
  <si>
    <t>AEY SCADA Upgrades</t>
  </si>
  <si>
    <t>Satellite Radios</t>
  </si>
  <si>
    <t>Windows XP Conversion for Operations Dispatch</t>
  </si>
  <si>
    <t>Form 6 Substation Controls</t>
  </si>
  <si>
    <t>Whitehorse SCADA Dispatch UHF Repeater</t>
  </si>
  <si>
    <t>Total Communication Equipment</t>
  </si>
  <si>
    <t>FRC Replacement</t>
  </si>
  <si>
    <t>Power Quality Meter</t>
  </si>
  <si>
    <t>Primary current monitors</t>
  </si>
  <si>
    <t>Miscellaneous Tools and Instruments</t>
  </si>
  <si>
    <t>Total Tools, Instruments &amp; Equip.</t>
  </si>
  <si>
    <t>2021 Surface Pro Purchases</t>
  </si>
  <si>
    <t>Replace XP Operating Systems - iFix PCs</t>
  </si>
  <si>
    <t>GP&amp;E Continued</t>
  </si>
  <si>
    <t>CIS Replacement</t>
  </si>
  <si>
    <t>Asset Management - Evaluation &amp; Program Roadmap</t>
  </si>
  <si>
    <t>Asset Management - Phase 1</t>
  </si>
  <si>
    <t>Sales force</t>
  </si>
  <si>
    <t>My Account Enhancements - AEY</t>
  </si>
  <si>
    <t>Enterprise Batch Printing</t>
  </si>
  <si>
    <t>Fleet Maximo - AEY</t>
  </si>
  <si>
    <t>Oracle R12 Replacement</t>
  </si>
  <si>
    <t>Office Computer Equipment &lt; $20,000</t>
  </si>
  <si>
    <t>Total Office Computer Equipment</t>
  </si>
  <si>
    <t>Purchase New Unit YT169 - Small Bucket Truck</t>
  </si>
  <si>
    <t>Unit 136 to Replace Unit 643 Bucket Truck</t>
  </si>
  <si>
    <t>Unit YT144 New Mechanic's Truck</t>
  </si>
  <si>
    <t>Purchase Unit YT145 to Replace Unit 091</t>
  </si>
  <si>
    <t>Unit 151 Digger to Replace Unit 429 - WLk Bucket</t>
  </si>
  <si>
    <t>Purchase Unit YT148 - Replace Unit 092 - Ram 5500 CC 4x4 - Flat Deck</t>
  </si>
  <si>
    <t>Purchase YT159 - Replace Unit 886 - 1 Ton Service Body</t>
  </si>
  <si>
    <t>Total Transpiration Equipment</t>
  </si>
  <si>
    <t>Other Projects Less Than $20,000</t>
  </si>
  <si>
    <t>GP&amp;E Total</t>
  </si>
  <si>
    <t xml:space="preserve">Income Tax Expense </t>
  </si>
  <si>
    <t>Utility Earnings Before Tax</t>
  </si>
  <si>
    <t>Add:</t>
  </si>
  <si>
    <t>S.1.1 L.13</t>
  </si>
  <si>
    <t>Non-Allowable Expenses</t>
  </si>
  <si>
    <t>Deferred Charges Write-off</t>
  </si>
  <si>
    <t>S.8.8 L.9</t>
  </si>
  <si>
    <t>S.8.4 L.28</t>
  </si>
  <si>
    <t>Demand Side Management Costs Write-off</t>
  </si>
  <si>
    <t>Allowance for Doubtful Account</t>
  </si>
  <si>
    <t>Share Appreciation Rights</t>
  </si>
  <si>
    <t>COLA Disallowance</t>
  </si>
  <si>
    <t>Charges to Deferred Pension &amp; OPEB</t>
  </si>
  <si>
    <t>Sub-Total</t>
  </si>
  <si>
    <t>CCA</t>
  </si>
  <si>
    <t>Rate Case Expenditure</t>
  </si>
  <si>
    <t>S.8.8 L.21</t>
  </si>
  <si>
    <t>S.8.4 L.29</t>
  </si>
  <si>
    <t>Pension &amp; OPEB payments</t>
  </si>
  <si>
    <t>S.8.4 L.13 + S.8.4 L.21</t>
  </si>
  <si>
    <t>Inventory Pool Costs Capitalized</t>
  </si>
  <si>
    <t>Dismantling Costs</t>
  </si>
  <si>
    <t>S.8.6 L.22</t>
  </si>
  <si>
    <t>Demand Side Management Costs</t>
  </si>
  <si>
    <t>S.8.8 L.39</t>
  </si>
  <si>
    <t>Purchase Power Capitalized</t>
  </si>
  <si>
    <t>S.3.1 L.13</t>
  </si>
  <si>
    <t>Cumulative Eligible Capital</t>
  </si>
  <si>
    <t>CIS Replacement Running Costs</t>
  </si>
  <si>
    <t>Bad Debt Write-off</t>
  </si>
  <si>
    <t>Rate Relief Refund</t>
  </si>
  <si>
    <t>S.8.8 L.23</t>
  </si>
  <si>
    <t>ES&amp;G &amp; Other Deductible Costs</t>
  </si>
  <si>
    <t>Taxable Income</t>
  </si>
  <si>
    <t xml:space="preserve">Tax Rate </t>
  </si>
  <si>
    <t>Book to Filing Adjustment</t>
  </si>
  <si>
    <t>Total Current Provision</t>
  </si>
  <si>
    <t xml:space="preserve">Determination of the 2023 and 2024 Interim Rate Adjustment Rider R </t>
  </si>
  <si>
    <t>Source</t>
  </si>
  <si>
    <t>Calculation</t>
  </si>
  <si>
    <t>2023 Shortfall/(Surplus)</t>
  </si>
  <si>
    <t>2023 Retail Revenue Requirement ($000)</t>
  </si>
  <si>
    <t>S2.1 L.52</t>
  </si>
  <si>
    <t>2023 Retail Revenue on Existing Rates ($000)</t>
  </si>
  <si>
    <t>2023 Revenue Shortfall/(Surplus) ($000)</t>
  </si>
  <si>
    <t>2023 Primary Sales Revenue on Existing Rates</t>
  </si>
  <si>
    <t>ATCO Electric Yukon (AEY) ($000)</t>
  </si>
  <si>
    <t>S2.1 L.30</t>
  </si>
  <si>
    <t>Yukon Energy Corporation (YEC) non-industrial ($000)</t>
  </si>
  <si>
    <t>YEC</t>
  </si>
  <si>
    <t>Yukon Energy Corporation (YEC) Industrial ($000)</t>
  </si>
  <si>
    <t>Total Primary Sales Revenue ($000)</t>
  </si>
  <si>
    <t>Incremental Interim Refundable Rider R Adjustment</t>
  </si>
  <si>
    <t>(4)/(10)</t>
  </si>
  <si>
    <t>Existing Approved Rate Adjustment Rider R</t>
  </si>
  <si>
    <t>Order 2017-03</t>
  </si>
  <si>
    <t>Proposed Rate Adjustment Rider R effective August 1, 2023</t>
  </si>
  <si>
    <t>(12) + (14)</t>
  </si>
  <si>
    <t>2024 Shortfall/(Surplus)</t>
  </si>
  <si>
    <t>2024 Retail Revenue Requirement ($000)</t>
  </si>
  <si>
    <t>2024 Retail Revenue on Existing Rates ($000)</t>
  </si>
  <si>
    <t>2024 Revenue Shortfall/(Surplus) ($000)</t>
  </si>
  <si>
    <t>2024 Primary Sales Revenue on Existing Rates</t>
  </si>
  <si>
    <t>(20)/(26)</t>
  </si>
  <si>
    <t>Proposed Rate Adjustment Rider R effective January 1, 2024</t>
  </si>
  <si>
    <t>(28) + (30)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</si>
</sst>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_(* #,##0.0_);_(* \(#,##0.0\);_(* &quot;-&quot;??_);_(@_)"/>
    <numFmt numFmtId="168" formatCode="_(* #,##0_);_(* \(#,##0\);_(* &quot;-&quot;??_);_(@_)"/>
    <numFmt numFmtId="169" formatCode="0.0%"/>
    <numFmt numFmtId="170" formatCode="#,##0.0_);\(#,##0.0\)"/>
    <numFmt numFmtId="171" formatCode="0.000%"/>
    <numFmt numFmtId="172" formatCode="#,##0\ ;\(#,##0\)"/>
    <numFmt numFmtId="173" formatCode="_(* #,##0.0000_);_(* \(#,##0.0000\);_(* &quot;-&quot;??_);_(@_)"/>
    <numFmt numFmtId="174" formatCode="_-* #,##0.000_-;\-* #,##0.000_-;_-* &quot;-&quot;??_-;_-@_-"/>
    <numFmt numFmtId="175" formatCode="_-* #,##0_-;\-* #,##0_-;_-* &quot;-&quot;??_-;_-@_-"/>
    <numFmt numFmtId="176" formatCode="_(* #,##0_);_(* \(#,##0\);_(* &quot;-&quot;?_);_(@_)"/>
    <numFmt numFmtId="177" formatCode="_-&quot;$&quot;* #,##0_-;\-&quot;$&quot;* #,##0_-;_-&quot;$&quot;* &quot;-&quot;??_-;_-@_-"/>
    <numFmt numFmtId="178" formatCode="#,##0.00000000000_);\(#,##0.00000000000\)"/>
    <numFmt numFmtId="179" formatCode="#,##0.0"/>
    <numFmt numFmtId="180" formatCode="_([$€-2]* #,##0.00_);_([$€-2]* \(#,##0.00\);_([$€-2]* &quot;-&quot;??_)"/>
    <numFmt numFmtId="181" formatCode="_(* #,##0.000_);_(* \(#,##0.000\);_(* &quot;-&quot;_);_(@_)"/>
    <numFmt numFmtId="182" formatCode="_-* #,##0.00_-;\-* #,##0.00_-;_-* &quot;-&quot;_-;_-@_-"/>
    <numFmt numFmtId="183" formatCode="_-* #,##0.00000_-;\-* #,##0.00000_-;_-* &quot;-&quot;??_-;_-@_-"/>
    <numFmt numFmtId="184" formatCode="_(* #,##0.000_);_(* \(#,##0.000\);_(* &quot;-&quot;??_);_(@_)"/>
    <numFmt numFmtId="185" formatCode="_(* #,##0.00_);_(* \(#,##0.00\);_(* &quot;-&quot;_);_(@_)"/>
    <numFmt numFmtId="186" formatCode="_(* #,##0.0_);_(* \(#,##0.0\);_(* &quot;-&quot;?_);_(@_)"/>
    <numFmt numFmtId="187" formatCode="_(* #,##0.000_);_(* \(#,##0.000\);_(* &quot;-&quot;???_);_(@_)"/>
    <numFmt numFmtId="188" formatCode="0.0"/>
  </numFmts>
  <fonts count="7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8"/>
      <name val="Helv"/>
    </font>
    <font>
      <sz val="8"/>
      <name val="MS Sans Serif"/>
      <family val="2"/>
    </font>
    <font>
      <sz val="8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b/>
      <sz val="10"/>
      <name val="MS Sans Serif"/>
      <family val="2"/>
    </font>
    <font>
      <u/>
      <sz val="12"/>
      <name val="Arial"/>
      <family val="2"/>
    </font>
    <font>
      <sz val="12"/>
      <name val="MS Sans Serif"/>
      <family val="2"/>
    </font>
    <font>
      <sz val="11"/>
      <name val="Arial"/>
      <family val="2"/>
    </font>
    <font>
      <sz val="10"/>
      <color indexed="10"/>
      <name val="Arial"/>
      <family val="2"/>
    </font>
    <font>
      <b/>
      <u/>
      <sz val="12"/>
      <name val="Arial"/>
      <family val="2"/>
    </font>
    <font>
      <u val="singleAccounting"/>
      <sz val="12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  <font>
      <b/>
      <sz val="9"/>
      <color rgb="FF0070C0"/>
      <name val="Arial"/>
      <family val="2"/>
    </font>
    <font>
      <b/>
      <u/>
      <sz val="8"/>
      <name val="Arial"/>
      <family val="2"/>
    </font>
    <font>
      <sz val="8"/>
      <color theme="3" tint="0.39997558519241921"/>
      <name val="Arial"/>
      <family val="2"/>
    </font>
    <font>
      <sz val="11"/>
      <color rgb="FF006100"/>
      <name val="Calibri"/>
      <family val="2"/>
      <scheme val="minor"/>
    </font>
    <font>
      <sz val="10"/>
      <name val="Helv"/>
    </font>
    <font>
      <sz val="10"/>
      <color indexed="8"/>
      <name val="Arial"/>
      <family val="2"/>
    </font>
    <font>
      <sz val="7.5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theme="1"/>
      <name val="Arial"/>
      <family val="2"/>
    </font>
    <font>
      <b/>
      <sz val="8"/>
      <color theme="7" tint="-0.249977111117893"/>
      <name val="Century"/>
      <family val="1"/>
    </font>
    <font>
      <b/>
      <sz val="11"/>
      <name val="Arial"/>
      <family val="2"/>
    </font>
    <font>
      <sz val="10"/>
      <color theme="0"/>
      <name val="Arial"/>
      <family val="2"/>
    </font>
    <font>
      <sz val="11"/>
      <color theme="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Times New Roman"/>
      <family val="2"/>
    </font>
    <font>
      <b/>
      <sz val="10"/>
      <color rgb="FFFF0000"/>
      <name val="Arial"/>
      <family val="2"/>
    </font>
    <font>
      <sz val="10"/>
      <color theme="3"/>
      <name val="Arial"/>
      <family val="2"/>
    </font>
    <font>
      <sz val="11"/>
      <color theme="1"/>
      <name val="Calibri"/>
      <family val="2"/>
    </font>
    <font>
      <sz val="9"/>
      <name val="Segoe UI"/>
      <family val="2"/>
    </font>
    <font>
      <b/>
      <i/>
      <sz val="12"/>
      <color rgb="FFFF0000"/>
      <name val="Arial"/>
      <family val="2"/>
    </font>
    <font>
      <sz val="12"/>
      <color rgb="FFFF0000"/>
      <name val="Arial"/>
      <family val="2"/>
    </font>
    <font>
      <sz val="12"/>
      <color rgb="FF000000"/>
      <name val="Arial"/>
      <family val="2"/>
    </font>
    <font>
      <vertAlign val="superscript"/>
      <sz val="12"/>
      <name val="Arial"/>
      <family val="2"/>
    </font>
    <font>
      <u/>
      <sz val="10"/>
      <color theme="10"/>
      <name val="Arial"/>
      <family val="2"/>
    </font>
    <font>
      <sz val="10"/>
      <color theme="10"/>
      <name val="Arial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sz val="11"/>
      <color rgb="FF444444"/>
      <name val="Calibri"/>
      <family val="2"/>
      <charset val="1"/>
    </font>
    <font>
      <sz val="10"/>
      <color rgb="FF00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94">
    <xf numFmtId="0" fontId="0" fillId="0" borderId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80" fontId="23" fillId="0" borderId="0" applyNumberFormat="0" applyFill="0" applyBorder="0" applyAlignment="0" applyProtection="0"/>
    <xf numFmtId="18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80" fontId="4" fillId="0" borderId="0"/>
    <xf numFmtId="0" fontId="31" fillId="2" borderId="0" applyNumberFormat="0" applyBorder="0" applyAlignment="0" applyProtection="0"/>
    <xf numFmtId="0" fontId="4" fillId="0" borderId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11" borderId="0" applyNumberFormat="0" applyBorder="0" applyAlignment="0" applyProtection="0"/>
    <xf numFmtId="0" fontId="35" fillId="6" borderId="0" applyNumberFormat="0" applyBorder="0" applyAlignment="0" applyProtection="0"/>
    <xf numFmtId="0" fontId="35" fillId="9" borderId="0" applyNumberFormat="0" applyBorder="0" applyAlignment="0" applyProtection="0"/>
    <xf numFmtId="0" fontId="35" fillId="12" borderId="0" applyNumberFormat="0" applyBorder="0" applyAlignment="0" applyProtection="0"/>
    <xf numFmtId="0" fontId="36" fillId="13" borderId="0" applyNumberFormat="0" applyBorder="0" applyAlignment="0" applyProtection="0"/>
    <xf numFmtId="0" fontId="36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19" borderId="0" applyNumberFormat="0" applyBorder="0" applyAlignment="0" applyProtection="0"/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0" fontId="36" fillId="20" borderId="0" applyNumberFormat="0" applyBorder="0" applyAlignment="0" applyProtection="0"/>
    <xf numFmtId="0" fontId="37" fillId="4" borderId="0" applyNumberFormat="0" applyBorder="0" applyAlignment="0" applyProtection="0"/>
    <xf numFmtId="0" fontId="38" fillId="21" borderId="8" applyNumberFormat="0" applyAlignment="0" applyProtection="0"/>
    <xf numFmtId="0" fontId="39" fillId="22" borderId="9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3" fillId="0" borderId="0" applyFont="0" applyFill="0" applyBorder="0" applyAlignment="0" applyProtection="0"/>
    <xf numFmtId="4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" fontId="3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8" fontId="32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5" borderId="0" applyNumberFormat="0" applyBorder="0" applyAlignment="0" applyProtection="0"/>
    <xf numFmtId="0" fontId="42" fillId="0" borderId="10" applyNumberFormat="0" applyFill="0" applyAlignment="0" applyProtection="0"/>
    <xf numFmtId="0" fontId="43" fillId="0" borderId="11" applyNumberFormat="0" applyFill="0" applyAlignment="0" applyProtection="0"/>
    <xf numFmtId="0" fontId="44" fillId="0" borderId="12" applyNumberFormat="0" applyFill="0" applyAlignment="0" applyProtection="0"/>
    <xf numFmtId="0" fontId="44" fillId="0" borderId="0" applyNumberFormat="0" applyFill="0" applyBorder="0" applyAlignment="0" applyProtection="0"/>
    <xf numFmtId="0" fontId="45" fillId="8" borderId="8" applyNumberFormat="0" applyAlignment="0" applyProtection="0"/>
    <xf numFmtId="0" fontId="46" fillId="0" borderId="13" applyNumberFormat="0" applyFill="0" applyAlignment="0" applyProtection="0"/>
    <xf numFmtId="0" fontId="47" fillId="23" borderId="0" applyNumberFormat="0" applyBorder="0" applyAlignment="0" applyProtection="0"/>
    <xf numFmtId="0" fontId="4" fillId="0" borderId="0"/>
    <xf numFmtId="0" fontId="3" fillId="0" borderId="0"/>
    <xf numFmtId="0" fontId="52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2" fillId="0" borderId="0"/>
    <xf numFmtId="0" fontId="4" fillId="24" borderId="14" applyNumberFormat="0" applyFont="0" applyAlignment="0" applyProtection="0"/>
    <xf numFmtId="0" fontId="48" fillId="21" borderId="15" applyNumberFormat="0" applyAlignment="0" applyProtection="0"/>
    <xf numFmtId="9" fontId="3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16" applyNumberFormat="0" applyFill="0" applyAlignment="0" applyProtection="0"/>
    <xf numFmtId="0" fontId="51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0" fillId="0" borderId="0" applyNumberFormat="0" applyFont="0" applyFill="0" applyBorder="0" applyAlignment="0"/>
    <xf numFmtId="0" fontId="2" fillId="0" borderId="0"/>
    <xf numFmtId="43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62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180" fontId="4" fillId="0" borderId="0"/>
    <xf numFmtId="0" fontId="71" fillId="0" borderId="0" applyNumberFormat="0" applyFill="0" applyBorder="0" applyAlignment="0" applyProtection="0"/>
  </cellStyleXfs>
  <cellXfs count="541">
    <xf numFmtId="0" fontId="0" fillId="0" borderId="0" xfId="0"/>
    <xf numFmtId="0" fontId="5" fillId="0" borderId="0" xfId="0" applyFont="1"/>
    <xf numFmtId="168" fontId="4" fillId="0" borderId="0" xfId="1" applyNumberFormat="1" applyFill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Continuous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11" fillId="0" borderId="0" xfId="0" applyFont="1"/>
    <xf numFmtId="0" fontId="9" fillId="0" borderId="0" xfId="0" applyFont="1"/>
    <xf numFmtId="37" fontId="17" fillId="0" borderId="0" xfId="0" applyNumberFormat="1" applyFont="1"/>
    <xf numFmtId="0" fontId="17" fillId="0" borderId="0" xfId="0" applyFont="1" applyAlignment="1">
      <alignment horizontal="center"/>
    </xf>
    <xf numFmtId="14" fontId="17" fillId="0" borderId="0" xfId="0" applyNumberFormat="1" applyFont="1" applyAlignment="1">
      <alignment horizontal="center"/>
    </xf>
    <xf numFmtId="10" fontId="17" fillId="0" borderId="1" xfId="0" applyNumberFormat="1" applyFont="1" applyBorder="1"/>
    <xf numFmtId="0" fontId="7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13" fillId="0" borderId="0" xfId="0" applyFont="1"/>
    <xf numFmtId="0" fontId="13" fillId="0" borderId="0" xfId="0" applyFont="1" applyAlignment="1">
      <alignment horizontal="center"/>
    </xf>
    <xf numFmtId="0" fontId="7" fillId="0" borderId="0" xfId="0" applyFont="1"/>
    <xf numFmtId="168" fontId="13" fillId="0" borderId="0" xfId="1" applyNumberFormat="1" applyFont="1"/>
    <xf numFmtId="166" fontId="13" fillId="0" borderId="0" xfId="1" applyFont="1" applyFill="1"/>
    <xf numFmtId="168" fontId="13" fillId="0" borderId="0" xfId="1" applyNumberFormat="1" applyFont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0" xfId="0" applyFont="1"/>
    <xf numFmtId="168" fontId="4" fillId="0" borderId="1" xfId="1" applyNumberFormat="1" applyFill="1" applyBorder="1"/>
    <xf numFmtId="0" fontId="6" fillId="0" borderId="0" xfId="0" quotePrefix="1" applyFont="1" applyAlignment="1">
      <alignment horizontal="centerContinuous"/>
    </xf>
    <xf numFmtId="0" fontId="8" fillId="0" borderId="0" xfId="0" applyFont="1"/>
    <xf numFmtId="0" fontId="13" fillId="0" borderId="0" xfId="0" applyFont="1" applyAlignment="1">
      <alignment horizontal="left" indent="1"/>
    </xf>
    <xf numFmtId="37" fontId="13" fillId="0" borderId="0" xfId="0" applyNumberFormat="1" applyFont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7" fillId="0" borderId="0" xfId="0" quotePrefix="1" applyFont="1" applyAlignment="1">
      <alignment horizontal="left"/>
    </xf>
    <xf numFmtId="0" fontId="9" fillId="0" borderId="0" xfId="0" applyFont="1" applyAlignment="1">
      <alignment horizontal="centerContinuous"/>
    </xf>
    <xf numFmtId="168" fontId="13" fillId="0" borderId="0" xfId="1" applyNumberFormat="1" applyFont="1" applyFill="1"/>
    <xf numFmtId="0" fontId="13" fillId="0" borderId="0" xfId="0" applyFont="1" applyAlignment="1">
      <alignment horizontal="left" indent="2"/>
    </xf>
    <xf numFmtId="0" fontId="11" fillId="0" borderId="0" xfId="0" applyFont="1" applyAlignment="1">
      <alignment horizontal="centerContinuous"/>
    </xf>
    <xf numFmtId="168" fontId="13" fillId="0" borderId="0" xfId="1" applyNumberFormat="1" applyFont="1" applyFill="1" applyBorder="1"/>
    <xf numFmtId="10" fontId="13" fillId="0" borderId="0" xfId="0" applyNumberFormat="1" applyFont="1"/>
    <xf numFmtId="172" fontId="6" fillId="0" borderId="0" xfId="0" applyNumberFormat="1" applyFont="1" applyAlignment="1">
      <alignment horizontal="center"/>
    </xf>
    <xf numFmtId="168" fontId="13" fillId="0" borderId="0" xfId="1" applyNumberFormat="1" applyFont="1" applyFill="1" applyAlignment="1">
      <alignment horizontal="center"/>
    </xf>
    <xf numFmtId="168" fontId="13" fillId="0" borderId="1" xfId="1" applyNumberFormat="1" applyFont="1" applyFill="1" applyBorder="1"/>
    <xf numFmtId="168" fontId="13" fillId="0" borderId="0" xfId="0" applyNumberFormat="1" applyFont="1"/>
    <xf numFmtId="0" fontId="13" fillId="0" borderId="0" xfId="0" applyFont="1" applyAlignment="1">
      <alignment horizontal="left"/>
    </xf>
    <xf numFmtId="168" fontId="11" fillId="0" borderId="0" xfId="1" applyNumberFormat="1" applyFont="1" applyFill="1" applyBorder="1"/>
    <xf numFmtId="173" fontId="13" fillId="0" borderId="0" xfId="1" applyNumberFormat="1" applyFont="1" applyFill="1"/>
    <xf numFmtId="169" fontId="13" fillId="0" borderId="0" xfId="4" applyNumberFormat="1" applyFont="1" applyFill="1" applyBorder="1"/>
    <xf numFmtId="173" fontId="13" fillId="0" borderId="0" xfId="1" applyNumberFormat="1" applyFont="1" applyFill="1" applyBorder="1"/>
    <xf numFmtId="168" fontId="0" fillId="0" borderId="0" xfId="0" applyNumberFormat="1"/>
    <xf numFmtId="0" fontId="7" fillId="0" borderId="0" xfId="0" applyFont="1" applyAlignment="1">
      <alignment horizontal="left"/>
    </xf>
    <xf numFmtId="164" fontId="13" fillId="0" borderId="0" xfId="0" applyNumberFormat="1" applyFont="1"/>
    <xf numFmtId="168" fontId="13" fillId="0" borderId="4" xfId="0" applyNumberFormat="1" applyFont="1" applyBorder="1"/>
    <xf numFmtId="176" fontId="13" fillId="0" borderId="0" xfId="1" applyNumberFormat="1" applyFont="1" applyFill="1" applyAlignment="1">
      <alignment horizontal="right"/>
    </xf>
    <xf numFmtId="176" fontId="13" fillId="0" borderId="1" xfId="1" applyNumberFormat="1" applyFont="1" applyFill="1" applyBorder="1" applyAlignment="1">
      <alignment horizontal="right"/>
    </xf>
    <xf numFmtId="176" fontId="13" fillId="0" borderId="0" xfId="1" applyNumberFormat="1" applyFont="1" applyFill="1" applyBorder="1" applyAlignment="1">
      <alignment horizontal="right"/>
    </xf>
    <xf numFmtId="168" fontId="13" fillId="0" borderId="1" xfId="0" applyNumberFormat="1" applyFont="1" applyBorder="1"/>
    <xf numFmtId="164" fontId="13" fillId="0" borderId="0" xfId="2" applyNumberFormat="1" applyFont="1" applyFill="1" applyBorder="1"/>
    <xf numFmtId="165" fontId="25" fillId="0" borderId="0" xfId="0" applyNumberFormat="1" applyFont="1" applyAlignment="1">
      <alignment horizontal="left"/>
    </xf>
    <xf numFmtId="168" fontId="13" fillId="0" borderId="3" xfId="0" applyNumberFormat="1" applyFont="1" applyBorder="1"/>
    <xf numFmtId="175" fontId="13" fillId="0" borderId="0" xfId="1" applyNumberFormat="1" applyFont="1"/>
    <xf numFmtId="175" fontId="13" fillId="0" borderId="0" xfId="1" applyNumberFormat="1" applyFont="1" applyFill="1"/>
    <xf numFmtId="175" fontId="13" fillId="0" borderId="0" xfId="1" applyNumberFormat="1" applyFont="1" applyFill="1" applyBorder="1"/>
    <xf numFmtId="175" fontId="13" fillId="0" borderId="6" xfId="1" applyNumberFormat="1" applyFont="1" applyFill="1" applyBorder="1"/>
    <xf numFmtId="172" fontId="13" fillId="0" borderId="0" xfId="1" applyNumberFormat="1" applyFont="1" applyFill="1"/>
    <xf numFmtId="172" fontId="13" fillId="0" borderId="0" xfId="0" applyNumberFormat="1" applyFont="1"/>
    <xf numFmtId="41" fontId="13" fillId="0" borderId="0" xfId="1" applyNumberFormat="1" applyFont="1" applyFill="1"/>
    <xf numFmtId="41" fontId="11" fillId="0" borderId="0" xfId="1" applyNumberFormat="1" applyFont="1" applyFill="1"/>
    <xf numFmtId="41" fontId="11" fillId="0" borderId="0" xfId="0" applyNumberFormat="1" applyFont="1"/>
    <xf numFmtId="41" fontId="13" fillId="0" borderId="0" xfId="1" applyNumberFormat="1" applyFont="1" applyFill="1" applyBorder="1"/>
    <xf numFmtId="41" fontId="13" fillId="0" borderId="1" xfId="0" applyNumberFormat="1" applyFont="1" applyBorder="1"/>
    <xf numFmtId="0" fontId="22" fillId="0" borderId="0" xfId="0" applyFont="1"/>
    <xf numFmtId="41" fontId="0" fillId="0" borderId="0" xfId="0" applyNumberFormat="1"/>
    <xf numFmtId="41" fontId="13" fillId="0" borderId="4" xfId="1" applyNumberFormat="1" applyFont="1" applyFill="1" applyBorder="1"/>
    <xf numFmtId="168" fontId="4" fillId="0" borderId="0" xfId="1" applyNumberFormat="1" applyFill="1" applyBorder="1"/>
    <xf numFmtId="41" fontId="13" fillId="0" borderId="1" xfId="1" applyNumberFormat="1" applyFont="1" applyFill="1" applyBorder="1"/>
    <xf numFmtId="175" fontId="13" fillId="0" borderId="1" xfId="1" applyNumberFormat="1" applyFont="1" applyFill="1" applyBorder="1"/>
    <xf numFmtId="0" fontId="27" fillId="0" borderId="0" xfId="0" applyFont="1"/>
    <xf numFmtId="0" fontId="20" fillId="0" borderId="0" xfId="0" applyFont="1"/>
    <xf numFmtId="0" fontId="21" fillId="0" borderId="0" xfId="0" applyFont="1"/>
    <xf numFmtId="0" fontId="13" fillId="0" borderId="0" xfId="0" applyFont="1" applyAlignment="1">
      <alignment horizontal="right" indent="2"/>
    </xf>
    <xf numFmtId="43" fontId="7" fillId="0" borderId="0" xfId="0" applyNumberFormat="1" applyFont="1" applyAlignment="1">
      <alignment horizontal="center"/>
    </xf>
    <xf numFmtId="166" fontId="13" fillId="0" borderId="0" xfId="1" applyFont="1" applyFill="1" applyAlignment="1">
      <alignment horizontal="right"/>
    </xf>
    <xf numFmtId="175" fontId="13" fillId="0" borderId="3" xfId="1" applyNumberFormat="1" applyFont="1" applyFill="1" applyBorder="1" applyAlignment="1">
      <alignment horizontal="right"/>
    </xf>
    <xf numFmtId="0" fontId="13" fillId="0" borderId="0" xfId="0" applyFont="1" applyAlignment="1">
      <alignment horizontal="left" indent="6"/>
    </xf>
    <xf numFmtId="177" fontId="13" fillId="0" borderId="0" xfId="2" applyNumberFormat="1" applyFont="1" applyFill="1"/>
    <xf numFmtId="166" fontId="13" fillId="0" borderId="1" xfId="1" applyFont="1" applyFill="1" applyBorder="1"/>
    <xf numFmtId="0" fontId="7" fillId="0" borderId="0" xfId="0" applyFont="1" applyAlignment="1">
      <alignment horizontal="left" indent="1"/>
    </xf>
    <xf numFmtId="10" fontId="13" fillId="0" borderId="1" xfId="4" applyNumberFormat="1" applyFont="1" applyFill="1" applyBorder="1"/>
    <xf numFmtId="167" fontId="13" fillId="0" borderId="0" xfId="1" applyNumberFormat="1" applyFont="1" applyFill="1"/>
    <xf numFmtId="167" fontId="13" fillId="0" borderId="1" xfId="1" applyNumberFormat="1" applyFont="1" applyFill="1" applyBorder="1"/>
    <xf numFmtId="167" fontId="13" fillId="0" borderId="0" xfId="0" applyNumberFormat="1" applyFont="1"/>
    <xf numFmtId="172" fontId="13" fillId="0" borderId="1" xfId="0" applyNumberFormat="1" applyFont="1" applyBorder="1"/>
    <xf numFmtId="167" fontId="13" fillId="0" borderId="0" xfId="1" applyNumberFormat="1" applyFont="1" applyFill="1" applyBorder="1"/>
    <xf numFmtId="170" fontId="13" fillId="0" borderId="0" xfId="0" applyNumberFormat="1" applyFont="1"/>
    <xf numFmtId="37" fontId="13" fillId="0" borderId="5" xfId="0" applyNumberFormat="1" applyFont="1" applyBorder="1"/>
    <xf numFmtId="166" fontId="13" fillId="0" borderId="0" xfId="1" applyFont="1" applyFill="1" applyBorder="1"/>
    <xf numFmtId="0" fontId="24" fillId="0" borderId="0" xfId="0" applyFont="1" applyAlignment="1">
      <alignment horizontal="left"/>
    </xf>
    <xf numFmtId="0" fontId="7" fillId="0" borderId="0" xfId="0" applyFont="1" applyAlignment="1">
      <alignment horizontal="left" indent="2"/>
    </xf>
    <xf numFmtId="10" fontId="13" fillId="0" borderId="0" xfId="4" applyNumberFormat="1" applyFont="1" applyFill="1" applyBorder="1"/>
    <xf numFmtId="10" fontId="13" fillId="0" borderId="0" xfId="4" applyNumberFormat="1" applyFont="1" applyFill="1"/>
    <xf numFmtId="0" fontId="16" fillId="0" borderId="0" xfId="0" applyFont="1" applyAlignment="1">
      <alignment horizontal="center"/>
    </xf>
    <xf numFmtId="10" fontId="17" fillId="0" borderId="0" xfId="0" applyNumberFormat="1" applyFont="1"/>
    <xf numFmtId="171" fontId="17" fillId="0" borderId="0" xfId="0" applyNumberFormat="1" applyFont="1"/>
    <xf numFmtId="39" fontId="17" fillId="0" borderId="0" xfId="0" applyNumberFormat="1" applyFont="1"/>
    <xf numFmtId="0" fontId="17" fillId="0" borderId="0" xfId="0" applyFont="1"/>
    <xf numFmtId="0" fontId="17" fillId="0" borderId="0" xfId="0" applyFont="1" applyAlignment="1">
      <alignment horizontal="centerContinuous"/>
    </xf>
    <xf numFmtId="0" fontId="16" fillId="0" borderId="1" xfId="0" applyFont="1" applyBorder="1" applyAlignment="1">
      <alignment horizontal="center"/>
    </xf>
    <xf numFmtId="10" fontId="17" fillId="0" borderId="0" xfId="4" applyNumberFormat="1" applyFont="1" applyFill="1" applyBorder="1" applyAlignment="1">
      <alignment horizontal="right"/>
    </xf>
    <xf numFmtId="172" fontId="13" fillId="0" borderId="5" xfId="0" applyNumberFormat="1" applyFont="1" applyBorder="1"/>
    <xf numFmtId="3" fontId="0" fillId="0" borderId="0" xfId="0" applyNumberFormat="1"/>
    <xf numFmtId="3" fontId="6" fillId="0" borderId="0" xfId="0" applyNumberFormat="1" applyFont="1" applyAlignment="1">
      <alignment horizontal="center"/>
    </xf>
    <xf numFmtId="176" fontId="13" fillId="0" borderId="0" xfId="1" applyNumberFormat="1" applyFont="1" applyAlignment="1">
      <alignment horizontal="right"/>
    </xf>
    <xf numFmtId="4" fontId="13" fillId="0" borderId="0" xfId="0" applyNumberFormat="1" applyFont="1"/>
    <xf numFmtId="179" fontId="13" fillId="0" borderId="0" xfId="0" applyNumberFormat="1" applyFont="1"/>
    <xf numFmtId="3" fontId="13" fillId="0" borderId="0" xfId="0" applyNumberFormat="1" applyFont="1" applyAlignment="1">
      <alignment horizontal="center"/>
    </xf>
    <xf numFmtId="3" fontId="13" fillId="0" borderId="0" xfId="1" applyNumberFormat="1" applyFont="1" applyFill="1" applyAlignment="1">
      <alignment horizontal="center"/>
    </xf>
    <xf numFmtId="3" fontId="13" fillId="0" borderId="0" xfId="0" applyNumberFormat="1" applyFont="1"/>
    <xf numFmtId="4" fontId="13" fillId="0" borderId="0" xfId="0" applyNumberFormat="1" applyFont="1" applyAlignment="1">
      <alignment horizontal="center"/>
    </xf>
    <xf numFmtId="179" fontId="13" fillId="0" borderId="0" xfId="0" applyNumberFormat="1" applyFont="1" applyAlignment="1">
      <alignment horizontal="center"/>
    </xf>
    <xf numFmtId="0" fontId="13" fillId="0" borderId="0" xfId="0" quotePrefix="1" applyFont="1" applyAlignment="1">
      <alignment horizontal="left"/>
    </xf>
    <xf numFmtId="37" fontId="15" fillId="0" borderId="0" xfId="1" applyNumberFormat="1" applyFont="1" applyFill="1" applyBorder="1"/>
    <xf numFmtId="37" fontId="13" fillId="0" borderId="0" xfId="1" applyNumberFormat="1" applyFont="1" applyFill="1" applyBorder="1"/>
    <xf numFmtId="168" fontId="13" fillId="0" borderId="5" xfId="1" applyNumberFormat="1" applyFont="1" applyFill="1" applyBorder="1"/>
    <xf numFmtId="174" fontId="13" fillId="0" borderId="0" xfId="1" applyNumberFormat="1" applyFont="1" applyFill="1"/>
    <xf numFmtId="164" fontId="13" fillId="0" borderId="5" xfId="2" applyNumberFormat="1" applyFont="1" applyFill="1" applyBorder="1"/>
    <xf numFmtId="168" fontId="13" fillId="0" borderId="0" xfId="0" quotePrefix="1" applyNumberFormat="1" applyFont="1"/>
    <xf numFmtId="37" fontId="13" fillId="0" borderId="2" xfId="0" applyNumberFormat="1" applyFont="1" applyBorder="1"/>
    <xf numFmtId="168" fontId="13" fillId="0" borderId="4" xfId="1" applyNumberFormat="1" applyFont="1" applyFill="1" applyBorder="1"/>
    <xf numFmtId="169" fontId="13" fillId="0" borderId="0" xfId="0" applyNumberFormat="1" applyFont="1"/>
    <xf numFmtId="37" fontId="13" fillId="0" borderId="1" xfId="0" applyNumberFormat="1" applyFont="1" applyBorder="1"/>
    <xf numFmtId="169" fontId="13" fillId="0" borderId="2" xfId="4" applyNumberFormat="1" applyFont="1" applyFill="1" applyBorder="1"/>
    <xf numFmtId="0" fontId="1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75" fontId="13" fillId="0" borderId="0" xfId="0" applyNumberFormat="1" applyFont="1"/>
    <xf numFmtId="175" fontId="13" fillId="0" borderId="1" xfId="0" applyNumberFormat="1" applyFont="1" applyBorder="1"/>
    <xf numFmtId="175" fontId="13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left"/>
    </xf>
    <xf numFmtId="37" fontId="28" fillId="0" borderId="0" xfId="0" applyNumberFormat="1" applyFont="1"/>
    <xf numFmtId="175" fontId="28" fillId="0" borderId="0" xfId="0" applyNumberFormat="1" applyFont="1"/>
    <xf numFmtId="0" fontId="7" fillId="0" borderId="1" xfId="0" applyFont="1" applyBorder="1"/>
    <xf numFmtId="41" fontId="13" fillId="0" borderId="2" xfId="1" applyNumberFormat="1" applyFont="1" applyFill="1" applyBorder="1"/>
    <xf numFmtId="0" fontId="26" fillId="0" borderId="0" xfId="0" applyFont="1" applyAlignment="1">
      <alignment horizontal="center"/>
    </xf>
    <xf numFmtId="41" fontId="13" fillId="0" borderId="0" xfId="0" applyNumberFormat="1" applyFont="1"/>
    <xf numFmtId="3" fontId="4" fillId="0" borderId="0" xfId="0" applyNumberFormat="1" applyFont="1"/>
    <xf numFmtId="0" fontId="4" fillId="0" borderId="0" xfId="0" applyFont="1"/>
    <xf numFmtId="0" fontId="6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26" fillId="0" borderId="0" xfId="0" applyFont="1"/>
    <xf numFmtId="173" fontId="13" fillId="0" borderId="0" xfId="0" applyNumberFormat="1" applyFont="1"/>
    <xf numFmtId="0" fontId="4" fillId="0" borderId="0" xfId="0" applyFont="1" applyAlignment="1">
      <alignment horizontal="left" indent="2"/>
    </xf>
    <xf numFmtId="0" fontId="4" fillId="0" borderId="0" xfId="0" applyFont="1" applyAlignment="1">
      <alignment horizontal="center"/>
    </xf>
    <xf numFmtId="43" fontId="13" fillId="0" borderId="0" xfId="0" applyNumberFormat="1" applyFont="1"/>
    <xf numFmtId="3" fontId="30" fillId="0" borderId="0" xfId="0" applyNumberFormat="1" applyFont="1"/>
    <xf numFmtId="41" fontId="13" fillId="0" borderId="3" xfId="0" applyNumberFormat="1" applyFont="1" applyBorder="1"/>
    <xf numFmtId="41" fontId="4" fillId="0" borderId="0" xfId="0" applyNumberFormat="1" applyFont="1"/>
    <xf numFmtId="10" fontId="4" fillId="0" borderId="0" xfId="0" applyNumberFormat="1" applyFont="1"/>
    <xf numFmtId="0" fontId="13" fillId="0" borderId="0" xfId="0" applyFont="1" applyAlignment="1">
      <alignment horizontal="center" wrapText="1"/>
    </xf>
    <xf numFmtId="0" fontId="4" fillId="0" borderId="1" xfId="0" applyFont="1" applyBorder="1"/>
    <xf numFmtId="175" fontId="13" fillId="0" borderId="4" xfId="0" applyNumberFormat="1" applyFont="1" applyBorder="1"/>
    <xf numFmtId="0" fontId="13" fillId="0" borderId="0" xfId="0" quotePrefix="1" applyFont="1" applyAlignment="1">
      <alignment horizontal="left" indent="2"/>
    </xf>
    <xf numFmtId="168" fontId="13" fillId="0" borderId="7" xfId="0" applyNumberFormat="1" applyFont="1" applyBorder="1"/>
    <xf numFmtId="178" fontId="13" fillId="0" borderId="0" xfId="0" applyNumberFormat="1" applyFont="1"/>
    <xf numFmtId="1" fontId="7" fillId="0" borderId="0" xfId="0" applyNumberFormat="1" applyFont="1" applyAlignment="1">
      <alignment horizontal="center"/>
    </xf>
    <xf numFmtId="1" fontId="7" fillId="0" borderId="1" xfId="0" applyNumberFormat="1" applyFont="1" applyBorder="1" applyAlignment="1">
      <alignment horizontal="center"/>
    </xf>
    <xf numFmtId="1" fontId="13" fillId="0" borderId="0" xfId="1" applyNumberFormat="1" applyFont="1" applyFill="1" applyAlignment="1">
      <alignment horizontal="center"/>
    </xf>
    <xf numFmtId="0" fontId="26" fillId="0" borderId="1" xfId="0" applyFont="1" applyBorder="1" applyAlignment="1">
      <alignment horizontal="center"/>
    </xf>
    <xf numFmtId="0" fontId="26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29" fillId="0" borderId="0" xfId="0" applyFont="1" applyAlignment="1">
      <alignment horizontal="left"/>
    </xf>
    <xf numFmtId="38" fontId="5" fillId="0" borderId="0" xfId="0" applyNumberFormat="1" applyFont="1"/>
    <xf numFmtId="10" fontId="5" fillId="0" borderId="0" xfId="4" applyNumberFormat="1" applyFont="1" applyFill="1"/>
    <xf numFmtId="38" fontId="5" fillId="0" borderId="1" xfId="0" applyNumberFormat="1" applyFont="1" applyBorder="1"/>
    <xf numFmtId="10" fontId="5" fillId="0" borderId="1" xfId="4" applyNumberFormat="1" applyFont="1" applyFill="1" applyBorder="1"/>
    <xf numFmtId="41" fontId="5" fillId="0" borderId="1" xfId="0" applyNumberFormat="1" applyFont="1" applyBorder="1"/>
    <xf numFmtId="41" fontId="5" fillId="0" borderId="0" xfId="0" applyNumberFormat="1" applyFont="1"/>
    <xf numFmtId="38" fontId="5" fillId="0" borderId="5" xfId="0" applyNumberFormat="1" applyFont="1" applyBorder="1"/>
    <xf numFmtId="10" fontId="5" fillId="0" borderId="5" xfId="4" applyNumberFormat="1" applyFont="1" applyFill="1" applyBorder="1"/>
    <xf numFmtId="169" fontId="5" fillId="0" borderId="5" xfId="4" applyNumberFormat="1" applyFont="1" applyFill="1" applyBorder="1"/>
    <xf numFmtId="0" fontId="54" fillId="0" borderId="0" xfId="0" applyFont="1" applyAlignment="1">
      <alignment horizontal="right"/>
    </xf>
    <xf numFmtId="0" fontId="54" fillId="0" borderId="0" xfId="0" applyFont="1" applyAlignment="1">
      <alignment horizontal="center"/>
    </xf>
    <xf numFmtId="0" fontId="54" fillId="0" borderId="0" xfId="0" applyFont="1" applyAlignment="1">
      <alignment horizontal="centerContinuous"/>
    </xf>
    <xf numFmtId="0" fontId="22" fillId="0" borderId="0" xfId="0" applyFont="1" applyAlignment="1">
      <alignment horizontal="center"/>
    </xf>
    <xf numFmtId="0" fontId="54" fillId="0" borderId="0" xfId="0" applyFont="1"/>
    <xf numFmtId="0" fontId="54" fillId="0" borderId="1" xfId="0" applyFont="1" applyBorder="1" applyAlignment="1">
      <alignment horizontal="center"/>
    </xf>
    <xf numFmtId="37" fontId="22" fillId="0" borderId="0" xfId="0" applyNumberFormat="1" applyFont="1"/>
    <xf numFmtId="0" fontId="22" fillId="0" borderId="0" xfId="0" applyFont="1" applyAlignment="1">
      <alignment horizontal="left"/>
    </xf>
    <xf numFmtId="0" fontId="22" fillId="0" borderId="0" xfId="0" applyFont="1" applyAlignment="1">
      <alignment horizontal="right"/>
    </xf>
    <xf numFmtId="2" fontId="22" fillId="0" borderId="0" xfId="0" applyNumberFormat="1" applyFont="1" applyAlignment="1">
      <alignment horizontal="center"/>
    </xf>
    <xf numFmtId="43" fontId="13" fillId="0" borderId="0" xfId="1" applyNumberFormat="1" applyFont="1" applyFill="1" applyBorder="1"/>
    <xf numFmtId="43" fontId="13" fillId="0" borderId="1" xfId="1" applyNumberFormat="1" applyFont="1" applyFill="1" applyBorder="1"/>
    <xf numFmtId="43" fontId="13" fillId="0" borderId="0" xfId="1" applyNumberFormat="1" applyFont="1" applyFill="1"/>
    <xf numFmtId="41" fontId="17" fillId="0" borderId="0" xfId="0" applyNumberFormat="1" applyFont="1"/>
    <xf numFmtId="41" fontId="17" fillId="0" borderId="1" xfId="0" applyNumberFormat="1" applyFont="1" applyBorder="1"/>
    <xf numFmtId="41" fontId="17" fillId="0" borderId="3" xfId="0" applyNumberFormat="1" applyFont="1" applyBorder="1"/>
    <xf numFmtId="43" fontId="17" fillId="0" borderId="0" xfId="0" applyNumberFormat="1" applyFont="1"/>
    <xf numFmtId="41" fontId="13" fillId="0" borderId="4" xfId="0" applyNumberFormat="1" applyFont="1" applyBorder="1"/>
    <xf numFmtId="41" fontId="13" fillId="0" borderId="0" xfId="4" applyNumberFormat="1" applyFont="1" applyFill="1"/>
    <xf numFmtId="0" fontId="7" fillId="0" borderId="0" xfId="0" applyFont="1" applyAlignment="1" applyProtection="1">
      <alignment horizontal="centerContinuous"/>
      <protection locked="0"/>
    </xf>
    <xf numFmtId="0" fontId="19" fillId="0" borderId="0" xfId="0" applyFont="1"/>
    <xf numFmtId="41" fontId="5" fillId="0" borderId="5" xfId="0" applyNumberFormat="1" applyFont="1" applyBorder="1"/>
    <xf numFmtId="41" fontId="55" fillId="0" borderId="0" xfId="0" applyNumberFormat="1" applyFont="1"/>
    <xf numFmtId="0" fontId="16" fillId="0" borderId="0" xfId="0" applyFont="1" applyAlignment="1">
      <alignment horizontal="centerContinuous"/>
    </xf>
    <xf numFmtId="0" fontId="18" fillId="0" borderId="0" xfId="0" quotePrefix="1" applyFont="1" applyAlignment="1">
      <alignment horizontal="left"/>
    </xf>
    <xf numFmtId="0" fontId="17" fillId="0" borderId="0" xfId="0" quotePrefix="1" applyFont="1" applyAlignment="1">
      <alignment horizontal="center"/>
    </xf>
    <xf numFmtId="176" fontId="26" fillId="0" borderId="0" xfId="1" applyNumberFormat="1" applyFont="1" applyAlignment="1">
      <alignment horizontal="right"/>
    </xf>
    <xf numFmtId="176" fontId="26" fillId="0" borderId="0" xfId="1" applyNumberFormat="1" applyFont="1" applyFill="1" applyAlignment="1">
      <alignment horizontal="right"/>
    </xf>
    <xf numFmtId="176" fontId="5" fillId="0" borderId="0" xfId="1" applyNumberFormat="1" applyFont="1" applyAlignment="1">
      <alignment horizontal="right"/>
    </xf>
    <xf numFmtId="176" fontId="5" fillId="0" borderId="0" xfId="1" applyNumberFormat="1" applyFont="1" applyFill="1" applyAlignment="1">
      <alignment horizontal="right"/>
    </xf>
    <xf numFmtId="168" fontId="5" fillId="0" borderId="0" xfId="0" applyNumberFormat="1" applyFont="1"/>
    <xf numFmtId="176" fontId="5" fillId="0" borderId="0" xfId="0" applyNumberFormat="1" applyFont="1"/>
    <xf numFmtId="166" fontId="5" fillId="0" borderId="0" xfId="1" applyFont="1" applyFill="1" applyAlignment="1">
      <alignment horizontal="right"/>
    </xf>
    <xf numFmtId="168" fontId="17" fillId="0" borderId="0" xfId="0" applyNumberFormat="1" applyFont="1"/>
    <xf numFmtId="168" fontId="17" fillId="0" borderId="3" xfId="0" applyNumberFormat="1" applyFont="1" applyBorder="1"/>
    <xf numFmtId="41" fontId="11" fillId="0" borderId="0" xfId="63" applyNumberFormat="1" applyFont="1"/>
    <xf numFmtId="41" fontId="13" fillId="0" borderId="7" xfId="84" applyNumberFormat="1" applyFont="1" applyFill="1" applyBorder="1"/>
    <xf numFmtId="41" fontId="11" fillId="0" borderId="0" xfId="84" applyNumberFormat="1" applyFont="1" applyFill="1"/>
    <xf numFmtId="0" fontId="56" fillId="0" borderId="0" xfId="0" applyFont="1"/>
    <xf numFmtId="43" fontId="22" fillId="0" borderId="0" xfId="0" applyNumberFormat="1" applyFont="1"/>
    <xf numFmtId="168" fontId="56" fillId="0" borderId="0" xfId="0" applyNumberFormat="1" applyFont="1"/>
    <xf numFmtId="0" fontId="57" fillId="0" borderId="0" xfId="0" applyFont="1"/>
    <xf numFmtId="0" fontId="57" fillId="0" borderId="0" xfId="47" applyNumberFormat="1" applyFont="1" applyFill="1" applyBorder="1" applyAlignment="1">
      <alignment horizontal="center"/>
    </xf>
    <xf numFmtId="168" fontId="56" fillId="0" borderId="0" xfId="47" applyNumberFormat="1" applyFont="1" applyFill="1" applyBorder="1"/>
    <xf numFmtId="168" fontId="57" fillId="0" borderId="0" xfId="47" applyNumberFormat="1" applyFont="1" applyFill="1" applyBorder="1"/>
    <xf numFmtId="9" fontId="56" fillId="0" borderId="0" xfId="4" applyFont="1" applyFill="1" applyBorder="1"/>
    <xf numFmtId="41" fontId="17" fillId="0" borderId="2" xfId="0" applyNumberFormat="1" applyFont="1" applyBorder="1"/>
    <xf numFmtId="0" fontId="57" fillId="0" borderId="7" xfId="47" quotePrefix="1" applyNumberFormat="1" applyFont="1" applyFill="1" applyBorder="1" applyAlignment="1">
      <alignment horizontal="center"/>
    </xf>
    <xf numFmtId="0" fontId="57" fillId="0" borderId="1" xfId="47" quotePrefix="1" applyNumberFormat="1" applyFont="1" applyFill="1" applyBorder="1" applyAlignment="1">
      <alignment horizontal="center"/>
    </xf>
    <xf numFmtId="176" fontId="5" fillId="0" borderId="0" xfId="1" applyNumberFormat="1" applyFont="1" applyFill="1" applyBorder="1" applyAlignment="1">
      <alignment horizontal="right"/>
    </xf>
    <xf numFmtId="41" fontId="13" fillId="0" borderId="2" xfId="0" applyNumberFormat="1" applyFont="1" applyBorder="1"/>
    <xf numFmtId="4" fontId="7" fillId="0" borderId="0" xfId="0" applyNumberFormat="1" applyFont="1"/>
    <xf numFmtId="37" fontId="5" fillId="0" borderId="1" xfId="0" applyNumberFormat="1" applyFont="1" applyBorder="1"/>
    <xf numFmtId="182" fontId="13" fillId="0" borderId="5" xfId="2" applyNumberFormat="1" applyFont="1" applyFill="1" applyBorder="1"/>
    <xf numFmtId="41" fontId="13" fillId="0" borderId="7" xfId="1" applyNumberFormat="1" applyFont="1" applyFill="1" applyBorder="1"/>
    <xf numFmtId="169" fontId="13" fillId="0" borderId="1" xfId="4" applyNumberFormat="1" applyFont="1" applyFill="1" applyBorder="1"/>
    <xf numFmtId="180" fontId="7" fillId="0" borderId="0" xfId="10" applyFont="1" applyAlignment="1">
      <alignment horizontal="right"/>
    </xf>
    <xf numFmtId="0" fontId="20" fillId="0" borderId="0" xfId="0" applyFont="1" applyAlignment="1">
      <alignment horizontal="left"/>
    </xf>
    <xf numFmtId="2" fontId="20" fillId="0" borderId="0" xfId="0" applyNumberFormat="1" applyFont="1"/>
    <xf numFmtId="178" fontId="24" fillId="0" borderId="0" xfId="0" applyNumberFormat="1" applyFont="1"/>
    <xf numFmtId="181" fontId="13" fillId="0" borderId="0" xfId="0" applyNumberFormat="1" applyFont="1"/>
    <xf numFmtId="0" fontId="7" fillId="0" borderId="7" xfId="0" applyFont="1" applyBorder="1" applyAlignment="1">
      <alignment horizontal="center"/>
    </xf>
    <xf numFmtId="166" fontId="13" fillId="0" borderId="0" xfId="1" applyFont="1"/>
    <xf numFmtId="166" fontId="28" fillId="0" borderId="0" xfId="1" applyFont="1"/>
    <xf numFmtId="0" fontId="57" fillId="0" borderId="0" xfId="47" quotePrefix="1" applyNumberFormat="1" applyFont="1" applyFill="1" applyBorder="1" applyAlignment="1">
      <alignment horizontal="center"/>
    </xf>
    <xf numFmtId="175" fontId="13" fillId="0" borderId="0" xfId="1" applyNumberFormat="1" applyFont="1" applyFill="1" applyBorder="1" applyAlignment="1">
      <alignment horizontal="right"/>
    </xf>
    <xf numFmtId="182" fontId="13" fillId="0" borderId="0" xfId="2" applyNumberFormat="1" applyFont="1" applyFill="1" applyBorder="1"/>
    <xf numFmtId="0" fontId="6" fillId="0" borderId="7" xfId="0" applyFont="1" applyBorder="1" applyAlignment="1">
      <alignment horizontal="center"/>
    </xf>
    <xf numFmtId="43" fontId="13" fillId="0" borderId="0" xfId="0" applyNumberFormat="1" applyFont="1" applyAlignment="1">
      <alignment horizontal="center"/>
    </xf>
    <xf numFmtId="0" fontId="60" fillId="0" borderId="0" xfId="87" applyFont="1"/>
    <xf numFmtId="0" fontId="61" fillId="0" borderId="0" xfId="87" applyFont="1" applyAlignment="1">
      <alignment horizontal="center"/>
    </xf>
    <xf numFmtId="0" fontId="61" fillId="0" borderId="0" xfId="87" applyFont="1"/>
    <xf numFmtId="0" fontId="13" fillId="0" borderId="0" xfId="63" applyFont="1" applyAlignment="1">
      <alignment horizontal="left" indent="2"/>
    </xf>
    <xf numFmtId="41" fontId="60" fillId="0" borderId="0" xfId="87" applyNumberFormat="1" applyFont="1"/>
    <xf numFmtId="41" fontId="60" fillId="0" borderId="2" xfId="87" applyNumberFormat="1" applyFont="1" applyBorder="1"/>
    <xf numFmtId="41" fontId="61" fillId="0" borderId="0" xfId="87" applyNumberFormat="1" applyFont="1"/>
    <xf numFmtId="41" fontId="61" fillId="0" borderId="7" xfId="87" applyNumberFormat="1" applyFont="1" applyBorder="1"/>
    <xf numFmtId="41" fontId="7" fillId="0" borderId="4" xfId="87" applyNumberFormat="1" applyFont="1" applyBorder="1"/>
    <xf numFmtId="175" fontId="13" fillId="0" borderId="0" xfId="1" applyNumberFormat="1" applyFont="1" applyAlignment="1">
      <alignment horizontal="center"/>
    </xf>
    <xf numFmtId="183" fontId="13" fillId="0" borderId="0" xfId="1" applyNumberFormat="1" applyFont="1" applyAlignment="1">
      <alignment horizontal="center"/>
    </xf>
    <xf numFmtId="10" fontId="17" fillId="0" borderId="1" xfId="4" applyNumberFormat="1" applyFont="1" applyFill="1" applyBorder="1"/>
    <xf numFmtId="10" fontId="17" fillId="0" borderId="4" xfId="0" applyNumberFormat="1" applyFont="1" applyBorder="1"/>
    <xf numFmtId="0" fontId="18" fillId="0" borderId="0" xfId="0" applyFont="1" applyAlignment="1">
      <alignment horizontal="centerContinuous"/>
    </xf>
    <xf numFmtId="15" fontId="16" fillId="0" borderId="1" xfId="0" applyNumberFormat="1" applyFont="1" applyBorder="1" applyAlignment="1">
      <alignment horizontal="center"/>
    </xf>
    <xf numFmtId="10" fontId="17" fillId="0" borderId="1" xfId="4" applyNumberFormat="1" applyFont="1" applyBorder="1"/>
    <xf numFmtId="171" fontId="17" fillId="0" borderId="1" xfId="4" applyNumberFormat="1" applyFont="1" applyBorder="1"/>
    <xf numFmtId="171" fontId="17" fillId="0" borderId="0" xfId="4" applyNumberFormat="1" applyFont="1" applyFill="1" applyBorder="1" applyAlignment="1">
      <alignment horizontal="right"/>
    </xf>
    <xf numFmtId="10" fontId="0" fillId="0" borderId="0" xfId="4" applyNumberFormat="1" applyFont="1" applyAlignment="1">
      <alignment horizontal="left"/>
    </xf>
    <xf numFmtId="171" fontId="17" fillId="0" borderId="0" xfId="74" applyNumberFormat="1" applyFont="1" applyFill="1" applyBorder="1" applyAlignment="1">
      <alignment horizontal="right"/>
    </xf>
    <xf numFmtId="171" fontId="17" fillId="0" borderId="1" xfId="0" applyNumberFormat="1" applyFont="1" applyBorder="1"/>
    <xf numFmtId="10" fontId="5" fillId="0" borderId="0" xfId="0" applyNumberFormat="1" applyFont="1"/>
    <xf numFmtId="41" fontId="13" fillId="0" borderId="7" xfId="0" applyNumberFormat="1" applyFont="1" applyBorder="1"/>
    <xf numFmtId="176" fontId="4" fillId="0" borderId="0" xfId="0" applyNumberFormat="1" applyFont="1"/>
    <xf numFmtId="176" fontId="4" fillId="0" borderId="1" xfId="1" quotePrefix="1" applyNumberFormat="1" applyFont="1" applyFill="1" applyBorder="1" applyAlignment="1">
      <alignment horizontal="right"/>
    </xf>
    <xf numFmtId="176" fontId="4" fillId="0" borderId="0" xfId="1" quotePrefix="1" applyNumberFormat="1" applyFont="1" applyFill="1" applyBorder="1" applyAlignment="1">
      <alignment horizontal="right"/>
    </xf>
    <xf numFmtId="176" fontId="4" fillId="0" borderId="0" xfId="1" applyNumberFormat="1" applyFont="1" applyFill="1" applyBorder="1"/>
    <xf numFmtId="176" fontId="4" fillId="0" borderId="1" xfId="1" applyNumberFormat="1" applyFont="1" applyFill="1" applyBorder="1"/>
    <xf numFmtId="176" fontId="4" fillId="0" borderId="7" xfId="1" applyNumberFormat="1" applyFont="1" applyFill="1" applyBorder="1"/>
    <xf numFmtId="172" fontId="13" fillId="0" borderId="7" xfId="0" applyNumberFormat="1" applyFont="1" applyBorder="1"/>
    <xf numFmtId="176" fontId="13" fillId="0" borderId="7" xfId="1" applyNumberFormat="1" applyFont="1" applyFill="1" applyBorder="1" applyAlignment="1">
      <alignment horizontal="right"/>
    </xf>
    <xf numFmtId="0" fontId="63" fillId="0" borderId="0" xfId="0" applyFont="1"/>
    <xf numFmtId="0" fontId="64" fillId="0" borderId="0" xfId="0" applyFont="1" applyAlignment="1">
      <alignment horizontal="center"/>
    </xf>
    <xf numFmtId="41" fontId="13" fillId="0" borderId="0" xfId="1" applyNumberFormat="1" applyFont="1"/>
    <xf numFmtId="0" fontId="7" fillId="0" borderId="7" xfId="0" applyFont="1" applyBorder="1"/>
    <xf numFmtId="43" fontId="13" fillId="0" borderId="0" xfId="1" applyNumberFormat="1" applyFont="1"/>
    <xf numFmtId="43" fontId="13" fillId="0" borderId="1" xfId="1" applyNumberFormat="1" applyFont="1" applyBorder="1"/>
    <xf numFmtId="41" fontId="13" fillId="0" borderId="1" xfId="1" applyNumberFormat="1" applyFont="1" applyBorder="1"/>
    <xf numFmtId="0" fontId="66" fillId="0" borderId="0" xfId="0" applyFont="1" applyAlignment="1">
      <alignment vertical="center"/>
    </xf>
    <xf numFmtId="9" fontId="9" fillId="0" borderId="0" xfId="0" applyNumberFormat="1" applyFont="1" applyAlignment="1">
      <alignment horizontal="center"/>
    </xf>
    <xf numFmtId="175" fontId="9" fillId="0" borderId="0" xfId="1" applyNumberFormat="1" applyFont="1" applyAlignment="1">
      <alignment horizontal="center"/>
    </xf>
    <xf numFmtId="0" fontId="67" fillId="0" borderId="0" xfId="0" applyFont="1"/>
    <xf numFmtId="0" fontId="4" fillId="0" borderId="0" xfId="0" applyFont="1" applyAlignment="1">
      <alignment horizontal="right"/>
    </xf>
    <xf numFmtId="0" fontId="68" fillId="0" borderId="0" xfId="0" applyFont="1" applyAlignment="1">
      <alignment horizontal="centerContinuous"/>
    </xf>
    <xf numFmtId="166" fontId="5" fillId="0" borderId="0" xfId="1" applyFont="1"/>
    <xf numFmtId="10" fontId="17" fillId="0" borderId="0" xfId="4" applyNumberFormat="1" applyFont="1" applyFill="1" applyAlignment="1">
      <alignment horizontal="right"/>
    </xf>
    <xf numFmtId="0" fontId="17" fillId="0" borderId="0" xfId="1" applyNumberFormat="1" applyFont="1" applyFill="1" applyAlignment="1">
      <alignment horizontal="center"/>
    </xf>
    <xf numFmtId="175" fontId="17" fillId="0" borderId="0" xfId="1" applyNumberFormat="1" applyFont="1" applyFill="1" applyAlignment="1">
      <alignment horizontal="right"/>
    </xf>
    <xf numFmtId="166" fontId="4" fillId="0" borderId="0" xfId="1" applyFont="1"/>
    <xf numFmtId="169" fontId="13" fillId="0" borderId="0" xfId="4" applyNumberFormat="1" applyFont="1"/>
    <xf numFmtId="43" fontId="5" fillId="0" borderId="0" xfId="0" applyNumberFormat="1" applyFont="1"/>
    <xf numFmtId="41" fontId="0" fillId="0" borderId="0" xfId="0" applyNumberFormat="1" applyAlignment="1">
      <alignment horizontal="center"/>
    </xf>
    <xf numFmtId="168" fontId="13" fillId="0" borderId="0" xfId="0" applyNumberFormat="1" applyFont="1" applyAlignment="1">
      <alignment horizontal="center"/>
    </xf>
    <xf numFmtId="41" fontId="13" fillId="0" borderId="0" xfId="0" applyNumberFormat="1" applyFont="1" applyAlignment="1">
      <alignment horizontal="center"/>
    </xf>
    <xf numFmtId="175" fontId="5" fillId="0" borderId="0" xfId="0" applyNumberFormat="1" applyFont="1"/>
    <xf numFmtId="176" fontId="0" fillId="0" borderId="0" xfId="0" applyNumberFormat="1"/>
    <xf numFmtId="38" fontId="0" fillId="0" borderId="0" xfId="0" applyNumberFormat="1"/>
    <xf numFmtId="175" fontId="13" fillId="0" borderId="1" xfId="1" applyNumberFormat="1" applyFont="1" applyBorder="1" applyAlignment="1">
      <alignment horizontal="center"/>
    </xf>
    <xf numFmtId="184" fontId="13" fillId="0" borderId="0" xfId="0" applyNumberFormat="1" applyFont="1"/>
    <xf numFmtId="183" fontId="13" fillId="0" borderId="0" xfId="1" applyNumberFormat="1" applyFont="1" applyFill="1" applyAlignment="1">
      <alignment horizontal="center"/>
    </xf>
    <xf numFmtId="41" fontId="9" fillId="0" borderId="0" xfId="0" applyNumberFormat="1" applyFont="1" applyAlignment="1">
      <alignment horizontal="center"/>
    </xf>
    <xf numFmtId="175" fontId="17" fillId="0" borderId="1" xfId="1" applyNumberFormat="1" applyFont="1" applyFill="1" applyBorder="1" applyAlignment="1">
      <alignment horizontal="right"/>
    </xf>
    <xf numFmtId="175" fontId="17" fillId="0" borderId="1" xfId="1" applyNumberFormat="1" applyFont="1" applyFill="1" applyBorder="1"/>
    <xf numFmtId="43" fontId="4" fillId="0" borderId="0" xfId="0" applyNumberFormat="1" applyFont="1"/>
    <xf numFmtId="41" fontId="9" fillId="0" borderId="0" xfId="0" applyNumberFormat="1" applyFont="1"/>
    <xf numFmtId="181" fontId="13" fillId="0" borderId="0" xfId="0" applyNumberFormat="1" applyFont="1" applyAlignment="1">
      <alignment horizontal="center"/>
    </xf>
    <xf numFmtId="175" fontId="13" fillId="0" borderId="1" xfId="1" applyNumberFormat="1" applyFont="1" applyBorder="1"/>
    <xf numFmtId="37" fontId="4" fillId="0" borderId="0" xfId="0" applyNumberFormat="1" applyFont="1"/>
    <xf numFmtId="166" fontId="5" fillId="0" borderId="0" xfId="0" applyNumberFormat="1" applyFont="1"/>
    <xf numFmtId="168" fontId="13" fillId="0" borderId="2" xfId="0" applyNumberFormat="1" applyFont="1" applyBorder="1"/>
    <xf numFmtId="169" fontId="4" fillId="0" borderId="0" xfId="4" applyNumberFormat="1" applyFont="1"/>
    <xf numFmtId="9" fontId="13" fillId="0" borderId="0" xfId="4" applyFont="1"/>
    <xf numFmtId="43" fontId="13" fillId="0" borderId="0" xfId="84" applyNumberFormat="1" applyFont="1" applyFill="1" applyBorder="1"/>
    <xf numFmtId="41" fontId="60" fillId="0" borderId="17" xfId="87" applyNumberFormat="1" applyFont="1" applyBorder="1"/>
    <xf numFmtId="41" fontId="60" fillId="0" borderId="2" xfId="87" applyNumberFormat="1" applyFont="1" applyBorder="1" applyAlignment="1">
      <alignment horizontal="right"/>
    </xf>
    <xf numFmtId="166" fontId="4" fillId="0" borderId="0" xfId="1" applyFont="1" applyAlignment="1">
      <alignment horizontal="center"/>
    </xf>
    <xf numFmtId="166" fontId="13" fillId="0" borderId="0" xfId="1" applyFont="1" applyAlignment="1">
      <alignment horizontal="center"/>
    </xf>
    <xf numFmtId="187" fontId="13" fillId="0" borderId="0" xfId="0" applyNumberFormat="1" applyFont="1"/>
    <xf numFmtId="168" fontId="58" fillId="0" borderId="0" xfId="47" applyNumberFormat="1" applyFont="1" applyFill="1" applyBorder="1"/>
    <xf numFmtId="168" fontId="56" fillId="0" borderId="0" xfId="47" applyNumberFormat="1" applyFont="1"/>
    <xf numFmtId="168" fontId="58" fillId="0" borderId="0" xfId="47" applyNumberFormat="1" applyFont="1" applyFill="1"/>
    <xf numFmtId="168" fontId="57" fillId="0" borderId="0" xfId="47" applyNumberFormat="1" applyFont="1" applyFill="1"/>
    <xf numFmtId="0" fontId="0" fillId="0" borderId="0" xfId="0" applyAlignment="1">
      <alignment horizontal="left" indent="2"/>
    </xf>
    <xf numFmtId="176" fontId="0" fillId="0" borderId="0" xfId="1" applyNumberFormat="1" applyFont="1"/>
    <xf numFmtId="0" fontId="61" fillId="0" borderId="17" xfId="87" applyFont="1" applyBorder="1" applyAlignment="1">
      <alignment horizontal="center"/>
    </xf>
    <xf numFmtId="175" fontId="5" fillId="0" borderId="0" xfId="1" applyNumberFormat="1" applyFont="1"/>
    <xf numFmtId="175" fontId="4" fillId="0" borderId="0" xfId="0" applyNumberFormat="1" applyFont="1"/>
    <xf numFmtId="175" fontId="5" fillId="0" borderId="1" xfId="1" applyNumberFormat="1" applyFont="1" applyBorder="1"/>
    <xf numFmtId="166" fontId="4" fillId="0" borderId="0" xfId="1" applyFont="1" applyAlignment="1">
      <alignment horizontal="right"/>
    </xf>
    <xf numFmtId="2" fontId="13" fillId="0" borderId="0" xfId="0" applyNumberFormat="1" applyFont="1"/>
    <xf numFmtId="0" fontId="5" fillId="0" borderId="0" xfId="0" applyFont="1" applyAlignment="1">
      <alignment vertical="top"/>
    </xf>
    <xf numFmtId="175" fontId="13" fillId="0" borderId="0" xfId="1" applyNumberFormat="1" applyFont="1" applyFill="1" applyAlignment="1">
      <alignment horizontal="center"/>
    </xf>
    <xf numFmtId="10" fontId="4" fillId="0" borderId="0" xfId="4" applyNumberFormat="1" applyFont="1"/>
    <xf numFmtId="175" fontId="0" fillId="0" borderId="0" xfId="0" applyNumberFormat="1"/>
    <xf numFmtId="3" fontId="5" fillId="0" borderId="1" xfId="0" applyNumberFormat="1" applyFont="1" applyBorder="1"/>
    <xf numFmtId="169" fontId="5" fillId="0" borderId="0" xfId="4" applyNumberFormat="1" applyFont="1"/>
    <xf numFmtId="49" fontId="7" fillId="0" borderId="0" xfId="0" applyNumberFormat="1" applyFont="1" applyAlignment="1">
      <alignment horizontal="centerContinuous"/>
    </xf>
    <xf numFmtId="41" fontId="13" fillId="0" borderId="5" xfId="0" applyNumberFormat="1" applyFont="1" applyBorder="1"/>
    <xf numFmtId="0" fontId="69" fillId="0" borderId="0" xfId="0" applyFont="1"/>
    <xf numFmtId="3" fontId="53" fillId="0" borderId="0" xfId="0" applyNumberFormat="1" applyFont="1"/>
    <xf numFmtId="0" fontId="7" fillId="0" borderId="0" xfId="63" applyFont="1" applyAlignment="1">
      <alignment horizontal="centerContinuous"/>
    </xf>
    <xf numFmtId="0" fontId="7" fillId="0" borderId="0" xfId="63" applyFont="1" applyAlignment="1">
      <alignment horizontal="right"/>
    </xf>
    <xf numFmtId="0" fontId="56" fillId="0" borderId="0" xfId="63" applyFont="1"/>
    <xf numFmtId="43" fontId="22" fillId="0" borderId="0" xfId="63" applyNumberFormat="1" applyFont="1"/>
    <xf numFmtId="168" fontId="56" fillId="0" borderId="0" xfId="63" applyNumberFormat="1" applyFont="1"/>
    <xf numFmtId="0" fontId="54" fillId="0" borderId="0" xfId="63" applyFont="1" applyAlignment="1">
      <alignment horizontal="center"/>
    </xf>
    <xf numFmtId="0" fontId="59" fillId="0" borderId="0" xfId="63" applyFont="1" applyAlignment="1">
      <alignment horizontal="center"/>
    </xf>
    <xf numFmtId="0" fontId="59" fillId="0" borderId="1" xfId="63" applyFont="1" applyBorder="1" applyAlignment="1">
      <alignment horizontal="center"/>
    </xf>
    <xf numFmtId="0" fontId="54" fillId="0" borderId="1" xfId="63" applyFont="1" applyBorder="1" applyAlignment="1">
      <alignment horizontal="center"/>
    </xf>
    <xf numFmtId="0" fontId="22" fillId="0" borderId="0" xfId="0" applyFont="1" applyAlignment="1">
      <alignment horizontal="centerContinuous"/>
    </xf>
    <xf numFmtId="49" fontId="54" fillId="0" borderId="0" xfId="0" applyNumberFormat="1" applyFont="1" applyAlignment="1">
      <alignment horizontal="centerContinuous"/>
    </xf>
    <xf numFmtId="0" fontId="54" fillId="0" borderId="7" xfId="0" applyFont="1" applyBorder="1" applyAlignment="1">
      <alignment horizontal="center"/>
    </xf>
    <xf numFmtId="37" fontId="22" fillId="0" borderId="1" xfId="0" applyNumberFormat="1" applyFont="1" applyBorder="1"/>
    <xf numFmtId="37" fontId="22" fillId="0" borderId="3" xfId="0" applyNumberFormat="1" applyFont="1" applyBorder="1"/>
    <xf numFmtId="0" fontId="72" fillId="0" borderId="0" xfId="93" applyFont="1"/>
    <xf numFmtId="49" fontId="72" fillId="0" borderId="0" xfId="93" applyNumberFormat="1" applyFont="1"/>
    <xf numFmtId="0" fontId="57" fillId="0" borderId="1" xfId="63" applyFont="1" applyBorder="1" applyAlignment="1">
      <alignment horizontal="center"/>
    </xf>
    <xf numFmtId="0" fontId="56" fillId="0" borderId="0" xfId="63" applyFont="1" applyAlignment="1">
      <alignment horizontal="center"/>
    </xf>
    <xf numFmtId="49" fontId="7" fillId="0" borderId="0" xfId="0" applyNumberFormat="1" applyFont="1" applyAlignment="1" applyProtection="1">
      <alignment horizontal="centerContinuous"/>
      <protection locked="0"/>
    </xf>
    <xf numFmtId="0" fontId="22" fillId="0" borderId="0" xfId="90" applyFont="1" applyAlignment="1">
      <alignment horizontal="center"/>
    </xf>
    <xf numFmtId="0" fontId="54" fillId="0" borderId="0" xfId="90" applyFont="1"/>
    <xf numFmtId="0" fontId="22" fillId="0" borderId="0" xfId="90" applyFont="1"/>
    <xf numFmtId="0" fontId="22" fillId="0" borderId="0" xfId="90" applyFont="1" applyAlignment="1">
      <alignment horizontal="right"/>
    </xf>
    <xf numFmtId="0" fontId="22" fillId="0" borderId="0" xfId="90" applyFont="1" applyAlignment="1">
      <alignment horizontal="centerContinuous"/>
    </xf>
    <xf numFmtId="0" fontId="54" fillId="0" borderId="0" xfId="90" applyFont="1" applyAlignment="1">
      <alignment horizontal="centerContinuous"/>
    </xf>
    <xf numFmtId="15" fontId="54" fillId="0" borderId="0" xfId="90" applyNumberFormat="1" applyFont="1" applyAlignment="1">
      <alignment horizontal="centerContinuous"/>
    </xf>
    <xf numFmtId="0" fontId="57" fillId="0" borderId="0" xfId="63" applyFont="1" applyAlignment="1">
      <alignment horizontal="center"/>
    </xf>
    <xf numFmtId="175" fontId="60" fillId="0" borderId="0" xfId="87" applyNumberFormat="1" applyFont="1"/>
    <xf numFmtId="9" fontId="60" fillId="0" borderId="0" xfId="4" applyFont="1"/>
    <xf numFmtId="0" fontId="11" fillId="25" borderId="0" xfId="0" applyFont="1" applyFill="1"/>
    <xf numFmtId="9" fontId="11" fillId="0" borderId="0" xfId="4" applyFont="1"/>
    <xf numFmtId="0" fontId="11" fillId="0" borderId="0" xfId="0" applyFont="1" applyAlignment="1">
      <alignment horizontal="center"/>
    </xf>
    <xf numFmtId="0" fontId="11" fillId="25" borderId="0" xfId="0" applyFont="1" applyFill="1" applyAlignment="1">
      <alignment horizontal="center"/>
    </xf>
    <xf numFmtId="10" fontId="0" fillId="0" borderId="0" xfId="0" applyNumberFormat="1"/>
    <xf numFmtId="175" fontId="0" fillId="0" borderId="0" xfId="1" applyNumberFormat="1" applyFont="1" applyBorder="1"/>
    <xf numFmtId="0" fontId="22" fillId="0" borderId="0" xfId="90" applyFont="1" applyAlignment="1">
      <alignment horizontal="left" indent="3"/>
    </xf>
    <xf numFmtId="37" fontId="22" fillId="0" borderId="0" xfId="91" applyNumberFormat="1" applyFont="1"/>
    <xf numFmtId="37" fontId="22" fillId="0" borderId="1" xfId="91" applyNumberFormat="1" applyFont="1" applyBorder="1"/>
    <xf numFmtId="0" fontId="54" fillId="0" borderId="0" xfId="90" applyFont="1" applyAlignment="1">
      <alignment horizontal="left"/>
    </xf>
    <xf numFmtId="37" fontId="22" fillId="0" borderId="2" xfId="91" applyNumberFormat="1" applyFont="1" applyBorder="1"/>
    <xf numFmtId="10" fontId="22" fillId="0" borderId="0" xfId="73" applyNumberFormat="1" applyFont="1"/>
    <xf numFmtId="10" fontId="54" fillId="0" borderId="4" xfId="73" applyNumberFormat="1" applyFont="1" applyBorder="1"/>
    <xf numFmtId="10" fontId="54" fillId="0" borderId="0" xfId="73" applyNumberFormat="1" applyFont="1" applyBorder="1"/>
    <xf numFmtId="0" fontId="54" fillId="0" borderId="1" xfId="90" applyFont="1" applyBorder="1" applyAlignment="1">
      <alignment horizontal="left"/>
    </xf>
    <xf numFmtId="0" fontId="54" fillId="0" borderId="1" xfId="90" applyFont="1" applyBorder="1" applyAlignment="1">
      <alignment horizontal="center"/>
    </xf>
    <xf numFmtId="166" fontId="60" fillId="0" borderId="0" xfId="1" applyFont="1"/>
    <xf numFmtId="168" fontId="13" fillId="0" borderId="5" xfId="1" applyNumberFormat="1" applyFont="1" applyBorder="1"/>
    <xf numFmtId="168" fontId="13" fillId="0" borderId="1" xfId="1" applyNumberFormat="1" applyFont="1" applyBorder="1"/>
    <xf numFmtId="168" fontId="58" fillId="0" borderId="0" xfId="47" applyNumberFormat="1" applyFont="1"/>
    <xf numFmtId="168" fontId="57" fillId="0" borderId="0" xfId="47" applyNumberFormat="1" applyFont="1"/>
    <xf numFmtId="0" fontId="57" fillId="0" borderId="0" xfId="47" applyNumberFormat="1" applyFont="1" applyAlignment="1">
      <alignment horizontal="center"/>
    </xf>
    <xf numFmtId="168" fontId="57" fillId="0" borderId="4" xfId="47" applyNumberFormat="1" applyFont="1" applyBorder="1"/>
    <xf numFmtId="41" fontId="5" fillId="0" borderId="0" xfId="63" applyNumberFormat="1" applyFont="1"/>
    <xf numFmtId="43" fontId="5" fillId="0" borderId="0" xfId="63" applyNumberFormat="1" applyFont="1"/>
    <xf numFmtId="168" fontId="5" fillId="0" borderId="0" xfId="1" applyNumberFormat="1" applyFont="1"/>
    <xf numFmtId="4" fontId="5" fillId="0" borderId="0" xfId="63" applyNumberFormat="1" applyFont="1"/>
    <xf numFmtId="41" fontId="7" fillId="0" borderId="0" xfId="87" applyNumberFormat="1" applyFont="1"/>
    <xf numFmtId="168" fontId="60" fillId="0" borderId="0" xfId="87" applyNumberFormat="1" applyFont="1"/>
    <xf numFmtId="168" fontId="60" fillId="0" borderId="1" xfId="87" applyNumberFormat="1" applyFont="1" applyBorder="1"/>
    <xf numFmtId="168" fontId="60" fillId="0" borderId="1" xfId="1" applyNumberFormat="1" applyFont="1" applyBorder="1"/>
    <xf numFmtId="168" fontId="60" fillId="0" borderId="0" xfId="1" applyNumberFormat="1" applyFont="1"/>
    <xf numFmtId="38" fontId="13" fillId="0" borderId="0" xfId="0" applyNumberFormat="1" applyFont="1"/>
    <xf numFmtId="168" fontId="13" fillId="0" borderId="17" xfId="0" applyNumberFormat="1" applyFont="1" applyBorder="1"/>
    <xf numFmtId="168" fontId="13" fillId="0" borderId="17" xfId="1" applyNumberFormat="1" applyFont="1" applyFill="1" applyBorder="1"/>
    <xf numFmtId="168" fontId="57" fillId="0" borderId="0" xfId="47" applyNumberFormat="1" applyFont="1" applyBorder="1"/>
    <xf numFmtId="168" fontId="56" fillId="0" borderId="0" xfId="47" applyNumberFormat="1" applyFont="1" applyBorder="1"/>
    <xf numFmtId="0" fontId="57" fillId="0" borderId="0" xfId="47" applyNumberFormat="1" applyFont="1" applyBorder="1" applyAlignment="1">
      <alignment horizontal="center"/>
    </xf>
    <xf numFmtId="9" fontId="56" fillId="0" borderId="0" xfId="4" applyFont="1" applyBorder="1"/>
    <xf numFmtId="168" fontId="57" fillId="0" borderId="18" xfId="47" applyNumberFormat="1" applyFont="1" applyBorder="1"/>
    <xf numFmtId="188" fontId="22" fillId="0" borderId="0" xfId="0" applyNumberFormat="1" applyFont="1" applyAlignment="1">
      <alignment horizontal="center"/>
    </xf>
    <xf numFmtId="41" fontId="60" fillId="0" borderId="1" xfId="87" applyNumberFormat="1" applyFont="1" applyBorder="1"/>
    <xf numFmtId="41" fontId="60" fillId="0" borderId="0" xfId="87" applyNumberFormat="1" applyFont="1" applyAlignment="1">
      <alignment horizontal="right"/>
    </xf>
    <xf numFmtId="185" fontId="60" fillId="0" borderId="0" xfId="87" applyNumberFormat="1" applyFont="1"/>
    <xf numFmtId="168" fontId="74" fillId="0" borderId="0" xfId="0" applyNumberFormat="1" applyFont="1"/>
    <xf numFmtId="0" fontId="60" fillId="0" borderId="0" xfId="87" applyFont="1" applyAlignment="1">
      <alignment horizontal="left"/>
    </xf>
    <xf numFmtId="9" fontId="60" fillId="0" borderId="0" xfId="4" applyFont="1" applyBorder="1"/>
    <xf numFmtId="169" fontId="60" fillId="0" borderId="0" xfId="4" applyNumberFormat="1" applyFont="1"/>
    <xf numFmtId="175" fontId="60" fillId="0" borderId="0" xfId="1" applyNumberFormat="1" applyFont="1"/>
    <xf numFmtId="166" fontId="0" fillId="0" borderId="0" xfId="1" applyFont="1" applyBorder="1"/>
    <xf numFmtId="0" fontId="75" fillId="0" borderId="0" xfId="0" applyFont="1"/>
    <xf numFmtId="41" fontId="69" fillId="0" borderId="0" xfId="87" applyNumberFormat="1" applyFont="1"/>
    <xf numFmtId="168" fontId="57" fillId="0" borderId="18" xfId="47" applyNumberFormat="1" applyFont="1" applyFill="1" applyBorder="1"/>
    <xf numFmtId="168" fontId="59" fillId="0" borderId="0" xfId="0" applyNumberFormat="1" applyFont="1"/>
    <xf numFmtId="168" fontId="59" fillId="0" borderId="0" xfId="47" applyNumberFormat="1" applyFont="1" applyFill="1" applyBorder="1"/>
    <xf numFmtId="9" fontId="59" fillId="0" borderId="0" xfId="4" applyFont="1" applyFill="1" applyBorder="1"/>
    <xf numFmtId="41" fontId="60" fillId="0" borderId="0" xfId="87" applyNumberFormat="1" applyFont="1" applyAlignment="1">
      <alignment horizontal="left"/>
    </xf>
    <xf numFmtId="0" fontId="24" fillId="0" borderId="0" xfId="63" applyFont="1" applyAlignment="1">
      <alignment horizontal="left"/>
    </xf>
    <xf numFmtId="1" fontId="60" fillId="0" borderId="0" xfId="87" applyNumberFormat="1" applyFont="1"/>
    <xf numFmtId="41" fontId="7" fillId="0" borderId="0" xfId="0" applyNumberFormat="1" applyFont="1" applyAlignment="1">
      <alignment horizontal="center"/>
    </xf>
    <xf numFmtId="169" fontId="4" fillId="0" borderId="0" xfId="0" applyNumberFormat="1" applyFont="1"/>
    <xf numFmtId="0" fontId="13" fillId="0" borderId="0" xfId="0" applyFont="1" applyAlignment="1">
      <alignment horizontal="right"/>
    </xf>
    <xf numFmtId="43" fontId="9" fillId="0" borderId="0" xfId="0" applyNumberFormat="1" applyFont="1"/>
    <xf numFmtId="0" fontId="60" fillId="0" borderId="0" xfId="87" applyFont="1" applyAlignment="1">
      <alignment horizontal="left" indent="2"/>
    </xf>
    <xf numFmtId="41" fontId="60" fillId="0" borderId="0" xfId="87" applyNumberFormat="1" applyFont="1" applyAlignment="1">
      <alignment horizontal="left" indent="2"/>
    </xf>
    <xf numFmtId="0" fontId="60" fillId="0" borderId="1" xfId="87" applyFont="1" applyBorder="1"/>
    <xf numFmtId="1" fontId="69" fillId="0" borderId="0" xfId="0" applyNumberFormat="1" applyFont="1"/>
    <xf numFmtId="0" fontId="69" fillId="0" borderId="1" xfId="0" applyFont="1" applyBorder="1"/>
    <xf numFmtId="1" fontId="69" fillId="0" borderId="1" xfId="0" applyNumberFormat="1" applyFont="1" applyBorder="1"/>
    <xf numFmtId="1" fontId="69" fillId="0" borderId="2" xfId="0" applyNumberFormat="1" applyFont="1" applyBorder="1"/>
    <xf numFmtId="3" fontId="69" fillId="0" borderId="0" xfId="0" applyNumberFormat="1" applyFont="1"/>
    <xf numFmtId="0" fontId="73" fillId="0" borderId="0" xfId="0" applyFont="1"/>
    <xf numFmtId="3" fontId="73" fillId="0" borderId="7" xfId="0" applyNumberFormat="1" applyFont="1" applyBorder="1"/>
    <xf numFmtId="41" fontId="69" fillId="0" borderId="1" xfId="0" applyNumberFormat="1" applyFont="1" applyBorder="1"/>
    <xf numFmtId="41" fontId="69" fillId="0" borderId="0" xfId="0" applyNumberFormat="1" applyFont="1"/>
    <xf numFmtId="3" fontId="69" fillId="0" borderId="0" xfId="1" applyNumberFormat="1" applyFont="1" applyFill="1"/>
    <xf numFmtId="1" fontId="73" fillId="0" borderId="7" xfId="0" applyNumberFormat="1" applyFont="1" applyBorder="1"/>
    <xf numFmtId="1" fontId="73" fillId="0" borderId="0" xfId="0" applyNumberFormat="1" applyFont="1"/>
    <xf numFmtId="3" fontId="69" fillId="0" borderId="2" xfId="0" applyNumberFormat="1" applyFont="1" applyBorder="1"/>
    <xf numFmtId="3" fontId="7" fillId="0" borderId="4" xfId="0" applyNumberFormat="1" applyFont="1" applyBorder="1"/>
    <xf numFmtId="9" fontId="60" fillId="0" borderId="0" xfId="87" applyNumberFormat="1" applyFont="1"/>
    <xf numFmtId="37" fontId="22" fillId="0" borderId="0" xfId="91" applyNumberFormat="1" applyFont="1" applyFill="1"/>
    <xf numFmtId="175" fontId="0" fillId="0" borderId="0" xfId="1" applyNumberFormat="1" applyFont="1" applyBorder="1" applyAlignment="1">
      <alignment horizontal="center"/>
    </xf>
    <xf numFmtId="168" fontId="0" fillId="0" borderId="0" xfId="0" applyNumberFormat="1" applyAlignment="1">
      <alignment horizontal="center"/>
    </xf>
    <xf numFmtId="166" fontId="13" fillId="0" borderId="0" xfId="0" applyNumberFormat="1" applyFont="1" applyAlignment="1">
      <alignment horizontal="center"/>
    </xf>
    <xf numFmtId="175" fontId="13" fillId="0" borderId="0" xfId="1" applyNumberFormat="1" applyFont="1" applyBorder="1" applyAlignment="1">
      <alignment horizontal="center"/>
    </xf>
    <xf numFmtId="175" fontId="13" fillId="0" borderId="0" xfId="1" applyNumberFormat="1" applyFont="1" applyBorder="1"/>
    <xf numFmtId="168" fontId="60" fillId="0" borderId="2" xfId="1" applyNumberFormat="1" applyFont="1" applyBorder="1"/>
    <xf numFmtId="0" fontId="69" fillId="0" borderId="0" xfId="0" applyFont="1" applyAlignment="1">
      <alignment horizontal="left" indent="2"/>
    </xf>
    <xf numFmtId="0" fontId="60" fillId="0" borderId="0" xfId="87" applyFont="1" applyAlignment="1">
      <alignment horizontal="left" indent="1"/>
    </xf>
    <xf numFmtId="0" fontId="13" fillId="0" borderId="0" xfId="0" applyFont="1" applyAlignment="1">
      <alignment horizontal="left" indent="3"/>
    </xf>
    <xf numFmtId="0" fontId="69" fillId="0" borderId="0" xfId="0" applyFont="1" applyAlignment="1">
      <alignment horizontal="left" indent="1"/>
    </xf>
    <xf numFmtId="0" fontId="13" fillId="0" borderId="0" xfId="0" quotePrefix="1" applyFont="1" applyAlignment="1">
      <alignment horizontal="left" indent="1"/>
    </xf>
    <xf numFmtId="0" fontId="75" fillId="0" borderId="0" xfId="0" applyFont="1" applyAlignment="1">
      <alignment horizontal="left" indent="1"/>
    </xf>
    <xf numFmtId="0" fontId="28" fillId="0" borderId="0" xfId="0" applyFont="1" applyAlignment="1">
      <alignment horizontal="center"/>
    </xf>
    <xf numFmtId="0" fontId="13" fillId="0" borderId="0" xfId="0" quotePrefix="1" applyFont="1" applyAlignment="1">
      <alignment horizontal="center"/>
    </xf>
    <xf numFmtId="0" fontId="22" fillId="0" borderId="0" xfId="90" quotePrefix="1" applyFont="1" applyAlignment="1">
      <alignment horizontal="center"/>
    </xf>
    <xf numFmtId="0" fontId="22" fillId="0" borderId="0" xfId="0" quotePrefix="1" applyFont="1"/>
    <xf numFmtId="0" fontId="22" fillId="0" borderId="0" xfId="0" quotePrefix="1" applyFont="1" applyAlignment="1">
      <alignment horizontal="center"/>
    </xf>
    <xf numFmtId="38" fontId="5" fillId="0" borderId="0" xfId="0" applyNumberFormat="1" applyFont="1" applyAlignment="1">
      <alignment horizontal="center"/>
    </xf>
    <xf numFmtId="41" fontId="7" fillId="0" borderId="0" xfId="0" applyNumberFormat="1" applyFont="1"/>
    <xf numFmtId="37" fontId="13" fillId="0" borderId="0" xfId="0" applyNumberFormat="1" applyFont="1" applyAlignment="1">
      <alignment horizontal="center"/>
    </xf>
    <xf numFmtId="43" fontId="0" fillId="0" borderId="0" xfId="0" applyNumberFormat="1"/>
    <xf numFmtId="166" fontId="0" fillId="0" borderId="0" xfId="0" applyNumberFormat="1"/>
    <xf numFmtId="37" fontId="13" fillId="0" borderId="0" xfId="0" applyNumberFormat="1" applyFont="1" applyAlignment="1">
      <alignment horizontal="right"/>
    </xf>
    <xf numFmtId="37" fontId="7" fillId="0" borderId="0" xfId="0" applyNumberFormat="1" applyFont="1"/>
    <xf numFmtId="0" fontId="15" fillId="0" borderId="0" xfId="0" applyFont="1"/>
    <xf numFmtId="41" fontId="15" fillId="0" borderId="0" xfId="0" applyNumberFormat="1" applyFont="1"/>
    <xf numFmtId="9" fontId="13" fillId="0" borderId="0" xfId="0" applyNumberFormat="1" applyFont="1"/>
    <xf numFmtId="9" fontId="13" fillId="0" borderId="0" xfId="4" applyFont="1" applyBorder="1"/>
    <xf numFmtId="169" fontId="13" fillId="0" borderId="0" xfId="4" applyNumberFormat="1" applyFont="1" applyBorder="1"/>
    <xf numFmtId="186" fontId="13" fillId="0" borderId="0" xfId="0" applyNumberFormat="1" applyFont="1"/>
    <xf numFmtId="169" fontId="60" fillId="0" borderId="0" xfId="4" applyNumberFormat="1" applyFont="1" applyBorder="1"/>
    <xf numFmtId="166" fontId="60" fillId="0" borderId="0" xfId="1" applyFont="1" applyBorder="1"/>
    <xf numFmtId="41" fontId="68" fillId="0" borderId="0" xfId="87" applyNumberFormat="1" applyFont="1"/>
    <xf numFmtId="41" fontId="60" fillId="0" borderId="0" xfId="4" applyNumberFormat="1" applyFont="1" applyBorder="1"/>
    <xf numFmtId="2" fontId="60" fillId="0" borderId="0" xfId="4" applyNumberFormat="1" applyFont="1" applyBorder="1"/>
    <xf numFmtId="9" fontId="60" fillId="0" borderId="0" xfId="4" applyFont="1" applyFill="1" applyBorder="1"/>
    <xf numFmtId="0" fontId="76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71" fillId="0" borderId="0" xfId="93" applyBorder="1" applyAlignment="1">
      <alignment vertical="center"/>
    </xf>
    <xf numFmtId="41" fontId="13" fillId="0" borderId="0" xfId="4" applyNumberFormat="1" applyFont="1" applyFill="1" applyBorder="1"/>
    <xf numFmtId="169" fontId="13" fillId="0" borderId="4" xfId="0" applyNumberFormat="1" applyFont="1" applyBorder="1"/>
    <xf numFmtId="43" fontId="69" fillId="0" borderId="0" xfId="0" applyNumberFormat="1" applyFont="1"/>
    <xf numFmtId="175" fontId="15" fillId="0" borderId="0" xfId="1" applyNumberFormat="1" applyFont="1" applyBorder="1"/>
    <xf numFmtId="175" fontId="13" fillId="0" borderId="0" xfId="1" applyNumberFormat="1" applyFont="1" applyBorder="1" applyAlignment="1">
      <alignment horizontal="left"/>
    </xf>
    <xf numFmtId="175" fontId="22" fillId="0" borderId="0" xfId="1" applyNumberFormat="1" applyFont="1" applyBorder="1"/>
    <xf numFmtId="0" fontId="57" fillId="0" borderId="1" xfId="63" applyFont="1" applyBorder="1"/>
    <xf numFmtId="0" fontId="57" fillId="0" borderId="0" xfId="63" applyFont="1"/>
    <xf numFmtId="0" fontId="56" fillId="0" borderId="0" xfId="0" applyFont="1" applyAlignment="1">
      <alignment horizontal="left" vertical="center" indent="2"/>
    </xf>
    <xf numFmtId="0" fontId="56" fillId="0" borderId="0" xfId="0" applyFont="1" applyAlignment="1">
      <alignment horizontal="left" indent="2"/>
    </xf>
    <xf numFmtId="0" fontId="65" fillId="0" borderId="0" xfId="0" applyFont="1" applyAlignment="1">
      <alignment horizontal="left" vertical="center"/>
    </xf>
    <xf numFmtId="0" fontId="59" fillId="0" borderId="0" xfId="0" applyFont="1" applyAlignment="1">
      <alignment horizontal="left"/>
    </xf>
    <xf numFmtId="0" fontId="59" fillId="0" borderId="0" xfId="0" applyFont="1" applyAlignment="1">
      <alignment horizontal="left" indent="2"/>
    </xf>
    <xf numFmtId="0" fontId="16" fillId="0" borderId="0" xfId="0" applyFont="1" applyAlignment="1">
      <alignment horizontal="left"/>
    </xf>
    <xf numFmtId="15" fontId="16" fillId="0" borderId="0" xfId="0" applyNumberFormat="1" applyFont="1" applyAlignment="1">
      <alignment horizontal="center"/>
    </xf>
    <xf numFmtId="168" fontId="4" fillId="0" borderId="5" xfId="1" applyNumberFormat="1" applyFont="1" applyFill="1" applyBorder="1"/>
    <xf numFmtId="168" fontId="4" fillId="0" borderId="0" xfId="1" applyNumberFormat="1" applyFont="1" applyFill="1" applyBorder="1"/>
    <xf numFmtId="37" fontId="13" fillId="0" borderId="0" xfId="1" applyNumberFormat="1" applyFont="1" applyFill="1"/>
    <xf numFmtId="37" fontId="13" fillId="0" borderId="0" xfId="1" applyNumberFormat="1" applyFont="1"/>
    <xf numFmtId="0" fontId="6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4" fillId="0" borderId="1" xfId="0" applyFont="1" applyBorder="1" applyAlignment="1">
      <alignment horizontal="center"/>
    </xf>
    <xf numFmtId="0" fontId="54" fillId="0" borderId="1" xfId="0" applyFont="1" applyBorder="1" applyAlignment="1">
      <alignment horizontal="center"/>
    </xf>
    <xf numFmtId="0" fontId="54" fillId="0" borderId="0" xfId="0" applyFont="1" applyAlignment="1">
      <alignment horizontal="center"/>
    </xf>
    <xf numFmtId="0" fontId="22" fillId="0" borderId="0" xfId="0" applyFont="1" applyAlignment="1">
      <alignment horizontal="left" wrapText="1"/>
    </xf>
    <xf numFmtId="0" fontId="22" fillId="0" borderId="0" xfId="0" applyFont="1" applyAlignment="1">
      <alignment horizontal="left"/>
    </xf>
    <xf numFmtId="0" fontId="61" fillId="0" borderId="1" xfId="87" applyFont="1" applyBorder="1" applyAlignment="1">
      <alignment horizontal="center"/>
    </xf>
    <xf numFmtId="0" fontId="61" fillId="0" borderId="0" xfId="87" applyFont="1" applyAlignment="1">
      <alignment horizontal="center"/>
    </xf>
    <xf numFmtId="0" fontId="6" fillId="0" borderId="0" xfId="0" quotePrefix="1" applyFont="1" applyAlignment="1">
      <alignment horizontal="center"/>
    </xf>
    <xf numFmtId="0" fontId="13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3" fontId="6" fillId="0" borderId="0" xfId="0" applyNumberFormat="1" applyFont="1" applyAlignment="1">
      <alignment horizontal="center"/>
    </xf>
    <xf numFmtId="49" fontId="6" fillId="0" borderId="0" xfId="0" quotePrefix="1" applyNumberFormat="1" applyFont="1" applyAlignment="1">
      <alignment horizontal="center"/>
    </xf>
    <xf numFmtId="3" fontId="6" fillId="0" borderId="1" xfId="0" applyNumberFormat="1" applyFont="1" applyBorder="1" applyAlignment="1">
      <alignment horizontal="center"/>
    </xf>
    <xf numFmtId="172" fontId="6" fillId="0" borderId="0" xfId="0" applyNumberFormat="1" applyFont="1" applyAlignment="1">
      <alignment horizontal="center"/>
    </xf>
    <xf numFmtId="0" fontId="7" fillId="0" borderId="0" xfId="0" quotePrefix="1" applyFont="1" applyAlignment="1">
      <alignment horizontal="center"/>
    </xf>
    <xf numFmtId="0" fontId="7" fillId="0" borderId="0" xfId="63" quotePrefix="1" applyFont="1" applyAlignment="1">
      <alignment horizontal="center"/>
    </xf>
    <xf numFmtId="0" fontId="7" fillId="0" borderId="0" xfId="63" applyFont="1" applyAlignment="1">
      <alignment horizontal="center"/>
    </xf>
    <xf numFmtId="0" fontId="59" fillId="0" borderId="1" xfId="63" applyFont="1" applyBorder="1" applyAlignment="1">
      <alignment horizontal="center"/>
    </xf>
    <xf numFmtId="0" fontId="59" fillId="0" borderId="0" xfId="63" applyFont="1" applyAlignment="1">
      <alignment horizontal="center"/>
    </xf>
    <xf numFmtId="0" fontId="54" fillId="0" borderId="0" xfId="90" applyFont="1" applyAlignment="1">
      <alignment horizontal="center"/>
    </xf>
  </cellXfs>
  <cellStyles count="94">
    <cellStyle name="20% - Accent1 2" xfId="13" xr:uid="{00000000-0005-0000-0000-000000000000}"/>
    <cellStyle name="20% - Accent2 2" xfId="14" xr:uid="{00000000-0005-0000-0000-000001000000}"/>
    <cellStyle name="20% - Accent3 2" xfId="15" xr:uid="{00000000-0005-0000-0000-000002000000}"/>
    <cellStyle name="20% - Accent4 2" xfId="16" xr:uid="{00000000-0005-0000-0000-000003000000}"/>
    <cellStyle name="20% - Accent5 2" xfId="17" xr:uid="{00000000-0005-0000-0000-000004000000}"/>
    <cellStyle name="20% - Accent6 2" xfId="18" xr:uid="{00000000-0005-0000-0000-000005000000}"/>
    <cellStyle name="40% - Accent1 2" xfId="19" xr:uid="{00000000-0005-0000-0000-000006000000}"/>
    <cellStyle name="40% - Accent2 2" xfId="20" xr:uid="{00000000-0005-0000-0000-000007000000}"/>
    <cellStyle name="40% - Accent3 2" xfId="21" xr:uid="{00000000-0005-0000-0000-000008000000}"/>
    <cellStyle name="40% - Accent4 2" xfId="22" xr:uid="{00000000-0005-0000-0000-000009000000}"/>
    <cellStyle name="40% - Accent5 2" xfId="23" xr:uid="{00000000-0005-0000-0000-00000A000000}"/>
    <cellStyle name="40% - Accent6 2" xfId="24" xr:uid="{00000000-0005-0000-0000-00000B000000}"/>
    <cellStyle name="60% - Accent1 2" xfId="25" xr:uid="{00000000-0005-0000-0000-00000C000000}"/>
    <cellStyle name="60% - Accent2 2" xfId="26" xr:uid="{00000000-0005-0000-0000-00000D000000}"/>
    <cellStyle name="60% - Accent3 2" xfId="27" xr:uid="{00000000-0005-0000-0000-00000E000000}"/>
    <cellStyle name="60% - Accent4 2" xfId="28" xr:uid="{00000000-0005-0000-0000-00000F000000}"/>
    <cellStyle name="60% - Accent5 2" xfId="29" xr:uid="{00000000-0005-0000-0000-000010000000}"/>
    <cellStyle name="60% - Accent6 2" xfId="30" xr:uid="{00000000-0005-0000-0000-000011000000}"/>
    <cellStyle name="Accent1 2" xfId="31" xr:uid="{00000000-0005-0000-0000-000012000000}"/>
    <cellStyle name="Accent2 2" xfId="32" xr:uid="{00000000-0005-0000-0000-000013000000}"/>
    <cellStyle name="Accent3 2" xfId="33" xr:uid="{00000000-0005-0000-0000-000014000000}"/>
    <cellStyle name="Accent4 2" xfId="34" xr:uid="{00000000-0005-0000-0000-000015000000}"/>
    <cellStyle name="Accent5 2" xfId="35" xr:uid="{00000000-0005-0000-0000-000016000000}"/>
    <cellStyle name="Accent6 2" xfId="36" xr:uid="{00000000-0005-0000-0000-000017000000}"/>
    <cellStyle name="Bad 2" xfId="37" xr:uid="{00000000-0005-0000-0000-000018000000}"/>
    <cellStyle name="Calculation 2" xfId="38" xr:uid="{00000000-0005-0000-0000-000019000000}"/>
    <cellStyle name="Check Cell 2" xfId="39" xr:uid="{00000000-0005-0000-0000-00001A000000}"/>
    <cellStyle name="Comma" xfId="1" builtinId="3"/>
    <cellStyle name="Comma 10" xfId="83" xr:uid="{00000000-0005-0000-0000-00001C000000}"/>
    <cellStyle name="Comma 2" xfId="8" xr:uid="{00000000-0005-0000-0000-00001D000000}"/>
    <cellStyle name="Comma 2 2" xfId="42" xr:uid="{00000000-0005-0000-0000-00001E000000}"/>
    <cellStyle name="Comma 2 3" xfId="43" xr:uid="{00000000-0005-0000-0000-00001F000000}"/>
    <cellStyle name="Comma 2 4" xfId="41" xr:uid="{00000000-0005-0000-0000-000020000000}"/>
    <cellStyle name="Comma 2 5" xfId="84" xr:uid="{00000000-0005-0000-0000-000021000000}"/>
    <cellStyle name="Comma 21" xfId="88" xr:uid="{17D14532-A479-46C8-9E05-1B22F4C80C81}"/>
    <cellStyle name="Comma 3" xfId="44" xr:uid="{00000000-0005-0000-0000-000022000000}"/>
    <cellStyle name="Comma 4" xfId="45" xr:uid="{00000000-0005-0000-0000-000023000000}"/>
    <cellStyle name="Comma 5" xfId="46" xr:uid="{00000000-0005-0000-0000-000024000000}"/>
    <cellStyle name="Comma 5 2" xfId="89" xr:uid="{4C6E78CD-4389-4A36-B677-240AD8A8C649}"/>
    <cellStyle name="Comma 6" xfId="47" xr:uid="{00000000-0005-0000-0000-000025000000}"/>
    <cellStyle name="Comma 7" xfId="48" xr:uid="{00000000-0005-0000-0000-000026000000}"/>
    <cellStyle name="Comma 8" xfId="49" xr:uid="{00000000-0005-0000-0000-000027000000}"/>
    <cellStyle name="Comma 9" xfId="40" xr:uid="{00000000-0005-0000-0000-000028000000}"/>
    <cellStyle name="Currency" xfId="2" builtinId="4"/>
    <cellStyle name="Currency 2" xfId="51" xr:uid="{00000000-0005-0000-0000-00002A000000}"/>
    <cellStyle name="Currency 3" xfId="52" xr:uid="{00000000-0005-0000-0000-00002B000000}"/>
    <cellStyle name="Currency 4" xfId="53" xr:uid="{00000000-0005-0000-0000-00002C000000}"/>
    <cellStyle name="Currency 5" xfId="50" xr:uid="{00000000-0005-0000-0000-00002D000000}"/>
    <cellStyle name="Currency_2003-10-17 franchise tax schedules 2" xfId="91" xr:uid="{9D8F87BA-5D97-43E9-9840-B6F991AB882C}"/>
    <cellStyle name="Euro" xfId="3" xr:uid="{00000000-0005-0000-0000-00002E000000}"/>
    <cellStyle name="Explanatory Text 2" xfId="54" xr:uid="{00000000-0005-0000-0000-00002F000000}"/>
    <cellStyle name="Good" xfId="11" builtinId="26" customBuiltin="1"/>
    <cellStyle name="Good 2" xfId="55" xr:uid="{00000000-0005-0000-0000-000031000000}"/>
    <cellStyle name="Heading 1 2" xfId="56" xr:uid="{00000000-0005-0000-0000-000032000000}"/>
    <cellStyle name="Heading 2 2" xfId="57" xr:uid="{00000000-0005-0000-0000-000033000000}"/>
    <cellStyle name="Heading 3 2" xfId="58" xr:uid="{00000000-0005-0000-0000-000034000000}"/>
    <cellStyle name="Heading 4 2" xfId="59" xr:uid="{00000000-0005-0000-0000-000035000000}"/>
    <cellStyle name="Hyperlink" xfId="93" builtinId="8"/>
    <cellStyle name="Input 2" xfId="60" xr:uid="{00000000-0005-0000-0000-000036000000}"/>
    <cellStyle name="Linked Cell 2" xfId="61" xr:uid="{00000000-0005-0000-0000-000037000000}"/>
    <cellStyle name="Neutral 2" xfId="62" xr:uid="{00000000-0005-0000-0000-000038000000}"/>
    <cellStyle name="Normal" xfId="0" builtinId="0" customBuiltin="1"/>
    <cellStyle name="Normal 2" xfId="7" xr:uid="{00000000-0005-0000-0000-00003A000000}"/>
    <cellStyle name="Normal 2 2" xfId="64" xr:uid="{00000000-0005-0000-0000-00003B000000}"/>
    <cellStyle name="Normal 2 2 2" xfId="85" xr:uid="{00000000-0005-0000-0000-00003C000000}"/>
    <cellStyle name="Normal 2 3" xfId="63" xr:uid="{00000000-0005-0000-0000-00003D000000}"/>
    <cellStyle name="Normal 2 4" xfId="92" xr:uid="{2E390015-33E6-43F6-8D6A-7CA385064B54}"/>
    <cellStyle name="Normal 3" xfId="10" xr:uid="{00000000-0005-0000-0000-00003E000000}"/>
    <cellStyle name="Normal 3 2" xfId="66" xr:uid="{00000000-0005-0000-0000-00003F000000}"/>
    <cellStyle name="Normal 3 3" xfId="65" xr:uid="{00000000-0005-0000-0000-000040000000}"/>
    <cellStyle name="Normal 4" xfId="67" xr:uid="{00000000-0005-0000-0000-000041000000}"/>
    <cellStyle name="Normal 4 2" xfId="68" xr:uid="{00000000-0005-0000-0000-000042000000}"/>
    <cellStyle name="Normal 5" xfId="69" xr:uid="{00000000-0005-0000-0000-000043000000}"/>
    <cellStyle name="Normal 5 2" xfId="86" xr:uid="{00000000-0005-0000-0000-000044000000}"/>
    <cellStyle name="Normal 6" xfId="70" xr:uid="{00000000-0005-0000-0000-000045000000}"/>
    <cellStyle name="Normal 7" xfId="12" xr:uid="{00000000-0005-0000-0000-000046000000}"/>
    <cellStyle name="Normal 8" xfId="82" xr:uid="{00000000-0005-0000-0000-000047000000}"/>
    <cellStyle name="Normal 9" xfId="87" xr:uid="{CBFB61BF-5B67-44FF-A83A-B998FE4BBAE5}"/>
    <cellStyle name="Normal_2003-10-17 franchise tax schedules 2" xfId="90" xr:uid="{B31FC9EE-FE83-4A73-A49D-A44AC2F38515}"/>
    <cellStyle name="Note 2" xfId="71" xr:uid="{00000000-0005-0000-0000-000048000000}"/>
    <cellStyle name="Output 2" xfId="72" xr:uid="{00000000-0005-0000-0000-000049000000}"/>
    <cellStyle name="Percent" xfId="4" builtinId="5"/>
    <cellStyle name="Percent 2" xfId="9" xr:uid="{00000000-0005-0000-0000-00004B000000}"/>
    <cellStyle name="Percent 2 2" xfId="74" xr:uid="{00000000-0005-0000-0000-00004C000000}"/>
    <cellStyle name="Percent 2 3" xfId="73" xr:uid="{00000000-0005-0000-0000-00004D000000}"/>
    <cellStyle name="Percent 3" xfId="75" xr:uid="{00000000-0005-0000-0000-00004E000000}"/>
    <cellStyle name="Percent(2)" xfId="5" xr:uid="{00000000-0005-0000-0000-00004F000000}"/>
    <cellStyle name="Red" xfId="6" xr:uid="{00000000-0005-0000-0000-000050000000}"/>
    <cellStyle name="Red 2" xfId="76" xr:uid="{00000000-0005-0000-0000-000051000000}"/>
    <cellStyle name="Title 2" xfId="77" xr:uid="{00000000-0005-0000-0000-000052000000}"/>
    <cellStyle name="Total 2" xfId="78" xr:uid="{00000000-0005-0000-0000-000053000000}"/>
    <cellStyle name="Warning Text 2" xfId="79" xr:uid="{00000000-0005-0000-0000-000054000000}"/>
    <cellStyle name="waslotus" xfId="80" xr:uid="{00000000-0005-0000-0000-000055000000}"/>
    <cellStyle name="wk1_xls" xfId="81" xr:uid="{00000000-0005-0000-0000-000056000000}"/>
  </cellStyles>
  <dxfs count="4"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D4D4D4"/>
      <rgbColor rgb="00808080"/>
      <rgbColor rgb="00D4D0C8"/>
      <rgbColor rgb="00CFFFC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ED0F4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3D2D3-734C-4E63-B7F1-AB9CF14C4508}">
  <sheetPr codeName="Sheet1">
    <pageSetUpPr fitToPage="1"/>
  </sheetPr>
  <dimension ref="A2:B33"/>
  <sheetViews>
    <sheetView zoomScaleNormal="100" zoomScaleSheetLayoutView="100" workbookViewId="0"/>
  </sheetViews>
  <sheetFormatPr defaultRowHeight="12.5"/>
  <cols>
    <col min="1" max="1" width="9" style="4"/>
    <col min="2" max="2" width="65.453125" style="145" bestFit="1" customWidth="1"/>
  </cols>
  <sheetData>
    <row r="2" spans="1:2" ht="13">
      <c r="A2" s="517" t="s">
        <v>0</v>
      </c>
      <c r="B2" s="517"/>
    </row>
    <row r="3" spans="1:2" ht="13">
      <c r="A3" s="517" t="s">
        <v>1</v>
      </c>
      <c r="B3" s="517"/>
    </row>
    <row r="4" spans="1:2" ht="13">
      <c r="A4" s="3"/>
      <c r="B4" s="24"/>
    </row>
    <row r="5" spans="1:2" ht="13">
      <c r="A5" s="517" t="s">
        <v>2</v>
      </c>
      <c r="B5" s="517"/>
    </row>
    <row r="6" spans="1:2" ht="14">
      <c r="A6" s="182"/>
      <c r="B6" s="71"/>
    </row>
    <row r="7" spans="1:2" ht="14">
      <c r="A7" s="182" t="s">
        <v>3</v>
      </c>
      <c r="B7" s="71"/>
    </row>
    <row r="8" spans="1:2" ht="14">
      <c r="A8" s="417">
        <v>1.1000000000000001</v>
      </c>
      <c r="B8" s="362" t="str">
        <f>'S1.1'!A4</f>
        <v>Utility Revenue Requirement</v>
      </c>
    </row>
    <row r="9" spans="1:2" ht="14">
      <c r="A9" s="417">
        <v>2.1</v>
      </c>
      <c r="B9" s="362" t="str">
        <f>'S2.1'!A4</f>
        <v>Summary of Customers, Energy Sales and Revenue</v>
      </c>
    </row>
    <row r="10" spans="1:2" ht="14">
      <c r="A10" s="417">
        <v>2.2000000000000002</v>
      </c>
      <c r="B10" s="363" t="s">
        <v>4</v>
      </c>
    </row>
    <row r="11" spans="1:2" ht="14">
      <c r="A11" s="417">
        <v>3.1</v>
      </c>
      <c r="B11" s="362" t="str">
        <f>'S3.1'!A4</f>
        <v>Schedule of Purchase Power</v>
      </c>
    </row>
    <row r="12" spans="1:2" ht="14">
      <c r="A12" s="417">
        <v>3.2</v>
      </c>
      <c r="B12" s="362" t="str">
        <f>'S3.2'!A4</f>
        <v>Schedule of Energy Losses</v>
      </c>
    </row>
    <row r="13" spans="1:2" ht="14">
      <c r="A13" s="417">
        <v>4.0999999999999996</v>
      </c>
      <c r="B13" s="362" t="str">
        <f>'S4.1'!A4</f>
        <v>Diesel Generation and Fuel Summary</v>
      </c>
    </row>
    <row r="14" spans="1:2" ht="14">
      <c r="A14" s="417">
        <v>5.0999999999999996</v>
      </c>
      <c r="B14" s="363" t="str">
        <f>'S5.1 '!A4</f>
        <v>Operations and Maintenance Expenses</v>
      </c>
    </row>
    <row r="15" spans="1:2" ht="14">
      <c r="A15" s="417">
        <v>5.2</v>
      </c>
      <c r="B15" s="362" t="str">
        <f>'S5.2'!A4</f>
        <v>Breakdown of Operations &amp; Maintenance Expenses - Labour, Other</v>
      </c>
    </row>
    <row r="16" spans="1:2" ht="14">
      <c r="A16" s="417">
        <v>5.3</v>
      </c>
      <c r="B16" s="362" t="str">
        <f>'S5.3'!A4</f>
        <v>Affiliate Charges included in Operations and Maintenance Expenses</v>
      </c>
    </row>
    <row r="17" spans="1:2" ht="14">
      <c r="A17" s="417">
        <v>7.1</v>
      </c>
      <c r="B17" s="362" t="str">
        <f>'S7.1'!A4</f>
        <v>Schedule of Depreciation Expense</v>
      </c>
    </row>
    <row r="18" spans="1:2" ht="14">
      <c r="A18" s="417">
        <v>8.1</v>
      </c>
      <c r="B18" s="362" t="str">
        <f>'S8.1'!A4</f>
        <v>Return on Rate Base</v>
      </c>
    </row>
    <row r="19" spans="1:2" ht="14">
      <c r="A19" s="417">
        <v>8.1999999999999993</v>
      </c>
      <c r="B19" s="362" t="str">
        <f>'S8.2 &amp; 8.3'!A4</f>
        <v>Schedule of Debt Capital Employed and Embedded Cost</v>
      </c>
    </row>
    <row r="20" spans="1:2" ht="14">
      <c r="A20" s="417">
        <v>8.3000000000000007</v>
      </c>
      <c r="B20" s="362" t="str">
        <f>'S8.2 &amp; 8.3'!A4</f>
        <v>Schedule of Debt Capital Employed and Embedded Cost</v>
      </c>
    </row>
    <row r="21" spans="1:2" ht="14">
      <c r="A21" s="417">
        <v>8.4</v>
      </c>
      <c r="B21" s="362" t="str">
        <f>'S8.4 '!A4</f>
        <v>Continuity Schedule of No Cost Capital</v>
      </c>
    </row>
    <row r="22" spans="1:2" ht="14">
      <c r="A22" s="417">
        <v>8.5</v>
      </c>
      <c r="B22" s="362" t="str">
        <f>'S8.5'!A4</f>
        <v>Computation of Rate Base</v>
      </c>
    </row>
    <row r="23" spans="1:2" ht="14">
      <c r="A23" s="417">
        <v>8.6</v>
      </c>
      <c r="B23" s="362" t="str">
        <f>'S8.6 '!A4</f>
        <v>Continuity Schedule of Property, Plant and Equipment</v>
      </c>
    </row>
    <row r="24" spans="1:2" ht="14">
      <c r="A24" s="417">
        <v>8.6999999999999993</v>
      </c>
      <c r="B24" s="362" t="str">
        <f>'S8.7'!A4</f>
        <v>Continuity Schedule of Capital Retirements by Function</v>
      </c>
    </row>
    <row r="25" spans="1:2" ht="14">
      <c r="A25" s="417">
        <v>8.8000000000000007</v>
      </c>
      <c r="B25" s="362" t="str">
        <f>'S8.8 '!A4</f>
        <v>Continuity Schedule of Deferred Charges &amp; Credits</v>
      </c>
    </row>
    <row r="26" spans="1:2" ht="14">
      <c r="A26" s="417">
        <v>8.9</v>
      </c>
      <c r="B26" s="362" t="str">
        <f>'S8.9'!A4</f>
        <v>Rate Case Costs</v>
      </c>
    </row>
    <row r="27" spans="1:2" ht="14">
      <c r="A27" s="188">
        <v>8.1</v>
      </c>
      <c r="B27" s="362" t="str">
        <f>'S8.10'!A4</f>
        <v>Computation of Allowance for Working Capital</v>
      </c>
    </row>
    <row r="28" spans="1:2" ht="14">
      <c r="A28" s="188">
        <v>8.11</v>
      </c>
      <c r="B28" s="362" t="str">
        <f>'S8.11'!A4</f>
        <v>Effect of GST on Working Capital</v>
      </c>
    </row>
    <row r="29" spans="1:2" ht="14">
      <c r="A29" s="188">
        <v>8.1199999999999992</v>
      </c>
      <c r="B29" s="362" t="str">
        <f>'S8.12'!A4</f>
        <v>Continuity Schedule of Contributions in Aid of Construction</v>
      </c>
    </row>
    <row r="30" spans="1:2" ht="14">
      <c r="A30" s="417">
        <v>9.1</v>
      </c>
      <c r="B30" s="362" t="str">
        <f>'S9.1'!A4</f>
        <v>Plant Additions</v>
      </c>
    </row>
    <row r="31" spans="1:2" ht="14">
      <c r="A31" s="182">
        <v>9.1999999999999993</v>
      </c>
      <c r="B31" s="362" t="str">
        <f>'S9.2'!A4</f>
        <v>Continuity of Capital Expenditures</v>
      </c>
    </row>
    <row r="32" spans="1:2" ht="14">
      <c r="A32" s="182">
        <v>10.1</v>
      </c>
      <c r="B32" s="362" t="str">
        <f>'S10.1'!A4</f>
        <v xml:space="preserve">Income Tax Expense </v>
      </c>
    </row>
    <row r="33" spans="1:2" ht="14">
      <c r="A33" s="182">
        <v>13.1</v>
      </c>
      <c r="B33" s="362" t="str">
        <f>'S13.1'!A4</f>
        <v xml:space="preserve">Determination of the 2023 and 2024 Interim Rate Adjustment Rider R </v>
      </c>
    </row>
  </sheetData>
  <mergeCells count="3">
    <mergeCell ref="A2:B2"/>
    <mergeCell ref="A3:B3"/>
    <mergeCell ref="A5:B5"/>
  </mergeCells>
  <hyperlinks>
    <hyperlink ref="B8" location="S1.1!A1" display="S1.1!A1" xr:uid="{88D98280-14E4-42A1-A9ED-68CED0CDAC85}"/>
    <hyperlink ref="B9" location="S2.1!A1" display="S2.1!A1" xr:uid="{E3A24847-8667-4574-B3A4-2352EDF81A12}"/>
    <hyperlink ref="B10" location="S2.2!A1" display="Miscellaneous Revenue" xr:uid="{A099395D-AFBD-4D07-A37B-93678A00C708}"/>
    <hyperlink ref="B11" location="S3.1!A1" display="S3.1!A1" xr:uid="{23D30B62-449E-41F0-A297-4CE701499B83}"/>
    <hyperlink ref="B12" location="S3.2!A1" display="S3.2!A1" xr:uid="{8A7BEA1E-FF68-4CDA-87E2-3A242E24EC40}"/>
    <hyperlink ref="B13" location="S4.1!A1" display="S4.1!A1" xr:uid="{DEE15F9D-87ED-447B-9144-CDD86729A56C}"/>
    <hyperlink ref="B14" location="'S5.1 '!A1" display="'S5.1 '!A1" xr:uid="{2F9AF101-C095-4647-BBAF-CD11C179BE9D}"/>
    <hyperlink ref="B16" location="S5.3!A1" display="S5.3!A1" xr:uid="{C1E54889-090F-4CC9-AC0A-01BAAA4EBC8B}"/>
    <hyperlink ref="B17" location="S7.1!A1" display="S7.1!A1" xr:uid="{5CF2987F-D885-4240-BDB7-75ED768E6D92}"/>
    <hyperlink ref="B18" location="Index!A1" display="Index!A1" xr:uid="{B7C25A0C-8DAA-4657-8820-F884E48D8AE7}"/>
    <hyperlink ref="B19" location="'S8.2 &amp; 8.3'!A1" display="'S8.2 &amp; 8.3'!A1" xr:uid="{0704F821-E537-43E5-8CEA-8828821486A7}"/>
    <hyperlink ref="B20" location="'S8.2 &amp; 8.3'!A180" display="'S8.2 &amp; 8.3'!A180" xr:uid="{C06D29D9-35A5-4037-81A9-E2E410D3FB56}"/>
    <hyperlink ref="B21" location="'S8.4 '!A1" display="'S8.4 '!A1" xr:uid="{F842A2F4-2517-4A01-8F40-BF96A0C14BD8}"/>
    <hyperlink ref="B22" location="S8.5!A1" display="S8.5!A1" xr:uid="{A4C4E17F-85AB-464B-A0BD-41E0C6A513D9}"/>
    <hyperlink ref="B23" location="'S8.6 '!A1" display="'S8.6 '!A1" xr:uid="{5D30AA4A-2845-4DC9-8397-B4F25425206C}"/>
    <hyperlink ref="B24" location="S8.7!A1" display="S8.7!A1" xr:uid="{F6232856-3B25-40D3-9D9E-3338CF05308D}"/>
    <hyperlink ref="B25" location="'S8.8 '!A1" display="'S8.8 '!A1" xr:uid="{F820CC71-CDC0-4D31-B85D-64CB989B3282}"/>
    <hyperlink ref="B26" location="S8.9!A1" display="S8.9!A1" xr:uid="{4DE00313-2CF2-441E-8DD0-13E4D2712B14}"/>
    <hyperlink ref="B27" location="S8.10!A1" display="S8.10!A1" xr:uid="{19831B7A-2D19-43B3-8F3C-23ED0821DD4B}"/>
    <hyperlink ref="B28" location="S8.11!A1" display="S8.11!A1" xr:uid="{0C22C35B-4982-4F39-A754-556903244B9C}"/>
    <hyperlink ref="B29" location="S8.12!A1" display="S8.12!A1" xr:uid="{D276CD68-FE16-4D74-B142-F6A1901F5434}"/>
    <hyperlink ref="B30" location="S9.1!A1" display="S9.1!A1" xr:uid="{BB822F75-6A01-4BD5-8945-9DEB7097DCF7}"/>
    <hyperlink ref="B32" location="S10.1!A1" display="S10.1!A1" xr:uid="{BFD26CB4-7E8D-4AD5-B6DE-41FA6F705B2E}"/>
    <hyperlink ref="B33" location="S10.1!A1" display="S10.1!A1" xr:uid="{4F90C78E-CE5B-43B3-A0DD-800BFE6BD69D}"/>
    <hyperlink ref="B31" location="S9.1!A1" display="S9.1!A1" xr:uid="{E4E382AD-0D5A-45A2-9117-B9EE81F0DD2E}"/>
    <hyperlink ref="B15" location="'S5.1-2'!A1" display="'S5.1-2'!A1" xr:uid="{E66F256D-3A05-4850-A2CA-09F553102C2B}"/>
  </hyperlinks>
  <pageMargins left="0.7" right="0.7" top="0.75" bottom="0.75" header="0.3" footer="0.3"/>
  <pageSetup orientation="portrait" r:id="rId1"/>
  <headerFooter>
    <oddHeader>&amp;R&amp;"Arial,Bold"Index
Page &amp;P of 1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435C0-9351-4C41-92D5-2A4068C91097}">
  <sheetPr codeName="Sheet29"/>
  <dimension ref="A1:AG473"/>
  <sheetViews>
    <sheetView zoomScale="70" zoomScaleNormal="70" zoomScaleSheetLayoutView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9" sqref="A9"/>
    </sheetView>
  </sheetViews>
  <sheetFormatPr defaultColWidth="9" defaultRowHeight="15.5"/>
  <cols>
    <col min="1" max="1" width="13.453125" style="248" customWidth="1"/>
    <col min="2" max="2" width="8.81640625" style="248" customWidth="1"/>
    <col min="3" max="3" width="9" style="248" customWidth="1"/>
    <col min="4" max="11" width="15" style="248" customWidth="1"/>
    <col min="12" max="12" width="4.7265625" style="248" customWidth="1"/>
    <col min="13" max="14" width="15" style="248" customWidth="1"/>
    <col min="15" max="15" width="4" style="248" customWidth="1"/>
    <col min="16" max="17" width="13.1796875" style="248" customWidth="1"/>
    <col min="18" max="20" width="9" style="248"/>
    <col min="21" max="21" width="9" style="248" customWidth="1"/>
    <col min="22" max="22" width="9" style="248"/>
    <col min="23" max="23" width="13.26953125" style="248" bestFit="1" customWidth="1"/>
    <col min="24" max="24" width="4.453125" style="248" customWidth="1"/>
    <col min="25" max="25" width="8.54296875" style="248" customWidth="1"/>
    <col min="26" max="26" width="9.81640625" style="248" bestFit="1" customWidth="1"/>
    <col min="27" max="27" width="19" style="248" customWidth="1"/>
    <col min="28" max="31" width="9" style="248"/>
    <col min="32" max="33" width="10.1796875" style="248" bestFit="1" customWidth="1"/>
    <col min="34" max="16384" width="9" style="248"/>
  </cols>
  <sheetData>
    <row r="1" spans="1:33">
      <c r="A1" s="527" t="s">
        <v>0</v>
      </c>
      <c r="B1" s="527"/>
      <c r="C1" s="527"/>
      <c r="D1" s="527"/>
      <c r="E1" s="527"/>
      <c r="F1" s="527"/>
      <c r="G1" s="527"/>
      <c r="H1" s="527"/>
      <c r="I1" s="527"/>
      <c r="J1" s="527"/>
      <c r="K1" s="527"/>
      <c r="L1" s="527"/>
      <c r="M1" s="527"/>
      <c r="N1" s="527"/>
      <c r="O1" s="527"/>
      <c r="P1" s="527"/>
      <c r="Q1" s="527"/>
    </row>
    <row r="2" spans="1:33">
      <c r="A2" s="520" t="str">
        <f>'S1.1'!A2</f>
        <v>2023 - 2024 General Rate Application (GRA)</v>
      </c>
      <c r="B2" s="520"/>
      <c r="C2" s="520"/>
      <c r="D2" s="520"/>
      <c r="E2" s="520"/>
      <c r="F2" s="520"/>
      <c r="G2" s="520"/>
      <c r="H2" s="520"/>
      <c r="I2" s="520"/>
      <c r="J2" s="520"/>
      <c r="K2" s="520"/>
      <c r="L2" s="520"/>
      <c r="M2" s="520"/>
      <c r="N2" s="520"/>
      <c r="O2" s="520"/>
      <c r="P2" s="520"/>
      <c r="Q2" s="520"/>
    </row>
    <row r="3" spans="1:33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436"/>
      <c r="N3" s="436"/>
    </row>
    <row r="4" spans="1:33">
      <c r="A4" s="527" t="s">
        <v>238</v>
      </c>
      <c r="B4" s="527"/>
      <c r="C4" s="527"/>
      <c r="D4" s="527"/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Q4" s="527"/>
    </row>
    <row r="5" spans="1:33">
      <c r="A5" s="518" t="s">
        <v>6</v>
      </c>
      <c r="B5" s="518"/>
      <c r="C5" s="518"/>
      <c r="D5" s="518"/>
      <c r="E5" s="518"/>
      <c r="F5" s="518"/>
      <c r="G5" s="518"/>
      <c r="H5" s="518"/>
      <c r="I5" s="518"/>
      <c r="J5" s="518"/>
      <c r="K5" s="518"/>
      <c r="L5" s="518"/>
      <c r="M5" s="518"/>
      <c r="N5" s="518"/>
      <c r="O5" s="518"/>
      <c r="P5" s="518"/>
      <c r="Q5" s="518"/>
    </row>
    <row r="6" spans="1:33">
      <c r="S6" s="489"/>
      <c r="T6" s="489"/>
      <c r="U6" s="489"/>
      <c r="V6" s="489"/>
      <c r="W6" s="489"/>
      <c r="X6" s="489"/>
      <c r="Y6" s="489"/>
      <c r="Z6" s="489"/>
    </row>
    <row r="7" spans="1:33">
      <c r="A7" s="6" t="s">
        <v>7</v>
      </c>
      <c r="E7" s="519" t="s">
        <v>9</v>
      </c>
      <c r="F7" s="519"/>
      <c r="G7" s="519"/>
      <c r="H7" s="519"/>
      <c r="I7" s="519"/>
      <c r="J7" s="519"/>
      <c r="K7" s="519"/>
      <c r="L7" s="6"/>
      <c r="M7" s="526" t="s">
        <v>10</v>
      </c>
      <c r="N7" s="526"/>
      <c r="P7" s="6" t="s">
        <v>11</v>
      </c>
      <c r="Q7" s="6" t="s">
        <v>11</v>
      </c>
    </row>
    <row r="8" spans="1:33">
      <c r="A8" s="7" t="s">
        <v>12</v>
      </c>
      <c r="E8" s="7">
        <v>2016</v>
      </c>
      <c r="F8" s="7">
        <v>2017</v>
      </c>
      <c r="G8" s="7">
        <v>2018</v>
      </c>
      <c r="H8" s="7">
        <v>2019</v>
      </c>
      <c r="I8" s="7">
        <v>2020</v>
      </c>
      <c r="J8" s="7">
        <v>2021</v>
      </c>
      <c r="K8" s="7">
        <v>2022</v>
      </c>
      <c r="L8" s="6"/>
      <c r="M8" s="332">
        <v>2023</v>
      </c>
      <c r="N8" s="332">
        <v>2024</v>
      </c>
      <c r="P8" s="240">
        <v>2016</v>
      </c>
      <c r="Q8" s="240">
        <v>2017</v>
      </c>
    </row>
    <row r="9" spans="1:33">
      <c r="A9" s="17">
        <v>1</v>
      </c>
      <c r="B9" s="250" t="s">
        <v>239</v>
      </c>
      <c r="E9" s="249"/>
      <c r="F9" s="249"/>
      <c r="G9" s="249"/>
      <c r="H9" s="249"/>
      <c r="I9" s="249"/>
      <c r="J9" s="249"/>
      <c r="K9" s="249"/>
      <c r="L9" s="249"/>
      <c r="M9" s="249"/>
      <c r="N9" s="249"/>
    </row>
    <row r="10" spans="1:33">
      <c r="A10" s="17">
        <f t="shared" ref="A10:A72" si="0">A9+1</f>
        <v>2</v>
      </c>
      <c r="C10" s="434" t="s">
        <v>162</v>
      </c>
      <c r="R10" s="252"/>
      <c r="S10" s="252"/>
      <c r="T10" s="252"/>
      <c r="U10" s="252"/>
      <c r="V10" s="252"/>
      <c r="W10" s="252"/>
      <c r="X10" s="252"/>
      <c r="Y10" s="252"/>
      <c r="Z10" s="252"/>
      <c r="AA10" s="490"/>
      <c r="AB10" s="423"/>
      <c r="AC10" s="423"/>
      <c r="AD10" s="423"/>
      <c r="AE10" s="423"/>
      <c r="AF10" s="423"/>
      <c r="AG10" s="423"/>
    </row>
    <row r="11" spans="1:33">
      <c r="A11" s="17">
        <f t="shared" si="0"/>
        <v>3</v>
      </c>
      <c r="D11" s="248" t="s">
        <v>240</v>
      </c>
      <c r="E11" s="252">
        <v>117</v>
      </c>
      <c r="F11" s="252">
        <v>79</v>
      </c>
      <c r="G11" s="252">
        <v>92</v>
      </c>
      <c r="H11" s="252">
        <v>86</v>
      </c>
      <c r="I11" s="252">
        <v>93</v>
      </c>
      <c r="J11" s="252">
        <v>107</v>
      </c>
      <c r="K11" s="252">
        <v>100</v>
      </c>
      <c r="L11" s="252"/>
      <c r="M11" s="252">
        <v>140</v>
      </c>
      <c r="N11" s="252">
        <v>143</v>
      </c>
      <c r="Q11" s="252"/>
      <c r="R11" s="252"/>
      <c r="S11" s="252"/>
      <c r="T11" s="252"/>
      <c r="U11" s="252"/>
      <c r="V11" s="252"/>
      <c r="W11" s="252"/>
      <c r="X11" s="252"/>
      <c r="Y11" s="252"/>
      <c r="Z11" s="252"/>
      <c r="AA11" s="252"/>
      <c r="AB11" s="252"/>
      <c r="AC11" s="423"/>
      <c r="AD11" s="423"/>
      <c r="AE11" s="423"/>
      <c r="AF11" s="423"/>
      <c r="AG11" s="423"/>
    </row>
    <row r="12" spans="1:33">
      <c r="A12" s="17">
        <f t="shared" si="0"/>
        <v>4</v>
      </c>
      <c r="D12" s="248" t="s">
        <v>84</v>
      </c>
      <c r="E12" s="252">
        <v>160</v>
      </c>
      <c r="F12" s="252">
        <v>145</v>
      </c>
      <c r="G12" s="252">
        <v>187</v>
      </c>
      <c r="H12" s="418">
        <v>123</v>
      </c>
      <c r="I12" s="252">
        <v>124</v>
      </c>
      <c r="J12" s="418">
        <v>236</v>
      </c>
      <c r="K12" s="252">
        <v>197</v>
      </c>
      <c r="L12" s="252"/>
      <c r="M12" s="418">
        <v>358</v>
      </c>
      <c r="N12" s="418">
        <v>193</v>
      </c>
      <c r="P12" s="442"/>
      <c r="Q12" s="418"/>
      <c r="R12" s="252"/>
      <c r="S12" s="252"/>
      <c r="T12" s="252"/>
      <c r="U12" s="252"/>
      <c r="V12" s="252"/>
      <c r="W12" s="491"/>
      <c r="X12" s="491"/>
      <c r="Y12" s="254"/>
      <c r="Z12" s="252"/>
      <c r="AA12" s="252"/>
      <c r="AB12" s="252"/>
      <c r="AC12" s="423"/>
      <c r="AD12" s="423"/>
      <c r="AE12" s="423"/>
      <c r="AF12" s="423"/>
      <c r="AG12" s="423"/>
    </row>
    <row r="13" spans="1:33">
      <c r="A13" s="17">
        <f t="shared" si="0"/>
        <v>5</v>
      </c>
      <c r="E13" s="253">
        <f t="shared" ref="E13:K13" si="1">SUM(E11:E12)</f>
        <v>277</v>
      </c>
      <c r="F13" s="253">
        <f t="shared" si="1"/>
        <v>224</v>
      </c>
      <c r="G13" s="253">
        <f t="shared" si="1"/>
        <v>279</v>
      </c>
      <c r="H13" s="252">
        <f t="shared" si="1"/>
        <v>209</v>
      </c>
      <c r="I13" s="253">
        <f t="shared" si="1"/>
        <v>217</v>
      </c>
      <c r="J13" s="252">
        <f t="shared" si="1"/>
        <v>343</v>
      </c>
      <c r="K13" s="253">
        <f t="shared" si="1"/>
        <v>297</v>
      </c>
      <c r="L13" s="252"/>
      <c r="M13" s="252">
        <f>M11+M12</f>
        <v>498</v>
      </c>
      <c r="N13" s="252">
        <f>N11+N12</f>
        <v>336</v>
      </c>
      <c r="P13" s="248">
        <v>273</v>
      </c>
      <c r="Q13" s="252">
        <v>263</v>
      </c>
      <c r="R13" s="252"/>
      <c r="S13" s="252"/>
      <c r="T13" s="252"/>
      <c r="U13" s="252"/>
      <c r="V13" s="252"/>
      <c r="W13" s="491"/>
      <c r="X13" s="491"/>
      <c r="Y13" s="252"/>
      <c r="Z13" s="252"/>
      <c r="AA13" s="252"/>
      <c r="AB13" s="252"/>
      <c r="AC13" s="423"/>
      <c r="AD13" s="423"/>
      <c r="AE13" s="423"/>
      <c r="AF13" s="423"/>
      <c r="AG13" s="423"/>
    </row>
    <row r="14" spans="1:33">
      <c r="A14" s="17">
        <f t="shared" si="0"/>
        <v>6</v>
      </c>
      <c r="Q14" s="252"/>
      <c r="R14" s="252"/>
      <c r="S14" s="252"/>
      <c r="T14" s="252"/>
      <c r="U14" s="252"/>
      <c r="V14" s="252"/>
      <c r="W14" s="491"/>
      <c r="X14" s="491"/>
      <c r="Y14" s="252"/>
      <c r="Z14" s="252"/>
      <c r="AA14" s="252"/>
      <c r="AB14" s="252"/>
      <c r="AC14" s="423"/>
      <c r="AD14" s="423"/>
      <c r="AE14" s="423"/>
      <c r="AF14" s="423"/>
      <c r="AG14" s="423"/>
    </row>
    <row r="15" spans="1:33">
      <c r="A15" s="17">
        <f t="shared" si="0"/>
        <v>7</v>
      </c>
      <c r="C15" s="466" t="s">
        <v>241</v>
      </c>
      <c r="E15" s="252"/>
      <c r="F15" s="252"/>
      <c r="G15" s="252"/>
      <c r="H15" s="252"/>
      <c r="I15" s="252"/>
      <c r="J15" s="252"/>
      <c r="K15" s="252"/>
      <c r="L15" s="252"/>
      <c r="M15" s="252"/>
      <c r="N15" s="252"/>
      <c r="Q15" s="252"/>
      <c r="R15" s="252"/>
      <c r="S15" s="252"/>
      <c r="T15" s="252"/>
      <c r="U15" s="252"/>
      <c r="V15" s="252"/>
      <c r="W15" s="491"/>
      <c r="X15" s="491"/>
      <c r="Y15" s="252"/>
      <c r="Z15" s="252"/>
      <c r="AA15" s="252"/>
      <c r="AB15" s="252"/>
      <c r="AC15" s="423"/>
      <c r="AD15" s="423"/>
      <c r="AE15" s="423"/>
      <c r="AF15" s="423"/>
      <c r="AG15" s="423"/>
    </row>
    <row r="16" spans="1:33">
      <c r="A16" s="17">
        <f t="shared" si="0"/>
        <v>8</v>
      </c>
      <c r="C16" s="466"/>
      <c r="E16" s="252"/>
      <c r="F16" s="252"/>
      <c r="G16" s="252"/>
      <c r="H16" s="252"/>
      <c r="I16" s="252"/>
      <c r="J16" s="252"/>
      <c r="K16" s="252"/>
      <c r="L16" s="252"/>
      <c r="M16" s="252"/>
      <c r="N16" s="252"/>
      <c r="Q16" s="252"/>
      <c r="R16" s="252"/>
      <c r="S16" s="252"/>
      <c r="T16" s="252"/>
      <c r="U16" s="252"/>
      <c r="V16" s="252"/>
      <c r="W16" s="491"/>
      <c r="X16" s="491"/>
      <c r="Y16" s="252"/>
      <c r="Z16" s="252"/>
      <c r="AA16" s="252"/>
      <c r="AB16" s="252"/>
      <c r="AC16" s="423"/>
      <c r="AD16" s="423"/>
      <c r="AE16" s="423"/>
      <c r="AF16" s="423"/>
      <c r="AG16" s="423"/>
    </row>
    <row r="17" spans="1:33">
      <c r="A17" s="17">
        <f t="shared" si="0"/>
        <v>9</v>
      </c>
      <c r="C17" s="466" t="s">
        <v>242</v>
      </c>
      <c r="E17" s="252"/>
      <c r="F17" s="252"/>
      <c r="G17" s="252"/>
      <c r="H17" s="252"/>
      <c r="I17" s="252"/>
      <c r="J17" s="252"/>
      <c r="K17" s="252"/>
      <c r="L17" s="252"/>
      <c r="M17" s="252"/>
      <c r="N17" s="252"/>
      <c r="Q17" s="252"/>
      <c r="R17" s="252"/>
      <c r="S17" s="252"/>
      <c r="T17" s="252"/>
      <c r="U17" s="252"/>
      <c r="V17" s="252"/>
      <c r="W17" s="491"/>
      <c r="X17" s="491"/>
      <c r="Y17" s="252"/>
      <c r="Z17" s="252"/>
      <c r="AA17" s="252"/>
      <c r="AB17" s="252"/>
      <c r="AC17" s="423"/>
      <c r="AD17" s="423"/>
      <c r="AE17" s="423"/>
      <c r="AF17" s="423"/>
      <c r="AG17" s="423"/>
    </row>
    <row r="18" spans="1:33">
      <c r="A18" s="17">
        <f t="shared" si="0"/>
        <v>10</v>
      </c>
      <c r="C18" s="470"/>
      <c r="E18" s="252"/>
      <c r="F18" s="252"/>
      <c r="G18" s="252"/>
      <c r="H18" s="252"/>
      <c r="I18" s="252"/>
      <c r="J18" s="252"/>
      <c r="K18" s="252"/>
      <c r="L18" s="252"/>
      <c r="M18" s="252"/>
      <c r="N18" s="252"/>
      <c r="Q18" s="252"/>
      <c r="R18" s="252"/>
      <c r="S18" s="252"/>
      <c r="T18" s="252"/>
      <c r="U18" s="252"/>
      <c r="V18" s="252"/>
      <c r="W18" s="491"/>
      <c r="X18" s="491"/>
      <c r="Y18" s="252"/>
      <c r="Z18" s="252"/>
      <c r="AA18" s="252"/>
      <c r="AB18" s="252"/>
      <c r="AC18" s="423"/>
      <c r="AD18" s="423"/>
      <c r="AE18" s="423"/>
      <c r="AF18" s="423"/>
      <c r="AG18" s="423"/>
    </row>
    <row r="19" spans="1:33">
      <c r="A19" s="17">
        <f t="shared" si="0"/>
        <v>11</v>
      </c>
      <c r="C19" s="466" t="s">
        <v>243</v>
      </c>
      <c r="E19" s="252"/>
      <c r="F19" s="252"/>
      <c r="G19" s="252"/>
      <c r="H19" s="252"/>
      <c r="I19" s="252"/>
      <c r="J19" s="252"/>
      <c r="K19" s="252"/>
      <c r="L19" s="252"/>
      <c r="M19" s="252"/>
      <c r="N19" s="252"/>
      <c r="Q19" s="252"/>
      <c r="R19" s="252"/>
      <c r="S19" s="252"/>
      <c r="T19" s="252"/>
      <c r="U19" s="252"/>
      <c r="V19" s="252"/>
      <c r="W19" s="491"/>
      <c r="X19" s="491"/>
      <c r="Y19" s="252"/>
      <c r="Z19" s="252"/>
      <c r="AA19" s="252"/>
      <c r="AB19" s="252"/>
      <c r="AC19" s="423"/>
      <c r="AD19" s="423"/>
      <c r="AE19" s="423"/>
      <c r="AF19" s="423"/>
      <c r="AG19" s="423"/>
    </row>
    <row r="20" spans="1:33">
      <c r="A20" s="17">
        <f t="shared" si="0"/>
        <v>12</v>
      </c>
      <c r="C20" s="466" t="s">
        <v>244</v>
      </c>
      <c r="E20" s="252"/>
      <c r="F20" s="252"/>
      <c r="G20" s="252"/>
      <c r="H20" s="252"/>
      <c r="I20" s="252"/>
      <c r="J20" s="252"/>
      <c r="K20" s="252"/>
      <c r="L20" s="252"/>
      <c r="M20" s="252"/>
      <c r="N20" s="252"/>
      <c r="Q20" s="252"/>
      <c r="R20" s="252"/>
      <c r="S20" s="252"/>
      <c r="T20" s="252"/>
      <c r="U20" s="252"/>
      <c r="V20" s="252"/>
      <c r="W20" s="491"/>
      <c r="X20" s="491"/>
      <c r="Y20" s="252"/>
      <c r="Z20" s="252"/>
      <c r="AA20" s="252"/>
      <c r="AB20" s="252"/>
      <c r="AC20" s="423"/>
      <c r="AD20" s="423"/>
      <c r="AE20" s="423"/>
      <c r="AF20" s="423"/>
      <c r="AG20" s="423"/>
    </row>
    <row r="21" spans="1:33">
      <c r="A21" s="17">
        <f t="shared" si="0"/>
        <v>13</v>
      </c>
      <c r="C21" s="466"/>
      <c r="E21" s="252"/>
      <c r="F21" s="252"/>
      <c r="G21" s="252"/>
      <c r="H21" s="252"/>
      <c r="I21" s="252"/>
      <c r="J21" s="252"/>
      <c r="K21" s="252"/>
      <c r="L21" s="252"/>
      <c r="M21" s="252"/>
      <c r="N21" s="252"/>
      <c r="Q21" s="252"/>
      <c r="R21" s="252"/>
      <c r="S21" s="252"/>
      <c r="T21" s="252"/>
      <c r="U21" s="252"/>
      <c r="V21" s="252"/>
      <c r="W21" s="491"/>
      <c r="X21" s="491"/>
      <c r="Y21" s="252"/>
      <c r="Z21" s="252"/>
      <c r="AA21" s="252"/>
      <c r="AB21" s="252"/>
      <c r="AC21" s="423"/>
      <c r="AD21" s="423"/>
      <c r="AE21" s="423"/>
      <c r="AF21" s="423"/>
      <c r="AG21" s="423"/>
    </row>
    <row r="22" spans="1:33">
      <c r="A22" s="17">
        <f t="shared" si="0"/>
        <v>14</v>
      </c>
      <c r="C22" s="466" t="s">
        <v>245</v>
      </c>
      <c r="E22" s="252"/>
      <c r="F22" s="252"/>
      <c r="G22" s="252"/>
      <c r="H22" s="252"/>
      <c r="I22" s="252"/>
      <c r="J22" s="252"/>
      <c r="K22" s="252"/>
      <c r="L22" s="252"/>
      <c r="M22" s="252"/>
      <c r="N22" s="252"/>
      <c r="Q22" s="252"/>
      <c r="R22" s="252"/>
      <c r="S22" s="252"/>
      <c r="T22" s="252"/>
      <c r="U22" s="252"/>
      <c r="V22" s="252"/>
      <c r="W22" s="491"/>
      <c r="X22" s="491"/>
      <c r="Y22" s="252"/>
      <c r="Z22" s="252"/>
      <c r="AA22" s="252"/>
      <c r="AB22" s="252"/>
      <c r="AC22" s="423"/>
      <c r="AD22" s="423"/>
      <c r="AE22" s="423"/>
      <c r="AF22" s="423"/>
      <c r="AG22" s="423"/>
    </row>
    <row r="23" spans="1:33">
      <c r="A23" s="17">
        <f t="shared" si="0"/>
        <v>15</v>
      </c>
      <c r="L23" s="252"/>
      <c r="M23" s="252"/>
      <c r="N23" s="252"/>
      <c r="Q23" s="252"/>
      <c r="R23" s="252"/>
      <c r="S23" s="252"/>
      <c r="T23" s="252"/>
      <c r="U23" s="252"/>
      <c r="V23" s="252"/>
      <c r="W23" s="491"/>
      <c r="X23" s="491"/>
      <c r="Y23" s="252"/>
      <c r="Z23" s="252"/>
      <c r="AA23" s="252"/>
      <c r="AB23" s="252"/>
      <c r="AC23" s="423"/>
      <c r="AD23" s="423"/>
      <c r="AE23" s="423"/>
      <c r="AF23" s="423"/>
      <c r="AG23" s="423"/>
    </row>
    <row r="24" spans="1:33">
      <c r="A24" s="17">
        <f t="shared" si="0"/>
        <v>16</v>
      </c>
      <c r="C24" s="434" t="s">
        <v>164</v>
      </c>
      <c r="G24" s="252"/>
      <c r="Q24" s="252"/>
      <c r="R24" s="252"/>
      <c r="S24" s="252"/>
      <c r="T24" s="252"/>
      <c r="U24" s="252"/>
      <c r="V24" s="252"/>
      <c r="W24" s="252"/>
      <c r="X24" s="252"/>
      <c r="Y24" s="252"/>
      <c r="Z24" s="252"/>
      <c r="AA24" s="252"/>
      <c r="AB24" s="252"/>
      <c r="AC24" s="423"/>
      <c r="AD24" s="423"/>
      <c r="AE24" s="423"/>
      <c r="AF24" s="423"/>
      <c r="AG24" s="423"/>
    </row>
    <row r="25" spans="1:33">
      <c r="A25" s="17">
        <f t="shared" si="0"/>
        <v>17</v>
      </c>
      <c r="D25" s="248" t="s">
        <v>240</v>
      </c>
      <c r="E25" s="281">
        <v>57</v>
      </c>
      <c r="F25" s="252">
        <v>72</v>
      </c>
      <c r="G25" s="252">
        <v>156</v>
      </c>
      <c r="H25" s="252">
        <v>151</v>
      </c>
      <c r="I25" s="252">
        <v>170</v>
      </c>
      <c r="J25" s="252">
        <v>177</v>
      </c>
      <c r="K25" s="252">
        <v>223</v>
      </c>
      <c r="L25" s="252"/>
      <c r="M25" s="252">
        <v>210</v>
      </c>
      <c r="N25" s="252">
        <v>217</v>
      </c>
      <c r="P25" s="346"/>
      <c r="Q25" s="443"/>
      <c r="R25" s="252"/>
      <c r="S25" s="252"/>
      <c r="T25" s="252"/>
      <c r="U25" s="252"/>
      <c r="V25" s="252"/>
      <c r="W25" s="252"/>
      <c r="X25" s="252"/>
      <c r="Y25" s="252"/>
      <c r="Z25" s="252"/>
      <c r="AA25" s="252"/>
      <c r="AB25" s="252"/>
      <c r="AC25" s="423"/>
      <c r="AD25" s="423"/>
      <c r="AE25" s="423"/>
      <c r="AF25" s="423"/>
      <c r="AG25" s="423"/>
    </row>
    <row r="26" spans="1:33">
      <c r="A26" s="17">
        <f t="shared" si="0"/>
        <v>18</v>
      </c>
      <c r="D26" s="248" t="s">
        <v>84</v>
      </c>
      <c r="E26" s="252">
        <v>0</v>
      </c>
      <c r="F26" s="252">
        <v>0</v>
      </c>
      <c r="G26" s="252">
        <v>-1</v>
      </c>
      <c r="H26" s="252">
        <v>10</v>
      </c>
      <c r="I26" s="252">
        <v>13</v>
      </c>
      <c r="J26" s="252">
        <v>16</v>
      </c>
      <c r="K26" s="252">
        <v>12</v>
      </c>
      <c r="L26" s="252"/>
      <c r="M26" s="252">
        <v>6</v>
      </c>
      <c r="N26" s="252">
        <v>6</v>
      </c>
      <c r="P26" s="444"/>
      <c r="Q26" s="445"/>
      <c r="R26" s="252"/>
      <c r="S26" s="252"/>
      <c r="T26" s="252"/>
      <c r="U26" s="252"/>
      <c r="V26" s="252"/>
      <c r="W26" s="252"/>
      <c r="X26" s="252"/>
      <c r="Y26" s="252"/>
      <c r="Z26" s="252"/>
      <c r="AA26" s="252"/>
      <c r="AB26" s="252"/>
      <c r="AC26" s="423"/>
      <c r="AD26" s="423"/>
      <c r="AE26" s="423"/>
      <c r="AF26" s="423"/>
      <c r="AG26" s="423"/>
    </row>
    <row r="27" spans="1:33">
      <c r="A27" s="17">
        <f t="shared" si="0"/>
        <v>19</v>
      </c>
      <c r="E27" s="253">
        <f>SUM(E25:E26)</f>
        <v>57</v>
      </c>
      <c r="F27" s="253">
        <f t="shared" ref="F27:N27" si="2">SUM(F25:F26)</f>
        <v>72</v>
      </c>
      <c r="G27" s="253">
        <f t="shared" si="2"/>
        <v>155</v>
      </c>
      <c r="H27" s="253">
        <f t="shared" si="2"/>
        <v>161</v>
      </c>
      <c r="I27" s="253">
        <f t="shared" si="2"/>
        <v>183</v>
      </c>
      <c r="J27" s="253">
        <f t="shared" si="2"/>
        <v>193</v>
      </c>
      <c r="K27" s="253">
        <f t="shared" si="2"/>
        <v>235</v>
      </c>
      <c r="L27" s="252"/>
      <c r="M27" s="253">
        <f t="shared" si="2"/>
        <v>216</v>
      </c>
      <c r="N27" s="253">
        <f t="shared" si="2"/>
        <v>223</v>
      </c>
      <c r="P27" s="346">
        <v>70</v>
      </c>
      <c r="Q27" s="346">
        <v>71</v>
      </c>
      <c r="R27" s="252"/>
      <c r="S27" s="252"/>
      <c r="T27" s="252"/>
      <c r="U27" s="252"/>
      <c r="V27" s="252"/>
      <c r="W27" s="491"/>
      <c r="X27" s="491"/>
      <c r="Y27" s="252"/>
      <c r="Z27" s="252"/>
      <c r="AA27" s="252"/>
      <c r="AB27" s="252"/>
      <c r="AC27" s="423"/>
      <c r="AD27" s="423"/>
      <c r="AE27" s="423"/>
      <c r="AF27" s="423"/>
      <c r="AG27" s="423"/>
    </row>
    <row r="28" spans="1:33">
      <c r="A28" s="17">
        <f t="shared" si="0"/>
        <v>20</v>
      </c>
      <c r="E28" s="252"/>
      <c r="F28" s="252"/>
      <c r="G28" s="252"/>
      <c r="H28" s="252"/>
      <c r="I28" s="252"/>
      <c r="J28" s="252"/>
      <c r="K28" s="252"/>
      <c r="L28" s="252"/>
      <c r="M28" s="252"/>
      <c r="N28" s="252"/>
      <c r="P28" s="346"/>
      <c r="Q28" s="346"/>
      <c r="R28" s="252"/>
      <c r="S28" s="252"/>
      <c r="T28" s="252"/>
      <c r="U28" s="252"/>
      <c r="V28" s="252"/>
      <c r="W28" s="491"/>
      <c r="X28" s="491"/>
      <c r="Y28" s="252"/>
      <c r="Z28" s="252"/>
      <c r="AA28" s="252"/>
      <c r="AB28" s="252"/>
      <c r="AC28" s="423"/>
      <c r="AD28" s="423"/>
      <c r="AE28" s="423"/>
      <c r="AF28" s="423"/>
      <c r="AG28" s="423"/>
    </row>
    <row r="29" spans="1:33">
      <c r="A29" s="17">
        <f t="shared" si="0"/>
        <v>21</v>
      </c>
      <c r="C29" s="466" t="s">
        <v>246</v>
      </c>
      <c r="E29" s="252"/>
      <c r="F29" s="252"/>
      <c r="G29" s="252"/>
      <c r="H29" s="252"/>
      <c r="I29" s="252"/>
      <c r="J29" s="252"/>
      <c r="K29" s="252"/>
      <c r="L29" s="252"/>
      <c r="M29" s="252"/>
      <c r="N29" s="252"/>
      <c r="P29" s="346"/>
      <c r="Q29" s="346"/>
      <c r="R29" s="252"/>
      <c r="S29" s="252"/>
      <c r="T29" s="252"/>
      <c r="U29" s="252"/>
      <c r="V29" s="252"/>
      <c r="W29" s="491"/>
      <c r="X29" s="491"/>
      <c r="Y29" s="252"/>
      <c r="Z29" s="252"/>
      <c r="AA29" s="252"/>
      <c r="AB29" s="252"/>
      <c r="AC29" s="423"/>
      <c r="AD29" s="423"/>
      <c r="AE29" s="423"/>
      <c r="AF29" s="423"/>
      <c r="AG29" s="423"/>
    </row>
    <row r="30" spans="1:33">
      <c r="A30" s="17">
        <f t="shared" si="0"/>
        <v>22</v>
      </c>
      <c r="C30" s="466"/>
      <c r="E30" s="252"/>
      <c r="F30" s="252"/>
      <c r="G30" s="252"/>
      <c r="H30" s="252"/>
      <c r="I30" s="252"/>
      <c r="J30" s="252"/>
      <c r="K30" s="252"/>
      <c r="L30" s="252"/>
      <c r="M30" s="252"/>
      <c r="N30" s="252"/>
      <c r="P30" s="346"/>
      <c r="Q30" s="346"/>
      <c r="R30" s="252"/>
      <c r="S30" s="252"/>
      <c r="T30" s="252"/>
      <c r="U30" s="252"/>
      <c r="V30" s="252"/>
      <c r="W30" s="491"/>
      <c r="X30" s="491"/>
      <c r="Y30" s="252"/>
      <c r="Z30" s="252"/>
      <c r="AA30" s="252"/>
      <c r="AB30" s="252"/>
      <c r="AC30" s="423"/>
      <c r="AD30" s="423"/>
      <c r="AE30" s="423"/>
      <c r="AF30" s="423"/>
      <c r="AG30" s="423"/>
    </row>
    <row r="31" spans="1:33">
      <c r="A31" s="17">
        <f t="shared" si="0"/>
        <v>23</v>
      </c>
      <c r="C31" s="466" t="s">
        <v>247</v>
      </c>
      <c r="E31" s="252"/>
      <c r="F31" s="252"/>
      <c r="G31" s="252"/>
      <c r="H31" s="252"/>
      <c r="I31" s="252"/>
      <c r="J31" s="252"/>
      <c r="K31" s="252"/>
      <c r="L31" s="252"/>
      <c r="M31" s="252"/>
      <c r="N31" s="252"/>
      <c r="P31" s="346"/>
      <c r="Q31" s="346"/>
      <c r="R31" s="252"/>
      <c r="S31" s="252"/>
      <c r="T31" s="252"/>
      <c r="U31" s="252"/>
      <c r="V31" s="252"/>
      <c r="W31" s="491"/>
      <c r="X31" s="491"/>
      <c r="Y31" s="252"/>
      <c r="Z31" s="252"/>
      <c r="AA31" s="252"/>
      <c r="AB31" s="252"/>
      <c r="AC31" s="423"/>
      <c r="AD31" s="423"/>
      <c r="AE31" s="423"/>
      <c r="AF31" s="423"/>
      <c r="AG31" s="423"/>
    </row>
    <row r="32" spans="1:33">
      <c r="A32" s="17">
        <f t="shared" si="0"/>
        <v>24</v>
      </c>
      <c r="E32" s="252"/>
      <c r="F32" s="252"/>
      <c r="G32" s="252"/>
      <c r="H32" s="252"/>
      <c r="I32" s="252"/>
      <c r="J32" s="252"/>
      <c r="K32" s="252"/>
      <c r="L32" s="252"/>
      <c r="M32" s="252"/>
      <c r="N32" s="252"/>
      <c r="P32" s="346"/>
      <c r="Q32" s="346"/>
      <c r="R32" s="252"/>
      <c r="S32" s="252"/>
      <c r="T32" s="252"/>
      <c r="U32" s="252"/>
      <c r="V32" s="252"/>
      <c r="W32" s="491"/>
      <c r="X32" s="491"/>
      <c r="Y32" s="252"/>
      <c r="Z32" s="252"/>
      <c r="AA32" s="252"/>
      <c r="AB32" s="252"/>
      <c r="AC32" s="423"/>
      <c r="AD32" s="423"/>
      <c r="AE32" s="423"/>
      <c r="AF32" s="423"/>
      <c r="AG32" s="423"/>
    </row>
    <row r="33" spans="1:33">
      <c r="A33" s="17">
        <f t="shared" si="0"/>
        <v>25</v>
      </c>
      <c r="E33" s="252"/>
      <c r="F33" s="252"/>
      <c r="G33" s="252"/>
      <c r="H33" s="252"/>
      <c r="I33" s="252"/>
      <c r="J33" s="252"/>
      <c r="K33" s="252"/>
      <c r="L33" s="252"/>
      <c r="M33" s="252"/>
      <c r="N33" s="252"/>
      <c r="P33" s="346"/>
      <c r="Q33" s="346"/>
      <c r="R33" s="252"/>
      <c r="S33" s="252"/>
      <c r="T33" s="252"/>
      <c r="U33" s="252"/>
      <c r="V33" s="252"/>
      <c r="W33" s="491"/>
      <c r="X33" s="491"/>
      <c r="Y33" s="252"/>
      <c r="Z33" s="252"/>
      <c r="AA33" s="252"/>
      <c r="AB33" s="252"/>
      <c r="AC33" s="423"/>
      <c r="AD33" s="423"/>
      <c r="AE33" s="423"/>
      <c r="AF33" s="423"/>
      <c r="AG33" s="423"/>
    </row>
    <row r="34" spans="1:33">
      <c r="A34" s="17">
        <f t="shared" si="0"/>
        <v>26</v>
      </c>
      <c r="C34" s="434" t="s">
        <v>166</v>
      </c>
      <c r="R34" s="252"/>
      <c r="S34" s="252"/>
      <c r="T34" s="252"/>
      <c r="U34" s="252"/>
      <c r="V34" s="252"/>
      <c r="W34" s="252"/>
      <c r="X34" s="252"/>
      <c r="Y34" s="252"/>
      <c r="Z34" s="252"/>
      <c r="AA34" s="490"/>
      <c r="AB34" s="423"/>
      <c r="AC34" s="423"/>
      <c r="AD34" s="423"/>
      <c r="AE34" s="423"/>
      <c r="AF34" s="423"/>
      <c r="AG34" s="423"/>
    </row>
    <row r="35" spans="1:33">
      <c r="A35" s="17">
        <f t="shared" si="0"/>
        <v>27</v>
      </c>
      <c r="D35" s="248" t="s">
        <v>240</v>
      </c>
      <c r="E35" s="252">
        <v>265</v>
      </c>
      <c r="F35" s="252">
        <v>230</v>
      </c>
      <c r="G35" s="252">
        <v>317</v>
      </c>
      <c r="H35" s="252">
        <v>290</v>
      </c>
      <c r="I35" s="252">
        <v>341</v>
      </c>
      <c r="J35" s="252">
        <v>287</v>
      </c>
      <c r="K35" s="252">
        <v>240</v>
      </c>
      <c r="L35" s="252"/>
      <c r="M35" s="252">
        <v>315</v>
      </c>
      <c r="N35" s="252">
        <v>325</v>
      </c>
      <c r="P35" s="346"/>
      <c r="Q35" s="443"/>
      <c r="R35" s="252"/>
      <c r="S35" s="252"/>
      <c r="T35" s="252"/>
      <c r="U35" s="252"/>
      <c r="V35" s="252"/>
      <c r="W35" s="252"/>
      <c r="X35" s="252"/>
      <c r="Y35" s="252"/>
      <c r="Z35" s="252"/>
      <c r="AA35" s="252"/>
      <c r="AB35" s="423"/>
      <c r="AC35" s="423"/>
      <c r="AD35" s="423"/>
      <c r="AE35" s="423"/>
      <c r="AF35" s="423"/>
      <c r="AG35" s="423"/>
    </row>
    <row r="36" spans="1:33">
      <c r="A36" s="17">
        <f t="shared" si="0"/>
        <v>28</v>
      </c>
      <c r="D36" s="248" t="s">
        <v>84</v>
      </c>
      <c r="E36" s="321">
        <v>179</v>
      </c>
      <c r="F36" s="321">
        <v>135</v>
      </c>
      <c r="G36" s="321">
        <v>105</v>
      </c>
      <c r="H36" s="321">
        <v>109</v>
      </c>
      <c r="I36" s="321">
        <v>132</v>
      </c>
      <c r="J36" s="321">
        <v>248</v>
      </c>
      <c r="K36" s="321">
        <f>170+80</f>
        <v>250</v>
      </c>
      <c r="L36" s="252"/>
      <c r="M36" s="321">
        <v>251</v>
      </c>
      <c r="N36" s="252">
        <f>245+35</f>
        <v>280</v>
      </c>
      <c r="P36" s="444"/>
      <c r="Q36" s="445"/>
      <c r="R36" s="252"/>
      <c r="S36" s="252"/>
      <c r="T36" s="252"/>
      <c r="U36" s="252"/>
      <c r="V36" s="252"/>
      <c r="W36" s="491"/>
      <c r="X36" s="491"/>
      <c r="Y36" s="252"/>
      <c r="Z36" s="252"/>
      <c r="AA36" s="252"/>
      <c r="AB36" s="423"/>
      <c r="AC36" s="423"/>
      <c r="AD36" s="423"/>
      <c r="AE36" s="423"/>
      <c r="AF36" s="423"/>
      <c r="AG36" s="423"/>
    </row>
    <row r="37" spans="1:33">
      <c r="A37" s="17">
        <f t="shared" si="0"/>
        <v>29</v>
      </c>
      <c r="E37" s="252">
        <f t="shared" ref="E37:K37" si="3">SUM(E35:E36)</f>
        <v>444</v>
      </c>
      <c r="F37" s="252">
        <f t="shared" si="3"/>
        <v>365</v>
      </c>
      <c r="G37" s="252">
        <f t="shared" si="3"/>
        <v>422</v>
      </c>
      <c r="H37" s="252">
        <f t="shared" si="3"/>
        <v>399</v>
      </c>
      <c r="I37" s="252">
        <f t="shared" si="3"/>
        <v>473</v>
      </c>
      <c r="J37" s="252">
        <f t="shared" si="3"/>
        <v>535</v>
      </c>
      <c r="K37" s="252">
        <f t="shared" si="3"/>
        <v>490</v>
      </c>
      <c r="L37" s="252"/>
      <c r="M37" s="253">
        <f>M35+M36</f>
        <v>566</v>
      </c>
      <c r="N37" s="253">
        <f>N36+N35</f>
        <v>605</v>
      </c>
      <c r="P37" s="346">
        <v>493</v>
      </c>
      <c r="Q37" s="443">
        <v>502</v>
      </c>
      <c r="R37" s="252"/>
      <c r="S37" s="252"/>
      <c r="T37" s="252"/>
      <c r="U37" s="252"/>
      <c r="V37" s="252"/>
      <c r="W37" s="252"/>
      <c r="X37" s="252"/>
      <c r="Y37" s="252"/>
      <c r="Z37" s="252"/>
      <c r="AA37" s="252"/>
      <c r="AB37" s="423"/>
      <c r="AC37" s="423"/>
      <c r="AD37" s="423"/>
      <c r="AE37" s="423"/>
      <c r="AF37" s="423"/>
      <c r="AG37" s="423"/>
    </row>
    <row r="38" spans="1:33">
      <c r="A38" s="17">
        <f t="shared" si="0"/>
        <v>30</v>
      </c>
      <c r="P38" s="346"/>
      <c r="Q38" s="443"/>
      <c r="R38" s="252"/>
      <c r="S38" s="252"/>
      <c r="T38" s="252"/>
      <c r="U38" s="252"/>
      <c r="V38" s="252"/>
      <c r="W38" s="252"/>
      <c r="X38" s="252"/>
      <c r="Y38" s="252"/>
      <c r="Z38" s="252"/>
      <c r="AA38" s="252"/>
      <c r="AB38" s="423"/>
      <c r="AC38" s="423"/>
      <c r="AD38" s="423"/>
      <c r="AE38" s="423"/>
      <c r="AF38" s="423"/>
      <c r="AG38" s="423"/>
    </row>
    <row r="39" spans="1:33">
      <c r="A39" s="17">
        <f t="shared" si="0"/>
        <v>31</v>
      </c>
      <c r="C39" s="466" t="s">
        <v>248</v>
      </c>
      <c r="E39" s="252"/>
      <c r="F39" s="252"/>
      <c r="G39" s="252"/>
      <c r="H39" s="252"/>
      <c r="I39" s="252"/>
      <c r="J39" s="252"/>
      <c r="K39" s="252"/>
      <c r="L39" s="252"/>
      <c r="M39" s="252"/>
      <c r="N39" s="252"/>
      <c r="P39" s="346"/>
      <c r="Q39" s="443"/>
      <c r="R39" s="252"/>
      <c r="S39" s="252"/>
      <c r="T39" s="252"/>
      <c r="U39" s="252"/>
      <c r="V39" s="252"/>
      <c r="W39" s="252"/>
      <c r="X39" s="252"/>
      <c r="Y39" s="252"/>
      <c r="Z39" s="252"/>
      <c r="AA39" s="252"/>
      <c r="AB39" s="423"/>
      <c r="AC39" s="423"/>
      <c r="AD39" s="423"/>
      <c r="AE39" s="423"/>
      <c r="AF39" s="423"/>
      <c r="AG39" s="423"/>
    </row>
    <row r="40" spans="1:33">
      <c r="A40" s="17">
        <f t="shared" si="0"/>
        <v>32</v>
      </c>
      <c r="C40" s="466"/>
      <c r="E40" s="252"/>
      <c r="F40" s="252"/>
      <c r="G40" s="252"/>
      <c r="H40" s="252"/>
      <c r="I40" s="252"/>
      <c r="J40" s="252"/>
      <c r="K40" s="252"/>
      <c r="L40" s="252"/>
      <c r="M40" s="252"/>
      <c r="N40" s="252"/>
      <c r="P40" s="346"/>
      <c r="Q40" s="443"/>
      <c r="R40" s="252"/>
      <c r="S40" s="252"/>
      <c r="T40" s="252"/>
      <c r="U40" s="252"/>
      <c r="V40" s="252"/>
      <c r="W40" s="252"/>
      <c r="X40" s="252"/>
      <c r="Y40" s="252"/>
      <c r="Z40" s="252"/>
      <c r="AA40" s="252"/>
      <c r="AB40" s="423"/>
      <c r="AC40" s="423"/>
      <c r="AD40" s="423"/>
      <c r="AE40" s="423"/>
      <c r="AF40" s="423"/>
      <c r="AG40" s="423"/>
    </row>
    <row r="41" spans="1:33">
      <c r="A41" s="17">
        <f t="shared" si="0"/>
        <v>33</v>
      </c>
      <c r="C41" s="466" t="s">
        <v>249</v>
      </c>
      <c r="E41" s="252"/>
      <c r="F41" s="252"/>
      <c r="G41" s="252"/>
      <c r="H41" s="252"/>
      <c r="I41" s="252"/>
      <c r="J41" s="252"/>
      <c r="K41" s="252"/>
      <c r="L41" s="252"/>
      <c r="M41" s="252"/>
      <c r="N41" s="252"/>
      <c r="P41" s="346"/>
      <c r="Q41" s="443"/>
      <c r="R41" s="252"/>
      <c r="S41" s="252"/>
      <c r="T41" s="252"/>
      <c r="U41" s="252"/>
      <c r="V41" s="252"/>
      <c r="W41" s="252"/>
      <c r="X41" s="252"/>
      <c r="Y41" s="252"/>
      <c r="Z41" s="252"/>
      <c r="AA41" s="252"/>
      <c r="AB41" s="423"/>
      <c r="AC41" s="423"/>
      <c r="AD41" s="423"/>
      <c r="AE41" s="423"/>
      <c r="AF41" s="423"/>
      <c r="AG41" s="423"/>
    </row>
    <row r="42" spans="1:33">
      <c r="A42" s="17">
        <f t="shared" si="0"/>
        <v>34</v>
      </c>
      <c r="C42" s="466" t="s">
        <v>250</v>
      </c>
      <c r="E42" s="252"/>
      <c r="F42" s="252"/>
      <c r="G42" s="252"/>
      <c r="H42" s="252"/>
      <c r="I42" s="252"/>
      <c r="J42" s="252"/>
      <c r="K42" s="252"/>
      <c r="L42" s="252"/>
      <c r="M42" s="252"/>
      <c r="N42" s="252"/>
      <c r="P42" s="346"/>
      <c r="Q42" s="443"/>
      <c r="R42" s="252"/>
      <c r="S42" s="252"/>
      <c r="T42" s="252"/>
      <c r="U42" s="252"/>
      <c r="V42" s="252"/>
      <c r="W42" s="252"/>
      <c r="X42" s="252"/>
      <c r="Y42" s="252"/>
      <c r="Z42" s="252"/>
      <c r="AA42" s="252"/>
      <c r="AB42" s="423"/>
      <c r="AC42" s="423"/>
      <c r="AD42" s="423"/>
      <c r="AE42" s="423"/>
      <c r="AF42" s="423"/>
      <c r="AG42" s="423"/>
    </row>
    <row r="43" spans="1:33">
      <c r="A43" s="17">
        <f t="shared" si="0"/>
        <v>35</v>
      </c>
      <c r="C43" s="466"/>
      <c r="E43" s="252"/>
      <c r="F43" s="252"/>
      <c r="G43" s="252"/>
      <c r="H43" s="252"/>
      <c r="I43" s="252"/>
      <c r="J43" s="252"/>
      <c r="K43" s="252"/>
      <c r="L43" s="252"/>
      <c r="M43" s="252"/>
      <c r="N43" s="252"/>
      <c r="P43" s="346"/>
      <c r="Q43" s="443"/>
      <c r="R43" s="252"/>
      <c r="S43" s="252"/>
      <c r="T43" s="252"/>
      <c r="U43" s="252"/>
      <c r="V43" s="252"/>
      <c r="W43" s="252"/>
      <c r="X43" s="252"/>
      <c r="Y43" s="252"/>
      <c r="Z43" s="252"/>
      <c r="AA43" s="252"/>
      <c r="AB43" s="423"/>
      <c r="AC43" s="423"/>
      <c r="AD43" s="423"/>
      <c r="AE43" s="423"/>
      <c r="AF43" s="423"/>
      <c r="AG43" s="423"/>
    </row>
    <row r="44" spans="1:33">
      <c r="A44" s="17">
        <f t="shared" si="0"/>
        <v>36</v>
      </c>
      <c r="C44" s="466" t="s">
        <v>251</v>
      </c>
      <c r="E44" s="252"/>
      <c r="F44" s="252"/>
      <c r="G44" s="252"/>
      <c r="H44" s="252"/>
      <c r="I44" s="252"/>
      <c r="J44" s="252"/>
      <c r="K44" s="252"/>
      <c r="L44" s="252"/>
      <c r="M44" s="252"/>
      <c r="N44" s="252"/>
      <c r="P44" s="346"/>
      <c r="Q44" s="443"/>
      <c r="R44" s="252"/>
      <c r="S44" s="252"/>
      <c r="T44" s="252"/>
      <c r="U44" s="252"/>
      <c r="V44" s="252"/>
      <c r="W44" s="252"/>
      <c r="X44" s="252"/>
      <c r="Y44" s="252"/>
      <c r="Z44" s="252"/>
      <c r="AA44" s="252"/>
      <c r="AB44" s="423"/>
      <c r="AC44" s="423"/>
      <c r="AD44" s="423"/>
      <c r="AE44" s="423"/>
      <c r="AF44" s="423"/>
      <c r="AG44" s="423"/>
    </row>
    <row r="45" spans="1:33">
      <c r="A45" s="17">
        <f t="shared" si="0"/>
        <v>37</v>
      </c>
      <c r="C45" s="466"/>
      <c r="E45" s="252"/>
      <c r="F45" s="252"/>
      <c r="G45" s="252"/>
      <c r="H45" s="252"/>
      <c r="I45" s="252"/>
      <c r="J45" s="252"/>
      <c r="K45" s="252"/>
      <c r="L45" s="252"/>
      <c r="M45" s="252"/>
      <c r="N45" s="252"/>
      <c r="P45" s="346"/>
      <c r="Q45" s="443"/>
      <c r="R45" s="252"/>
      <c r="S45" s="252"/>
      <c r="T45" s="252"/>
      <c r="U45" s="252"/>
      <c r="V45" s="252"/>
      <c r="W45" s="252"/>
      <c r="X45" s="252"/>
      <c r="Y45" s="252"/>
      <c r="Z45" s="252"/>
      <c r="AA45" s="252"/>
      <c r="AB45" s="423"/>
      <c r="AC45" s="423"/>
      <c r="AD45" s="423"/>
      <c r="AE45" s="423"/>
      <c r="AF45" s="423"/>
      <c r="AG45" s="423"/>
    </row>
    <row r="46" spans="1:33">
      <c r="A46" s="17">
        <f t="shared" si="0"/>
        <v>38</v>
      </c>
      <c r="C46" s="466" t="s">
        <v>252</v>
      </c>
      <c r="E46" s="252"/>
      <c r="F46" s="252"/>
      <c r="G46" s="252"/>
      <c r="H46" s="252"/>
      <c r="I46" s="252"/>
      <c r="J46" s="252"/>
      <c r="K46" s="252"/>
      <c r="L46" s="252"/>
      <c r="M46" s="252"/>
      <c r="N46" s="252"/>
      <c r="P46" s="346"/>
      <c r="Q46" s="443"/>
      <c r="R46" s="252"/>
      <c r="S46" s="252"/>
      <c r="T46" s="252"/>
      <c r="U46" s="252"/>
      <c r="V46" s="252"/>
      <c r="W46" s="252"/>
      <c r="X46" s="252"/>
      <c r="Y46" s="252"/>
      <c r="Z46" s="252"/>
      <c r="AA46" s="252"/>
      <c r="AB46" s="423"/>
      <c r="AC46" s="423"/>
      <c r="AD46" s="423"/>
      <c r="AE46" s="423"/>
      <c r="AF46" s="423"/>
      <c r="AG46" s="423"/>
    </row>
    <row r="47" spans="1:33">
      <c r="A47" s="17">
        <f t="shared" si="0"/>
        <v>39</v>
      </c>
      <c r="C47" s="466"/>
      <c r="E47" s="252"/>
      <c r="F47" s="252"/>
      <c r="G47" s="252"/>
      <c r="H47" s="252"/>
      <c r="I47" s="252"/>
      <c r="J47" s="252"/>
      <c r="K47" s="252"/>
      <c r="L47" s="252"/>
      <c r="M47" s="252"/>
      <c r="N47" s="252"/>
      <c r="P47" s="346"/>
      <c r="Q47" s="443"/>
      <c r="R47" s="252"/>
      <c r="S47" s="252"/>
      <c r="T47" s="252"/>
      <c r="U47" s="252"/>
      <c r="V47" s="252"/>
      <c r="W47" s="252"/>
      <c r="X47" s="252"/>
      <c r="Y47" s="252"/>
      <c r="Z47" s="252"/>
      <c r="AA47" s="252"/>
      <c r="AB47" s="423"/>
      <c r="AC47" s="423"/>
      <c r="AD47" s="423"/>
      <c r="AE47" s="423"/>
      <c r="AF47" s="423"/>
      <c r="AG47" s="423"/>
    </row>
    <row r="48" spans="1:33">
      <c r="A48" s="17">
        <f t="shared" si="0"/>
        <v>40</v>
      </c>
      <c r="C48" s="466" t="s">
        <v>253</v>
      </c>
      <c r="E48" s="252"/>
      <c r="F48" s="252"/>
      <c r="G48" s="252"/>
      <c r="H48" s="252"/>
      <c r="I48" s="252"/>
      <c r="J48" s="252"/>
      <c r="K48" s="252"/>
      <c r="L48" s="252"/>
      <c r="M48" s="252"/>
      <c r="N48" s="252"/>
      <c r="P48" s="346"/>
      <c r="Q48" s="443"/>
      <c r="R48" s="252"/>
      <c r="S48" s="252"/>
      <c r="T48" s="252"/>
      <c r="U48" s="252"/>
      <c r="V48" s="252"/>
      <c r="W48" s="252"/>
      <c r="X48" s="252"/>
      <c r="Y48" s="252"/>
      <c r="Z48" s="252"/>
      <c r="AA48" s="252"/>
      <c r="AB48" s="423"/>
      <c r="AC48" s="423"/>
      <c r="AD48" s="423"/>
      <c r="AE48" s="423"/>
      <c r="AF48" s="423"/>
      <c r="AG48" s="423"/>
    </row>
    <row r="49" spans="1:33">
      <c r="A49" s="17">
        <f>A48+1</f>
        <v>41</v>
      </c>
      <c r="E49" s="252"/>
      <c r="F49" s="252"/>
      <c r="G49" s="252"/>
      <c r="H49" s="252"/>
      <c r="I49" s="252"/>
      <c r="J49" s="252"/>
      <c r="K49" s="252"/>
      <c r="L49" s="252"/>
      <c r="M49" s="252"/>
      <c r="N49" s="252"/>
      <c r="P49" s="346"/>
      <c r="Q49"/>
      <c r="R49" s="252"/>
      <c r="S49" s="252"/>
      <c r="T49" s="252"/>
      <c r="U49" s="252"/>
      <c r="V49" s="252"/>
      <c r="W49" s="252"/>
      <c r="X49" s="252"/>
      <c r="Z49" s="423"/>
      <c r="AA49" s="423"/>
      <c r="AB49" s="423"/>
      <c r="AC49" s="423"/>
      <c r="AD49" s="423"/>
      <c r="AE49" s="423"/>
      <c r="AF49" s="423"/>
      <c r="AG49" s="423"/>
    </row>
    <row r="50" spans="1:33">
      <c r="A50" s="17">
        <f t="shared" si="0"/>
        <v>42</v>
      </c>
      <c r="C50" s="434" t="s">
        <v>168</v>
      </c>
      <c r="R50" s="252"/>
      <c r="S50" s="252"/>
      <c r="T50" s="252"/>
      <c r="U50" s="252"/>
      <c r="V50" s="252"/>
      <c r="W50" s="252"/>
      <c r="X50" s="252"/>
      <c r="Y50" s="252"/>
      <c r="Z50" s="252"/>
      <c r="AA50" s="490"/>
      <c r="AB50" s="423"/>
      <c r="AC50" s="423"/>
      <c r="AD50" s="423"/>
      <c r="AE50" s="423"/>
      <c r="AF50" s="423"/>
      <c r="AG50" s="423"/>
    </row>
    <row r="51" spans="1:33">
      <c r="A51" s="17">
        <f t="shared" si="0"/>
        <v>43</v>
      </c>
      <c r="D51" s="248" t="s">
        <v>240</v>
      </c>
      <c r="E51" s="252">
        <v>8</v>
      </c>
      <c r="F51" s="252">
        <v>74</v>
      </c>
      <c r="G51" s="252">
        <v>111</v>
      </c>
      <c r="H51" s="252">
        <v>75</v>
      </c>
      <c r="I51" s="252">
        <v>90</v>
      </c>
      <c r="J51" s="252">
        <v>91</v>
      </c>
      <c r="K51" s="252">
        <v>80</v>
      </c>
      <c r="L51" s="252"/>
      <c r="M51" s="428">
        <v>132</v>
      </c>
      <c r="N51" s="252">
        <v>136</v>
      </c>
      <c r="P51" s="346"/>
      <c r="Q51" s="346"/>
      <c r="R51" s="252"/>
      <c r="S51" s="252"/>
      <c r="T51" s="252"/>
      <c r="U51" s="252"/>
      <c r="V51" s="252"/>
      <c r="W51" s="252"/>
      <c r="X51" s="252"/>
      <c r="Y51" s="252"/>
      <c r="Z51" s="252"/>
      <c r="AA51" s="252"/>
      <c r="AB51" s="423"/>
      <c r="AC51" s="423"/>
      <c r="AD51" s="423"/>
      <c r="AE51" s="423"/>
      <c r="AF51" s="423"/>
      <c r="AG51" s="423"/>
    </row>
    <row r="52" spans="1:33">
      <c r="A52" s="17">
        <f t="shared" si="0"/>
        <v>44</v>
      </c>
      <c r="D52" s="248" t="s">
        <v>84</v>
      </c>
      <c r="E52" s="321">
        <v>44</v>
      </c>
      <c r="F52" s="321">
        <v>122</v>
      </c>
      <c r="G52" s="321">
        <v>99</v>
      </c>
      <c r="H52" s="321">
        <v>21</v>
      </c>
      <c r="I52" s="321">
        <v>29</v>
      </c>
      <c r="J52" s="321">
        <v>36</v>
      </c>
      <c r="K52" s="321">
        <v>104</v>
      </c>
      <c r="L52" s="252"/>
      <c r="M52" s="418">
        <v>99</v>
      </c>
      <c r="N52" s="418">
        <f>49+52</f>
        <v>101</v>
      </c>
      <c r="P52" s="444"/>
      <c r="Q52" s="443"/>
      <c r="R52" s="252"/>
      <c r="S52" s="252"/>
      <c r="T52" s="252"/>
      <c r="U52" s="252"/>
      <c r="V52" s="252"/>
      <c r="W52" s="491"/>
      <c r="X52" s="491"/>
      <c r="Y52" s="252"/>
      <c r="Z52" s="252"/>
      <c r="AA52" s="252"/>
      <c r="AB52" s="423"/>
      <c r="AC52" s="423"/>
      <c r="AD52" s="423"/>
      <c r="AE52" s="423"/>
      <c r="AF52" s="423"/>
      <c r="AG52" s="423"/>
    </row>
    <row r="53" spans="1:33">
      <c r="A53" s="17">
        <f t="shared" si="0"/>
        <v>45</v>
      </c>
      <c r="E53" s="252">
        <f t="shared" ref="E53:K53" si="4">SUM(E51:E52)</f>
        <v>52</v>
      </c>
      <c r="F53" s="252">
        <f t="shared" si="4"/>
        <v>196</v>
      </c>
      <c r="G53" s="252">
        <f t="shared" si="4"/>
        <v>210</v>
      </c>
      <c r="H53" s="252">
        <f t="shared" si="4"/>
        <v>96</v>
      </c>
      <c r="I53" s="252">
        <f t="shared" si="4"/>
        <v>119</v>
      </c>
      <c r="J53" s="252">
        <f t="shared" si="4"/>
        <v>127</v>
      </c>
      <c r="K53" s="252">
        <f t="shared" si="4"/>
        <v>184</v>
      </c>
      <c r="L53" s="252"/>
      <c r="M53" s="252">
        <f>M51+M52</f>
        <v>231</v>
      </c>
      <c r="N53" s="252">
        <f>N51+N52</f>
        <v>237</v>
      </c>
      <c r="P53" s="346">
        <v>65</v>
      </c>
      <c r="Q53" s="446">
        <v>81</v>
      </c>
      <c r="R53" s="252"/>
      <c r="S53" s="252"/>
      <c r="T53" s="252"/>
      <c r="U53" s="252"/>
      <c r="V53" s="252"/>
      <c r="W53" s="252"/>
      <c r="X53" s="252"/>
      <c r="Z53" s="423"/>
      <c r="AA53" s="423"/>
      <c r="AB53" s="423"/>
      <c r="AC53" s="423"/>
      <c r="AD53" s="423"/>
      <c r="AE53" s="423"/>
      <c r="AF53" s="423"/>
      <c r="AG53" s="423"/>
    </row>
    <row r="54" spans="1:33">
      <c r="A54" s="17">
        <f t="shared" si="0"/>
        <v>46</v>
      </c>
      <c r="N54" s="252"/>
      <c r="P54" s="346"/>
      <c r="Q54" s="443"/>
      <c r="R54" s="252"/>
      <c r="S54" s="252"/>
      <c r="T54" s="252"/>
      <c r="U54" s="252"/>
      <c r="V54" s="252"/>
      <c r="W54" s="252"/>
      <c r="X54" s="252"/>
      <c r="Z54" s="423"/>
      <c r="AA54" s="423"/>
      <c r="AB54" s="423"/>
      <c r="AC54" s="423"/>
      <c r="AD54" s="423"/>
      <c r="AE54" s="423"/>
      <c r="AF54" s="423"/>
      <c r="AG54" s="423"/>
    </row>
    <row r="55" spans="1:33">
      <c r="A55" s="17">
        <f t="shared" si="0"/>
        <v>47</v>
      </c>
      <c r="C55" s="466" t="s">
        <v>254</v>
      </c>
      <c r="D55" s="440"/>
      <c r="E55" s="441"/>
      <c r="F55" s="441"/>
      <c r="G55" s="441"/>
      <c r="H55" s="441"/>
      <c r="I55" s="441"/>
      <c r="J55" s="441"/>
      <c r="K55" s="441"/>
      <c r="L55" s="441"/>
      <c r="M55" s="441"/>
      <c r="N55" s="441"/>
      <c r="O55" s="440"/>
      <c r="P55" s="346"/>
      <c r="Q55" s="443"/>
      <c r="R55" s="252"/>
      <c r="S55" s="252"/>
      <c r="T55" s="252"/>
      <c r="U55" s="252"/>
      <c r="V55" s="252"/>
      <c r="W55" s="252"/>
      <c r="X55" s="252"/>
      <c r="Z55" s="423"/>
      <c r="AA55" s="423"/>
      <c r="AB55" s="423"/>
      <c r="AC55" s="423"/>
      <c r="AD55" s="423"/>
      <c r="AE55" s="423"/>
      <c r="AF55" s="423"/>
      <c r="AG55" s="423"/>
    </row>
    <row r="56" spans="1:33">
      <c r="A56" s="17">
        <f t="shared" si="0"/>
        <v>48</v>
      </c>
      <c r="C56" s="466" t="s">
        <v>255</v>
      </c>
      <c r="D56" s="440"/>
      <c r="E56" s="441"/>
      <c r="F56" s="441"/>
      <c r="G56" s="441"/>
      <c r="H56" s="441"/>
      <c r="I56" s="441"/>
      <c r="J56" s="441"/>
      <c r="K56" s="441"/>
      <c r="L56" s="441"/>
      <c r="M56" s="441"/>
      <c r="N56" s="441"/>
      <c r="O56" s="440"/>
      <c r="P56" s="346"/>
      <c r="Q56" s="443"/>
      <c r="R56" s="252"/>
      <c r="S56" s="252"/>
      <c r="T56" s="252"/>
      <c r="U56" s="252"/>
      <c r="V56" s="252"/>
      <c r="W56" s="252"/>
      <c r="X56" s="252"/>
      <c r="Z56" s="423"/>
      <c r="AA56" s="423"/>
      <c r="AB56" s="423"/>
      <c r="AC56" s="423"/>
      <c r="AD56" s="423"/>
      <c r="AE56" s="423"/>
      <c r="AF56" s="423"/>
      <c r="AG56" s="423"/>
    </row>
    <row r="57" spans="1:33">
      <c r="A57" s="17">
        <f t="shared" si="0"/>
        <v>49</v>
      </c>
      <c r="C57" s="466"/>
      <c r="D57" s="440"/>
      <c r="E57" s="441"/>
      <c r="F57" s="441"/>
      <c r="G57" s="441"/>
      <c r="H57" s="441"/>
      <c r="I57" s="441"/>
      <c r="J57" s="441"/>
      <c r="K57" s="441"/>
      <c r="L57" s="441"/>
      <c r="M57" s="441"/>
      <c r="N57" s="441"/>
      <c r="O57" s="440"/>
      <c r="P57" s="346"/>
      <c r="Q57" s="443"/>
      <c r="R57" s="252"/>
      <c r="S57" s="252"/>
      <c r="T57" s="252"/>
      <c r="U57" s="252"/>
      <c r="V57" s="252"/>
      <c r="W57" s="252"/>
      <c r="X57" s="252"/>
      <c r="Z57" s="423"/>
      <c r="AA57" s="423"/>
      <c r="AB57" s="423"/>
      <c r="AC57" s="423"/>
      <c r="AD57" s="423"/>
      <c r="AE57" s="423"/>
      <c r="AF57" s="423"/>
      <c r="AG57" s="423"/>
    </row>
    <row r="58" spans="1:33">
      <c r="A58" s="17">
        <f t="shared" si="0"/>
        <v>50</v>
      </c>
      <c r="C58" s="466" t="s">
        <v>256</v>
      </c>
      <c r="D58" s="440"/>
      <c r="E58" s="441"/>
      <c r="F58" s="441"/>
      <c r="G58" s="441"/>
      <c r="H58" s="441"/>
      <c r="I58" s="441"/>
      <c r="J58" s="441"/>
      <c r="K58" s="441"/>
      <c r="L58" s="441"/>
      <c r="M58" s="441"/>
      <c r="N58" s="441"/>
      <c r="O58" s="440"/>
      <c r="P58" s="346"/>
      <c r="Q58" s="443"/>
      <c r="R58" s="252"/>
      <c r="S58" s="252"/>
      <c r="T58" s="252"/>
      <c r="U58" s="252"/>
      <c r="V58" s="252"/>
      <c r="W58" s="252"/>
      <c r="X58" s="252"/>
      <c r="Z58" s="423"/>
      <c r="AA58" s="423"/>
      <c r="AB58" s="423"/>
      <c r="AC58" s="423"/>
      <c r="AD58" s="423"/>
      <c r="AE58" s="423"/>
      <c r="AF58" s="423"/>
      <c r="AG58" s="423"/>
    </row>
    <row r="59" spans="1:33">
      <c r="A59" s="17">
        <f t="shared" si="0"/>
        <v>51</v>
      </c>
      <c r="C59" s="466"/>
      <c r="D59" s="440"/>
      <c r="E59" s="440"/>
      <c r="F59" s="440"/>
      <c r="G59" s="440"/>
      <c r="H59" s="440"/>
      <c r="I59" s="440"/>
      <c r="J59" s="440"/>
      <c r="K59" s="440"/>
      <c r="L59" s="440"/>
      <c r="M59" s="440"/>
      <c r="N59" s="440"/>
      <c r="O59" s="440"/>
      <c r="Q59" s="443"/>
      <c r="R59" s="252"/>
      <c r="S59" s="252"/>
      <c r="T59" s="252"/>
      <c r="U59" s="252"/>
      <c r="V59" s="252"/>
      <c r="W59" s="252"/>
      <c r="X59" s="252"/>
      <c r="Z59" s="423"/>
      <c r="AA59" s="423"/>
      <c r="AB59" s="423"/>
      <c r="AC59" s="423"/>
      <c r="AD59" s="423"/>
      <c r="AE59" s="423"/>
      <c r="AF59" s="423"/>
      <c r="AG59" s="423"/>
    </row>
    <row r="60" spans="1:33">
      <c r="A60" s="17">
        <f t="shared" si="0"/>
        <v>52</v>
      </c>
      <c r="C60" s="466" t="s">
        <v>257</v>
      </c>
      <c r="D60" s="440"/>
      <c r="E60" s="441"/>
      <c r="F60" s="441"/>
      <c r="G60" s="441"/>
      <c r="H60" s="441"/>
      <c r="I60" s="441"/>
      <c r="J60" s="441"/>
      <c r="K60" s="441"/>
      <c r="L60" s="441"/>
      <c r="M60" s="441"/>
      <c r="N60" s="441"/>
      <c r="O60" s="440"/>
      <c r="P60" s="346"/>
      <c r="Q60" s="443"/>
      <c r="R60" s="252"/>
      <c r="S60" s="252"/>
      <c r="T60" s="252"/>
      <c r="U60" s="252"/>
      <c r="V60" s="252"/>
      <c r="W60" s="252"/>
      <c r="X60" s="252"/>
      <c r="Z60" s="423"/>
      <c r="AA60" s="423"/>
      <c r="AB60" s="423"/>
      <c r="AC60" s="423"/>
      <c r="AD60" s="423"/>
      <c r="AE60" s="423"/>
      <c r="AF60" s="423"/>
      <c r="AG60" s="423"/>
    </row>
    <row r="61" spans="1:33">
      <c r="A61" s="17">
        <f t="shared" si="0"/>
        <v>53</v>
      </c>
      <c r="C61" s="466" t="s">
        <v>258</v>
      </c>
      <c r="D61" s="440"/>
      <c r="E61" s="441"/>
      <c r="F61" s="441"/>
      <c r="G61" s="441"/>
      <c r="H61" s="441"/>
      <c r="I61" s="441"/>
      <c r="J61" s="441"/>
      <c r="K61" s="441"/>
      <c r="L61" s="441"/>
      <c r="M61" s="441"/>
      <c r="N61" s="441"/>
      <c r="O61" s="440"/>
      <c r="P61" s="346"/>
      <c r="Q61" s="443"/>
      <c r="R61" s="252"/>
      <c r="S61" s="252"/>
      <c r="T61" s="252"/>
      <c r="U61" s="252"/>
      <c r="V61" s="252"/>
      <c r="W61" s="252"/>
      <c r="X61" s="252"/>
      <c r="Z61" s="423"/>
      <c r="AA61" s="423"/>
      <c r="AB61" s="423"/>
      <c r="AC61" s="423"/>
      <c r="AD61" s="423"/>
      <c r="AE61" s="423"/>
      <c r="AF61" s="423"/>
      <c r="AG61" s="423"/>
    </row>
    <row r="62" spans="1:33">
      <c r="A62" s="17">
        <v>54</v>
      </c>
      <c r="C62" s="466" t="s">
        <v>259</v>
      </c>
      <c r="D62" s="440"/>
      <c r="E62" s="441"/>
      <c r="F62" s="441"/>
      <c r="G62" s="441"/>
      <c r="H62" s="441"/>
      <c r="I62" s="441"/>
      <c r="J62" s="441"/>
      <c r="K62" s="441"/>
      <c r="L62" s="441"/>
      <c r="M62" s="441"/>
      <c r="N62" s="441"/>
      <c r="O62" s="440"/>
      <c r="P62" s="346"/>
      <c r="Q62" s="443"/>
      <c r="R62" s="252"/>
      <c r="S62" s="252"/>
      <c r="T62" s="252"/>
      <c r="U62" s="252"/>
      <c r="V62" s="252"/>
      <c r="W62" s="252"/>
      <c r="X62" s="252"/>
      <c r="Z62" s="423"/>
      <c r="AA62" s="423"/>
      <c r="AB62" s="423"/>
      <c r="AC62" s="423"/>
      <c r="AD62" s="423"/>
      <c r="AE62" s="423"/>
      <c r="AF62" s="423"/>
      <c r="AG62" s="423"/>
    </row>
    <row r="63" spans="1:33">
      <c r="A63" s="17">
        <f>A62+1</f>
        <v>55</v>
      </c>
      <c r="E63" s="252"/>
      <c r="F63" s="252"/>
      <c r="G63" s="252"/>
      <c r="H63" s="252"/>
      <c r="I63" s="252"/>
      <c r="J63" s="252"/>
      <c r="K63" s="252"/>
      <c r="L63" s="252"/>
      <c r="M63" s="252"/>
      <c r="N63" s="252"/>
      <c r="P63" s="346"/>
      <c r="Q63" s="346"/>
      <c r="R63" s="252"/>
      <c r="S63" s="252"/>
      <c r="T63" s="252"/>
      <c r="U63" s="252"/>
      <c r="V63" s="252"/>
      <c r="W63" s="252"/>
      <c r="X63" s="252"/>
      <c r="Z63" s="423"/>
      <c r="AA63" s="423"/>
      <c r="AB63" s="423"/>
      <c r="AC63" s="423"/>
      <c r="AD63" s="423"/>
      <c r="AE63" s="423"/>
      <c r="AF63" s="423"/>
      <c r="AG63" s="423"/>
    </row>
    <row r="64" spans="1:33">
      <c r="A64" s="17">
        <f t="shared" si="0"/>
        <v>56</v>
      </c>
      <c r="C64" s="434" t="s">
        <v>170</v>
      </c>
      <c r="R64" s="252"/>
      <c r="S64" s="252"/>
      <c r="T64" s="252"/>
      <c r="U64" s="252"/>
      <c r="V64" s="252"/>
      <c r="W64" s="252"/>
      <c r="X64" s="252"/>
      <c r="Y64" s="252"/>
      <c r="Z64" s="252"/>
      <c r="AA64" s="490"/>
      <c r="AB64" s="423"/>
      <c r="AC64" s="423"/>
      <c r="AD64" s="423"/>
      <c r="AE64" s="423"/>
      <c r="AF64" s="423"/>
      <c r="AG64" s="423"/>
    </row>
    <row r="65" spans="1:33">
      <c r="A65" s="17">
        <f t="shared" si="0"/>
        <v>57</v>
      </c>
      <c r="D65" s="248" t="s">
        <v>240</v>
      </c>
      <c r="E65" s="252">
        <v>512</v>
      </c>
      <c r="F65" s="252">
        <v>486</v>
      </c>
      <c r="G65" s="252">
        <v>562</v>
      </c>
      <c r="H65" s="252">
        <v>500</v>
      </c>
      <c r="I65" s="252">
        <v>394</v>
      </c>
      <c r="J65" s="252">
        <v>564</v>
      </c>
      <c r="K65" s="252">
        <v>518</v>
      </c>
      <c r="L65" s="252"/>
      <c r="M65" s="252">
        <v>625</v>
      </c>
      <c r="N65" s="252">
        <v>640</v>
      </c>
      <c r="P65" s="346"/>
      <c r="Q65" s="443"/>
      <c r="R65" s="252"/>
      <c r="S65" s="252"/>
      <c r="T65" s="252"/>
      <c r="U65" s="252"/>
      <c r="V65" s="252"/>
      <c r="W65" s="252"/>
      <c r="X65" s="252"/>
      <c r="Y65" s="252"/>
      <c r="Z65" s="252"/>
      <c r="AA65" s="252"/>
      <c r="AB65" s="423"/>
      <c r="AC65" s="423"/>
      <c r="AD65" s="423"/>
      <c r="AE65" s="423"/>
      <c r="AF65" s="423"/>
      <c r="AG65" s="423"/>
    </row>
    <row r="66" spans="1:33">
      <c r="A66" s="17">
        <f t="shared" si="0"/>
        <v>58</v>
      </c>
      <c r="D66" s="248" t="s">
        <v>84</v>
      </c>
      <c r="E66" s="321">
        <v>787</v>
      </c>
      <c r="F66" s="321">
        <v>977</v>
      </c>
      <c r="G66" s="321">
        <v>646</v>
      </c>
      <c r="H66" s="321">
        <v>749</v>
      </c>
      <c r="I66" s="321">
        <v>496</v>
      </c>
      <c r="J66" s="321">
        <v>807</v>
      </c>
      <c r="K66" s="321">
        <f>1463-80</f>
        <v>1383</v>
      </c>
      <c r="L66" s="252"/>
      <c r="M66" s="252">
        <f>1325-25-60</f>
        <v>1240</v>
      </c>
      <c r="N66" s="252">
        <f>1359-30-100-122-52</f>
        <v>1055</v>
      </c>
      <c r="P66" s="444"/>
      <c r="Q66" s="445"/>
      <c r="R66" s="252"/>
      <c r="S66" s="252"/>
      <c r="T66" s="252"/>
      <c r="U66" s="252"/>
      <c r="V66" s="252"/>
      <c r="W66" s="491"/>
      <c r="X66" s="491"/>
      <c r="Y66" s="254"/>
      <c r="Z66" s="254"/>
      <c r="AA66" s="252"/>
      <c r="AB66" s="423"/>
      <c r="AC66" s="423"/>
      <c r="AD66" s="423"/>
      <c r="AE66" s="423"/>
      <c r="AF66" s="423"/>
      <c r="AG66" s="423"/>
    </row>
    <row r="67" spans="1:33">
      <c r="A67" s="17">
        <f t="shared" si="0"/>
        <v>59</v>
      </c>
      <c r="E67" s="252">
        <f t="shared" ref="E67:K67" si="5">SUM(E65:E66)</f>
        <v>1299</v>
      </c>
      <c r="F67" s="252">
        <f t="shared" si="5"/>
        <v>1463</v>
      </c>
      <c r="G67" s="252">
        <f t="shared" si="5"/>
        <v>1208</v>
      </c>
      <c r="H67" s="252">
        <f t="shared" si="5"/>
        <v>1249</v>
      </c>
      <c r="I67" s="252">
        <f t="shared" si="5"/>
        <v>890</v>
      </c>
      <c r="J67" s="252">
        <f t="shared" si="5"/>
        <v>1371</v>
      </c>
      <c r="K67" s="252">
        <f t="shared" si="5"/>
        <v>1901</v>
      </c>
      <c r="L67" s="252"/>
      <c r="M67" s="253">
        <f>M65+M66</f>
        <v>1865</v>
      </c>
      <c r="N67" s="253">
        <f>N65+N66</f>
        <v>1695</v>
      </c>
      <c r="P67" s="447">
        <v>1147</v>
      </c>
      <c r="Q67" s="447">
        <v>1063</v>
      </c>
      <c r="R67" s="252"/>
      <c r="S67" s="252"/>
      <c r="T67" s="252"/>
      <c r="U67" s="252"/>
      <c r="V67" s="252"/>
      <c r="W67" s="252"/>
      <c r="X67" s="252"/>
      <c r="Z67" s="423"/>
      <c r="AA67" s="423"/>
      <c r="AB67" s="423"/>
      <c r="AC67" s="423"/>
      <c r="AD67" s="423"/>
      <c r="AE67" s="423"/>
      <c r="AF67" s="423"/>
      <c r="AG67" s="423"/>
    </row>
    <row r="68" spans="1:33">
      <c r="A68" s="17">
        <f t="shared" si="0"/>
        <v>60</v>
      </c>
      <c r="E68" s="252"/>
      <c r="F68" s="252"/>
      <c r="G68" s="252"/>
      <c r="H68" s="252"/>
      <c r="I68" s="252"/>
      <c r="J68" s="252"/>
      <c r="K68" s="252"/>
      <c r="L68" s="252"/>
      <c r="M68" s="252"/>
      <c r="N68" s="252"/>
      <c r="P68" s="346"/>
      <c r="Q68" s="447"/>
      <c r="R68" s="252"/>
      <c r="S68" s="252"/>
      <c r="T68" s="252"/>
      <c r="U68" s="252"/>
      <c r="V68" s="252"/>
      <c r="W68" s="252"/>
      <c r="X68" s="252"/>
      <c r="Z68" s="423"/>
      <c r="AA68" s="423"/>
      <c r="AB68" s="423"/>
      <c r="AC68" s="423"/>
      <c r="AD68" s="423"/>
      <c r="AE68" s="423"/>
      <c r="AF68" s="423"/>
      <c r="AG68" s="423"/>
    </row>
    <row r="69" spans="1:33">
      <c r="A69" s="17">
        <f t="shared" si="0"/>
        <v>61</v>
      </c>
      <c r="C69" s="466" t="s">
        <v>260</v>
      </c>
      <c r="E69" s="252"/>
      <c r="F69" s="252"/>
      <c r="G69" s="420"/>
      <c r="H69" s="252"/>
      <c r="I69" s="252"/>
      <c r="J69" s="252"/>
      <c r="K69" s="252"/>
      <c r="L69" s="252"/>
      <c r="M69" s="252"/>
      <c r="N69" s="252"/>
      <c r="P69" s="346"/>
      <c r="Q69" s="447"/>
      <c r="R69" s="252"/>
      <c r="S69" s="252"/>
      <c r="T69" s="252"/>
      <c r="U69" s="252"/>
      <c r="V69" s="252"/>
      <c r="W69" s="252"/>
      <c r="X69" s="252"/>
      <c r="Z69" s="423"/>
      <c r="AA69" s="423"/>
      <c r="AB69" s="423"/>
      <c r="AC69" s="423"/>
      <c r="AD69" s="423"/>
      <c r="AE69" s="423"/>
      <c r="AF69" s="423"/>
      <c r="AG69" s="423"/>
    </row>
    <row r="70" spans="1:33">
      <c r="A70" s="17">
        <f t="shared" si="0"/>
        <v>62</v>
      </c>
      <c r="C70" s="466" t="s">
        <v>261</v>
      </c>
      <c r="E70" s="252"/>
      <c r="F70" s="252"/>
      <c r="G70" s="252"/>
      <c r="H70" s="252"/>
      <c r="I70" s="252"/>
      <c r="J70" s="252"/>
      <c r="K70" s="252"/>
      <c r="L70" s="252"/>
      <c r="M70" s="252"/>
      <c r="N70" s="252"/>
      <c r="P70" s="346"/>
      <c r="Q70" s="447"/>
      <c r="R70" s="252"/>
      <c r="S70" s="252"/>
      <c r="T70" s="252"/>
      <c r="U70" s="252"/>
      <c r="V70" s="252"/>
      <c r="W70" s="252"/>
      <c r="X70" s="252"/>
      <c r="Z70" s="423"/>
      <c r="AA70" s="423"/>
      <c r="AB70" s="423"/>
      <c r="AC70" s="423"/>
      <c r="AD70" s="423"/>
      <c r="AE70" s="423"/>
      <c r="AF70" s="423"/>
      <c r="AG70" s="423"/>
    </row>
    <row r="71" spans="1:33">
      <c r="A71" s="17">
        <f t="shared" si="0"/>
        <v>63</v>
      </c>
      <c r="C71" s="466" t="s">
        <v>262</v>
      </c>
      <c r="E71" s="252"/>
      <c r="F71" s="252"/>
      <c r="G71" s="252"/>
      <c r="H71" s="252"/>
      <c r="I71" s="252"/>
      <c r="J71" s="252"/>
      <c r="K71" s="252"/>
      <c r="L71" s="252"/>
      <c r="M71" s="252"/>
      <c r="N71" s="252"/>
      <c r="P71" s="346"/>
      <c r="Q71" s="447"/>
      <c r="R71" s="252"/>
      <c r="S71" s="252"/>
      <c r="T71" s="252"/>
      <c r="U71" s="252"/>
      <c r="V71" s="252"/>
      <c r="W71" s="252"/>
      <c r="X71" s="252"/>
      <c r="Z71" s="423"/>
      <c r="AA71" s="423"/>
      <c r="AB71" s="423"/>
      <c r="AC71" s="423"/>
      <c r="AD71" s="423"/>
      <c r="AE71" s="423"/>
      <c r="AF71" s="423"/>
      <c r="AG71" s="423"/>
    </row>
    <row r="72" spans="1:33">
      <c r="A72" s="17">
        <f t="shared" si="0"/>
        <v>64</v>
      </c>
      <c r="C72" s="466"/>
      <c r="E72" s="252"/>
      <c r="F72" s="252"/>
      <c r="G72" s="252"/>
      <c r="H72" s="252"/>
      <c r="I72" s="252"/>
      <c r="J72" s="252"/>
      <c r="K72" s="252"/>
      <c r="L72" s="252"/>
      <c r="M72" s="252"/>
      <c r="N72" s="252"/>
      <c r="P72" s="346"/>
      <c r="Q72" s="447"/>
      <c r="R72" s="252"/>
      <c r="S72" s="252"/>
      <c r="T72" s="252"/>
      <c r="U72" s="252"/>
      <c r="V72" s="252"/>
      <c r="W72" s="252"/>
      <c r="X72" s="252"/>
      <c r="Z72" s="423"/>
      <c r="AA72" s="423"/>
      <c r="AB72" s="423"/>
      <c r="AC72" s="423"/>
      <c r="AD72" s="423"/>
      <c r="AE72" s="423"/>
      <c r="AF72" s="423"/>
      <c r="AG72" s="423"/>
    </row>
    <row r="73" spans="1:33">
      <c r="A73" s="17">
        <f t="shared" ref="A73:A117" si="6">A72+1</f>
        <v>65</v>
      </c>
      <c r="C73" s="466" t="s">
        <v>263</v>
      </c>
      <c r="E73" s="252"/>
      <c r="F73" s="252"/>
      <c r="G73" s="252"/>
      <c r="H73" s="252"/>
      <c r="I73" s="252"/>
      <c r="J73" s="252"/>
      <c r="K73" s="252"/>
      <c r="L73" s="252"/>
      <c r="M73" s="252"/>
      <c r="N73" s="252"/>
      <c r="P73" s="346"/>
      <c r="Q73" s="447"/>
      <c r="R73" s="252"/>
      <c r="S73" s="252"/>
      <c r="T73" s="252"/>
      <c r="U73" s="252"/>
      <c r="V73" s="252"/>
      <c r="W73" s="252"/>
      <c r="X73" s="252"/>
      <c r="Z73" s="423"/>
      <c r="AA73" s="423"/>
      <c r="AB73" s="423"/>
      <c r="AC73" s="423"/>
      <c r="AD73" s="423"/>
      <c r="AE73" s="423"/>
      <c r="AF73" s="423"/>
      <c r="AG73" s="423"/>
    </row>
    <row r="74" spans="1:33">
      <c r="A74" s="17">
        <f t="shared" si="6"/>
        <v>66</v>
      </c>
      <c r="C74" s="466"/>
      <c r="E74" s="252"/>
      <c r="F74" s="252"/>
      <c r="G74" s="252"/>
      <c r="H74" s="252"/>
      <c r="I74" s="252"/>
      <c r="J74" s="252"/>
      <c r="K74" s="252"/>
      <c r="L74" s="252"/>
      <c r="M74" s="252"/>
      <c r="N74" s="252"/>
      <c r="P74" s="346"/>
      <c r="Q74" s="447"/>
      <c r="R74" s="252"/>
      <c r="S74" s="252"/>
      <c r="T74" s="252"/>
      <c r="U74" s="252"/>
      <c r="V74" s="252"/>
      <c r="W74" s="252"/>
      <c r="X74" s="252"/>
      <c r="Z74" s="423"/>
      <c r="AA74" s="423"/>
      <c r="AB74" s="423"/>
      <c r="AC74" s="423"/>
      <c r="AD74" s="423"/>
      <c r="AE74" s="423"/>
      <c r="AF74" s="423"/>
      <c r="AG74" s="423"/>
    </row>
    <row r="75" spans="1:33">
      <c r="A75" s="17">
        <f t="shared" si="6"/>
        <v>67</v>
      </c>
      <c r="C75" s="466" t="s">
        <v>264</v>
      </c>
      <c r="E75" s="252"/>
      <c r="F75" s="252"/>
      <c r="G75" s="252"/>
      <c r="H75" s="252"/>
      <c r="I75" s="252"/>
      <c r="J75" s="252"/>
      <c r="K75" s="252"/>
      <c r="L75" s="252"/>
      <c r="M75" s="252"/>
      <c r="N75" s="252"/>
      <c r="P75" s="346"/>
      <c r="Q75" s="447"/>
      <c r="R75" s="252"/>
      <c r="S75" s="252"/>
      <c r="T75" s="252"/>
      <c r="U75" s="252"/>
      <c r="V75" s="252"/>
      <c r="W75" s="252"/>
      <c r="X75" s="252"/>
      <c r="Z75" s="423"/>
      <c r="AA75" s="423"/>
      <c r="AB75" s="423"/>
      <c r="AC75" s="423"/>
      <c r="AD75" s="423"/>
      <c r="AE75" s="423"/>
      <c r="AF75" s="423"/>
      <c r="AG75" s="423"/>
    </row>
    <row r="76" spans="1:33">
      <c r="A76" s="17">
        <f t="shared" si="6"/>
        <v>68</v>
      </c>
      <c r="E76" s="252"/>
      <c r="F76" s="252"/>
      <c r="G76" s="252"/>
      <c r="H76" s="252"/>
      <c r="I76" s="252"/>
      <c r="J76" s="252"/>
      <c r="K76" s="252"/>
      <c r="L76" s="252"/>
      <c r="M76" s="252"/>
      <c r="N76" s="252"/>
      <c r="P76" s="346"/>
      <c r="Q76" s="447"/>
      <c r="R76" s="252"/>
      <c r="S76" s="252"/>
      <c r="T76" s="252"/>
      <c r="U76" s="252"/>
      <c r="V76" s="252"/>
      <c r="W76" s="252"/>
      <c r="X76" s="252"/>
      <c r="Z76" s="423"/>
      <c r="AA76" s="423"/>
      <c r="AB76" s="423"/>
      <c r="AC76" s="423"/>
      <c r="AD76" s="423"/>
      <c r="AE76" s="423"/>
      <c r="AF76" s="423"/>
      <c r="AG76" s="423"/>
    </row>
    <row r="77" spans="1:33">
      <c r="A77" s="17">
        <f t="shared" si="6"/>
        <v>69</v>
      </c>
      <c r="E77" s="252"/>
      <c r="F77" s="254"/>
      <c r="G77" s="254"/>
      <c r="H77" s="254"/>
      <c r="I77" s="254"/>
      <c r="J77" s="254"/>
      <c r="K77" s="254"/>
      <c r="L77" s="254"/>
      <c r="M77" s="254"/>
      <c r="N77" s="254"/>
      <c r="P77" s="346"/>
      <c r="Q77" s="448"/>
      <c r="R77" s="252"/>
      <c r="S77" s="252"/>
      <c r="T77" s="252"/>
      <c r="U77" s="252"/>
      <c r="V77" s="252"/>
      <c r="W77" s="252"/>
      <c r="X77" s="252"/>
      <c r="Z77" s="423"/>
      <c r="AA77" s="423"/>
      <c r="AB77" s="423"/>
      <c r="AC77" s="423"/>
      <c r="AD77" s="423"/>
      <c r="AE77" s="423"/>
      <c r="AF77" s="423"/>
      <c r="AG77" s="423"/>
    </row>
    <row r="78" spans="1:33">
      <c r="A78" s="17">
        <f t="shared" si="6"/>
        <v>70</v>
      </c>
      <c r="B78" s="250" t="s">
        <v>265</v>
      </c>
      <c r="E78" s="255">
        <f t="shared" ref="E78:K78" si="7">E67+E53+E37+E27+E13</f>
        <v>2129</v>
      </c>
      <c r="F78" s="255">
        <f t="shared" si="7"/>
        <v>2320</v>
      </c>
      <c r="G78" s="255">
        <f t="shared" si="7"/>
        <v>2274</v>
      </c>
      <c r="H78" s="255">
        <f t="shared" si="7"/>
        <v>2114</v>
      </c>
      <c r="I78" s="255">
        <f t="shared" si="7"/>
        <v>1882</v>
      </c>
      <c r="J78" s="255">
        <f t="shared" si="7"/>
        <v>2569</v>
      </c>
      <c r="K78" s="255">
        <f t="shared" si="7"/>
        <v>3107</v>
      </c>
      <c r="L78" s="254"/>
      <c r="M78" s="255">
        <f>M67+M53+M37+M27+M13</f>
        <v>3376</v>
      </c>
      <c r="N78" s="255">
        <f>N67+N53+N37+N27+N13</f>
        <v>3096</v>
      </c>
      <c r="P78" s="449">
        <v>2047</v>
      </c>
      <c r="Q78" s="449">
        <v>1980</v>
      </c>
      <c r="R78" s="252"/>
      <c r="S78" s="252"/>
      <c r="T78" s="252"/>
      <c r="U78" s="252"/>
      <c r="V78" s="252"/>
      <c r="W78" s="252"/>
      <c r="X78" s="252"/>
      <c r="Z78" s="423"/>
      <c r="AA78" s="423"/>
      <c r="AB78" s="423"/>
      <c r="AC78" s="423"/>
      <c r="AD78" s="423"/>
      <c r="AE78" s="423"/>
      <c r="AF78" s="423"/>
      <c r="AG78" s="423"/>
    </row>
    <row r="79" spans="1:33">
      <c r="A79" s="17">
        <f t="shared" si="6"/>
        <v>71</v>
      </c>
      <c r="E79" s="254"/>
      <c r="F79" s="254"/>
      <c r="G79" s="254"/>
      <c r="H79" s="254"/>
      <c r="I79" s="254"/>
      <c r="J79" s="254"/>
      <c r="K79" s="254"/>
      <c r="L79" s="254"/>
      <c r="M79" s="254"/>
      <c r="N79" s="254"/>
      <c r="Q79" s="252"/>
      <c r="R79" s="252"/>
      <c r="S79" s="252"/>
      <c r="T79" s="252"/>
      <c r="U79" s="252"/>
      <c r="V79" s="252"/>
      <c r="W79" s="252"/>
      <c r="X79" s="252"/>
      <c r="Z79" s="423"/>
      <c r="AA79" s="423"/>
      <c r="AB79" s="423"/>
      <c r="AC79" s="423"/>
      <c r="AD79" s="423"/>
      <c r="AE79" s="423"/>
      <c r="AF79" s="423"/>
      <c r="AG79" s="423"/>
    </row>
    <row r="80" spans="1:33">
      <c r="A80" s="17">
        <f t="shared" si="6"/>
        <v>72</v>
      </c>
      <c r="B80" s="250" t="s">
        <v>266</v>
      </c>
      <c r="E80" s="252"/>
      <c r="F80" s="252"/>
      <c r="G80" s="252"/>
      <c r="H80" s="252"/>
      <c r="I80" s="252"/>
      <c r="J80" s="252"/>
      <c r="K80" s="252"/>
      <c r="L80" s="252"/>
      <c r="M80" s="252"/>
      <c r="N80" s="252"/>
      <c r="Q80" s="252"/>
      <c r="R80" s="252"/>
      <c r="S80" s="252"/>
      <c r="T80" s="252"/>
      <c r="U80" s="252"/>
      <c r="V80" s="252"/>
      <c r="W80" s="252"/>
      <c r="X80" s="252"/>
      <c r="Z80" s="423"/>
      <c r="AA80" s="423"/>
      <c r="AB80" s="423"/>
      <c r="AC80" s="423"/>
      <c r="AD80" s="423"/>
      <c r="AE80" s="423"/>
      <c r="AF80" s="423"/>
      <c r="AG80" s="423"/>
    </row>
    <row r="81" spans="1:33">
      <c r="A81" s="17">
        <f t="shared" si="6"/>
        <v>73</v>
      </c>
      <c r="C81" s="434" t="s">
        <v>173</v>
      </c>
      <c r="R81" s="252"/>
      <c r="S81" s="252"/>
      <c r="T81" s="252"/>
      <c r="U81" s="252"/>
      <c r="V81" s="252"/>
      <c r="W81" s="252"/>
      <c r="X81" s="252"/>
      <c r="Y81" s="252"/>
      <c r="Z81" s="252"/>
      <c r="AA81" s="490"/>
      <c r="AB81" s="423"/>
      <c r="AC81" s="423"/>
      <c r="AD81" s="423"/>
      <c r="AE81" s="423"/>
      <c r="AF81" s="423"/>
      <c r="AG81" s="423"/>
    </row>
    <row r="82" spans="1:33">
      <c r="A82" s="17">
        <f t="shared" si="6"/>
        <v>74</v>
      </c>
      <c r="D82" s="248" t="s">
        <v>240</v>
      </c>
      <c r="E82" s="252">
        <v>221</v>
      </c>
      <c r="F82" s="252">
        <v>272</v>
      </c>
      <c r="G82" s="252">
        <v>248</v>
      </c>
      <c r="H82" s="252">
        <v>244</v>
      </c>
      <c r="I82" s="252">
        <v>182</v>
      </c>
      <c r="J82" s="252">
        <v>248</v>
      </c>
      <c r="K82" s="252">
        <v>276</v>
      </c>
      <c r="L82" s="252"/>
      <c r="M82" s="252">
        <v>284</v>
      </c>
      <c r="N82" s="252">
        <f>M82*1.03</f>
        <v>292.52</v>
      </c>
      <c r="P82" s="346"/>
      <c r="Q82" s="443"/>
      <c r="R82" s="252"/>
      <c r="S82" s="252"/>
      <c r="T82" s="252"/>
      <c r="U82" s="252"/>
      <c r="V82" s="252"/>
      <c r="W82" s="252"/>
      <c r="X82" s="252"/>
      <c r="Y82" s="252"/>
      <c r="Z82" s="252"/>
      <c r="AA82" s="252"/>
      <c r="AB82" s="423"/>
      <c r="AC82" s="423"/>
      <c r="AD82" s="423"/>
      <c r="AE82" s="423"/>
      <c r="AF82" s="423"/>
      <c r="AG82" s="423"/>
    </row>
    <row r="83" spans="1:33">
      <c r="A83" s="17">
        <f t="shared" si="6"/>
        <v>75</v>
      </c>
      <c r="D83" s="248" t="s">
        <v>84</v>
      </c>
      <c r="E83" s="252">
        <v>39</v>
      </c>
      <c r="F83" s="321">
        <v>104</v>
      </c>
      <c r="G83" s="321">
        <v>56</v>
      </c>
      <c r="H83" s="321">
        <v>89</v>
      </c>
      <c r="I83" s="321">
        <v>54</v>
      </c>
      <c r="J83" s="321">
        <v>127</v>
      </c>
      <c r="K83" s="321">
        <v>108</v>
      </c>
      <c r="L83" s="252"/>
      <c r="M83" s="252">
        <f>130-20</f>
        <v>110</v>
      </c>
      <c r="N83" s="252">
        <f>133-20</f>
        <v>113</v>
      </c>
      <c r="P83" s="444"/>
      <c r="Q83" s="443"/>
      <c r="R83" s="252"/>
      <c r="S83" s="252"/>
      <c r="T83" s="252"/>
      <c r="U83" s="252"/>
      <c r="V83" s="252"/>
      <c r="W83" s="491"/>
      <c r="X83" s="491"/>
      <c r="Y83" s="252"/>
      <c r="Z83" s="252"/>
      <c r="AA83" s="252"/>
      <c r="AB83" s="423"/>
      <c r="AC83" s="423"/>
      <c r="AD83" s="423"/>
      <c r="AE83" s="423"/>
      <c r="AF83" s="423"/>
      <c r="AG83" s="423"/>
    </row>
    <row r="84" spans="1:33">
      <c r="A84" s="17">
        <f t="shared" si="6"/>
        <v>76</v>
      </c>
      <c r="E84" s="253">
        <f t="shared" ref="E84:K84" si="8">SUM(E82:E83)</f>
        <v>260</v>
      </c>
      <c r="F84" s="253">
        <f t="shared" si="8"/>
        <v>376</v>
      </c>
      <c r="G84" s="253">
        <f t="shared" si="8"/>
        <v>304</v>
      </c>
      <c r="H84" s="253">
        <f t="shared" si="8"/>
        <v>333</v>
      </c>
      <c r="I84" s="253">
        <f t="shared" si="8"/>
        <v>236</v>
      </c>
      <c r="J84" s="253">
        <f t="shared" si="8"/>
        <v>375</v>
      </c>
      <c r="K84" s="253">
        <f t="shared" si="8"/>
        <v>384</v>
      </c>
      <c r="L84" s="252"/>
      <c r="M84" s="253">
        <f>M82+M83</f>
        <v>394</v>
      </c>
      <c r="N84" s="253">
        <f>SUM(N82:N83)</f>
        <v>405.52</v>
      </c>
      <c r="P84" s="346">
        <v>325</v>
      </c>
      <c r="Q84" s="446">
        <v>332</v>
      </c>
      <c r="R84" s="252"/>
      <c r="S84" s="252"/>
      <c r="T84" s="252"/>
      <c r="U84" s="252"/>
      <c r="V84" s="252"/>
      <c r="W84" s="252"/>
      <c r="X84" s="252"/>
      <c r="Z84" s="423"/>
      <c r="AA84" s="423"/>
      <c r="AB84" s="423"/>
      <c r="AC84" s="423"/>
      <c r="AD84" s="423"/>
      <c r="AE84" s="423"/>
      <c r="AF84" s="423"/>
      <c r="AG84" s="423"/>
    </row>
    <row r="85" spans="1:33">
      <c r="A85" s="17">
        <f t="shared" si="6"/>
        <v>77</v>
      </c>
      <c r="L85" s="252"/>
      <c r="M85" s="252"/>
      <c r="N85" s="252"/>
      <c r="P85" s="346"/>
      <c r="Q85" s="443"/>
      <c r="R85" s="252"/>
      <c r="S85" s="252"/>
      <c r="T85" s="252"/>
      <c r="U85" s="252"/>
      <c r="V85" s="252"/>
      <c r="W85" s="252"/>
      <c r="X85" s="252"/>
      <c r="Z85" s="423"/>
      <c r="AA85" s="423"/>
      <c r="AB85" s="423"/>
      <c r="AC85" s="423"/>
      <c r="AD85" s="423"/>
      <c r="AE85" s="423"/>
      <c r="AF85" s="423"/>
      <c r="AG85" s="423"/>
    </row>
    <row r="86" spans="1:33">
      <c r="A86" s="17">
        <f t="shared" si="6"/>
        <v>78</v>
      </c>
      <c r="C86" s="466" t="s">
        <v>267</v>
      </c>
      <c r="D86" s="440"/>
      <c r="E86" s="441"/>
      <c r="F86" s="441"/>
      <c r="G86" s="441"/>
      <c r="H86" s="441"/>
      <c r="I86" s="441"/>
      <c r="J86" s="441"/>
      <c r="K86" s="441"/>
      <c r="L86" s="252"/>
      <c r="M86" s="252"/>
      <c r="N86" s="423"/>
      <c r="P86" s="346"/>
      <c r="Q86" s="443"/>
      <c r="R86" s="252"/>
      <c r="S86" s="252"/>
      <c r="T86" s="252"/>
      <c r="U86" s="252"/>
      <c r="V86" s="252"/>
      <c r="W86" s="252"/>
      <c r="X86" s="252"/>
      <c r="Z86" s="423"/>
      <c r="AA86" s="423"/>
      <c r="AB86" s="423"/>
      <c r="AC86" s="423"/>
      <c r="AD86" s="423"/>
      <c r="AE86" s="423"/>
      <c r="AF86" s="423"/>
      <c r="AG86" s="423"/>
    </row>
    <row r="87" spans="1:33">
      <c r="A87" s="17">
        <f t="shared" si="6"/>
        <v>79</v>
      </c>
      <c r="C87" s="466" t="s">
        <v>268</v>
      </c>
      <c r="D87" s="440"/>
      <c r="E87" s="441"/>
      <c r="F87" s="441"/>
      <c r="G87" s="441"/>
      <c r="H87" s="441"/>
      <c r="I87" s="441"/>
      <c r="J87" s="441"/>
      <c r="K87" s="441"/>
      <c r="L87" s="252"/>
      <c r="M87" s="252"/>
      <c r="N87" s="423"/>
      <c r="P87" s="346"/>
      <c r="Q87" s="443"/>
      <c r="R87" s="252"/>
      <c r="S87" s="252"/>
      <c r="T87" s="252"/>
      <c r="U87" s="252"/>
      <c r="V87" s="252"/>
      <c r="W87" s="252"/>
      <c r="X87" s="252"/>
      <c r="Z87" s="423"/>
      <c r="AA87" s="423"/>
      <c r="AB87" s="423"/>
      <c r="AC87" s="423"/>
      <c r="AD87" s="423"/>
      <c r="AE87" s="423"/>
      <c r="AF87" s="423"/>
      <c r="AG87" s="423"/>
    </row>
    <row r="88" spans="1:33">
      <c r="A88" s="17">
        <f t="shared" si="6"/>
        <v>80</v>
      </c>
      <c r="C88" s="466"/>
      <c r="D88" s="440"/>
      <c r="E88" s="441"/>
      <c r="F88" s="441"/>
      <c r="G88" s="441"/>
      <c r="H88" s="441"/>
      <c r="I88" s="441"/>
      <c r="J88" s="441"/>
      <c r="K88" s="441"/>
      <c r="L88" s="252"/>
      <c r="M88" s="252"/>
      <c r="N88" s="252"/>
      <c r="P88" s="346"/>
      <c r="Q88" s="443"/>
      <c r="R88" s="252"/>
      <c r="S88" s="252"/>
      <c r="T88" s="252"/>
      <c r="U88" s="252"/>
      <c r="V88" s="252"/>
      <c r="W88" s="252"/>
      <c r="X88" s="252"/>
      <c r="Z88" s="423"/>
      <c r="AA88" s="423"/>
      <c r="AB88" s="423"/>
      <c r="AC88" s="423"/>
      <c r="AD88" s="423"/>
      <c r="AE88" s="423"/>
      <c r="AF88" s="423"/>
      <c r="AG88" s="423"/>
    </row>
    <row r="89" spans="1:33">
      <c r="A89" s="17">
        <f t="shared" si="6"/>
        <v>81</v>
      </c>
      <c r="C89" s="466" t="s">
        <v>269</v>
      </c>
      <c r="D89" s="440"/>
      <c r="E89" s="441"/>
      <c r="F89" s="441"/>
      <c r="G89" s="441"/>
      <c r="H89" s="441"/>
      <c r="I89" s="441"/>
      <c r="J89" s="441"/>
      <c r="K89" s="441"/>
      <c r="L89" s="252"/>
      <c r="M89" s="252"/>
      <c r="N89" s="252"/>
      <c r="P89" s="346"/>
      <c r="Q89" s="443"/>
      <c r="R89" s="252"/>
      <c r="S89" s="252"/>
      <c r="T89" s="252"/>
      <c r="U89" s="252"/>
      <c r="V89" s="252"/>
      <c r="W89" s="252"/>
      <c r="X89" s="252"/>
      <c r="Z89" s="423"/>
      <c r="AA89" s="423"/>
      <c r="AB89" s="423"/>
      <c r="AC89" s="423"/>
      <c r="AD89" s="423"/>
      <c r="AE89" s="423"/>
      <c r="AF89" s="423"/>
      <c r="AG89" s="423"/>
    </row>
    <row r="90" spans="1:33">
      <c r="A90" s="17">
        <f t="shared" si="6"/>
        <v>82</v>
      </c>
      <c r="C90" s="466"/>
      <c r="D90" s="440"/>
      <c r="E90" s="441"/>
      <c r="F90" s="441"/>
      <c r="G90" s="441"/>
      <c r="H90" s="441"/>
      <c r="I90" s="441"/>
      <c r="J90" s="441"/>
      <c r="K90" s="441"/>
      <c r="L90" s="252"/>
      <c r="M90" s="252"/>
      <c r="N90" s="252"/>
      <c r="P90" s="346"/>
      <c r="Q90" s="443"/>
      <c r="R90" s="252"/>
      <c r="S90" s="252"/>
      <c r="T90" s="252"/>
      <c r="U90" s="252"/>
      <c r="V90" s="252"/>
      <c r="W90" s="252"/>
      <c r="X90" s="252"/>
      <c r="Z90" s="423"/>
      <c r="AA90" s="423"/>
      <c r="AB90" s="423"/>
      <c r="AC90" s="423"/>
      <c r="AD90" s="423"/>
      <c r="AE90" s="423"/>
      <c r="AF90" s="423"/>
      <c r="AG90" s="423"/>
    </row>
    <row r="91" spans="1:33">
      <c r="A91" s="17">
        <f t="shared" si="6"/>
        <v>83</v>
      </c>
      <c r="C91" s="466" t="s">
        <v>270</v>
      </c>
      <c r="D91" s="440"/>
      <c r="E91" s="441"/>
      <c r="F91" s="441"/>
      <c r="G91" s="441"/>
      <c r="H91" s="441"/>
      <c r="I91" s="441"/>
      <c r="J91" s="441"/>
      <c r="K91" s="441"/>
      <c r="L91" s="252"/>
      <c r="M91" s="252"/>
      <c r="N91" s="252"/>
      <c r="P91" s="346"/>
      <c r="Q91" s="443"/>
      <c r="R91" s="252"/>
      <c r="S91" s="252"/>
      <c r="T91" s="252"/>
      <c r="U91" s="252"/>
      <c r="V91" s="252"/>
      <c r="W91" s="252"/>
      <c r="X91" s="252"/>
      <c r="Z91" s="423"/>
      <c r="AA91" s="423"/>
      <c r="AB91" s="423"/>
      <c r="AC91" s="423"/>
      <c r="AD91" s="423"/>
      <c r="AE91" s="423"/>
      <c r="AF91" s="423"/>
      <c r="AG91" s="423"/>
    </row>
    <row r="92" spans="1:33">
      <c r="A92" s="17">
        <f t="shared" si="6"/>
        <v>84</v>
      </c>
      <c r="E92" s="252"/>
      <c r="F92" s="252"/>
      <c r="G92" s="252"/>
      <c r="H92" s="252"/>
      <c r="I92" s="252"/>
      <c r="J92" s="252"/>
      <c r="K92" s="252"/>
      <c r="L92" s="252"/>
      <c r="M92" s="252"/>
      <c r="N92" s="252"/>
      <c r="P92" s="346"/>
      <c r="Q92" s="443"/>
      <c r="R92" s="252"/>
      <c r="S92" s="252"/>
      <c r="T92" s="252"/>
      <c r="U92" s="252"/>
      <c r="V92" s="252"/>
      <c r="W92" s="252"/>
      <c r="X92" s="252"/>
      <c r="Z92" s="423"/>
      <c r="AA92" s="423"/>
      <c r="AB92" s="423"/>
      <c r="AC92" s="423"/>
      <c r="AD92" s="423"/>
      <c r="AE92" s="423"/>
      <c r="AF92" s="423"/>
      <c r="AG92" s="423"/>
    </row>
    <row r="93" spans="1:33">
      <c r="A93" s="17">
        <f t="shared" si="6"/>
        <v>85</v>
      </c>
      <c r="C93" s="434" t="s">
        <v>175</v>
      </c>
      <c r="E93" s="252"/>
      <c r="F93" s="252"/>
      <c r="G93" s="252"/>
      <c r="H93" s="252"/>
      <c r="I93" s="252"/>
      <c r="J93" s="252"/>
      <c r="K93" s="252"/>
      <c r="L93" s="252"/>
      <c r="M93" s="252"/>
      <c r="N93" s="252"/>
      <c r="P93" s="346"/>
      <c r="Q93" s="346"/>
      <c r="R93" s="252"/>
      <c r="S93" s="252"/>
      <c r="T93" s="252"/>
      <c r="U93" s="252"/>
      <c r="V93" s="252"/>
      <c r="W93" s="252"/>
      <c r="X93" s="252"/>
      <c r="Z93" s="423"/>
      <c r="AA93" s="423"/>
      <c r="AB93" s="423"/>
      <c r="AC93" s="423"/>
      <c r="AD93" s="423"/>
      <c r="AE93" s="423"/>
      <c r="AF93" s="423"/>
      <c r="AG93" s="423"/>
    </row>
    <row r="94" spans="1:33">
      <c r="A94" s="17">
        <f t="shared" si="6"/>
        <v>86</v>
      </c>
      <c r="D94" s="248" t="s">
        <v>240</v>
      </c>
      <c r="E94" s="252">
        <v>38</v>
      </c>
      <c r="F94" s="252">
        <v>46</v>
      </c>
      <c r="G94" s="252">
        <v>31</v>
      </c>
      <c r="H94" s="252">
        <v>48</v>
      </c>
      <c r="I94" s="252">
        <v>36</v>
      </c>
      <c r="J94" s="252">
        <v>52</v>
      </c>
      <c r="K94" s="252">
        <v>58</v>
      </c>
      <c r="L94" s="252"/>
      <c r="M94" s="252">
        <f>38+30</f>
        <v>68</v>
      </c>
      <c r="N94" s="252">
        <f>40+30</f>
        <v>70</v>
      </c>
      <c r="P94" s="346"/>
      <c r="Q94" s="443"/>
      <c r="R94" s="252"/>
      <c r="S94" s="252"/>
      <c r="T94" s="252"/>
      <c r="U94" s="252"/>
      <c r="V94" s="252"/>
      <c r="W94" s="252"/>
      <c r="X94" s="252"/>
      <c r="Y94" s="252"/>
      <c r="Z94" s="252"/>
      <c r="AA94" s="490"/>
      <c r="AB94" s="423"/>
      <c r="AC94" s="423"/>
      <c r="AD94" s="423"/>
      <c r="AE94" s="423"/>
      <c r="AF94" s="423"/>
      <c r="AG94" s="423"/>
    </row>
    <row r="95" spans="1:33">
      <c r="A95" s="17">
        <f t="shared" si="6"/>
        <v>87</v>
      </c>
      <c r="D95" s="248" t="s">
        <v>84</v>
      </c>
      <c r="E95" s="252">
        <v>422</v>
      </c>
      <c r="F95" s="321">
        <v>635</v>
      </c>
      <c r="G95" s="321">
        <v>247</v>
      </c>
      <c r="H95" s="321">
        <v>410</v>
      </c>
      <c r="I95" s="321">
        <v>430</v>
      </c>
      <c r="J95" s="321">
        <v>743</v>
      </c>
      <c r="K95" s="321">
        <v>849</v>
      </c>
      <c r="L95" s="252"/>
      <c r="M95" s="252">
        <v>538</v>
      </c>
      <c r="N95" s="252">
        <v>551</v>
      </c>
      <c r="P95" s="444"/>
      <c r="Q95" s="443"/>
      <c r="R95" s="252"/>
      <c r="S95" s="252"/>
      <c r="T95" s="252"/>
      <c r="U95" s="252"/>
      <c r="V95" s="252"/>
      <c r="W95" s="252"/>
      <c r="X95" s="252"/>
      <c r="Y95" s="252"/>
      <c r="Z95" s="252"/>
      <c r="AA95" s="252"/>
      <c r="AB95" s="423"/>
      <c r="AC95" s="423"/>
      <c r="AD95" s="423"/>
      <c r="AE95" s="423"/>
      <c r="AF95" s="423"/>
      <c r="AG95" s="423"/>
    </row>
    <row r="96" spans="1:33">
      <c r="A96" s="17">
        <f t="shared" si="6"/>
        <v>88</v>
      </c>
      <c r="E96" s="253">
        <f t="shared" ref="E96:K96" si="9">SUM(E94:E95)</f>
        <v>460</v>
      </c>
      <c r="F96" s="253">
        <f t="shared" si="9"/>
        <v>681</v>
      </c>
      <c r="G96" s="253">
        <f t="shared" si="9"/>
        <v>278</v>
      </c>
      <c r="H96" s="253">
        <f t="shared" si="9"/>
        <v>458</v>
      </c>
      <c r="I96" s="253">
        <f t="shared" si="9"/>
        <v>466</v>
      </c>
      <c r="J96" s="253">
        <f t="shared" si="9"/>
        <v>795</v>
      </c>
      <c r="K96" s="253">
        <f t="shared" si="9"/>
        <v>907</v>
      </c>
      <c r="L96" s="252"/>
      <c r="M96" s="253">
        <f>M95+M94</f>
        <v>606</v>
      </c>
      <c r="N96" s="253">
        <f>N94+N95</f>
        <v>621</v>
      </c>
      <c r="P96" s="346">
        <v>413</v>
      </c>
      <c r="Q96" s="446">
        <v>421</v>
      </c>
      <c r="R96" s="252"/>
      <c r="S96" s="252"/>
      <c r="T96" s="252"/>
      <c r="U96" s="252"/>
      <c r="V96" s="252"/>
      <c r="W96" s="491"/>
      <c r="X96" s="491"/>
      <c r="Y96" s="252"/>
      <c r="Z96" s="252"/>
      <c r="AA96" s="252"/>
      <c r="AB96" s="423"/>
      <c r="AC96" s="423"/>
      <c r="AD96" s="423"/>
      <c r="AE96" s="423"/>
      <c r="AF96" s="423"/>
      <c r="AG96" s="423"/>
    </row>
    <row r="97" spans="1:33">
      <c r="A97" s="17">
        <f t="shared" si="6"/>
        <v>89</v>
      </c>
      <c r="E97" s="252"/>
      <c r="F97" s="252"/>
      <c r="G97" s="252"/>
      <c r="H97" s="252"/>
      <c r="I97" s="252"/>
      <c r="J97" s="252"/>
      <c r="K97" s="252"/>
      <c r="L97" s="252"/>
      <c r="M97" s="252"/>
      <c r="N97" s="252"/>
      <c r="P97" s="346"/>
      <c r="Q97" s="443"/>
      <c r="R97" s="252"/>
      <c r="S97" s="252"/>
      <c r="T97" s="252"/>
      <c r="U97" s="252"/>
      <c r="V97" s="252"/>
      <c r="W97" s="252"/>
      <c r="X97" s="252"/>
      <c r="Z97" s="423"/>
      <c r="AA97" s="423"/>
      <c r="AB97" s="423"/>
      <c r="AC97" s="423"/>
      <c r="AD97" s="423"/>
      <c r="AE97" s="423"/>
      <c r="AF97" s="423"/>
      <c r="AG97" s="423"/>
    </row>
    <row r="98" spans="1:33">
      <c r="A98" s="17">
        <f t="shared" si="6"/>
        <v>90</v>
      </c>
      <c r="C98" s="469" t="s">
        <v>271</v>
      </c>
      <c r="E98" s="252"/>
      <c r="F98" s="252"/>
      <c r="G98" s="252"/>
      <c r="H98" s="252"/>
      <c r="I98" s="252"/>
      <c r="J98" s="252"/>
      <c r="K98" s="252"/>
      <c r="L98" s="252"/>
      <c r="M98" s="252"/>
      <c r="N98" s="252"/>
      <c r="P98" s="346"/>
      <c r="Q98" s="443"/>
      <c r="R98" s="252"/>
      <c r="S98" s="252"/>
      <c r="T98" s="252"/>
      <c r="U98" s="252"/>
      <c r="V98" s="252"/>
      <c r="W98" s="252"/>
      <c r="X98" s="252"/>
      <c r="Z98" s="423"/>
      <c r="AA98" s="423"/>
      <c r="AB98" s="423"/>
      <c r="AC98" s="423"/>
      <c r="AD98" s="423"/>
      <c r="AE98" s="423"/>
      <c r="AF98" s="423"/>
      <c r="AG98" s="423"/>
    </row>
    <row r="99" spans="1:33">
      <c r="A99" s="17">
        <f t="shared" si="6"/>
        <v>91</v>
      </c>
      <c r="C99" s="98"/>
      <c r="E99" s="252"/>
      <c r="F99" s="252"/>
      <c r="G99" s="252"/>
      <c r="H99" s="252"/>
      <c r="I99" s="252"/>
      <c r="J99" s="252"/>
      <c r="K99" s="252"/>
      <c r="L99" s="252"/>
      <c r="M99" s="252"/>
      <c r="N99" s="252"/>
      <c r="P99" s="346"/>
      <c r="Q99" s="443"/>
      <c r="R99" s="252"/>
      <c r="S99" s="252"/>
      <c r="T99" s="252"/>
      <c r="U99" s="252"/>
      <c r="V99" s="252"/>
      <c r="W99" s="252"/>
      <c r="X99" s="252"/>
      <c r="Z99" s="423"/>
      <c r="AA99" s="423"/>
      <c r="AB99" s="423"/>
      <c r="AC99" s="423"/>
      <c r="AD99" s="423"/>
      <c r="AE99" s="423"/>
      <c r="AF99" s="423"/>
      <c r="AG99" s="423"/>
    </row>
    <row r="100" spans="1:33">
      <c r="A100" s="17">
        <f t="shared" si="6"/>
        <v>92</v>
      </c>
      <c r="C100" s="469" t="s">
        <v>272</v>
      </c>
      <c r="E100" s="252"/>
      <c r="F100" s="252"/>
      <c r="G100" s="252"/>
      <c r="H100" s="252"/>
      <c r="I100" s="252"/>
      <c r="J100" s="252"/>
      <c r="K100" s="252"/>
      <c r="L100" s="252"/>
      <c r="M100" s="252"/>
      <c r="N100" s="252"/>
      <c r="P100" s="346"/>
      <c r="Q100" s="443"/>
      <c r="R100" s="252"/>
      <c r="S100" s="252"/>
      <c r="T100" s="252"/>
      <c r="U100" s="252"/>
      <c r="V100" s="252"/>
      <c r="W100" s="252"/>
      <c r="X100" s="252"/>
      <c r="Z100" s="423"/>
      <c r="AA100" s="423"/>
      <c r="AB100" s="423"/>
      <c r="AC100" s="423"/>
      <c r="AD100" s="423"/>
      <c r="AE100" s="423"/>
      <c r="AF100" s="423"/>
      <c r="AG100" s="423"/>
    </row>
    <row r="101" spans="1:33">
      <c r="A101" s="17">
        <f t="shared" si="6"/>
        <v>93</v>
      </c>
      <c r="C101" s="160"/>
      <c r="E101" s="252"/>
      <c r="F101" s="252"/>
      <c r="G101" s="252"/>
      <c r="H101" s="252"/>
      <c r="I101" s="252"/>
      <c r="J101" s="252"/>
      <c r="K101" s="252"/>
      <c r="L101" s="252"/>
      <c r="M101" s="252"/>
      <c r="N101" s="252"/>
      <c r="P101" s="346"/>
      <c r="Q101" s="443"/>
      <c r="R101" s="252"/>
      <c r="S101" s="252"/>
      <c r="T101" s="252"/>
      <c r="U101" s="252"/>
      <c r="V101" s="252"/>
      <c r="W101" s="252"/>
      <c r="X101" s="252"/>
      <c r="Z101" s="423"/>
      <c r="AA101" s="423"/>
      <c r="AB101" s="423"/>
      <c r="AC101" s="423"/>
      <c r="AD101" s="423"/>
      <c r="AE101" s="423"/>
      <c r="AF101" s="423"/>
      <c r="AG101" s="423"/>
    </row>
    <row r="102" spans="1:33">
      <c r="A102" s="17">
        <f t="shared" si="6"/>
        <v>94</v>
      </c>
      <c r="C102" s="469" t="s">
        <v>273</v>
      </c>
      <c r="E102" s="252"/>
      <c r="F102" s="252"/>
      <c r="G102" s="252"/>
      <c r="H102" s="252"/>
      <c r="I102" s="252"/>
      <c r="J102" s="252"/>
      <c r="K102" s="252"/>
      <c r="L102" s="252"/>
      <c r="M102" s="252"/>
      <c r="N102" s="252"/>
      <c r="P102" s="346"/>
      <c r="Q102" s="443"/>
      <c r="R102" s="252"/>
      <c r="S102" s="252"/>
      <c r="T102" s="252"/>
      <c r="U102" s="252"/>
      <c r="V102" s="252"/>
      <c r="W102" s="252"/>
      <c r="X102" s="252"/>
      <c r="Z102" s="423"/>
      <c r="AA102" s="423"/>
      <c r="AB102" s="423"/>
      <c r="AC102" s="423"/>
      <c r="AD102" s="423"/>
      <c r="AE102" s="423"/>
      <c r="AF102" s="423"/>
      <c r="AG102" s="423"/>
    </row>
    <row r="103" spans="1:33">
      <c r="A103" s="17">
        <f t="shared" si="6"/>
        <v>95</v>
      </c>
      <c r="E103" s="252"/>
      <c r="F103" s="252"/>
      <c r="G103" s="252"/>
      <c r="H103" s="252"/>
      <c r="I103" s="252"/>
      <c r="J103" s="252"/>
      <c r="K103" s="252"/>
      <c r="L103" s="252"/>
      <c r="M103" s="252"/>
      <c r="N103" s="252"/>
      <c r="P103" s="346"/>
      <c r="Q103" s="443"/>
      <c r="R103" s="252"/>
      <c r="S103" s="252"/>
      <c r="T103" s="252"/>
      <c r="U103" s="252"/>
      <c r="V103" s="252"/>
      <c r="W103" s="252"/>
      <c r="X103" s="252"/>
      <c r="Z103" s="423"/>
      <c r="AA103" s="423"/>
      <c r="AB103" s="423"/>
      <c r="AC103" s="423"/>
      <c r="AD103" s="423"/>
      <c r="AE103" s="423"/>
      <c r="AF103" s="423"/>
      <c r="AG103" s="423"/>
    </row>
    <row r="104" spans="1:33">
      <c r="A104" s="17">
        <f t="shared" si="6"/>
        <v>96</v>
      </c>
      <c r="C104" s="28" t="s">
        <v>274</v>
      </c>
      <c r="E104" s="252"/>
      <c r="F104" s="252"/>
      <c r="G104" s="252"/>
      <c r="H104" s="252"/>
      <c r="I104" s="252"/>
      <c r="J104" s="252"/>
      <c r="K104" s="252"/>
      <c r="L104" s="252"/>
      <c r="M104" s="252"/>
      <c r="N104" s="252"/>
      <c r="P104" s="346"/>
      <c r="Q104" s="443"/>
      <c r="R104" s="252"/>
      <c r="S104" s="252"/>
      <c r="T104" s="252"/>
      <c r="U104" s="252"/>
      <c r="V104" s="252"/>
      <c r="W104" s="252"/>
      <c r="X104" s="252"/>
      <c r="Z104" s="423"/>
      <c r="AA104" s="423"/>
      <c r="AB104" s="423"/>
      <c r="AC104" s="423"/>
      <c r="AD104" s="423"/>
      <c r="AE104" s="423"/>
      <c r="AF104" s="423"/>
      <c r="AG104" s="423"/>
    </row>
    <row r="105" spans="1:33">
      <c r="A105" s="17">
        <f t="shared" si="6"/>
        <v>97</v>
      </c>
      <c r="C105" s="466" t="s">
        <v>275</v>
      </c>
      <c r="K105" s="252"/>
      <c r="L105" s="252"/>
      <c r="M105" s="252"/>
      <c r="N105" s="252"/>
      <c r="P105" s="346"/>
      <c r="Q105" s="443"/>
      <c r="R105" s="252"/>
      <c r="S105" s="252"/>
      <c r="T105" s="252"/>
      <c r="U105" s="252"/>
      <c r="V105" s="252"/>
      <c r="W105" s="252"/>
      <c r="X105" s="252"/>
      <c r="Z105" s="423"/>
      <c r="AA105" s="423"/>
      <c r="AB105" s="423"/>
      <c r="AC105" s="423"/>
      <c r="AD105" s="423"/>
      <c r="AE105" s="423"/>
      <c r="AF105" s="423"/>
      <c r="AG105" s="423"/>
    </row>
    <row r="106" spans="1:33">
      <c r="A106" s="17">
        <f t="shared" si="6"/>
        <v>98</v>
      </c>
      <c r="C106" s="160" t="s">
        <v>156</v>
      </c>
      <c r="E106" s="252"/>
      <c r="F106" s="252"/>
      <c r="G106" s="252"/>
      <c r="H106" s="252"/>
      <c r="I106" s="252"/>
      <c r="J106" s="252"/>
      <c r="K106" s="252"/>
      <c r="L106" s="252"/>
      <c r="M106" s="252"/>
      <c r="N106" s="252"/>
      <c r="P106" s="346"/>
      <c r="Q106" s="443"/>
      <c r="R106" s="252"/>
      <c r="S106" s="252"/>
      <c r="T106" s="252"/>
      <c r="U106" s="252"/>
      <c r="V106" s="252"/>
      <c r="W106" s="252"/>
      <c r="X106" s="252"/>
      <c r="Z106" s="423"/>
      <c r="AA106" s="423"/>
      <c r="AB106" s="423"/>
      <c r="AC106" s="423"/>
      <c r="AD106" s="423"/>
      <c r="AE106" s="423"/>
      <c r="AF106" s="423"/>
      <c r="AG106" s="423"/>
    </row>
    <row r="107" spans="1:33">
      <c r="A107" s="17">
        <f t="shared" si="6"/>
        <v>99</v>
      </c>
      <c r="C107" s="28" t="s">
        <v>276</v>
      </c>
      <c r="E107" s="252"/>
      <c r="F107" s="252"/>
      <c r="G107" s="252"/>
      <c r="H107" s="252"/>
      <c r="I107" s="252"/>
      <c r="J107" s="252"/>
      <c r="K107" s="252"/>
      <c r="L107" s="252"/>
      <c r="M107" s="252"/>
      <c r="N107" s="252"/>
      <c r="P107" s="346"/>
      <c r="Q107" s="443"/>
      <c r="R107" s="252"/>
      <c r="S107" s="252"/>
      <c r="T107" s="252"/>
      <c r="U107" s="252"/>
      <c r="V107" s="252"/>
      <c r="W107" s="252"/>
      <c r="X107" s="252"/>
      <c r="Z107" s="423"/>
      <c r="AA107" s="423"/>
      <c r="AB107" s="423"/>
      <c r="AC107" s="423"/>
      <c r="AD107" s="423"/>
      <c r="AE107" s="423"/>
      <c r="AF107" s="423"/>
      <c r="AG107" s="423"/>
    </row>
    <row r="108" spans="1:33">
      <c r="A108" s="17">
        <f t="shared" si="6"/>
        <v>100</v>
      </c>
      <c r="C108" s="28" t="s">
        <v>277</v>
      </c>
      <c r="E108" s="252"/>
      <c r="F108" s="252"/>
      <c r="G108" s="252"/>
      <c r="H108" s="252"/>
      <c r="I108" s="252"/>
      <c r="J108" s="252"/>
      <c r="K108" s="252"/>
      <c r="L108" s="252"/>
      <c r="M108" s="252"/>
      <c r="N108" s="252"/>
      <c r="P108" s="346"/>
      <c r="Q108" s="443"/>
      <c r="R108" s="252"/>
      <c r="S108" s="252"/>
      <c r="T108" s="252"/>
      <c r="U108" s="252"/>
      <c r="V108" s="252"/>
      <c r="W108" s="252"/>
      <c r="X108" s="252"/>
      <c r="Z108" s="423"/>
      <c r="AA108" s="423"/>
      <c r="AB108" s="423"/>
      <c r="AC108" s="423"/>
      <c r="AD108" s="423"/>
      <c r="AE108" s="423"/>
      <c r="AF108" s="423"/>
      <c r="AG108" s="423"/>
    </row>
    <row r="109" spans="1:33">
      <c r="A109" s="17">
        <f t="shared" si="6"/>
        <v>101</v>
      </c>
      <c r="K109" s="252"/>
      <c r="L109" s="252"/>
      <c r="M109" s="252"/>
      <c r="N109" s="252"/>
      <c r="P109" s="346"/>
      <c r="Q109" s="443"/>
      <c r="R109" s="252"/>
      <c r="S109" s="252"/>
      <c r="T109" s="252"/>
      <c r="U109" s="252"/>
      <c r="V109" s="252"/>
      <c r="W109" s="252"/>
      <c r="X109" s="252"/>
      <c r="Z109" s="423"/>
      <c r="AA109" s="423"/>
      <c r="AB109" s="423"/>
      <c r="AC109" s="423"/>
      <c r="AD109" s="423"/>
      <c r="AE109" s="423"/>
      <c r="AF109" s="423"/>
      <c r="AG109" s="423"/>
    </row>
    <row r="110" spans="1:33">
      <c r="A110" s="17">
        <f t="shared" si="6"/>
        <v>102</v>
      </c>
      <c r="C110" s="434" t="s">
        <v>177</v>
      </c>
      <c r="E110" s="252"/>
      <c r="F110" s="252"/>
      <c r="G110" s="252"/>
      <c r="H110" s="252"/>
      <c r="I110" s="252"/>
      <c r="J110" s="252"/>
      <c r="K110" s="252"/>
      <c r="L110" s="252"/>
      <c r="M110" s="252"/>
      <c r="N110" s="252"/>
      <c r="P110" s="346"/>
      <c r="Q110" s="346"/>
      <c r="R110" s="252"/>
      <c r="S110" s="252"/>
      <c r="T110" s="252"/>
      <c r="U110" s="252"/>
      <c r="V110" s="252"/>
      <c r="W110" s="252"/>
      <c r="X110" s="252"/>
      <c r="Z110" s="423"/>
      <c r="AA110" s="423"/>
      <c r="AB110" s="423"/>
      <c r="AC110" s="423"/>
      <c r="AD110" s="423"/>
      <c r="AE110" s="423"/>
      <c r="AF110" s="423"/>
      <c r="AG110" s="423"/>
    </row>
    <row r="111" spans="1:33">
      <c r="A111" s="17">
        <f t="shared" si="6"/>
        <v>103</v>
      </c>
      <c r="D111" s="248" t="s">
        <v>84</v>
      </c>
      <c r="E111" s="252">
        <v>-272</v>
      </c>
      <c r="F111" s="252">
        <v>-311</v>
      </c>
      <c r="G111" s="252">
        <v>-327</v>
      </c>
      <c r="H111" s="252">
        <v>-319</v>
      </c>
      <c r="I111" s="252">
        <v>-344</v>
      </c>
      <c r="J111" s="252">
        <v>-336</v>
      </c>
      <c r="K111" s="252">
        <v>-360</v>
      </c>
      <c r="L111" s="252"/>
      <c r="M111" s="252">
        <v>-352</v>
      </c>
      <c r="N111" s="252">
        <v>-361</v>
      </c>
      <c r="P111" s="450"/>
      <c r="Q111" s="450"/>
      <c r="R111" s="252"/>
      <c r="S111" s="252"/>
      <c r="T111" s="252"/>
      <c r="U111" s="252"/>
      <c r="V111" s="252"/>
      <c r="W111" s="252"/>
      <c r="X111" s="252"/>
      <c r="Y111" s="252"/>
      <c r="Z111" s="252"/>
      <c r="AA111" s="490"/>
      <c r="AB111" s="423"/>
      <c r="AC111" s="423"/>
      <c r="AD111" s="423"/>
      <c r="AE111" s="423"/>
      <c r="AF111" s="423"/>
      <c r="AG111" s="423"/>
    </row>
    <row r="112" spans="1:33">
      <c r="A112" s="17">
        <f t="shared" si="6"/>
        <v>104</v>
      </c>
      <c r="E112" s="253">
        <f t="shared" ref="E112:K112" si="10">SUM(E111)</f>
        <v>-272</v>
      </c>
      <c r="F112" s="253">
        <f t="shared" si="10"/>
        <v>-311</v>
      </c>
      <c r="G112" s="253">
        <f t="shared" si="10"/>
        <v>-327</v>
      </c>
      <c r="H112" s="253">
        <f t="shared" si="10"/>
        <v>-319</v>
      </c>
      <c r="I112" s="253">
        <f t="shared" si="10"/>
        <v>-344</v>
      </c>
      <c r="J112" s="253">
        <f t="shared" si="10"/>
        <v>-336</v>
      </c>
      <c r="K112" s="253">
        <f t="shared" si="10"/>
        <v>-360</v>
      </c>
      <c r="L112" s="252"/>
      <c r="M112" s="253">
        <f>M111</f>
        <v>-352</v>
      </c>
      <c r="N112" s="253">
        <f>N111</f>
        <v>-361</v>
      </c>
      <c r="P112" s="451">
        <v>-211</v>
      </c>
      <c r="Q112" s="451">
        <v>-215</v>
      </c>
      <c r="R112" s="252"/>
      <c r="S112" s="252"/>
      <c r="T112" s="252"/>
      <c r="U112" s="252"/>
      <c r="V112" s="252"/>
      <c r="W112" s="252"/>
      <c r="X112" s="252"/>
      <c r="Y112" s="252"/>
      <c r="Z112" s="252"/>
      <c r="AA112" s="252"/>
      <c r="AB112" s="423"/>
      <c r="AC112" s="423"/>
      <c r="AD112" s="423"/>
      <c r="AE112" s="423"/>
      <c r="AF112" s="423"/>
      <c r="AG112" s="423"/>
    </row>
    <row r="113" spans="1:33">
      <c r="A113" s="17">
        <f t="shared" si="6"/>
        <v>105</v>
      </c>
      <c r="R113" s="252"/>
      <c r="S113" s="252"/>
      <c r="T113" s="252"/>
      <c r="U113" s="252"/>
      <c r="V113" s="252"/>
      <c r="W113" s="491"/>
      <c r="X113" s="491"/>
      <c r="Y113" s="252"/>
      <c r="Z113" s="252"/>
      <c r="AA113" s="252"/>
      <c r="AB113" s="423"/>
      <c r="AC113" s="423"/>
      <c r="AD113" s="423"/>
      <c r="AE113" s="423"/>
      <c r="AF113" s="423"/>
      <c r="AG113" s="423"/>
    </row>
    <row r="114" spans="1:33">
      <c r="A114" s="17">
        <f t="shared" si="6"/>
        <v>106</v>
      </c>
      <c r="C114" s="434" t="s">
        <v>179</v>
      </c>
      <c r="E114" s="252"/>
      <c r="F114" s="252"/>
      <c r="G114" s="252"/>
      <c r="H114" s="252"/>
      <c r="I114" s="252"/>
      <c r="J114" s="252"/>
      <c r="K114" s="252"/>
      <c r="L114" s="252"/>
      <c r="M114" s="252"/>
      <c r="N114" s="252"/>
      <c r="P114" s="346"/>
      <c r="Q114" s="346"/>
      <c r="R114" s="252"/>
      <c r="S114" s="252"/>
      <c r="T114" s="252"/>
      <c r="U114" s="252"/>
      <c r="V114" s="252"/>
      <c r="W114" s="252"/>
      <c r="X114" s="252"/>
      <c r="Z114" s="423"/>
      <c r="AA114" s="423"/>
      <c r="AB114" s="423"/>
      <c r="AC114" s="423"/>
      <c r="AD114" s="423"/>
      <c r="AE114" s="423"/>
      <c r="AF114" s="423"/>
      <c r="AG114" s="423"/>
    </row>
    <row r="115" spans="1:33">
      <c r="A115" s="17">
        <f t="shared" si="6"/>
        <v>107</v>
      </c>
      <c r="D115" s="248" t="s">
        <v>240</v>
      </c>
      <c r="E115" s="252">
        <v>1552</v>
      </c>
      <c r="F115" s="252">
        <v>1359</v>
      </c>
      <c r="G115" s="252">
        <v>1501</v>
      </c>
      <c r="H115" s="252">
        <v>1637</v>
      </c>
      <c r="I115" s="252">
        <v>1617</v>
      </c>
      <c r="J115" s="252">
        <f>2046-458</f>
        <v>1588</v>
      </c>
      <c r="K115" s="252">
        <v>1660</v>
      </c>
      <c r="L115" s="252"/>
      <c r="M115" s="252">
        <v>1788</v>
      </c>
      <c r="N115" s="252">
        <v>1842</v>
      </c>
      <c r="P115" s="346"/>
      <c r="Q115" s="443"/>
      <c r="R115" s="252"/>
      <c r="S115" s="252"/>
      <c r="T115" s="252"/>
      <c r="U115" s="252"/>
      <c r="V115" s="252"/>
      <c r="W115" s="252"/>
      <c r="X115" s="252"/>
      <c r="Y115" s="252"/>
      <c r="Z115" s="252"/>
      <c r="AA115" s="490"/>
      <c r="AB115" s="423"/>
      <c r="AC115" s="423"/>
      <c r="AD115" s="423"/>
      <c r="AE115" s="423"/>
      <c r="AF115" s="423"/>
      <c r="AG115" s="423"/>
    </row>
    <row r="116" spans="1:33">
      <c r="A116" s="17">
        <f t="shared" si="6"/>
        <v>108</v>
      </c>
      <c r="D116" s="248" t="s">
        <v>84</v>
      </c>
      <c r="E116" s="252">
        <v>447</v>
      </c>
      <c r="F116" s="321">
        <v>545</v>
      </c>
      <c r="G116" s="321">
        <v>597</v>
      </c>
      <c r="H116" s="321">
        <v>631</v>
      </c>
      <c r="I116" s="321">
        <v>694</v>
      </c>
      <c r="J116" s="321">
        <v>712</v>
      </c>
      <c r="K116" s="321">
        <f>1460-129-12.5-9</f>
        <v>1309.5</v>
      </c>
      <c r="L116" s="252"/>
      <c r="M116" s="252">
        <v>1063</v>
      </c>
      <c r="N116" s="252">
        <v>1089</v>
      </c>
      <c r="P116" s="444"/>
      <c r="Q116" s="445"/>
      <c r="R116" s="252"/>
      <c r="S116" s="252"/>
      <c r="T116" s="252"/>
      <c r="U116" s="252"/>
      <c r="V116" s="252"/>
      <c r="W116" s="252"/>
      <c r="X116" s="252"/>
      <c r="Y116" s="252"/>
      <c r="Z116" s="252"/>
      <c r="AA116" s="252"/>
      <c r="AB116" s="423"/>
      <c r="AC116" s="423"/>
      <c r="AD116" s="423"/>
      <c r="AE116" s="423"/>
      <c r="AF116" s="423"/>
      <c r="AG116" s="423"/>
    </row>
    <row r="117" spans="1:33">
      <c r="A117" s="17">
        <f t="shared" si="6"/>
        <v>109</v>
      </c>
      <c r="E117" s="253">
        <f t="shared" ref="E117:K117" si="11">SUM(E115:E116)</f>
        <v>1999</v>
      </c>
      <c r="F117" s="253">
        <f t="shared" si="11"/>
        <v>1904</v>
      </c>
      <c r="G117" s="253">
        <f t="shared" si="11"/>
        <v>2098</v>
      </c>
      <c r="H117" s="253">
        <f t="shared" si="11"/>
        <v>2268</v>
      </c>
      <c r="I117" s="253">
        <f t="shared" si="11"/>
        <v>2311</v>
      </c>
      <c r="J117" s="253">
        <f t="shared" si="11"/>
        <v>2300</v>
      </c>
      <c r="K117" s="253">
        <f t="shared" si="11"/>
        <v>2969.5</v>
      </c>
      <c r="L117" s="252"/>
      <c r="M117" s="253">
        <f>M115+M116</f>
        <v>2851</v>
      </c>
      <c r="N117" s="253">
        <f>N115+N116</f>
        <v>2931</v>
      </c>
      <c r="P117" s="452">
        <v>2061</v>
      </c>
      <c r="Q117" s="447">
        <v>2101</v>
      </c>
      <c r="R117" s="252"/>
      <c r="S117" s="252"/>
      <c r="T117" s="252"/>
      <c r="U117" s="252"/>
      <c r="V117" s="252"/>
      <c r="W117" s="491"/>
      <c r="X117" s="491"/>
      <c r="Y117" s="252"/>
      <c r="Z117" s="252"/>
      <c r="AA117" s="252"/>
      <c r="AB117" s="423"/>
      <c r="AC117" s="423"/>
      <c r="AD117" s="423"/>
      <c r="AE117" s="423"/>
      <c r="AF117" s="423"/>
      <c r="AG117" s="423"/>
    </row>
    <row r="118" spans="1:33">
      <c r="A118" s="17">
        <f t="shared" ref="A118:A174" si="12">A117+1</f>
        <v>110</v>
      </c>
      <c r="E118" s="252"/>
      <c r="F118" s="252"/>
      <c r="G118" s="252"/>
      <c r="H118" s="252"/>
      <c r="I118" s="252"/>
      <c r="J118" s="252"/>
      <c r="K118" s="252"/>
      <c r="L118" s="252"/>
      <c r="M118" s="252"/>
      <c r="N118" s="252"/>
      <c r="P118" s="346"/>
      <c r="Q118" s="346"/>
      <c r="R118" s="252"/>
      <c r="S118" s="252"/>
      <c r="T118" s="252"/>
      <c r="U118" s="252"/>
      <c r="V118" s="252"/>
      <c r="W118" s="252"/>
      <c r="X118" s="252"/>
      <c r="Z118" s="423"/>
      <c r="AA118" s="423"/>
      <c r="AB118" s="423"/>
      <c r="AC118" s="423"/>
      <c r="AD118" s="423"/>
      <c r="AE118" s="423"/>
      <c r="AF118" s="423"/>
      <c r="AG118" s="492"/>
    </row>
    <row r="119" spans="1:33">
      <c r="A119" s="17">
        <f t="shared" si="12"/>
        <v>111</v>
      </c>
      <c r="C119" s="466" t="s">
        <v>278</v>
      </c>
      <c r="E119" s="252"/>
      <c r="F119" s="252"/>
      <c r="G119" s="252"/>
      <c r="H119" s="252"/>
      <c r="I119" s="252"/>
      <c r="J119" s="252"/>
      <c r="K119" s="252"/>
      <c r="L119" s="252"/>
      <c r="M119" s="252"/>
      <c r="N119" s="252"/>
      <c r="P119" s="346"/>
      <c r="Q119" s="346"/>
      <c r="R119" s="252"/>
      <c r="S119" s="252"/>
      <c r="T119" s="252"/>
      <c r="U119" s="252"/>
      <c r="V119" s="252"/>
      <c r="W119" s="252"/>
      <c r="X119" s="252"/>
      <c r="Z119" s="423"/>
      <c r="AA119" s="423"/>
      <c r="AB119" s="423"/>
      <c r="AC119" s="423"/>
      <c r="AD119" s="423"/>
      <c r="AE119" s="423"/>
      <c r="AF119" s="423"/>
      <c r="AG119" s="492"/>
    </row>
    <row r="120" spans="1:33">
      <c r="A120" s="17">
        <f t="shared" si="12"/>
        <v>112</v>
      </c>
      <c r="E120" s="252"/>
      <c r="F120" s="252"/>
      <c r="G120" s="252"/>
      <c r="H120" s="252"/>
      <c r="I120" s="252"/>
      <c r="J120" s="252"/>
      <c r="K120" s="252"/>
      <c r="L120" s="252"/>
      <c r="M120" s="252"/>
      <c r="N120" s="252"/>
      <c r="P120" s="346"/>
      <c r="Q120" s="346"/>
      <c r="R120" s="252"/>
      <c r="S120" s="252"/>
      <c r="T120" s="252"/>
      <c r="U120" s="252"/>
      <c r="V120" s="252"/>
      <c r="W120" s="252"/>
      <c r="X120" s="252"/>
      <c r="Z120" s="423"/>
      <c r="AA120" s="423"/>
      <c r="AB120" s="423"/>
      <c r="AC120" s="423"/>
      <c r="AD120" s="423"/>
      <c r="AE120" s="423"/>
      <c r="AF120" s="423"/>
      <c r="AG120" s="492"/>
    </row>
    <row r="121" spans="1:33">
      <c r="A121" s="17">
        <f t="shared" si="12"/>
        <v>113</v>
      </c>
      <c r="C121" s="466" t="s">
        <v>279</v>
      </c>
      <c r="E121" s="252"/>
      <c r="F121" s="252"/>
      <c r="G121" s="252"/>
      <c r="H121" s="252"/>
      <c r="I121" s="252"/>
      <c r="J121" s="252"/>
      <c r="K121" s="252"/>
      <c r="L121" s="252"/>
      <c r="M121" s="252"/>
      <c r="N121" s="252"/>
      <c r="P121" s="346"/>
      <c r="Q121" s="346"/>
      <c r="R121" s="252"/>
      <c r="S121" s="252"/>
      <c r="T121" s="252"/>
      <c r="U121" s="252"/>
      <c r="V121" s="252"/>
      <c r="W121" s="252"/>
      <c r="X121" s="252"/>
      <c r="Z121" s="423"/>
      <c r="AA121" s="423"/>
      <c r="AB121" s="423"/>
      <c r="AC121" s="423"/>
      <c r="AD121" s="423"/>
      <c r="AE121" s="423"/>
      <c r="AF121" s="423"/>
      <c r="AG121" s="492"/>
    </row>
    <row r="122" spans="1:33">
      <c r="A122" s="17">
        <f t="shared" si="12"/>
        <v>114</v>
      </c>
      <c r="E122" s="252"/>
      <c r="F122" s="252"/>
      <c r="G122" s="252"/>
      <c r="H122" s="252"/>
      <c r="I122" s="252"/>
      <c r="J122" s="252"/>
      <c r="K122" s="252"/>
      <c r="L122" s="252"/>
      <c r="M122" s="252"/>
      <c r="N122" s="252"/>
      <c r="P122" s="346"/>
      <c r="Q122" s="346"/>
      <c r="R122" s="252"/>
      <c r="S122" s="252"/>
      <c r="T122" s="252"/>
      <c r="U122" s="252"/>
      <c r="V122" s="252"/>
      <c r="W122" s="252"/>
      <c r="X122" s="252"/>
      <c r="Z122" s="423"/>
      <c r="AA122" s="423"/>
      <c r="AB122" s="423"/>
      <c r="AC122" s="423"/>
      <c r="AD122" s="423"/>
      <c r="AE122" s="423"/>
      <c r="AF122" s="423"/>
      <c r="AG122" s="423"/>
    </row>
    <row r="123" spans="1:33">
      <c r="A123" s="17">
        <f t="shared" si="12"/>
        <v>115</v>
      </c>
      <c r="C123" s="466" t="s">
        <v>280</v>
      </c>
      <c r="E123" s="252"/>
      <c r="F123" s="252"/>
      <c r="G123" s="252"/>
      <c r="H123" s="252"/>
      <c r="I123" s="252"/>
      <c r="J123" s="252"/>
      <c r="K123" s="252"/>
      <c r="L123" s="252"/>
      <c r="M123" s="252"/>
      <c r="N123" s="252"/>
      <c r="P123" s="346"/>
      <c r="Q123" s="346"/>
      <c r="R123" s="252"/>
      <c r="S123" s="252"/>
      <c r="T123" s="252"/>
      <c r="U123" s="252"/>
      <c r="V123" s="252"/>
      <c r="W123" s="252"/>
      <c r="X123" s="252"/>
      <c r="Z123" s="423"/>
      <c r="AA123" s="423"/>
      <c r="AB123" s="423"/>
      <c r="AC123" s="423"/>
      <c r="AD123" s="423"/>
      <c r="AE123" s="423"/>
      <c r="AF123" s="423"/>
      <c r="AG123" s="423"/>
    </row>
    <row r="124" spans="1:33">
      <c r="A124" s="17">
        <f t="shared" si="12"/>
        <v>116</v>
      </c>
      <c r="C124" s="466" t="s">
        <v>281</v>
      </c>
      <c r="E124" s="252"/>
      <c r="F124" s="252"/>
      <c r="G124" s="252"/>
      <c r="H124" s="252"/>
      <c r="I124" s="252"/>
      <c r="J124" s="252"/>
      <c r="K124" s="252"/>
      <c r="L124" s="252"/>
      <c r="M124" s="252"/>
      <c r="N124" s="252"/>
      <c r="P124" s="346"/>
      <c r="Q124" s="346"/>
      <c r="R124" s="252"/>
      <c r="S124" s="252"/>
      <c r="T124" s="252"/>
      <c r="U124" s="252"/>
      <c r="V124" s="252"/>
      <c r="W124" s="252"/>
      <c r="X124" s="252"/>
      <c r="Z124" s="423"/>
      <c r="AA124" s="423"/>
      <c r="AB124" s="423"/>
      <c r="AC124" s="423"/>
      <c r="AD124" s="423"/>
      <c r="AE124" s="423"/>
      <c r="AF124" s="423"/>
      <c r="AG124" s="423"/>
    </row>
    <row r="125" spans="1:33">
      <c r="A125" s="17">
        <f t="shared" si="12"/>
        <v>117</v>
      </c>
      <c r="E125" s="252"/>
      <c r="F125" s="252"/>
      <c r="G125" s="252"/>
      <c r="H125" s="252"/>
      <c r="I125" s="252"/>
      <c r="J125" s="252"/>
      <c r="K125" s="252"/>
      <c r="L125" s="252"/>
      <c r="M125" s="252"/>
      <c r="N125" s="252"/>
      <c r="P125" s="500"/>
      <c r="Q125" s="346"/>
      <c r="R125" s="252"/>
      <c r="S125" s="252"/>
      <c r="T125" s="252"/>
      <c r="U125" s="252"/>
      <c r="V125" s="252"/>
      <c r="W125" s="252"/>
      <c r="X125" s="252"/>
      <c r="Z125" s="423"/>
      <c r="AA125" s="423"/>
      <c r="AB125" s="423"/>
      <c r="AC125" s="423"/>
      <c r="AD125" s="423"/>
      <c r="AE125" s="423"/>
      <c r="AF125" s="423"/>
      <c r="AG125" s="423"/>
    </row>
    <row r="126" spans="1:33">
      <c r="A126" s="17">
        <f t="shared" si="12"/>
        <v>118</v>
      </c>
      <c r="C126" s="466" t="s">
        <v>282</v>
      </c>
      <c r="E126" s="252"/>
      <c r="F126" s="252"/>
      <c r="G126" s="252"/>
      <c r="H126" s="252"/>
      <c r="I126" s="252"/>
      <c r="J126" s="252"/>
      <c r="K126" s="252"/>
      <c r="L126" s="252"/>
      <c r="M126" s="252"/>
      <c r="N126" s="252"/>
      <c r="P126" s="346"/>
      <c r="Q126" s="346"/>
      <c r="R126" s="252"/>
      <c r="S126" s="252"/>
      <c r="T126" s="252"/>
      <c r="U126" s="252"/>
      <c r="V126" s="252"/>
      <c r="W126" s="252"/>
      <c r="X126" s="252"/>
      <c r="Z126" s="423"/>
      <c r="AA126" s="423"/>
      <c r="AB126" s="423"/>
      <c r="AC126" s="423"/>
      <c r="AD126" s="423"/>
      <c r="AE126" s="423"/>
      <c r="AF126" s="423"/>
      <c r="AG126" s="423"/>
    </row>
    <row r="127" spans="1:33">
      <c r="A127" s="17">
        <f t="shared" si="12"/>
        <v>119</v>
      </c>
      <c r="C127" s="466" t="s">
        <v>283</v>
      </c>
      <c r="E127" s="252"/>
      <c r="F127" s="252"/>
      <c r="G127" s="252"/>
      <c r="H127" s="252"/>
      <c r="I127" s="252"/>
      <c r="J127" s="252"/>
      <c r="K127" s="252"/>
      <c r="L127" s="252"/>
      <c r="M127" s="252"/>
      <c r="N127" s="252"/>
      <c r="P127" s="500"/>
      <c r="Q127" s="346"/>
      <c r="R127" s="252"/>
      <c r="S127" s="252"/>
      <c r="T127" s="252"/>
      <c r="U127" s="252"/>
      <c r="V127" s="252"/>
      <c r="W127" s="252"/>
      <c r="X127" s="252"/>
      <c r="Z127" s="423"/>
      <c r="AA127" s="423"/>
      <c r="AB127" s="423"/>
      <c r="AC127" s="423"/>
      <c r="AD127" s="423"/>
      <c r="AE127" s="423"/>
      <c r="AF127" s="423"/>
      <c r="AG127" s="423"/>
    </row>
    <row r="128" spans="1:33">
      <c r="A128" s="17">
        <f t="shared" si="12"/>
        <v>120</v>
      </c>
      <c r="C128" s="440"/>
      <c r="R128" s="252"/>
      <c r="S128" s="252"/>
      <c r="T128" s="252"/>
      <c r="U128" s="252"/>
      <c r="V128" s="252"/>
      <c r="W128" s="252"/>
      <c r="X128" s="252"/>
      <c r="Z128" s="423"/>
      <c r="AA128" s="423"/>
      <c r="AB128" s="423"/>
      <c r="AC128" s="423"/>
      <c r="AD128" s="423"/>
      <c r="AE128" s="423"/>
      <c r="AF128" s="423"/>
      <c r="AG128" s="423"/>
    </row>
    <row r="129" spans="1:33">
      <c r="A129" s="17">
        <f t="shared" si="12"/>
        <v>121</v>
      </c>
      <c r="C129" s="466" t="s">
        <v>284</v>
      </c>
      <c r="E129" s="252"/>
      <c r="F129" s="252"/>
      <c r="G129" s="252"/>
      <c r="H129" s="252"/>
      <c r="I129" s="252"/>
      <c r="J129" s="252"/>
      <c r="K129" s="252"/>
      <c r="L129" s="252"/>
      <c r="M129" s="252"/>
      <c r="N129" s="252"/>
      <c r="P129" s="451"/>
      <c r="R129" s="252"/>
      <c r="S129" s="252"/>
      <c r="T129" s="252"/>
      <c r="U129" s="252"/>
      <c r="V129" s="252"/>
      <c r="W129" s="252"/>
      <c r="X129" s="252"/>
      <c r="Z129" s="423"/>
      <c r="AA129" s="423"/>
      <c r="AB129" s="423"/>
      <c r="AC129" s="493"/>
      <c r="AD129" s="423"/>
      <c r="AE129" s="423"/>
      <c r="AF129" s="423"/>
      <c r="AG129" s="423"/>
    </row>
    <row r="130" spans="1:33">
      <c r="A130" s="17">
        <f t="shared" si="12"/>
        <v>122</v>
      </c>
      <c r="C130" s="466" t="s">
        <v>285</v>
      </c>
      <c r="E130" s="252"/>
      <c r="F130" s="252"/>
      <c r="G130" s="252"/>
      <c r="H130" s="252"/>
      <c r="I130" s="252"/>
      <c r="J130" s="252"/>
      <c r="K130" s="252"/>
      <c r="L130" s="252"/>
      <c r="M130" s="252"/>
      <c r="N130" s="252"/>
      <c r="P130" s="346"/>
      <c r="Q130" s="346"/>
      <c r="R130" s="252"/>
      <c r="S130" s="252"/>
      <c r="T130" s="252"/>
      <c r="U130" s="252"/>
      <c r="V130" s="252"/>
      <c r="W130" s="252"/>
      <c r="X130" s="252"/>
      <c r="Z130" s="423"/>
      <c r="AA130" s="423"/>
      <c r="AB130" s="423"/>
      <c r="AC130" s="423"/>
      <c r="AD130" s="423"/>
      <c r="AE130" s="423"/>
      <c r="AF130" s="423"/>
      <c r="AG130" s="423"/>
    </row>
    <row r="131" spans="1:33">
      <c r="A131" s="17">
        <f t="shared" si="12"/>
        <v>123</v>
      </c>
      <c r="Q131" s="346"/>
      <c r="R131" s="252"/>
      <c r="S131" s="252"/>
      <c r="T131" s="252"/>
      <c r="U131" s="252"/>
      <c r="V131" s="252"/>
      <c r="W131" s="252"/>
      <c r="X131" s="252"/>
      <c r="Z131" s="423"/>
      <c r="AA131" s="423"/>
      <c r="AB131" s="423"/>
      <c r="AC131" s="423"/>
      <c r="AD131" s="423"/>
      <c r="AE131" s="423"/>
      <c r="AF131" s="423"/>
      <c r="AG131" s="423"/>
    </row>
    <row r="132" spans="1:33">
      <c r="A132" s="17">
        <f t="shared" si="12"/>
        <v>124</v>
      </c>
      <c r="C132" s="468" t="s">
        <v>286</v>
      </c>
      <c r="E132" s="252"/>
      <c r="F132" s="252"/>
      <c r="G132" s="252"/>
      <c r="H132" s="252"/>
      <c r="I132" s="252"/>
      <c r="J132" s="252"/>
      <c r="K132" s="252"/>
      <c r="L132" s="252"/>
      <c r="M132" s="252"/>
      <c r="N132" s="252"/>
      <c r="P132" s="346"/>
      <c r="Q132" s="346"/>
      <c r="R132" s="252"/>
      <c r="S132" s="252"/>
      <c r="T132" s="252"/>
      <c r="U132" s="252"/>
      <c r="V132" s="252"/>
      <c r="W132" s="252"/>
      <c r="X132" s="252"/>
      <c r="Z132" s="423"/>
      <c r="AA132" s="423"/>
      <c r="AB132" s="423"/>
      <c r="AC132" s="423"/>
      <c r="AD132" s="423"/>
      <c r="AE132" s="423"/>
      <c r="AF132" s="423"/>
      <c r="AG132" s="423"/>
    </row>
    <row r="133" spans="1:33">
      <c r="A133" s="17">
        <f t="shared" si="12"/>
        <v>125</v>
      </c>
      <c r="E133" s="252"/>
      <c r="F133" s="252"/>
      <c r="G133" s="252"/>
      <c r="H133" s="252"/>
      <c r="I133" s="252"/>
      <c r="J133" s="252"/>
      <c r="K133" s="252"/>
      <c r="L133" s="252"/>
      <c r="M133" s="252"/>
      <c r="N133" s="252"/>
      <c r="P133" s="346"/>
      <c r="Q133" s="346"/>
      <c r="R133" s="252"/>
      <c r="S133" s="252"/>
      <c r="T133" s="252"/>
      <c r="U133" s="252"/>
      <c r="V133" s="252"/>
      <c r="W133" s="252"/>
      <c r="X133" s="252"/>
      <c r="Y133" s="252"/>
      <c r="Z133" s="252"/>
      <c r="AA133" s="490"/>
      <c r="AB133" s="423"/>
      <c r="AC133" s="423"/>
      <c r="AD133" s="423"/>
      <c r="AE133" s="423"/>
      <c r="AF133" s="423"/>
      <c r="AG133" s="423"/>
    </row>
    <row r="134" spans="1:33">
      <c r="A134" s="17">
        <f t="shared" si="12"/>
        <v>126</v>
      </c>
      <c r="C134" s="434" t="s">
        <v>181</v>
      </c>
      <c r="E134" s="252"/>
      <c r="F134" s="252"/>
      <c r="G134" s="252"/>
      <c r="H134" s="252"/>
      <c r="I134" s="252"/>
      <c r="J134" s="252"/>
      <c r="K134" s="252"/>
      <c r="L134" s="252"/>
      <c r="M134" s="252"/>
      <c r="N134" s="252"/>
      <c r="P134" s="346"/>
      <c r="Q134" s="346"/>
      <c r="R134" s="252"/>
      <c r="S134" s="252"/>
      <c r="T134" s="252"/>
      <c r="U134" s="252"/>
      <c r="V134" s="252"/>
      <c r="W134" s="252"/>
      <c r="X134" s="252"/>
      <c r="Y134" s="252"/>
      <c r="Z134" s="252"/>
      <c r="AA134" s="490"/>
      <c r="AB134" s="423"/>
      <c r="AC134" s="423"/>
      <c r="AD134" s="423"/>
      <c r="AE134" s="423"/>
      <c r="AF134" s="423"/>
      <c r="AG134" s="423"/>
    </row>
    <row r="135" spans="1:33">
      <c r="A135" s="17">
        <f t="shared" si="12"/>
        <v>127</v>
      </c>
      <c r="D135" s="248" t="s">
        <v>84</v>
      </c>
      <c r="E135" s="281">
        <v>79.599429999999998</v>
      </c>
      <c r="F135" s="281">
        <v>53.112909999999999</v>
      </c>
      <c r="G135" s="281">
        <v>49.244769999999995</v>
      </c>
      <c r="H135" s="281">
        <v>85.351979999999998</v>
      </c>
      <c r="I135" s="281">
        <v>119.50329000000001</v>
      </c>
      <c r="J135" s="281">
        <f>171.14683+458</f>
        <v>629.14683000000002</v>
      </c>
      <c r="K135" s="281">
        <f>19.72415+129</f>
        <v>148.72415000000001</v>
      </c>
      <c r="L135" s="252"/>
      <c r="M135" s="252">
        <v>20</v>
      </c>
      <c r="N135" s="252">
        <v>20</v>
      </c>
      <c r="P135" s="444"/>
      <c r="Q135" s="445"/>
      <c r="R135" s="252"/>
      <c r="S135" s="252"/>
      <c r="T135" s="252"/>
      <c r="U135" s="252"/>
      <c r="V135" s="252"/>
      <c r="W135" s="252"/>
      <c r="X135" s="252"/>
      <c r="Y135" s="252"/>
      <c r="Z135" s="252"/>
      <c r="AA135" s="252"/>
      <c r="AB135" s="423"/>
      <c r="AC135" s="423"/>
      <c r="AD135" s="423"/>
      <c r="AE135" s="423"/>
      <c r="AF135" s="423"/>
      <c r="AG135" s="423"/>
    </row>
    <row r="136" spans="1:33">
      <c r="A136" s="17">
        <f t="shared" si="12"/>
        <v>128</v>
      </c>
      <c r="E136" s="253">
        <f t="shared" ref="E136:K136" si="13">SUM(E135)</f>
        <v>79.599429999999998</v>
      </c>
      <c r="F136" s="253">
        <f t="shared" si="13"/>
        <v>53.112909999999999</v>
      </c>
      <c r="G136" s="253">
        <f t="shared" si="13"/>
        <v>49.244769999999995</v>
      </c>
      <c r="H136" s="253">
        <f t="shared" si="13"/>
        <v>85.351979999999998</v>
      </c>
      <c r="I136" s="253">
        <f t="shared" si="13"/>
        <v>119.50329000000001</v>
      </c>
      <c r="J136" s="253">
        <f t="shared" si="13"/>
        <v>629.14683000000002</v>
      </c>
      <c r="K136" s="253">
        <f t="shared" si="13"/>
        <v>148.72415000000001</v>
      </c>
      <c r="L136" s="252"/>
      <c r="M136" s="253">
        <f>M135</f>
        <v>20</v>
      </c>
      <c r="N136" s="253">
        <f>N135</f>
        <v>20</v>
      </c>
      <c r="P136" s="346">
        <v>120</v>
      </c>
      <c r="Q136" s="443">
        <v>122</v>
      </c>
      <c r="R136" s="252"/>
      <c r="S136" s="252"/>
      <c r="T136" s="252"/>
      <c r="U136" s="252"/>
      <c r="V136" s="252"/>
      <c r="W136" s="491"/>
      <c r="X136" s="491"/>
      <c r="Y136" s="252"/>
      <c r="Z136" s="252"/>
      <c r="AA136" s="252"/>
      <c r="AB136" s="423"/>
      <c r="AC136" s="423"/>
      <c r="AD136" s="423"/>
      <c r="AE136" s="423"/>
      <c r="AF136" s="423"/>
      <c r="AG136" s="423"/>
    </row>
    <row r="137" spans="1:33">
      <c r="A137" s="17">
        <f t="shared" si="12"/>
        <v>129</v>
      </c>
      <c r="E137" s="252"/>
      <c r="F137" s="252"/>
      <c r="G137" s="252"/>
      <c r="H137" s="252"/>
      <c r="I137" s="252"/>
      <c r="J137" s="252"/>
      <c r="K137" s="252"/>
      <c r="L137" s="252"/>
      <c r="M137" s="252"/>
      <c r="N137" s="252"/>
      <c r="P137" s="346"/>
      <c r="Q137" s="443"/>
      <c r="R137" s="252"/>
      <c r="S137" s="252"/>
      <c r="T137" s="252"/>
      <c r="U137" s="252"/>
      <c r="V137" s="252"/>
      <c r="W137" s="252"/>
      <c r="X137" s="252"/>
      <c r="Z137" s="423"/>
      <c r="AA137" s="423"/>
      <c r="AB137" s="423"/>
      <c r="AC137" s="423"/>
      <c r="AD137" s="423"/>
      <c r="AE137" s="423"/>
      <c r="AF137" s="423"/>
      <c r="AG137" s="423"/>
    </row>
    <row r="138" spans="1:33">
      <c r="A138" s="17">
        <f t="shared" si="12"/>
        <v>130</v>
      </c>
      <c r="C138" s="466" t="s">
        <v>287</v>
      </c>
      <c r="E138" s="252"/>
      <c r="F138" s="252"/>
      <c r="G138" s="252"/>
      <c r="H138" s="252"/>
      <c r="I138" s="252"/>
      <c r="J138" s="252"/>
      <c r="K138" s="252"/>
      <c r="L138" s="252"/>
      <c r="M138" s="252"/>
      <c r="N138" s="252"/>
      <c r="P138" s="346"/>
      <c r="Q138" s="443"/>
      <c r="R138" s="252"/>
      <c r="S138" s="252"/>
      <c r="T138" s="252"/>
      <c r="U138" s="252"/>
      <c r="V138" s="252"/>
      <c r="W138" s="252"/>
      <c r="X138" s="252"/>
      <c r="Z138" s="423"/>
      <c r="AA138" s="423"/>
      <c r="AB138" s="423"/>
      <c r="AC138" s="423"/>
      <c r="AD138" s="423"/>
      <c r="AE138" s="423"/>
      <c r="AF138" s="423"/>
      <c r="AG138" s="423"/>
    </row>
    <row r="139" spans="1:33">
      <c r="A139" s="17">
        <f t="shared" si="12"/>
        <v>131</v>
      </c>
      <c r="C139" s="466" t="s">
        <v>288</v>
      </c>
      <c r="E139" s="252"/>
      <c r="F139" s="252"/>
      <c r="G139" s="252"/>
      <c r="H139" s="252"/>
      <c r="I139" s="252"/>
      <c r="J139" s="252"/>
      <c r="K139" s="252"/>
      <c r="L139" s="252"/>
      <c r="M139" s="252"/>
      <c r="N139" s="252"/>
      <c r="P139" s="346"/>
      <c r="Q139" s="443"/>
      <c r="R139" s="252"/>
      <c r="S139" s="252"/>
      <c r="T139" s="252"/>
      <c r="U139" s="252"/>
      <c r="V139" s="252"/>
      <c r="W139" s="252"/>
      <c r="X139" s="252"/>
      <c r="Z139" s="423"/>
      <c r="AA139" s="423"/>
      <c r="AB139" s="423"/>
      <c r="AC139" s="423"/>
      <c r="AD139" s="423"/>
      <c r="AE139" s="423"/>
      <c r="AF139" s="423"/>
      <c r="AG139" s="423"/>
    </row>
    <row r="140" spans="1:33">
      <c r="A140" s="17">
        <f t="shared" si="12"/>
        <v>132</v>
      </c>
      <c r="E140" s="252"/>
      <c r="F140" s="252"/>
      <c r="G140" s="252"/>
      <c r="H140" s="252"/>
      <c r="I140" s="252"/>
      <c r="J140" s="252"/>
      <c r="K140" s="252"/>
      <c r="L140" s="252"/>
      <c r="M140" s="252"/>
      <c r="N140" s="252"/>
      <c r="P140" s="346"/>
      <c r="Q140" s="443"/>
      <c r="R140" s="252"/>
      <c r="S140" s="252"/>
      <c r="T140" s="252"/>
      <c r="U140" s="252"/>
      <c r="V140" s="252"/>
      <c r="W140" s="252"/>
      <c r="X140" s="252"/>
      <c r="Z140" s="423"/>
      <c r="AA140" s="423"/>
      <c r="AB140" s="423"/>
      <c r="AC140" s="423"/>
      <c r="AD140" s="423"/>
      <c r="AE140" s="423"/>
      <c r="AF140" s="423"/>
      <c r="AG140" s="423"/>
    </row>
    <row r="141" spans="1:33">
      <c r="A141" s="17">
        <f t="shared" si="12"/>
        <v>133</v>
      </c>
      <c r="C141" s="434" t="s">
        <v>184</v>
      </c>
      <c r="E141" s="252"/>
      <c r="F141" s="252"/>
      <c r="G141" s="252"/>
      <c r="H141" s="252"/>
      <c r="I141" s="252"/>
      <c r="J141" s="252"/>
      <c r="K141" s="252"/>
      <c r="L141" s="252"/>
      <c r="M141" s="252"/>
      <c r="N141" s="252"/>
      <c r="P141" s="346"/>
      <c r="Q141" s="346"/>
      <c r="R141" s="252"/>
      <c r="S141" s="252"/>
      <c r="T141" s="252"/>
      <c r="U141" s="252"/>
      <c r="V141" s="252"/>
      <c r="W141" s="252"/>
      <c r="X141" s="252"/>
      <c r="Z141" s="423"/>
      <c r="AA141" s="423"/>
      <c r="AB141" s="423"/>
      <c r="AC141" s="423"/>
      <c r="AD141" s="423"/>
      <c r="AE141" s="423"/>
      <c r="AF141" s="423"/>
      <c r="AG141" s="423"/>
    </row>
    <row r="142" spans="1:33">
      <c r="A142" s="17">
        <f t="shared" si="12"/>
        <v>134</v>
      </c>
      <c r="D142" s="248" t="s">
        <v>240</v>
      </c>
      <c r="E142" s="252">
        <v>118</v>
      </c>
      <c r="F142" s="252">
        <v>88</v>
      </c>
      <c r="G142" s="252">
        <v>154</v>
      </c>
      <c r="H142" s="252">
        <v>115</v>
      </c>
      <c r="I142" s="252">
        <v>85</v>
      </c>
      <c r="J142" s="252">
        <v>70</v>
      </c>
      <c r="K142" s="252">
        <v>128</v>
      </c>
      <c r="L142" s="252"/>
      <c r="M142" s="252">
        <v>140</v>
      </c>
      <c r="N142" s="252">
        <v>144</v>
      </c>
      <c r="P142" s="346"/>
      <c r="Q142" s="443"/>
      <c r="R142" s="252"/>
      <c r="S142" s="252"/>
      <c r="T142" s="252"/>
      <c r="U142" s="252"/>
      <c r="V142" s="252"/>
      <c r="W142" s="252"/>
      <c r="X142" s="252"/>
      <c r="Y142" s="252"/>
      <c r="Z142" s="252"/>
      <c r="AA142" s="490"/>
      <c r="AB142" s="423"/>
      <c r="AC142" s="423"/>
      <c r="AD142" s="423"/>
      <c r="AE142" s="423"/>
      <c r="AF142" s="423"/>
      <c r="AG142" s="492"/>
    </row>
    <row r="143" spans="1:33">
      <c r="A143" s="17">
        <f t="shared" si="12"/>
        <v>135</v>
      </c>
      <c r="D143" s="248" t="s">
        <v>84</v>
      </c>
      <c r="E143" s="321">
        <v>54</v>
      </c>
      <c r="F143" s="252">
        <v>117</v>
      </c>
      <c r="G143" s="252">
        <v>69</v>
      </c>
      <c r="H143" s="252">
        <v>22</v>
      </c>
      <c r="I143" s="252">
        <v>23</v>
      </c>
      <c r="J143" s="252">
        <v>18</v>
      </c>
      <c r="K143" s="252">
        <v>26</v>
      </c>
      <c r="L143" s="252"/>
      <c r="M143" s="252">
        <v>23</v>
      </c>
      <c r="N143" s="252">
        <v>22</v>
      </c>
      <c r="P143" s="444"/>
      <c r="Q143" s="445"/>
      <c r="R143" s="252"/>
      <c r="S143" s="252"/>
      <c r="T143" s="252"/>
      <c r="U143" s="252"/>
      <c r="V143" s="252"/>
      <c r="W143" s="252"/>
      <c r="X143" s="252"/>
      <c r="Y143" s="252"/>
      <c r="Z143" s="252"/>
      <c r="AA143" s="252"/>
      <c r="AB143" s="423"/>
      <c r="AC143" s="423"/>
      <c r="AD143" s="423"/>
      <c r="AE143" s="423"/>
      <c r="AF143" s="423"/>
      <c r="AG143" s="423"/>
    </row>
    <row r="144" spans="1:33">
      <c r="A144" s="17">
        <f t="shared" si="12"/>
        <v>136</v>
      </c>
      <c r="E144" s="253">
        <f t="shared" ref="E144:K144" si="14">SUM(E142:E143)</f>
        <v>172</v>
      </c>
      <c r="F144" s="253">
        <f t="shared" si="14"/>
        <v>205</v>
      </c>
      <c r="G144" s="253">
        <f t="shared" si="14"/>
        <v>223</v>
      </c>
      <c r="H144" s="253">
        <f t="shared" si="14"/>
        <v>137</v>
      </c>
      <c r="I144" s="253">
        <f t="shared" si="14"/>
        <v>108</v>
      </c>
      <c r="J144" s="253">
        <f t="shared" si="14"/>
        <v>88</v>
      </c>
      <c r="K144" s="253">
        <f t="shared" si="14"/>
        <v>154</v>
      </c>
      <c r="L144" s="252"/>
      <c r="M144" s="253">
        <f>M142+M143</f>
        <v>163</v>
      </c>
      <c r="N144" s="253">
        <f>N142+N143</f>
        <v>166</v>
      </c>
      <c r="P144" s="346">
        <v>150</v>
      </c>
      <c r="Q144" s="346">
        <v>153</v>
      </c>
      <c r="R144" s="252"/>
      <c r="S144" s="252"/>
      <c r="T144" s="252"/>
      <c r="U144" s="252"/>
      <c r="V144" s="252"/>
      <c r="W144" s="491"/>
      <c r="X144" s="491"/>
      <c r="Y144" s="252"/>
      <c r="Z144" s="252"/>
      <c r="AA144" s="252"/>
      <c r="AB144" s="423"/>
      <c r="AC144" s="423"/>
      <c r="AD144" s="423"/>
      <c r="AE144" s="423"/>
      <c r="AF144" s="423"/>
      <c r="AG144" s="423"/>
    </row>
    <row r="145" spans="1:33">
      <c r="A145" s="17">
        <f t="shared" si="12"/>
        <v>137</v>
      </c>
      <c r="E145" s="252"/>
      <c r="F145" s="252"/>
      <c r="G145" s="252"/>
      <c r="H145" s="252"/>
      <c r="I145" s="252"/>
      <c r="J145" s="252"/>
      <c r="K145" s="252"/>
      <c r="L145" s="252"/>
      <c r="M145" s="252"/>
      <c r="N145" s="252"/>
      <c r="P145" s="346"/>
      <c r="Q145" s="346"/>
      <c r="R145" s="252"/>
      <c r="S145" s="252"/>
      <c r="T145" s="252"/>
      <c r="U145" s="252"/>
      <c r="V145" s="252"/>
      <c r="W145" s="491"/>
      <c r="X145" s="491"/>
      <c r="Y145" s="252"/>
      <c r="Z145" s="252"/>
      <c r="AA145" s="252"/>
      <c r="AB145" s="423"/>
      <c r="AC145" s="423"/>
      <c r="AD145" s="423"/>
      <c r="AE145" s="423"/>
      <c r="AF145" s="423"/>
      <c r="AG145" s="423"/>
    </row>
    <row r="146" spans="1:33">
      <c r="A146" s="17">
        <f t="shared" si="12"/>
        <v>138</v>
      </c>
      <c r="C146" s="466" t="s">
        <v>289</v>
      </c>
      <c r="D146" s="440"/>
      <c r="E146" s="441"/>
      <c r="F146" s="441"/>
      <c r="G146" s="441"/>
      <c r="H146" s="441"/>
      <c r="I146" s="441"/>
      <c r="J146" s="441"/>
      <c r="K146" s="441"/>
      <c r="L146" s="441"/>
      <c r="M146" s="441"/>
      <c r="N146" s="252"/>
      <c r="P146" s="346"/>
      <c r="Q146" s="346"/>
      <c r="R146" s="252"/>
      <c r="S146" s="252"/>
      <c r="T146" s="252"/>
      <c r="U146" s="252"/>
      <c r="V146" s="252"/>
      <c r="W146" s="491"/>
      <c r="X146" s="491"/>
      <c r="Y146" s="252"/>
      <c r="Z146" s="252"/>
      <c r="AA146" s="252"/>
      <c r="AB146" s="423"/>
      <c r="AC146" s="423"/>
      <c r="AD146" s="423"/>
      <c r="AE146" s="423"/>
      <c r="AF146" s="423"/>
      <c r="AG146" s="423"/>
    </row>
    <row r="147" spans="1:33">
      <c r="A147" s="17">
        <f t="shared" si="12"/>
        <v>139</v>
      </c>
      <c r="C147" s="466"/>
      <c r="D147" s="440"/>
      <c r="E147" s="441"/>
      <c r="F147" s="441"/>
      <c r="G147" s="441"/>
      <c r="H147" s="441"/>
      <c r="I147" s="441"/>
      <c r="J147" s="441"/>
      <c r="K147" s="441"/>
      <c r="L147" s="441"/>
      <c r="M147" s="441"/>
      <c r="N147" s="252"/>
      <c r="P147" s="346"/>
      <c r="Q147" s="346"/>
      <c r="R147" s="252"/>
      <c r="S147" s="252"/>
      <c r="T147" s="252"/>
      <c r="U147" s="252"/>
      <c r="V147" s="252"/>
      <c r="W147" s="252"/>
      <c r="X147" s="252"/>
      <c r="Z147" s="423"/>
      <c r="AA147" s="423"/>
      <c r="AB147" s="423"/>
      <c r="AC147" s="423"/>
      <c r="AD147" s="423"/>
      <c r="AE147" s="423"/>
      <c r="AF147" s="423"/>
      <c r="AG147" s="423"/>
    </row>
    <row r="148" spans="1:33">
      <c r="A148" s="17">
        <f t="shared" si="12"/>
        <v>140</v>
      </c>
      <c r="C148" s="28" t="s">
        <v>290</v>
      </c>
      <c r="D148" s="440"/>
      <c r="E148" s="441"/>
      <c r="F148" s="441"/>
      <c r="G148" s="441"/>
      <c r="H148" s="441"/>
      <c r="I148" s="441"/>
      <c r="J148" s="441"/>
      <c r="K148" s="441"/>
      <c r="L148" s="441"/>
      <c r="M148" s="441"/>
      <c r="N148" s="252"/>
      <c r="P148" s="346"/>
      <c r="Q148" s="346"/>
      <c r="R148" s="252"/>
      <c r="S148" s="252"/>
      <c r="T148" s="252"/>
      <c r="U148" s="252"/>
      <c r="V148" s="252"/>
      <c r="W148" s="252"/>
      <c r="X148" s="252"/>
      <c r="Z148" s="423"/>
      <c r="AA148" s="423"/>
      <c r="AB148" s="423"/>
      <c r="AC148" s="423"/>
      <c r="AD148" s="423"/>
      <c r="AE148" s="423"/>
      <c r="AF148" s="423"/>
      <c r="AG148" s="423"/>
    </row>
    <row r="149" spans="1:33">
      <c r="A149" s="17">
        <f t="shared" si="12"/>
        <v>141</v>
      </c>
      <c r="C149" s="467"/>
      <c r="D149" s="440"/>
      <c r="E149" s="441"/>
      <c r="F149" s="441"/>
      <c r="G149" s="441"/>
      <c r="H149" s="441"/>
      <c r="I149" s="441"/>
      <c r="J149" s="441"/>
      <c r="K149" s="441"/>
      <c r="L149" s="441"/>
      <c r="M149" s="441"/>
      <c r="N149" s="252"/>
      <c r="P149" s="346"/>
      <c r="Q149" s="346"/>
      <c r="R149" s="252"/>
      <c r="S149" s="252"/>
      <c r="T149" s="252"/>
      <c r="U149" s="252"/>
      <c r="V149" s="252"/>
      <c r="W149" s="252"/>
      <c r="X149" s="252"/>
      <c r="Z149" s="494"/>
      <c r="AA149" s="494"/>
      <c r="AB149" s="494"/>
      <c r="AC149" s="494"/>
      <c r="AD149" s="494"/>
      <c r="AE149" s="494"/>
      <c r="AF149" s="494"/>
      <c r="AG149" s="494"/>
    </row>
    <row r="150" spans="1:33">
      <c r="A150" s="17">
        <f t="shared" si="12"/>
        <v>142</v>
      </c>
      <c r="C150" s="28" t="s">
        <v>291</v>
      </c>
      <c r="D150" s="440"/>
      <c r="E150" s="441"/>
      <c r="F150" s="441"/>
      <c r="G150" s="441"/>
      <c r="H150" s="441"/>
      <c r="I150" s="441"/>
      <c r="J150" s="441"/>
      <c r="K150" s="441"/>
      <c r="L150" s="441"/>
      <c r="M150" s="441"/>
      <c r="N150" s="252"/>
      <c r="P150" s="346"/>
      <c r="Q150" s="346"/>
      <c r="R150" s="252"/>
      <c r="S150" s="252"/>
      <c r="T150" s="252"/>
      <c r="U150" s="252"/>
      <c r="V150" s="252"/>
      <c r="W150" s="252"/>
      <c r="X150" s="252"/>
      <c r="Z150" s="494"/>
      <c r="AA150" s="494"/>
      <c r="AB150" s="494"/>
      <c r="AC150" s="494"/>
      <c r="AD150" s="494"/>
      <c r="AE150" s="494"/>
      <c r="AF150" s="494"/>
      <c r="AG150" s="494"/>
    </row>
    <row r="151" spans="1:33">
      <c r="A151" s="17">
        <f t="shared" si="12"/>
        <v>143</v>
      </c>
      <c r="C151" s="28" t="s">
        <v>292</v>
      </c>
      <c r="D151" s="440"/>
      <c r="E151" s="441"/>
      <c r="F151" s="441"/>
      <c r="G151" s="441"/>
      <c r="H151" s="441"/>
      <c r="I151" s="441"/>
      <c r="J151" s="441"/>
      <c r="K151" s="441"/>
      <c r="L151" s="441"/>
      <c r="M151" s="441"/>
      <c r="N151" s="252"/>
      <c r="P151" s="346"/>
      <c r="Q151" s="346"/>
      <c r="R151" s="252"/>
      <c r="S151" s="252"/>
      <c r="T151" s="252"/>
      <c r="U151" s="252"/>
      <c r="V151" s="252"/>
      <c r="W151" s="252"/>
      <c r="X151" s="252"/>
      <c r="Z151" s="494"/>
      <c r="AA151" s="494"/>
      <c r="AB151" s="494"/>
      <c r="AC151" s="494"/>
      <c r="AD151" s="494"/>
      <c r="AE151" s="494"/>
      <c r="AF151" s="494"/>
      <c r="AG151" s="494"/>
    </row>
    <row r="152" spans="1:33">
      <c r="A152" s="17">
        <f t="shared" si="12"/>
        <v>144</v>
      </c>
      <c r="C152" s="28"/>
      <c r="D152" s="440"/>
      <c r="E152" s="441"/>
      <c r="F152" s="441"/>
      <c r="G152" s="441"/>
      <c r="H152" s="441"/>
      <c r="I152" s="441"/>
      <c r="J152" s="441"/>
      <c r="K152" s="441"/>
      <c r="L152" s="441"/>
      <c r="M152" s="441"/>
      <c r="N152" s="252"/>
      <c r="P152" s="346"/>
      <c r="Q152" s="346"/>
      <c r="R152" s="252"/>
      <c r="S152" s="252"/>
      <c r="T152" s="252"/>
      <c r="U152" s="252"/>
      <c r="V152" s="252"/>
      <c r="W152" s="252"/>
      <c r="X152" s="252"/>
      <c r="Z152" s="494"/>
      <c r="AA152" s="494"/>
      <c r="AB152" s="494"/>
      <c r="AC152" s="494"/>
      <c r="AD152" s="494"/>
      <c r="AE152" s="494"/>
      <c r="AF152" s="494"/>
      <c r="AG152" s="494"/>
    </row>
    <row r="153" spans="1:33">
      <c r="A153" s="17">
        <f t="shared" si="12"/>
        <v>145</v>
      </c>
      <c r="C153" s="28" t="s">
        <v>293</v>
      </c>
      <c r="D153" s="440"/>
      <c r="E153" s="441"/>
      <c r="F153" s="441"/>
      <c r="G153" s="441"/>
      <c r="H153" s="441"/>
      <c r="I153" s="441"/>
      <c r="J153" s="441"/>
      <c r="K153" s="441"/>
      <c r="L153" s="441"/>
      <c r="M153" s="441"/>
      <c r="N153" s="252"/>
      <c r="P153" s="346"/>
      <c r="Q153" s="346"/>
      <c r="R153" s="252"/>
      <c r="S153" s="252"/>
      <c r="T153" s="252"/>
      <c r="U153" s="252"/>
      <c r="V153" s="252"/>
      <c r="W153" s="252"/>
      <c r="X153" s="252"/>
      <c r="Z153" s="494"/>
      <c r="AA153" s="494"/>
      <c r="AB153" s="494"/>
      <c r="AC153" s="494"/>
      <c r="AD153" s="494"/>
      <c r="AE153" s="494"/>
      <c r="AF153" s="494"/>
      <c r="AG153" s="494"/>
    </row>
    <row r="154" spans="1:33">
      <c r="A154" s="17">
        <f t="shared" si="12"/>
        <v>146</v>
      </c>
      <c r="C154" s="28" t="s">
        <v>294</v>
      </c>
      <c r="D154" s="440"/>
      <c r="E154" s="441"/>
      <c r="F154" s="441"/>
      <c r="G154" s="441"/>
      <c r="H154" s="441"/>
      <c r="I154" s="441"/>
      <c r="J154" s="441"/>
      <c r="K154" s="441"/>
      <c r="L154" s="441"/>
      <c r="M154" s="441"/>
      <c r="N154" s="252"/>
      <c r="P154" s="346"/>
      <c r="Q154" s="346"/>
      <c r="R154" s="252"/>
      <c r="S154" s="252"/>
      <c r="T154" s="252"/>
      <c r="U154" s="252"/>
      <c r="V154" s="252"/>
      <c r="W154" s="252"/>
      <c r="X154" s="252"/>
      <c r="Z154" s="494"/>
      <c r="AA154" s="494"/>
      <c r="AB154" s="494"/>
      <c r="AC154" s="494"/>
      <c r="AD154" s="494"/>
      <c r="AE154" s="494"/>
      <c r="AF154" s="494"/>
      <c r="AG154" s="494"/>
    </row>
    <row r="155" spans="1:33">
      <c r="A155" s="17">
        <f t="shared" si="12"/>
        <v>147</v>
      </c>
      <c r="C155" s="466"/>
      <c r="D155" s="440"/>
      <c r="E155" s="441"/>
      <c r="F155" s="441"/>
      <c r="G155" s="441"/>
      <c r="H155" s="441"/>
      <c r="I155" s="441"/>
      <c r="J155" s="441"/>
      <c r="K155" s="441"/>
      <c r="L155" s="441"/>
      <c r="M155" s="441"/>
      <c r="N155" s="252"/>
      <c r="P155" s="346"/>
      <c r="Q155" s="346"/>
      <c r="R155" s="252"/>
      <c r="S155" s="252"/>
      <c r="T155" s="252"/>
      <c r="U155" s="252"/>
      <c r="V155" s="252"/>
      <c r="W155" s="252"/>
      <c r="X155" s="252"/>
      <c r="Z155" s="423"/>
      <c r="AA155" s="423"/>
      <c r="AB155" s="423"/>
      <c r="AC155" s="423"/>
      <c r="AD155" s="423"/>
      <c r="AE155" s="423"/>
      <c r="AF155" s="423"/>
      <c r="AG155" s="423"/>
    </row>
    <row r="156" spans="1:33">
      <c r="A156" s="17">
        <f t="shared" si="12"/>
        <v>148</v>
      </c>
      <c r="C156" s="466" t="s">
        <v>295</v>
      </c>
      <c r="D156" s="440"/>
      <c r="E156" s="441"/>
      <c r="F156" s="441"/>
      <c r="G156" s="441"/>
      <c r="H156" s="441"/>
      <c r="I156" s="441"/>
      <c r="J156" s="441"/>
      <c r="K156" s="441"/>
      <c r="L156" s="441"/>
      <c r="M156" s="441"/>
      <c r="N156" s="252"/>
      <c r="P156" s="346"/>
      <c r="Q156" s="346"/>
      <c r="R156" s="252"/>
      <c r="S156" s="252"/>
      <c r="T156" s="252"/>
      <c r="U156" s="252"/>
      <c r="V156" s="252"/>
      <c r="W156" s="252"/>
      <c r="X156" s="252"/>
      <c r="Z156" s="423"/>
      <c r="AA156" s="423"/>
      <c r="AB156" s="423"/>
      <c r="AC156" s="423"/>
      <c r="AD156" s="423"/>
      <c r="AE156" s="423"/>
      <c r="AF156" s="423"/>
      <c r="AG156" s="423"/>
    </row>
    <row r="157" spans="1:33">
      <c r="A157" s="17">
        <f t="shared" si="12"/>
        <v>149</v>
      </c>
      <c r="E157" s="252"/>
      <c r="F157" s="252"/>
      <c r="G157" s="252"/>
      <c r="H157" s="252"/>
      <c r="I157" s="252"/>
      <c r="J157" s="252"/>
      <c r="K157" s="252"/>
      <c r="L157" s="252"/>
      <c r="M157" s="252"/>
      <c r="N157" s="252"/>
      <c r="P157" s="346"/>
      <c r="Q157" s="346"/>
      <c r="R157" s="252"/>
      <c r="S157" s="252"/>
      <c r="T157" s="252"/>
      <c r="U157" s="252"/>
      <c r="V157" s="252"/>
      <c r="W157" s="252"/>
      <c r="X157" s="252"/>
      <c r="Z157" s="423"/>
      <c r="AA157" s="423"/>
      <c r="AB157" s="423"/>
      <c r="AC157" s="423"/>
      <c r="AD157" s="423"/>
      <c r="AE157" s="423"/>
      <c r="AF157" s="423"/>
      <c r="AG157" s="423"/>
    </row>
    <row r="158" spans="1:33">
      <c r="A158" s="17">
        <f t="shared" si="12"/>
        <v>150</v>
      </c>
      <c r="C158" s="434" t="s">
        <v>186</v>
      </c>
      <c r="R158" s="252"/>
      <c r="S158" s="252"/>
      <c r="T158" s="252"/>
      <c r="U158" s="252"/>
      <c r="V158" s="252"/>
      <c r="W158" s="252"/>
      <c r="X158" s="252"/>
      <c r="Y158" s="252"/>
      <c r="Z158" s="252"/>
      <c r="AA158" s="490"/>
      <c r="AB158" s="423"/>
      <c r="AC158" s="423"/>
      <c r="AD158" s="423"/>
      <c r="AE158" s="423"/>
      <c r="AF158" s="423"/>
      <c r="AG158" s="423"/>
    </row>
    <row r="159" spans="1:33">
      <c r="A159" s="17">
        <f t="shared" si="12"/>
        <v>151</v>
      </c>
      <c r="D159" s="248" t="s">
        <v>240</v>
      </c>
      <c r="E159" s="252">
        <v>21</v>
      </c>
      <c r="F159" s="252">
        <v>78</v>
      </c>
      <c r="G159" s="252">
        <v>54</v>
      </c>
      <c r="H159" s="252">
        <v>74</v>
      </c>
      <c r="I159" s="252">
        <v>144</v>
      </c>
      <c r="J159" s="252">
        <v>70</v>
      </c>
      <c r="K159" s="252">
        <v>58</v>
      </c>
      <c r="L159" s="252"/>
      <c r="M159" s="252">
        <v>75</v>
      </c>
      <c r="N159" s="252">
        <v>65</v>
      </c>
      <c r="P159" s="346"/>
      <c r="Q159" s="443"/>
      <c r="R159" s="252"/>
      <c r="S159" s="252"/>
      <c r="T159" s="252"/>
      <c r="U159" s="252"/>
      <c r="V159" s="252"/>
      <c r="W159" s="252"/>
      <c r="X159" s="252"/>
      <c r="Y159" s="252"/>
      <c r="Z159" s="252"/>
      <c r="AA159" s="252"/>
      <c r="AB159" s="423"/>
      <c r="AC159" s="423"/>
      <c r="AD159" s="423"/>
      <c r="AE159" s="423"/>
      <c r="AF159" s="423"/>
      <c r="AG159" s="423"/>
    </row>
    <row r="160" spans="1:33">
      <c r="A160" s="17">
        <f t="shared" si="12"/>
        <v>152</v>
      </c>
      <c r="D160" s="248" t="s">
        <v>84</v>
      </c>
      <c r="E160" s="252">
        <v>41</v>
      </c>
      <c r="F160" s="321">
        <v>75</v>
      </c>
      <c r="G160" s="321">
        <v>37</v>
      </c>
      <c r="H160" s="321">
        <v>21</v>
      </c>
      <c r="I160" s="321">
        <v>35</v>
      </c>
      <c r="J160" s="321">
        <v>29</v>
      </c>
      <c r="K160" s="321">
        <v>33</v>
      </c>
      <c r="L160" s="252"/>
      <c r="M160" s="252">
        <v>80</v>
      </c>
      <c r="N160" s="252">
        <v>38</v>
      </c>
      <c r="P160" s="444"/>
      <c r="Q160" s="443"/>
      <c r="R160" s="252"/>
      <c r="S160" s="252"/>
      <c r="T160" s="252"/>
      <c r="U160" s="252"/>
      <c r="V160" s="252"/>
      <c r="W160" s="491"/>
      <c r="X160" s="491"/>
      <c r="Y160" s="252"/>
      <c r="Z160" s="252"/>
      <c r="AA160" s="252"/>
      <c r="AB160" s="423"/>
      <c r="AC160" s="423"/>
      <c r="AD160" s="423"/>
      <c r="AE160" s="423"/>
      <c r="AF160" s="423"/>
      <c r="AG160" s="423"/>
    </row>
    <row r="161" spans="1:33">
      <c r="A161" s="17">
        <f t="shared" si="12"/>
        <v>153</v>
      </c>
      <c r="E161" s="253">
        <f t="shared" ref="E161:K161" si="15">SUM(E159:E160)</f>
        <v>62</v>
      </c>
      <c r="F161" s="253">
        <f t="shared" si="15"/>
        <v>153</v>
      </c>
      <c r="G161" s="253">
        <f t="shared" si="15"/>
        <v>91</v>
      </c>
      <c r="H161" s="253">
        <f t="shared" si="15"/>
        <v>95</v>
      </c>
      <c r="I161" s="253">
        <f t="shared" si="15"/>
        <v>179</v>
      </c>
      <c r="J161" s="253">
        <f t="shared" si="15"/>
        <v>99</v>
      </c>
      <c r="K161" s="253">
        <f t="shared" si="15"/>
        <v>91</v>
      </c>
      <c r="L161" s="252"/>
      <c r="M161" s="253">
        <f>M160+M159</f>
        <v>155</v>
      </c>
      <c r="N161" s="253">
        <f>N159+N160</f>
        <v>103</v>
      </c>
      <c r="P161" s="346">
        <v>90</v>
      </c>
      <c r="Q161" s="446">
        <v>92</v>
      </c>
      <c r="R161" s="252"/>
      <c r="S161" s="252"/>
      <c r="T161" s="252"/>
      <c r="U161" s="252"/>
      <c r="V161" s="252"/>
      <c r="W161" s="491"/>
      <c r="X161" s="491"/>
      <c r="Y161" s="252"/>
      <c r="Z161" s="252"/>
      <c r="AA161" s="252"/>
      <c r="AB161" s="423"/>
      <c r="AC161" s="423"/>
      <c r="AD161" s="423"/>
      <c r="AE161" s="423"/>
      <c r="AF161" s="423"/>
      <c r="AG161" s="423"/>
    </row>
    <row r="162" spans="1:33">
      <c r="A162" s="17">
        <f t="shared" si="12"/>
        <v>154</v>
      </c>
      <c r="E162" s="252"/>
      <c r="F162" s="252"/>
      <c r="G162" s="252"/>
      <c r="H162" s="252"/>
      <c r="I162" s="252"/>
      <c r="J162" s="252"/>
      <c r="K162" s="252"/>
      <c r="L162" s="252"/>
      <c r="M162" s="252"/>
      <c r="N162" s="252"/>
      <c r="P162" s="346"/>
      <c r="Q162" s="443"/>
      <c r="R162" s="252"/>
      <c r="S162" s="252"/>
      <c r="T162" s="252"/>
      <c r="U162" s="252"/>
      <c r="V162" s="252"/>
      <c r="W162" s="252"/>
      <c r="X162" s="252"/>
      <c r="Z162" s="423"/>
      <c r="AA162" s="423"/>
      <c r="AB162" s="423"/>
      <c r="AC162" s="423"/>
      <c r="AD162" s="423"/>
      <c r="AE162" s="423"/>
      <c r="AF162" s="423"/>
      <c r="AG162" s="423"/>
    </row>
    <row r="163" spans="1:33">
      <c r="A163" s="17">
        <f t="shared" si="12"/>
        <v>155</v>
      </c>
      <c r="C163" s="466" t="s">
        <v>296</v>
      </c>
      <c r="E163" s="252"/>
      <c r="F163" s="252"/>
      <c r="G163" s="252"/>
      <c r="H163" s="252"/>
      <c r="I163" s="252"/>
      <c r="J163" s="252"/>
      <c r="K163" s="252"/>
      <c r="L163" s="252"/>
      <c r="M163" s="252"/>
      <c r="N163" s="252"/>
      <c r="P163" s="346"/>
      <c r="Q163" s="443"/>
      <c r="R163" s="252"/>
      <c r="S163" s="252"/>
      <c r="T163" s="252"/>
      <c r="U163" s="252"/>
      <c r="V163" s="252"/>
      <c r="W163" s="252"/>
      <c r="X163" s="252"/>
      <c r="Z163" s="423"/>
      <c r="AA163" s="423"/>
      <c r="AB163" s="423"/>
      <c r="AC163" s="423"/>
      <c r="AD163" s="423"/>
      <c r="AE163" s="423"/>
      <c r="AF163" s="423"/>
      <c r="AG163" s="423"/>
    </row>
    <row r="164" spans="1:33">
      <c r="A164" s="17">
        <f t="shared" si="12"/>
        <v>156</v>
      </c>
      <c r="C164" s="466"/>
      <c r="E164" s="252"/>
      <c r="F164" s="252"/>
      <c r="G164" s="252"/>
      <c r="H164" s="252"/>
      <c r="I164" s="252"/>
      <c r="J164" s="252"/>
      <c r="K164" s="252"/>
      <c r="L164" s="252"/>
      <c r="M164" s="252"/>
      <c r="N164" s="252"/>
      <c r="P164" s="346"/>
      <c r="Q164" s="443"/>
      <c r="R164" s="252"/>
      <c r="S164" s="252"/>
      <c r="T164" s="252"/>
      <c r="U164" s="252"/>
      <c r="V164" s="252"/>
      <c r="W164" s="252"/>
      <c r="X164" s="252"/>
      <c r="Z164" s="423"/>
      <c r="AA164" s="423"/>
      <c r="AB164" s="423"/>
      <c r="AC164" s="423"/>
      <c r="AD164" s="423"/>
      <c r="AE164" s="423"/>
      <c r="AF164" s="423"/>
      <c r="AG164" s="423"/>
    </row>
    <row r="165" spans="1:33">
      <c r="A165" s="17">
        <f t="shared" si="12"/>
        <v>157</v>
      </c>
      <c r="C165" s="466" t="s">
        <v>297</v>
      </c>
      <c r="E165" s="252"/>
      <c r="F165" s="252"/>
      <c r="G165" s="252"/>
      <c r="H165" s="252"/>
      <c r="I165" s="252"/>
      <c r="J165" s="252"/>
      <c r="K165" s="252"/>
      <c r="L165" s="252"/>
      <c r="M165" s="252"/>
      <c r="N165" s="252"/>
      <c r="P165" s="346"/>
      <c r="Q165" s="443"/>
      <c r="R165" s="252"/>
      <c r="S165" s="252"/>
      <c r="T165" s="252"/>
      <c r="U165" s="252"/>
      <c r="V165" s="252"/>
      <c r="W165" s="252"/>
      <c r="X165" s="252"/>
      <c r="Z165" s="423"/>
      <c r="AA165" s="423"/>
      <c r="AB165" s="423"/>
      <c r="AC165" s="423"/>
      <c r="AD165" s="423"/>
      <c r="AE165" s="423"/>
      <c r="AF165" s="423"/>
      <c r="AG165" s="423"/>
    </row>
    <row r="166" spans="1:33">
      <c r="A166" s="17">
        <f t="shared" si="12"/>
        <v>158</v>
      </c>
      <c r="C166" s="466" t="s">
        <v>298</v>
      </c>
      <c r="E166" s="252"/>
      <c r="F166" s="252"/>
      <c r="G166" s="252"/>
      <c r="H166" s="252"/>
      <c r="I166" s="252"/>
      <c r="J166" s="252"/>
      <c r="K166" s="252"/>
      <c r="L166" s="252"/>
      <c r="M166" s="252"/>
      <c r="N166" s="252"/>
      <c r="P166" s="346"/>
      <c r="Q166" s="443"/>
      <c r="R166" s="252"/>
      <c r="S166" s="252"/>
      <c r="T166" s="252"/>
      <c r="U166" s="252"/>
      <c r="V166" s="252"/>
      <c r="W166" s="252"/>
      <c r="X166" s="252"/>
      <c r="Z166" s="423"/>
      <c r="AA166" s="423"/>
      <c r="AB166" s="423"/>
      <c r="AC166" s="423"/>
      <c r="AD166" s="423"/>
      <c r="AE166" s="423"/>
      <c r="AF166" s="423"/>
      <c r="AG166" s="423"/>
    </row>
    <row r="167" spans="1:33">
      <c r="A167" s="17">
        <f t="shared" si="12"/>
        <v>159</v>
      </c>
      <c r="C167" s="466"/>
      <c r="E167" s="252"/>
      <c r="F167" s="252"/>
      <c r="G167" s="252"/>
      <c r="H167" s="252"/>
      <c r="I167" s="252"/>
      <c r="J167" s="252"/>
      <c r="K167" s="252"/>
      <c r="L167" s="252"/>
      <c r="M167" s="252"/>
      <c r="N167" s="252"/>
      <c r="P167" s="346"/>
      <c r="Q167" s="443"/>
      <c r="R167" s="252"/>
      <c r="S167" s="252"/>
      <c r="T167" s="252"/>
      <c r="U167" s="252"/>
      <c r="V167" s="252"/>
      <c r="W167" s="252"/>
      <c r="X167" s="252"/>
      <c r="Z167" s="423"/>
      <c r="AA167" s="423"/>
      <c r="AB167" s="423"/>
      <c r="AC167" s="423"/>
      <c r="AD167" s="423"/>
      <c r="AE167" s="423"/>
      <c r="AF167" s="423"/>
      <c r="AG167" s="423"/>
    </row>
    <row r="168" spans="1:33">
      <c r="A168" s="17">
        <f t="shared" si="12"/>
        <v>160</v>
      </c>
      <c r="C168" s="466" t="s">
        <v>299</v>
      </c>
      <c r="E168" s="252"/>
      <c r="F168" s="252"/>
      <c r="G168" s="252"/>
      <c r="H168" s="252"/>
      <c r="I168" s="252"/>
      <c r="J168" s="252"/>
      <c r="K168" s="252"/>
      <c r="L168" s="252"/>
      <c r="M168" s="252"/>
      <c r="N168" s="252"/>
      <c r="P168" s="346"/>
      <c r="Q168" s="443"/>
      <c r="R168" s="252"/>
      <c r="S168" s="252"/>
      <c r="T168" s="252"/>
      <c r="U168" s="252"/>
      <c r="V168" s="252"/>
      <c r="W168" s="252"/>
      <c r="X168" s="252"/>
      <c r="Z168" s="423"/>
      <c r="AA168" s="423"/>
      <c r="AB168" s="423"/>
      <c r="AC168" s="423"/>
      <c r="AD168" s="423"/>
      <c r="AE168" s="423"/>
      <c r="AF168" s="423"/>
      <c r="AG168" s="423"/>
    </row>
    <row r="169" spans="1:33">
      <c r="A169" s="17">
        <f t="shared" si="12"/>
        <v>161</v>
      </c>
      <c r="E169" s="252"/>
      <c r="F169" s="252"/>
      <c r="G169" s="252"/>
      <c r="H169" s="252"/>
      <c r="I169" s="252"/>
      <c r="J169" s="252"/>
      <c r="K169" s="252"/>
      <c r="L169" s="252"/>
      <c r="M169" s="252"/>
      <c r="N169" s="252"/>
      <c r="P169" s="346"/>
      <c r="Q169" s="443"/>
      <c r="R169" s="252"/>
      <c r="S169" s="252"/>
      <c r="T169" s="252"/>
      <c r="U169" s="252"/>
      <c r="V169" s="252"/>
      <c r="W169" s="252"/>
      <c r="X169" s="252"/>
      <c r="Z169" s="423"/>
      <c r="AA169" s="423"/>
      <c r="AB169" s="423"/>
      <c r="AC169" s="423"/>
      <c r="AD169" s="423"/>
      <c r="AE169" s="423"/>
      <c r="AF169" s="423"/>
      <c r="AG169" s="423"/>
    </row>
    <row r="170" spans="1:33">
      <c r="A170" s="17">
        <f t="shared" si="12"/>
        <v>162</v>
      </c>
      <c r="C170" s="434" t="s">
        <v>188</v>
      </c>
      <c r="E170" s="252"/>
      <c r="F170" s="252"/>
      <c r="G170" s="252"/>
      <c r="H170" s="252"/>
      <c r="I170" s="252"/>
      <c r="J170" s="252"/>
      <c r="K170" s="252"/>
      <c r="L170" s="252"/>
      <c r="M170" s="252"/>
      <c r="N170" s="252"/>
      <c r="P170" s="346"/>
      <c r="Q170" s="443"/>
      <c r="R170" s="252"/>
      <c r="S170" s="252"/>
      <c r="T170" s="252"/>
      <c r="U170" s="252"/>
      <c r="V170" s="252"/>
      <c r="W170" s="252"/>
      <c r="X170" s="252"/>
      <c r="Z170" s="423"/>
      <c r="AA170" s="423"/>
      <c r="AB170" s="423"/>
      <c r="AC170" s="423"/>
      <c r="AD170" s="423"/>
      <c r="AE170" s="423"/>
      <c r="AF170" s="423"/>
      <c r="AG170" s="423"/>
    </row>
    <row r="171" spans="1:33">
      <c r="A171" s="17">
        <f t="shared" si="12"/>
        <v>163</v>
      </c>
      <c r="D171" s="248" t="s">
        <v>240</v>
      </c>
      <c r="E171" s="252">
        <v>8</v>
      </c>
      <c r="F171" s="252">
        <v>5</v>
      </c>
      <c r="G171" s="252">
        <v>1</v>
      </c>
      <c r="H171" s="252">
        <v>1</v>
      </c>
      <c r="I171" s="252">
        <v>1</v>
      </c>
      <c r="J171" s="252">
        <v>1</v>
      </c>
      <c r="K171" s="252">
        <v>1</v>
      </c>
      <c r="L171" s="252"/>
      <c r="M171" s="252"/>
      <c r="N171" s="252"/>
      <c r="P171" s="346"/>
      <c r="Q171" s="443"/>
      <c r="R171" s="252"/>
      <c r="S171" s="252"/>
      <c r="T171" s="252"/>
      <c r="U171" s="252"/>
      <c r="V171" s="252"/>
      <c r="W171" s="252"/>
      <c r="X171" s="252"/>
      <c r="Z171" s="423"/>
      <c r="AA171" s="423"/>
      <c r="AB171" s="423"/>
      <c r="AC171" s="423"/>
      <c r="AD171" s="423"/>
      <c r="AE171" s="423"/>
      <c r="AF171" s="423"/>
      <c r="AG171" s="423"/>
    </row>
    <row r="172" spans="1:33">
      <c r="A172" s="17">
        <f t="shared" si="12"/>
        <v>164</v>
      </c>
      <c r="D172" s="248" t="s">
        <v>84</v>
      </c>
      <c r="E172" s="252">
        <v>26</v>
      </c>
      <c r="F172" s="321">
        <v>18</v>
      </c>
      <c r="G172" s="321">
        <v>5</v>
      </c>
      <c r="H172" s="321">
        <v>13</v>
      </c>
      <c r="I172" s="321">
        <v>11</v>
      </c>
      <c r="J172" s="321">
        <v>8</v>
      </c>
      <c r="K172" s="321">
        <v>12</v>
      </c>
      <c r="L172" s="252"/>
      <c r="M172" s="252">
        <v>12</v>
      </c>
      <c r="N172" s="252">
        <v>12</v>
      </c>
      <c r="P172" s="444"/>
      <c r="Q172" s="443"/>
      <c r="R172" s="252"/>
      <c r="S172" s="252"/>
      <c r="T172" s="252"/>
      <c r="U172" s="252"/>
      <c r="V172" s="252"/>
      <c r="W172" s="252"/>
      <c r="X172" s="252"/>
      <c r="Y172" s="252"/>
      <c r="Z172" s="252"/>
      <c r="AA172" s="490"/>
      <c r="AB172" s="423"/>
      <c r="AC172" s="423"/>
      <c r="AD172" s="423"/>
      <c r="AE172" s="423"/>
      <c r="AF172" s="423"/>
      <c r="AG172" s="423"/>
    </row>
    <row r="173" spans="1:33">
      <c r="A173" s="17">
        <f t="shared" si="12"/>
        <v>165</v>
      </c>
      <c r="E173" s="253">
        <f t="shared" ref="E173:K173" si="16">SUM(E171:E172)</f>
        <v>34</v>
      </c>
      <c r="F173" s="253">
        <f t="shared" si="16"/>
        <v>23</v>
      </c>
      <c r="G173" s="253">
        <f t="shared" si="16"/>
        <v>6</v>
      </c>
      <c r="H173" s="253">
        <f t="shared" si="16"/>
        <v>14</v>
      </c>
      <c r="I173" s="253">
        <f t="shared" si="16"/>
        <v>12</v>
      </c>
      <c r="J173" s="253">
        <f t="shared" si="16"/>
        <v>9</v>
      </c>
      <c r="K173" s="253">
        <f t="shared" si="16"/>
        <v>13</v>
      </c>
      <c r="L173" s="252"/>
      <c r="M173" s="253">
        <f>M172</f>
        <v>12</v>
      </c>
      <c r="N173" s="253">
        <f>N172</f>
        <v>12</v>
      </c>
      <c r="P173" s="346">
        <v>53</v>
      </c>
      <c r="Q173" s="446">
        <v>54</v>
      </c>
      <c r="R173" s="252"/>
      <c r="S173" s="252"/>
      <c r="T173" s="252"/>
      <c r="U173" s="252"/>
      <c r="V173" s="252"/>
      <c r="W173" s="252"/>
      <c r="X173" s="252"/>
      <c r="Y173" s="252"/>
      <c r="Z173" s="252"/>
      <c r="AA173" s="252"/>
      <c r="AB173" s="423"/>
      <c r="AC173" s="423"/>
      <c r="AD173" s="423"/>
      <c r="AE173" s="423"/>
      <c r="AF173" s="423"/>
      <c r="AG173" s="423"/>
    </row>
    <row r="174" spans="1:33">
      <c r="A174" s="17">
        <f t="shared" si="12"/>
        <v>166</v>
      </c>
      <c r="R174" s="252"/>
      <c r="S174" s="252"/>
      <c r="T174" s="252"/>
      <c r="U174" s="252"/>
      <c r="V174" s="252"/>
      <c r="W174" s="491"/>
      <c r="X174" s="491"/>
      <c r="Y174" s="252"/>
      <c r="Z174" s="252"/>
      <c r="AA174" s="252"/>
      <c r="AB174" s="423"/>
      <c r="AC174" s="423"/>
      <c r="AD174" s="423"/>
      <c r="AE174" s="423"/>
      <c r="AF174" s="423"/>
      <c r="AG174" s="423"/>
    </row>
    <row r="175" spans="1:33">
      <c r="A175" s="17">
        <f t="shared" ref="A175:A240" si="17">A174+1</f>
        <v>167</v>
      </c>
      <c r="C175" s="434" t="s">
        <v>190</v>
      </c>
      <c r="E175" s="252"/>
      <c r="F175" s="252"/>
      <c r="G175" s="252"/>
      <c r="H175" s="252"/>
      <c r="I175" s="252"/>
      <c r="J175" s="252"/>
      <c r="K175" s="252"/>
      <c r="L175" s="252"/>
      <c r="M175" s="252"/>
      <c r="N175" s="252"/>
      <c r="P175" s="346"/>
      <c r="Q175" s="346"/>
      <c r="R175" s="252"/>
      <c r="S175" s="252"/>
      <c r="T175" s="252"/>
      <c r="U175" s="252"/>
      <c r="V175" s="252"/>
      <c r="W175" s="252"/>
      <c r="X175" s="252"/>
      <c r="Z175" s="423"/>
      <c r="AA175" s="423"/>
      <c r="AB175" s="423"/>
      <c r="AC175" s="423"/>
      <c r="AD175" s="423"/>
      <c r="AE175" s="423"/>
      <c r="AF175" s="423"/>
      <c r="AG175" s="423"/>
    </row>
    <row r="176" spans="1:33">
      <c r="A176" s="17">
        <f t="shared" si="17"/>
        <v>168</v>
      </c>
      <c r="D176" s="248" t="s">
        <v>240</v>
      </c>
      <c r="E176" s="252">
        <v>82</v>
      </c>
      <c r="F176" s="252">
        <v>71</v>
      </c>
      <c r="G176" s="252">
        <v>74</v>
      </c>
      <c r="H176" s="252">
        <v>80</v>
      </c>
      <c r="I176" s="252">
        <v>91</v>
      </c>
      <c r="J176" s="252">
        <v>90</v>
      </c>
      <c r="K176" s="252">
        <v>103</v>
      </c>
      <c r="L176" s="252"/>
      <c r="M176" s="252">
        <f>110+20</f>
        <v>130</v>
      </c>
      <c r="N176" s="252">
        <f>113+20</f>
        <v>133</v>
      </c>
      <c r="P176" s="346"/>
      <c r="Q176" s="443"/>
      <c r="R176" s="252"/>
      <c r="S176" s="252"/>
      <c r="T176" s="252"/>
      <c r="U176" s="252"/>
      <c r="V176" s="252"/>
      <c r="W176" s="252"/>
      <c r="X176" s="252"/>
      <c r="Y176" s="252"/>
      <c r="Z176" s="252"/>
      <c r="AA176" s="490"/>
      <c r="AB176" s="423"/>
      <c r="AC176" s="423"/>
      <c r="AD176" s="423"/>
      <c r="AE176" s="423"/>
      <c r="AF176" s="423"/>
      <c r="AG176" s="423"/>
    </row>
    <row r="177" spans="1:33">
      <c r="A177" s="17">
        <f t="shared" si="17"/>
        <v>169</v>
      </c>
      <c r="D177" s="248" t="s">
        <v>84</v>
      </c>
      <c r="E177" s="252">
        <v>95</v>
      </c>
      <c r="F177" s="321">
        <v>62</v>
      </c>
      <c r="G177" s="321">
        <v>140</v>
      </c>
      <c r="H177" s="321">
        <v>38</v>
      </c>
      <c r="I177" s="321">
        <v>75</v>
      </c>
      <c r="J177" s="321">
        <v>201</v>
      </c>
      <c r="K177" s="321">
        <v>71</v>
      </c>
      <c r="L177" s="252"/>
      <c r="M177" s="252">
        <v>155</v>
      </c>
      <c r="N177" s="252">
        <v>159</v>
      </c>
      <c r="P177" s="444"/>
      <c r="Q177" s="443"/>
      <c r="R177" s="252"/>
      <c r="S177" s="252"/>
      <c r="T177" s="252"/>
      <c r="U177" s="252"/>
      <c r="V177" s="252"/>
      <c r="W177" s="252"/>
      <c r="X177" s="252"/>
      <c r="Y177" s="252"/>
      <c r="Z177" s="252"/>
      <c r="AA177" s="252"/>
      <c r="AB177" s="423"/>
      <c r="AC177" s="423"/>
      <c r="AD177" s="423"/>
      <c r="AE177" s="423"/>
      <c r="AF177" s="423"/>
      <c r="AG177" s="492"/>
    </row>
    <row r="178" spans="1:33">
      <c r="A178" s="17">
        <f t="shared" si="17"/>
        <v>170</v>
      </c>
      <c r="E178" s="253">
        <f t="shared" ref="E178:K178" si="18">SUM(E176:E177)</f>
        <v>177</v>
      </c>
      <c r="F178" s="253">
        <f t="shared" si="18"/>
        <v>133</v>
      </c>
      <c r="G178" s="253">
        <f t="shared" si="18"/>
        <v>214</v>
      </c>
      <c r="H178" s="253">
        <f t="shared" si="18"/>
        <v>118</v>
      </c>
      <c r="I178" s="253">
        <f t="shared" si="18"/>
        <v>166</v>
      </c>
      <c r="J178" s="253">
        <f t="shared" si="18"/>
        <v>291</v>
      </c>
      <c r="K178" s="253">
        <f t="shared" si="18"/>
        <v>174</v>
      </c>
      <c r="L178" s="252"/>
      <c r="M178" s="253">
        <f>M176+M177</f>
        <v>285</v>
      </c>
      <c r="N178" s="253">
        <f>N177+N176</f>
        <v>292</v>
      </c>
      <c r="P178" s="346">
        <v>248</v>
      </c>
      <c r="Q178" s="446">
        <v>254</v>
      </c>
      <c r="R178" s="252"/>
      <c r="S178" s="252"/>
      <c r="T178" s="252"/>
      <c r="U178" s="252"/>
      <c r="V178" s="252"/>
      <c r="W178" s="491"/>
      <c r="X178" s="491"/>
      <c r="Y178" s="252"/>
      <c r="Z178" s="252"/>
      <c r="AA178" s="252"/>
      <c r="AB178" s="423"/>
      <c r="AC178" s="423"/>
      <c r="AD178" s="423"/>
      <c r="AE178" s="423"/>
      <c r="AF178" s="423"/>
      <c r="AG178" s="423"/>
    </row>
    <row r="179" spans="1:33">
      <c r="A179" s="17">
        <f t="shared" si="17"/>
        <v>171</v>
      </c>
      <c r="P179" s="346"/>
      <c r="Q179" s="443"/>
      <c r="R179" s="252"/>
      <c r="S179" s="252"/>
      <c r="T179" s="252"/>
      <c r="U179" s="252"/>
      <c r="V179" s="252"/>
      <c r="W179" s="252"/>
      <c r="X179" s="252"/>
      <c r="Z179" s="423"/>
      <c r="AA179" s="423"/>
      <c r="AB179" s="423"/>
      <c r="AC179" s="423"/>
      <c r="AD179" s="423"/>
      <c r="AE179" s="423"/>
      <c r="AF179" s="423"/>
      <c r="AG179" s="423"/>
    </row>
    <row r="180" spans="1:33">
      <c r="A180" s="17">
        <f t="shared" si="17"/>
        <v>172</v>
      </c>
      <c r="C180" s="466" t="s">
        <v>300</v>
      </c>
      <c r="E180" s="252"/>
      <c r="F180" s="252"/>
      <c r="G180" s="252"/>
      <c r="H180" s="252"/>
      <c r="I180" s="252"/>
      <c r="J180" s="252"/>
      <c r="K180" s="252"/>
      <c r="L180" s="252"/>
      <c r="M180" s="252"/>
      <c r="N180" s="252"/>
      <c r="P180" s="346"/>
      <c r="Q180" s="443"/>
      <c r="R180" s="252"/>
      <c r="S180" s="252"/>
      <c r="T180" s="252"/>
      <c r="U180" s="252"/>
      <c r="V180" s="252"/>
      <c r="W180" s="252"/>
      <c r="X180" s="252"/>
      <c r="Z180" s="423"/>
      <c r="AA180" s="423"/>
      <c r="AB180" s="423"/>
      <c r="AC180" s="423"/>
      <c r="AD180" s="423"/>
      <c r="AE180" s="423"/>
      <c r="AF180" s="423"/>
      <c r="AG180" s="423"/>
    </row>
    <row r="181" spans="1:33">
      <c r="A181" s="17">
        <f t="shared" si="17"/>
        <v>173</v>
      </c>
      <c r="C181" s="466"/>
      <c r="E181" s="252"/>
      <c r="F181" s="252"/>
      <c r="G181" s="252"/>
      <c r="H181" s="252"/>
      <c r="I181" s="252"/>
      <c r="J181" s="252"/>
      <c r="K181" s="252"/>
      <c r="L181" s="252"/>
      <c r="M181" s="252"/>
      <c r="N181" s="252"/>
      <c r="P181" s="346"/>
      <c r="Q181" s="443"/>
      <c r="R181" s="252"/>
      <c r="S181" s="252"/>
      <c r="T181" s="252"/>
      <c r="U181" s="252"/>
      <c r="V181" s="252"/>
      <c r="W181" s="252"/>
      <c r="X181" s="252"/>
      <c r="Z181" s="423"/>
      <c r="AA181" s="423"/>
      <c r="AB181" s="423"/>
      <c r="AC181" s="423"/>
      <c r="AD181" s="423"/>
      <c r="AE181" s="423"/>
      <c r="AF181" s="423"/>
      <c r="AG181" s="423"/>
    </row>
    <row r="182" spans="1:33">
      <c r="A182" s="17">
        <f t="shared" si="17"/>
        <v>174</v>
      </c>
      <c r="C182" s="466" t="s">
        <v>301</v>
      </c>
      <c r="E182" s="252"/>
      <c r="F182" s="252"/>
      <c r="G182" s="252"/>
      <c r="H182" s="252"/>
      <c r="I182" s="252"/>
      <c r="J182" s="252"/>
      <c r="K182" s="252"/>
      <c r="L182" s="252"/>
      <c r="M182" s="252"/>
      <c r="N182" s="252"/>
      <c r="P182" s="346"/>
      <c r="Q182" s="443"/>
      <c r="R182" s="252"/>
      <c r="S182" s="252"/>
      <c r="T182" s="252"/>
      <c r="U182" s="252"/>
      <c r="V182" s="252"/>
      <c r="W182" s="252"/>
      <c r="X182" s="252"/>
      <c r="Z182" s="423"/>
      <c r="AA182" s="423"/>
      <c r="AB182" s="423"/>
      <c r="AC182" s="423"/>
      <c r="AD182" s="423"/>
      <c r="AE182" s="423"/>
      <c r="AF182" s="423"/>
      <c r="AG182" s="423"/>
    </row>
    <row r="183" spans="1:33">
      <c r="A183" s="17">
        <f t="shared" si="17"/>
        <v>175</v>
      </c>
      <c r="C183" s="466" t="s">
        <v>302</v>
      </c>
      <c r="E183" s="252"/>
      <c r="F183" s="252"/>
      <c r="G183" s="252"/>
      <c r="H183" s="252"/>
      <c r="I183" s="252"/>
      <c r="J183" s="252"/>
      <c r="K183" s="252"/>
      <c r="L183" s="252"/>
      <c r="M183" s="252"/>
      <c r="N183" s="252"/>
      <c r="P183" s="346"/>
      <c r="Q183" s="443"/>
      <c r="R183" s="252"/>
      <c r="S183" s="252"/>
      <c r="T183" s="252"/>
      <c r="U183" s="252"/>
      <c r="V183" s="252"/>
      <c r="W183" s="252"/>
      <c r="X183" s="252"/>
      <c r="Z183" s="423"/>
      <c r="AA183" s="423"/>
      <c r="AB183" s="423"/>
      <c r="AC183" s="423"/>
      <c r="AD183" s="423"/>
      <c r="AE183" s="423"/>
      <c r="AF183" s="423"/>
      <c r="AG183" s="423"/>
    </row>
    <row r="184" spans="1:33">
      <c r="A184" s="17">
        <f t="shared" si="17"/>
        <v>176</v>
      </c>
      <c r="C184" s="466"/>
      <c r="E184" s="252"/>
      <c r="F184" s="252"/>
      <c r="G184" s="252"/>
      <c r="H184" s="252"/>
      <c r="I184" s="252"/>
      <c r="J184" s="252"/>
      <c r="K184" s="252"/>
      <c r="L184" s="252"/>
      <c r="M184" s="252"/>
      <c r="N184" s="252"/>
      <c r="P184" s="346"/>
      <c r="Q184" s="443"/>
      <c r="R184" s="252"/>
      <c r="S184" s="252"/>
      <c r="T184" s="252"/>
      <c r="U184" s="252"/>
      <c r="V184" s="252"/>
      <c r="W184" s="252"/>
      <c r="X184" s="252"/>
      <c r="Z184" s="423"/>
      <c r="AA184" s="423"/>
      <c r="AB184" s="423"/>
      <c r="AC184" s="423"/>
      <c r="AD184" s="423"/>
      <c r="AE184" s="423"/>
      <c r="AF184" s="423"/>
      <c r="AG184" s="423"/>
    </row>
    <row r="185" spans="1:33">
      <c r="A185" s="17">
        <f t="shared" si="17"/>
        <v>177</v>
      </c>
      <c r="C185" s="466" t="s">
        <v>303</v>
      </c>
      <c r="E185" s="252"/>
      <c r="F185" s="252"/>
      <c r="G185" s="252"/>
      <c r="H185" s="252"/>
      <c r="I185" s="252"/>
      <c r="J185" s="252"/>
      <c r="K185" s="252"/>
      <c r="L185" s="252"/>
      <c r="M185" s="252"/>
      <c r="N185" s="252"/>
      <c r="O185" s="252"/>
      <c r="P185" s="252"/>
      <c r="Q185" s="252"/>
      <c r="R185" s="252"/>
      <c r="S185" s="252"/>
      <c r="T185" s="252"/>
      <c r="U185" s="252"/>
      <c r="V185" s="252"/>
      <c r="W185" s="252"/>
      <c r="X185" s="252"/>
      <c r="Z185" s="423"/>
      <c r="AA185" s="423"/>
      <c r="AB185" s="423"/>
      <c r="AC185" s="423"/>
      <c r="AD185" s="423"/>
      <c r="AE185" s="423"/>
      <c r="AF185" s="423"/>
      <c r="AG185" s="423"/>
    </row>
    <row r="186" spans="1:33">
      <c r="A186" s="17">
        <f t="shared" si="17"/>
        <v>178</v>
      </c>
      <c r="E186" s="252"/>
      <c r="F186" s="252"/>
      <c r="G186" s="252"/>
      <c r="H186" s="252"/>
      <c r="I186" s="252"/>
      <c r="J186" s="252"/>
      <c r="K186" s="252"/>
      <c r="L186" s="252"/>
      <c r="M186" s="252"/>
      <c r="N186" s="252"/>
      <c r="O186" s="252"/>
      <c r="P186" s="252"/>
      <c r="Q186" s="252"/>
      <c r="R186" s="252"/>
      <c r="S186" s="252"/>
      <c r="T186" s="252"/>
      <c r="U186" s="252"/>
      <c r="V186" s="252"/>
      <c r="W186" s="252"/>
      <c r="X186" s="252"/>
      <c r="Y186" s="252"/>
      <c r="Z186" s="423"/>
      <c r="AA186" s="423"/>
      <c r="AB186" s="423"/>
      <c r="AC186" s="423"/>
      <c r="AD186" s="423"/>
      <c r="AE186" s="423"/>
      <c r="AF186" s="423"/>
      <c r="AG186" s="423"/>
    </row>
    <row r="187" spans="1:33" s="250" customFormat="1">
      <c r="A187" s="17">
        <f t="shared" si="17"/>
        <v>179</v>
      </c>
      <c r="B187" s="250" t="s">
        <v>304</v>
      </c>
      <c r="E187" s="255">
        <f t="shared" ref="E187:K187" si="19">E178+E173+E161+E144+E136+E117+E112+E96+E84</f>
        <v>2971.5994300000002</v>
      </c>
      <c r="F187" s="255">
        <f t="shared" si="19"/>
        <v>3217.1129099999998</v>
      </c>
      <c r="G187" s="255">
        <f t="shared" si="19"/>
        <v>2936.2447700000002</v>
      </c>
      <c r="H187" s="255">
        <f t="shared" si="19"/>
        <v>3189.3519799999999</v>
      </c>
      <c r="I187" s="255">
        <f t="shared" si="19"/>
        <v>3253.5032900000001</v>
      </c>
      <c r="J187" s="255">
        <f t="shared" si="19"/>
        <v>4250.1468299999997</v>
      </c>
      <c r="K187" s="255">
        <f t="shared" si="19"/>
        <v>4481.22415</v>
      </c>
      <c r="L187" s="254"/>
      <c r="M187" s="255">
        <f>M178+M173+M161+M144+M136+M117+M112+M96+M84</f>
        <v>4134</v>
      </c>
      <c r="N187" s="255">
        <f>N178+N173+N161+N144+N136+N117+N112+N96+N84</f>
        <v>4189.5200000000004</v>
      </c>
      <c r="P187" s="449">
        <v>3248</v>
      </c>
      <c r="Q187" s="449">
        <v>3314</v>
      </c>
      <c r="R187" s="252"/>
      <c r="S187" s="252"/>
      <c r="T187" s="252"/>
      <c r="U187" s="252"/>
      <c r="V187" s="252"/>
      <c r="W187" s="252"/>
      <c r="X187" s="252"/>
      <c r="Z187" s="423"/>
      <c r="AA187" s="423"/>
      <c r="AB187" s="423"/>
      <c r="AC187" s="423"/>
      <c r="AD187" s="423"/>
      <c r="AE187" s="423"/>
      <c r="AF187" s="423"/>
      <c r="AG187" s="423"/>
    </row>
    <row r="188" spans="1:33">
      <c r="A188" s="17">
        <f t="shared" si="17"/>
        <v>180</v>
      </c>
      <c r="E188" s="254"/>
      <c r="F188" s="254"/>
      <c r="G188" s="254"/>
      <c r="H188" s="254"/>
      <c r="I188" s="254"/>
      <c r="J188" s="254"/>
      <c r="K188" s="254"/>
      <c r="L188" s="254"/>
      <c r="M188" s="254"/>
      <c r="N188" s="254"/>
      <c r="P188" s="346"/>
      <c r="Q188" s="448"/>
      <c r="R188" s="252"/>
      <c r="S188" s="252"/>
      <c r="T188" s="252"/>
      <c r="U188" s="252"/>
      <c r="V188" s="252"/>
      <c r="W188" s="252"/>
      <c r="X188" s="252"/>
      <c r="Z188" s="423"/>
      <c r="AA188" s="423"/>
      <c r="AB188" s="423"/>
      <c r="AC188" s="423"/>
      <c r="AD188" s="423"/>
      <c r="AE188" s="423"/>
      <c r="AF188" s="423"/>
      <c r="AG188" s="423"/>
    </row>
    <row r="189" spans="1:33">
      <c r="A189" s="17">
        <f t="shared" si="17"/>
        <v>181</v>
      </c>
      <c r="B189" s="250" t="s">
        <v>305</v>
      </c>
      <c r="E189" s="254"/>
      <c r="F189" s="254"/>
      <c r="G189" s="254"/>
      <c r="H189" s="254"/>
      <c r="I189" s="254"/>
      <c r="J189" s="254"/>
      <c r="K189" s="254"/>
      <c r="L189" s="254"/>
      <c r="M189" s="254"/>
      <c r="N189" s="254"/>
      <c r="P189" s="346"/>
      <c r="Q189" s="448"/>
      <c r="R189" s="252"/>
      <c r="S189" s="252"/>
      <c r="T189" s="252"/>
      <c r="U189" s="252"/>
      <c r="V189" s="252"/>
      <c r="W189" s="252"/>
      <c r="X189" s="252"/>
      <c r="Z189" s="423"/>
      <c r="AA189" s="423"/>
      <c r="AB189" s="423"/>
      <c r="AC189" s="423"/>
      <c r="AD189" s="423"/>
      <c r="AE189" s="423"/>
      <c r="AF189" s="423"/>
      <c r="AG189" s="423"/>
    </row>
    <row r="190" spans="1:33">
      <c r="A190" s="17">
        <f t="shared" si="17"/>
        <v>182</v>
      </c>
      <c r="C190" s="434" t="s">
        <v>193</v>
      </c>
      <c r="E190" s="254"/>
      <c r="F190" s="254"/>
      <c r="G190" s="254"/>
      <c r="H190" s="254"/>
      <c r="I190" s="254"/>
      <c r="J190" s="254"/>
      <c r="K190" s="254"/>
      <c r="L190" s="254"/>
      <c r="M190" s="254"/>
      <c r="N190" s="254"/>
      <c r="P190" s="346"/>
      <c r="Q190" s="448"/>
      <c r="R190" s="252"/>
      <c r="S190" s="252"/>
      <c r="T190" s="252"/>
      <c r="U190" s="252"/>
      <c r="V190" s="252"/>
      <c r="W190" s="252"/>
      <c r="X190" s="252"/>
      <c r="Z190" s="423"/>
      <c r="AA190" s="423"/>
      <c r="AB190" s="423"/>
      <c r="AC190" s="423"/>
      <c r="AD190" s="423"/>
      <c r="AE190" s="423"/>
      <c r="AF190" s="423"/>
      <c r="AG190" s="423"/>
    </row>
    <row r="191" spans="1:33">
      <c r="A191" s="17">
        <f t="shared" si="17"/>
        <v>183</v>
      </c>
      <c r="D191" s="248" t="s">
        <v>240</v>
      </c>
      <c r="E191" s="252">
        <v>3</v>
      </c>
      <c r="F191" s="252">
        <v>8</v>
      </c>
      <c r="G191" s="252">
        <v>17</v>
      </c>
      <c r="H191" s="252">
        <v>2</v>
      </c>
      <c r="I191" s="252">
        <v>10</v>
      </c>
      <c r="J191" s="252">
        <v>9</v>
      </c>
      <c r="K191" s="252">
        <v>9</v>
      </c>
      <c r="L191" s="252"/>
      <c r="M191" s="252">
        <v>10</v>
      </c>
      <c r="N191" s="252">
        <v>10</v>
      </c>
      <c r="P191" s="346"/>
      <c r="Q191" s="443"/>
      <c r="R191" s="252"/>
      <c r="S191" s="252"/>
      <c r="T191" s="252"/>
      <c r="U191" s="252"/>
      <c r="V191" s="252"/>
      <c r="W191" s="252"/>
      <c r="X191" s="252"/>
      <c r="Y191" s="252"/>
      <c r="Z191" s="252"/>
      <c r="AA191" s="490"/>
      <c r="AB191" s="423"/>
      <c r="AC191" s="423"/>
      <c r="AD191" s="423"/>
      <c r="AE191" s="423"/>
      <c r="AF191" s="423"/>
      <c r="AG191" s="423"/>
    </row>
    <row r="192" spans="1:33">
      <c r="A192" s="17">
        <f t="shared" si="17"/>
        <v>184</v>
      </c>
      <c r="D192" s="248" t="s">
        <v>84</v>
      </c>
      <c r="E192" s="252">
        <v>9</v>
      </c>
      <c r="F192" s="252">
        <v>19</v>
      </c>
      <c r="G192" s="252">
        <v>24</v>
      </c>
      <c r="H192" s="252">
        <v>34</v>
      </c>
      <c r="I192" s="252">
        <v>29</v>
      </c>
      <c r="J192" s="252">
        <v>39</v>
      </c>
      <c r="K192" s="252">
        <v>50</v>
      </c>
      <c r="L192" s="252"/>
      <c r="M192" s="252">
        <f>108+2</f>
        <v>110</v>
      </c>
      <c r="N192" s="252">
        <f>110*1.03</f>
        <v>113.3</v>
      </c>
      <c r="P192" s="445"/>
      <c r="Q192" s="445"/>
      <c r="R192" s="252"/>
      <c r="S192" s="252"/>
      <c r="T192" s="252"/>
      <c r="U192" s="252"/>
      <c r="V192" s="252"/>
      <c r="W192" s="252"/>
      <c r="X192" s="252"/>
      <c r="Y192" s="252"/>
      <c r="Z192" s="252"/>
      <c r="AA192" s="252"/>
      <c r="AB192" s="423"/>
      <c r="AC192" s="423"/>
      <c r="AD192" s="423"/>
      <c r="AE192" s="423"/>
      <c r="AF192" s="423"/>
      <c r="AG192" s="423"/>
    </row>
    <row r="193" spans="1:33">
      <c r="A193" s="17">
        <f t="shared" si="17"/>
        <v>185</v>
      </c>
      <c r="E193" s="322">
        <f t="shared" ref="E193:K193" si="20">SUM(E191:E192)</f>
        <v>12</v>
      </c>
      <c r="F193" s="322">
        <f t="shared" si="20"/>
        <v>27</v>
      </c>
      <c r="G193" s="322">
        <f t="shared" si="20"/>
        <v>41</v>
      </c>
      <c r="H193" s="322">
        <f t="shared" si="20"/>
        <v>36</v>
      </c>
      <c r="I193" s="322">
        <f t="shared" si="20"/>
        <v>39</v>
      </c>
      <c r="J193" s="322">
        <f t="shared" si="20"/>
        <v>48</v>
      </c>
      <c r="K193" s="322">
        <f t="shared" si="20"/>
        <v>59</v>
      </c>
      <c r="L193" s="252"/>
      <c r="M193" s="253">
        <f>M192+M191</f>
        <v>120</v>
      </c>
      <c r="N193" s="253">
        <f>N192+N191</f>
        <v>123.3</v>
      </c>
      <c r="P193" s="346">
        <v>25</v>
      </c>
      <c r="Q193" s="346">
        <v>25</v>
      </c>
      <c r="R193" s="252"/>
      <c r="S193" s="252"/>
      <c r="T193" s="252"/>
      <c r="U193" s="252"/>
      <c r="V193" s="252"/>
      <c r="W193" s="491"/>
      <c r="X193" s="491"/>
      <c r="Y193" s="252"/>
      <c r="Z193" s="252"/>
      <c r="AA193" s="252"/>
      <c r="AB193" s="423"/>
      <c r="AC193" s="423"/>
      <c r="AD193" s="423"/>
      <c r="AE193" s="423"/>
      <c r="AF193" s="423"/>
      <c r="AG193" s="423"/>
    </row>
    <row r="194" spans="1:33">
      <c r="A194" s="17">
        <f t="shared" si="17"/>
        <v>186</v>
      </c>
      <c r="E194" s="419"/>
      <c r="F194" s="419"/>
      <c r="G194" s="419"/>
      <c r="H194" s="419"/>
      <c r="I194" s="419"/>
      <c r="J194" s="419"/>
      <c r="K194" s="419"/>
      <c r="L194" s="252"/>
      <c r="M194" s="252"/>
      <c r="N194" s="252"/>
      <c r="P194" s="346"/>
      <c r="Q194" s="346"/>
      <c r="R194" s="252"/>
      <c r="S194" s="252"/>
      <c r="T194" s="252"/>
      <c r="U194" s="252"/>
      <c r="V194" s="252"/>
      <c r="W194" s="252"/>
      <c r="X194" s="252"/>
      <c r="Z194" s="423"/>
      <c r="AA194" s="423"/>
      <c r="AB194" s="423"/>
      <c r="AC194" s="423"/>
      <c r="AD194" s="423"/>
      <c r="AE194" s="423"/>
      <c r="AF194" s="423"/>
      <c r="AG194" s="423"/>
    </row>
    <row r="195" spans="1:33">
      <c r="A195" s="17">
        <f t="shared" si="17"/>
        <v>187</v>
      </c>
      <c r="C195" s="28" t="s">
        <v>306</v>
      </c>
      <c r="E195" s="419"/>
      <c r="F195" s="419"/>
      <c r="G195" s="419"/>
      <c r="H195" s="419"/>
      <c r="I195" s="419"/>
      <c r="J195" s="419"/>
      <c r="K195" s="419"/>
      <c r="L195" s="252"/>
      <c r="M195" s="252"/>
      <c r="N195" s="252"/>
      <c r="P195" s="346"/>
      <c r="Q195" s="346"/>
      <c r="R195" s="252"/>
      <c r="S195" s="252"/>
      <c r="T195" s="252"/>
      <c r="U195" s="252"/>
      <c r="V195" s="252"/>
      <c r="W195" s="252"/>
      <c r="X195" s="252"/>
      <c r="Z195" s="423"/>
      <c r="AA195" s="423"/>
      <c r="AB195" s="423"/>
      <c r="AC195" s="423"/>
      <c r="AD195" s="423"/>
      <c r="AE195" s="423"/>
      <c r="AF195" s="423"/>
      <c r="AG195" s="423"/>
    </row>
    <row r="196" spans="1:33">
      <c r="A196" s="17">
        <f t="shared" si="17"/>
        <v>188</v>
      </c>
      <c r="E196" s="419"/>
      <c r="F196" s="419"/>
      <c r="G196" s="419"/>
      <c r="H196" s="419"/>
      <c r="I196" s="419"/>
      <c r="J196" s="419"/>
      <c r="K196" s="419"/>
      <c r="L196" s="252"/>
      <c r="M196" s="252"/>
      <c r="N196" s="252"/>
      <c r="P196" s="346"/>
      <c r="Q196" s="346"/>
      <c r="R196" s="252"/>
      <c r="S196" s="252"/>
      <c r="T196" s="252"/>
      <c r="U196" s="252"/>
      <c r="V196" s="252"/>
      <c r="W196" s="252"/>
      <c r="X196" s="252"/>
      <c r="Z196" s="423"/>
      <c r="AA196" s="423"/>
      <c r="AB196" s="423"/>
      <c r="AC196" s="423"/>
      <c r="AD196" s="423"/>
      <c r="AE196" s="423"/>
      <c r="AF196" s="423"/>
      <c r="AG196" s="423"/>
    </row>
    <row r="197" spans="1:33">
      <c r="A197" s="17">
        <f t="shared" si="17"/>
        <v>189</v>
      </c>
      <c r="C197" s="434" t="s">
        <v>195</v>
      </c>
      <c r="R197" s="252"/>
      <c r="S197" s="252"/>
      <c r="T197" s="252"/>
      <c r="U197" s="252"/>
      <c r="V197" s="252"/>
      <c r="W197" s="252"/>
      <c r="X197" s="252"/>
      <c r="Y197" s="252"/>
      <c r="Z197" s="252"/>
      <c r="AA197" s="490"/>
      <c r="AB197" s="423"/>
      <c r="AC197" s="423"/>
      <c r="AD197" s="423"/>
      <c r="AE197" s="423"/>
      <c r="AF197" s="423"/>
      <c r="AG197" s="423"/>
    </row>
    <row r="198" spans="1:33">
      <c r="A198" s="17">
        <f t="shared" si="17"/>
        <v>190</v>
      </c>
      <c r="D198" s="248" t="s">
        <v>240</v>
      </c>
      <c r="E198" s="252">
        <v>0</v>
      </c>
      <c r="F198" s="252">
        <v>0</v>
      </c>
      <c r="G198" s="252">
        <v>0</v>
      </c>
      <c r="H198" s="252">
        <v>0</v>
      </c>
      <c r="I198" s="252">
        <v>0</v>
      </c>
      <c r="J198" s="252">
        <v>0</v>
      </c>
      <c r="K198" s="252">
        <v>0</v>
      </c>
      <c r="L198" s="252"/>
      <c r="M198" s="252">
        <v>0</v>
      </c>
      <c r="N198" s="252">
        <v>0</v>
      </c>
      <c r="P198" s="346"/>
      <c r="Q198" s="443"/>
      <c r="R198" s="252"/>
      <c r="S198" s="252"/>
      <c r="T198" s="252"/>
      <c r="U198" s="252"/>
      <c r="V198" s="252"/>
      <c r="W198" s="252"/>
      <c r="X198" s="252"/>
      <c r="Y198" s="252"/>
      <c r="Z198" s="252"/>
      <c r="AA198" s="252"/>
      <c r="AB198" s="423"/>
      <c r="AC198" s="423"/>
      <c r="AD198" s="423"/>
      <c r="AE198" s="423"/>
      <c r="AF198" s="423"/>
      <c r="AG198" s="423"/>
    </row>
    <row r="199" spans="1:33">
      <c r="A199" s="17">
        <f t="shared" si="17"/>
        <v>191</v>
      </c>
      <c r="D199" s="248" t="s">
        <v>84</v>
      </c>
      <c r="E199" s="252">
        <v>69</v>
      </c>
      <c r="F199" s="252">
        <v>108</v>
      </c>
      <c r="G199" s="252">
        <v>-29</v>
      </c>
      <c r="H199" s="252">
        <v>27</v>
      </c>
      <c r="I199" s="252">
        <v>35</v>
      </c>
      <c r="J199" s="252">
        <v>34</v>
      </c>
      <c r="K199" s="252">
        <v>21</v>
      </c>
      <c r="L199" s="252"/>
      <c r="M199" s="252">
        <v>48</v>
      </c>
      <c r="N199" s="252">
        <v>49</v>
      </c>
      <c r="P199" s="445"/>
      <c r="Q199" s="443"/>
      <c r="R199" s="252"/>
      <c r="S199" s="252"/>
      <c r="T199" s="252"/>
      <c r="U199" s="252"/>
      <c r="V199" s="252"/>
      <c r="W199" s="491"/>
      <c r="X199" s="491"/>
      <c r="Y199" s="252"/>
      <c r="Z199" s="252"/>
      <c r="AA199" s="252"/>
      <c r="AB199" s="423"/>
      <c r="AC199" s="423"/>
      <c r="AD199" s="423"/>
      <c r="AE199" s="423"/>
      <c r="AF199" s="423"/>
      <c r="AG199" s="423"/>
    </row>
    <row r="200" spans="1:33">
      <c r="A200" s="17">
        <f t="shared" si="17"/>
        <v>192</v>
      </c>
      <c r="E200" s="253">
        <f t="shared" ref="E200:K200" si="21">SUM(E198:E199)</f>
        <v>69</v>
      </c>
      <c r="F200" s="253">
        <f t="shared" si="21"/>
        <v>108</v>
      </c>
      <c r="G200" s="253">
        <f t="shared" si="21"/>
        <v>-29</v>
      </c>
      <c r="H200" s="253">
        <f t="shared" si="21"/>
        <v>27</v>
      </c>
      <c r="I200" s="253">
        <f t="shared" si="21"/>
        <v>35</v>
      </c>
      <c r="J200" s="253">
        <f t="shared" si="21"/>
        <v>34</v>
      </c>
      <c r="K200" s="253">
        <f t="shared" si="21"/>
        <v>21</v>
      </c>
      <c r="L200" s="252"/>
      <c r="M200" s="253">
        <f>M199</f>
        <v>48</v>
      </c>
      <c r="N200" s="253">
        <f>N199</f>
        <v>49</v>
      </c>
      <c r="P200" s="443">
        <v>54</v>
      </c>
      <c r="Q200" s="446">
        <v>52</v>
      </c>
      <c r="R200" s="252"/>
      <c r="S200" s="252"/>
      <c r="T200" s="252"/>
      <c r="U200" s="252"/>
      <c r="V200" s="252"/>
      <c r="W200" s="252"/>
      <c r="X200" s="252"/>
      <c r="Z200" s="423"/>
      <c r="AA200" s="423"/>
      <c r="AB200" s="423"/>
      <c r="AC200" s="423"/>
      <c r="AD200" s="423"/>
      <c r="AE200" s="423"/>
      <c r="AF200" s="423"/>
      <c r="AG200" s="423"/>
    </row>
    <row r="201" spans="1:33">
      <c r="A201" s="17">
        <f t="shared" si="17"/>
        <v>193</v>
      </c>
      <c r="E201" s="252"/>
      <c r="F201" s="252"/>
      <c r="G201" s="252"/>
      <c r="H201" s="252"/>
      <c r="I201" s="252"/>
      <c r="J201" s="252"/>
      <c r="K201" s="252"/>
      <c r="L201" s="252"/>
      <c r="M201" s="252"/>
      <c r="N201" s="252"/>
      <c r="P201" s="443"/>
      <c r="Q201" s="443"/>
      <c r="R201" s="252"/>
      <c r="S201" s="252"/>
      <c r="T201" s="252"/>
      <c r="U201" s="252"/>
      <c r="V201" s="252"/>
      <c r="W201" s="252"/>
      <c r="X201" s="252"/>
      <c r="Z201" s="423"/>
      <c r="AA201" s="423"/>
      <c r="AB201" s="423"/>
      <c r="AC201" s="423"/>
      <c r="AD201" s="423"/>
      <c r="AE201" s="423"/>
      <c r="AF201" s="423"/>
      <c r="AG201" s="423"/>
    </row>
    <row r="202" spans="1:33">
      <c r="A202" s="17">
        <f t="shared" si="17"/>
        <v>194</v>
      </c>
      <c r="C202" s="466" t="s">
        <v>307</v>
      </c>
      <c r="E202" s="252"/>
      <c r="F202" s="252"/>
      <c r="G202" s="252"/>
      <c r="H202" s="252"/>
      <c r="I202" s="252"/>
      <c r="J202" s="252"/>
      <c r="K202" s="252"/>
      <c r="L202" s="252"/>
      <c r="M202" s="252"/>
      <c r="N202" s="252"/>
      <c r="P202" s="443"/>
      <c r="Q202" s="443"/>
      <c r="R202" s="252"/>
      <c r="S202" s="252"/>
      <c r="T202" s="252"/>
      <c r="U202" s="252"/>
      <c r="V202" s="252"/>
      <c r="W202" s="252"/>
      <c r="X202" s="252"/>
      <c r="Z202" s="423"/>
      <c r="AA202" s="423"/>
      <c r="AB202" s="423"/>
      <c r="AC202" s="423"/>
      <c r="AD202" s="423"/>
      <c r="AE202" s="423"/>
      <c r="AF202" s="423"/>
      <c r="AG202" s="423"/>
    </row>
    <row r="203" spans="1:33">
      <c r="A203" s="17">
        <f t="shared" si="17"/>
        <v>195</v>
      </c>
      <c r="C203" s="466"/>
      <c r="E203" s="252"/>
      <c r="F203" s="252"/>
      <c r="G203" s="252"/>
      <c r="H203" s="252"/>
      <c r="I203" s="252"/>
      <c r="J203" s="252"/>
      <c r="K203" s="252"/>
      <c r="L203" s="252"/>
      <c r="M203" s="252"/>
      <c r="N203" s="252"/>
      <c r="P203" s="443"/>
      <c r="Q203" s="443"/>
      <c r="R203" s="252"/>
      <c r="S203" s="252"/>
      <c r="T203" s="252"/>
      <c r="U203" s="252"/>
      <c r="V203" s="252"/>
      <c r="W203" s="252"/>
      <c r="X203" s="252"/>
      <c r="Z203" s="423"/>
      <c r="AA203" s="423"/>
      <c r="AB203" s="423"/>
      <c r="AC203" s="423"/>
      <c r="AD203" s="423"/>
      <c r="AE203" s="423"/>
      <c r="AF203" s="423"/>
      <c r="AG203" s="423"/>
    </row>
    <row r="204" spans="1:33">
      <c r="A204" s="17">
        <f t="shared" si="17"/>
        <v>196</v>
      </c>
      <c r="C204" s="466" t="s">
        <v>308</v>
      </c>
      <c r="E204" s="252"/>
      <c r="F204" s="252"/>
      <c r="G204" s="252"/>
      <c r="H204" s="252"/>
      <c r="I204" s="252"/>
      <c r="J204" s="252"/>
      <c r="K204" s="252"/>
      <c r="L204" s="252"/>
      <c r="M204" s="252"/>
      <c r="N204" s="252"/>
      <c r="P204" s="443"/>
      <c r="Q204" s="443"/>
      <c r="R204" s="252"/>
      <c r="S204" s="252"/>
      <c r="T204" s="252"/>
      <c r="U204" s="252"/>
      <c r="V204" s="252"/>
      <c r="W204" s="252"/>
      <c r="X204" s="252"/>
      <c r="Z204" s="423"/>
      <c r="AA204" s="423"/>
      <c r="AB204" s="423"/>
      <c r="AC204" s="423"/>
      <c r="AD204" s="423"/>
      <c r="AE204" s="423"/>
      <c r="AF204" s="423"/>
      <c r="AG204" s="423"/>
    </row>
    <row r="205" spans="1:33">
      <c r="A205" s="17">
        <f t="shared" si="17"/>
        <v>197</v>
      </c>
      <c r="E205" s="252"/>
      <c r="F205" s="252"/>
      <c r="G205" s="252"/>
      <c r="H205" s="252"/>
      <c r="I205" s="252"/>
      <c r="J205" s="252"/>
      <c r="K205" s="252"/>
      <c r="L205" s="252"/>
      <c r="M205" s="252"/>
      <c r="N205" s="252"/>
      <c r="P205" s="346"/>
      <c r="Q205" s="346"/>
      <c r="R205" s="252"/>
      <c r="S205" s="252"/>
      <c r="T205" s="252"/>
      <c r="U205" s="252"/>
      <c r="V205" s="252"/>
      <c r="W205" s="252"/>
      <c r="X205" s="252"/>
      <c r="Z205" s="423"/>
      <c r="AA205" s="423"/>
      <c r="AB205" s="423"/>
      <c r="AC205" s="423"/>
      <c r="AD205" s="423"/>
      <c r="AE205" s="423"/>
      <c r="AF205" s="423"/>
      <c r="AG205" s="423"/>
    </row>
    <row r="206" spans="1:33">
      <c r="A206" s="17">
        <f t="shared" si="17"/>
        <v>198</v>
      </c>
      <c r="C206" s="434" t="s">
        <v>197</v>
      </c>
      <c r="R206" s="252"/>
      <c r="S206" s="252"/>
      <c r="T206" s="252"/>
      <c r="U206" s="252"/>
      <c r="V206" s="252"/>
      <c r="W206" s="252"/>
      <c r="X206" s="252"/>
      <c r="Y206" s="252"/>
      <c r="Z206" s="252"/>
      <c r="AA206" s="490"/>
      <c r="AB206" s="423"/>
      <c r="AC206" s="423"/>
      <c r="AD206" s="423"/>
      <c r="AE206" s="423"/>
      <c r="AF206" s="423"/>
      <c r="AG206" s="423"/>
    </row>
    <row r="207" spans="1:33">
      <c r="A207" s="17">
        <f t="shared" si="17"/>
        <v>199</v>
      </c>
      <c r="D207" s="248" t="s">
        <v>240</v>
      </c>
      <c r="E207" s="252">
        <v>9</v>
      </c>
      <c r="F207" s="252">
        <v>10</v>
      </c>
      <c r="G207" s="252">
        <v>9</v>
      </c>
      <c r="H207" s="252">
        <v>7</v>
      </c>
      <c r="I207" s="252">
        <v>13</v>
      </c>
      <c r="J207" s="252">
        <v>10</v>
      </c>
      <c r="K207" s="252">
        <v>9</v>
      </c>
      <c r="L207" s="252"/>
      <c r="M207" s="252">
        <v>9</v>
      </c>
      <c r="N207" s="252">
        <v>9</v>
      </c>
      <c r="P207" s="346"/>
      <c r="Q207" s="443"/>
      <c r="R207" s="252"/>
      <c r="S207" s="252"/>
      <c r="T207" s="252"/>
      <c r="U207" s="252"/>
      <c r="V207" s="252"/>
      <c r="W207" s="252"/>
      <c r="X207" s="252"/>
      <c r="Y207" s="252"/>
      <c r="Z207" s="252"/>
      <c r="AA207" s="252"/>
      <c r="AB207" s="423"/>
      <c r="AC207" s="423"/>
      <c r="AD207" s="423"/>
      <c r="AE207" s="423"/>
      <c r="AF207" s="423"/>
      <c r="AG207" s="423"/>
    </row>
    <row r="208" spans="1:33">
      <c r="A208" s="17">
        <f t="shared" si="17"/>
        <v>200</v>
      </c>
      <c r="D208" s="248" t="s">
        <v>84</v>
      </c>
      <c r="E208" s="252">
        <v>127</v>
      </c>
      <c r="F208" s="252">
        <v>158</v>
      </c>
      <c r="G208" s="252">
        <v>186</v>
      </c>
      <c r="H208" s="252">
        <v>185</v>
      </c>
      <c r="I208" s="252">
        <v>194</v>
      </c>
      <c r="J208" s="252">
        <v>337</v>
      </c>
      <c r="K208" s="252">
        <v>431</v>
      </c>
      <c r="L208" s="252"/>
      <c r="M208" s="252">
        <f>291-3-2-10-8-75</f>
        <v>193</v>
      </c>
      <c r="N208" s="252">
        <f>307-9-55-4-8-35-10-12+23</f>
        <v>197</v>
      </c>
      <c r="P208" s="445"/>
      <c r="Q208" s="445"/>
      <c r="R208" s="252"/>
      <c r="S208" s="252"/>
      <c r="T208" s="252"/>
      <c r="U208" s="252"/>
      <c r="V208" s="252"/>
      <c r="W208" s="491"/>
      <c r="X208" s="491"/>
      <c r="Y208" s="252"/>
      <c r="Z208" s="252"/>
      <c r="AA208" s="252"/>
      <c r="AB208" s="423"/>
      <c r="AC208" s="423"/>
      <c r="AD208" s="423"/>
      <c r="AE208" s="423"/>
      <c r="AF208" s="423"/>
      <c r="AG208" s="423"/>
    </row>
    <row r="209" spans="1:33">
      <c r="A209" s="17">
        <f t="shared" si="17"/>
        <v>201</v>
      </c>
      <c r="E209" s="253">
        <f>SUM(E207:E208)</f>
        <v>136</v>
      </c>
      <c r="F209" s="253">
        <f t="shared" ref="F209:K209" si="22">SUM(F207:F208)</f>
        <v>168</v>
      </c>
      <c r="G209" s="253">
        <f t="shared" si="22"/>
        <v>195</v>
      </c>
      <c r="H209" s="253">
        <f t="shared" si="22"/>
        <v>192</v>
      </c>
      <c r="I209" s="253">
        <f t="shared" si="22"/>
        <v>207</v>
      </c>
      <c r="J209" s="253">
        <f t="shared" si="22"/>
        <v>347</v>
      </c>
      <c r="K209" s="253">
        <f t="shared" si="22"/>
        <v>440</v>
      </c>
      <c r="L209" s="252"/>
      <c r="M209" s="253">
        <f>M208+M207</f>
        <v>202</v>
      </c>
      <c r="N209" s="253">
        <f>N207+N208</f>
        <v>206</v>
      </c>
      <c r="P209" s="346">
        <v>154</v>
      </c>
      <c r="Q209" s="346">
        <v>158</v>
      </c>
      <c r="R209" s="252"/>
      <c r="S209" s="252"/>
      <c r="T209" s="252"/>
      <c r="U209" s="252"/>
      <c r="V209" s="252"/>
      <c r="W209" s="252"/>
      <c r="X209" s="252"/>
      <c r="Z209" s="423"/>
      <c r="AA209" s="423"/>
      <c r="AB209" s="423"/>
      <c r="AC209" s="423"/>
      <c r="AD209" s="423"/>
      <c r="AE209" s="423"/>
      <c r="AF209" s="423"/>
      <c r="AG209" s="423"/>
    </row>
    <row r="210" spans="1:33">
      <c r="A210" s="17">
        <f t="shared" si="17"/>
        <v>202</v>
      </c>
      <c r="P210" s="346"/>
      <c r="Q210" s="346"/>
      <c r="R210" s="252"/>
      <c r="S210" s="252"/>
      <c r="T210" s="252"/>
      <c r="U210" s="252"/>
      <c r="V210" s="252"/>
      <c r="W210" s="252"/>
      <c r="X210" s="252"/>
      <c r="Z210" s="423"/>
      <c r="AA210" s="423"/>
      <c r="AB210" s="423"/>
      <c r="AC210" s="423"/>
      <c r="AD210" s="423"/>
      <c r="AE210" s="423"/>
      <c r="AF210" s="423"/>
      <c r="AG210" s="423"/>
    </row>
    <row r="211" spans="1:33">
      <c r="A211" s="17">
        <f t="shared" si="17"/>
        <v>203</v>
      </c>
      <c r="C211" s="466" t="s">
        <v>309</v>
      </c>
      <c r="E211" s="252"/>
      <c r="F211" s="252"/>
      <c r="G211" s="252"/>
      <c r="H211" s="252"/>
      <c r="I211" s="252"/>
      <c r="J211" s="252"/>
      <c r="K211" s="252"/>
      <c r="L211" s="252"/>
      <c r="M211" s="252"/>
      <c r="N211" s="252"/>
      <c r="P211" s="346"/>
      <c r="Q211" s="346"/>
      <c r="R211" s="252"/>
      <c r="S211" s="252"/>
      <c r="T211" s="252"/>
      <c r="U211" s="252"/>
      <c r="V211" s="252"/>
      <c r="W211" s="252"/>
      <c r="X211" s="252"/>
      <c r="Z211" s="423"/>
      <c r="AA211" s="423"/>
      <c r="AB211" s="423"/>
      <c r="AC211" s="423"/>
      <c r="AD211" s="423"/>
      <c r="AE211" s="423"/>
      <c r="AF211" s="423"/>
      <c r="AG211" s="423"/>
    </row>
    <row r="212" spans="1:33">
      <c r="A212" s="17">
        <f t="shared" si="17"/>
        <v>204</v>
      </c>
      <c r="C212" s="466" t="s">
        <v>310</v>
      </c>
      <c r="E212" s="252"/>
      <c r="F212" s="252"/>
      <c r="G212" s="252"/>
      <c r="H212" s="252"/>
      <c r="I212" s="252"/>
      <c r="J212" s="252"/>
      <c r="K212" s="252"/>
      <c r="L212" s="252"/>
      <c r="M212" s="252"/>
      <c r="N212" s="252"/>
      <c r="P212" s="346"/>
      <c r="Q212" s="346"/>
      <c r="R212" s="252"/>
      <c r="S212" s="252"/>
      <c r="T212" s="252"/>
      <c r="U212" s="252"/>
      <c r="V212" s="252"/>
      <c r="W212" s="252"/>
      <c r="X212" s="252"/>
      <c r="Z212" s="423"/>
      <c r="AA212" s="423"/>
      <c r="AB212" s="423"/>
      <c r="AC212" s="423"/>
      <c r="AD212" s="423"/>
      <c r="AE212" s="423"/>
      <c r="AF212" s="423"/>
      <c r="AG212" s="423"/>
    </row>
    <row r="213" spans="1:33">
      <c r="A213" s="17">
        <f t="shared" si="17"/>
        <v>205</v>
      </c>
      <c r="C213" s="466" t="s">
        <v>311</v>
      </c>
      <c r="E213" s="252"/>
      <c r="F213" s="252"/>
      <c r="G213" s="252"/>
      <c r="H213" s="252"/>
      <c r="I213" s="252"/>
      <c r="J213" s="252"/>
      <c r="K213" s="252"/>
      <c r="L213" s="252"/>
      <c r="M213" s="252"/>
      <c r="N213" s="252"/>
      <c r="P213" s="346"/>
      <c r="Q213" s="346"/>
      <c r="R213" s="252"/>
      <c r="S213" s="252"/>
      <c r="T213" s="252"/>
      <c r="U213" s="252"/>
      <c r="V213" s="252"/>
      <c r="W213" s="252"/>
      <c r="X213" s="252"/>
      <c r="Z213" s="423"/>
      <c r="AA213" s="423"/>
      <c r="AB213" s="423"/>
      <c r="AC213" s="423"/>
      <c r="AD213" s="423"/>
      <c r="AE213" s="423"/>
      <c r="AF213" s="423"/>
      <c r="AG213" s="423"/>
    </row>
    <row r="214" spans="1:33">
      <c r="A214" s="17">
        <f t="shared" si="17"/>
        <v>206</v>
      </c>
      <c r="C214" s="466"/>
      <c r="E214" s="252"/>
      <c r="F214" s="252"/>
      <c r="G214" s="252"/>
      <c r="H214" s="252"/>
      <c r="I214" s="252"/>
      <c r="J214" s="252"/>
      <c r="K214" s="252"/>
      <c r="L214" s="252"/>
      <c r="M214" s="252"/>
      <c r="N214" s="252"/>
      <c r="P214" s="346"/>
      <c r="Q214" s="346"/>
      <c r="R214" s="252"/>
      <c r="S214" s="252"/>
      <c r="T214" s="252"/>
      <c r="U214" s="252"/>
      <c r="V214" s="252"/>
      <c r="W214" s="252"/>
      <c r="X214" s="252"/>
      <c r="Z214" s="423"/>
      <c r="AA214" s="423"/>
      <c r="AB214" s="423"/>
      <c r="AC214" s="423"/>
      <c r="AD214" s="423"/>
      <c r="AE214" s="423"/>
      <c r="AF214" s="423"/>
      <c r="AG214" s="423"/>
    </row>
    <row r="215" spans="1:33">
      <c r="A215" s="17">
        <f t="shared" si="17"/>
        <v>207</v>
      </c>
      <c r="C215" s="466" t="s">
        <v>312</v>
      </c>
      <c r="E215" s="252"/>
      <c r="F215" s="252"/>
      <c r="G215" s="252"/>
      <c r="H215" s="252"/>
      <c r="I215" s="252"/>
      <c r="J215" s="252"/>
      <c r="K215" s="252"/>
      <c r="L215" s="252"/>
      <c r="M215" s="252"/>
      <c r="N215" s="252"/>
      <c r="P215" s="346"/>
      <c r="Q215" s="346"/>
      <c r="R215" s="252"/>
      <c r="S215" s="252"/>
      <c r="T215" s="252"/>
      <c r="U215" s="252"/>
      <c r="V215" s="252"/>
      <c r="W215" s="252"/>
      <c r="X215" s="252"/>
      <c r="Z215" s="423"/>
      <c r="AA215" s="423"/>
      <c r="AB215" s="423"/>
      <c r="AC215" s="423"/>
      <c r="AD215" s="423"/>
      <c r="AE215" s="423"/>
      <c r="AF215" s="423"/>
      <c r="AG215" s="423"/>
    </row>
    <row r="216" spans="1:33">
      <c r="A216" s="17">
        <f t="shared" si="17"/>
        <v>208</v>
      </c>
      <c r="C216" s="466" t="s">
        <v>313</v>
      </c>
      <c r="E216" s="252"/>
      <c r="F216" s="252"/>
      <c r="G216" s="252"/>
      <c r="H216" s="252"/>
      <c r="I216" s="252"/>
      <c r="J216" s="252"/>
      <c r="K216" s="252"/>
      <c r="L216" s="252"/>
      <c r="M216" s="252"/>
      <c r="N216" s="252"/>
      <c r="P216" s="346"/>
      <c r="Q216" s="346"/>
      <c r="R216" s="252"/>
      <c r="S216" s="252"/>
      <c r="T216" s="252"/>
      <c r="U216" s="252"/>
      <c r="V216" s="252"/>
      <c r="W216" s="252"/>
      <c r="X216" s="252"/>
      <c r="Z216" s="423"/>
      <c r="AA216" s="423"/>
      <c r="AB216" s="423"/>
      <c r="AC216" s="423"/>
      <c r="AD216" s="423"/>
      <c r="AE216" s="423"/>
      <c r="AF216" s="423"/>
      <c r="AG216" s="423"/>
    </row>
    <row r="217" spans="1:33">
      <c r="A217" s="17">
        <f t="shared" si="17"/>
        <v>209</v>
      </c>
      <c r="E217" s="252"/>
      <c r="F217" s="252"/>
      <c r="G217" s="252"/>
      <c r="H217" s="252"/>
      <c r="I217" s="252"/>
      <c r="J217" s="252"/>
      <c r="K217" s="252"/>
      <c r="L217" s="252"/>
      <c r="M217" s="252"/>
      <c r="N217" s="252"/>
      <c r="P217" s="346"/>
      <c r="Q217" s="346"/>
      <c r="R217" s="252"/>
      <c r="S217" s="252"/>
      <c r="T217" s="252"/>
      <c r="U217" s="252"/>
      <c r="V217" s="252"/>
      <c r="W217" s="252"/>
      <c r="X217" s="252"/>
      <c r="Z217" s="423"/>
      <c r="AA217" s="423"/>
      <c r="AB217" s="423"/>
      <c r="AC217" s="423"/>
      <c r="AD217" s="423"/>
      <c r="AE217" s="423"/>
      <c r="AF217" s="423"/>
      <c r="AG217" s="423"/>
    </row>
    <row r="218" spans="1:33">
      <c r="A218" s="17">
        <f t="shared" si="17"/>
        <v>210</v>
      </c>
      <c r="C218" s="466" t="s">
        <v>314</v>
      </c>
      <c r="E218" s="252"/>
      <c r="F218" s="252"/>
      <c r="G218" s="252"/>
      <c r="H218" s="252"/>
      <c r="I218" s="252"/>
      <c r="J218" s="252"/>
      <c r="K218" s="252"/>
      <c r="L218" s="252"/>
      <c r="M218" s="252"/>
      <c r="N218" s="252"/>
      <c r="P218" s="346"/>
      <c r="Q218" s="346"/>
      <c r="R218" s="252"/>
      <c r="S218" s="252"/>
      <c r="T218" s="252"/>
      <c r="U218" s="252"/>
      <c r="V218" s="252"/>
      <c r="W218" s="252"/>
      <c r="X218" s="252"/>
      <c r="Z218" s="423"/>
      <c r="AA218" s="423"/>
      <c r="AB218" s="423"/>
      <c r="AC218" s="423"/>
      <c r="AD218" s="423"/>
      <c r="AE218" s="423"/>
      <c r="AF218" s="423"/>
      <c r="AG218" s="423"/>
    </row>
    <row r="219" spans="1:33">
      <c r="A219" s="17">
        <f t="shared" si="17"/>
        <v>211</v>
      </c>
      <c r="C219" s="466" t="s">
        <v>315</v>
      </c>
      <c r="E219" s="252"/>
      <c r="F219" s="252"/>
      <c r="G219" s="252"/>
      <c r="H219" s="252"/>
      <c r="I219" s="252"/>
      <c r="J219" s="252"/>
      <c r="K219" s="252"/>
      <c r="L219" s="252"/>
      <c r="M219" s="252"/>
      <c r="N219" s="252"/>
      <c r="P219" s="346"/>
      <c r="Q219" s="346"/>
      <c r="R219" s="252"/>
      <c r="S219" s="252"/>
      <c r="T219" s="252"/>
      <c r="U219" s="252"/>
      <c r="V219" s="252"/>
      <c r="W219" s="252"/>
      <c r="X219" s="252"/>
      <c r="Z219" s="423"/>
      <c r="AA219" s="423"/>
      <c r="AB219" s="423"/>
      <c r="AC219" s="423"/>
      <c r="AD219" s="423"/>
      <c r="AE219" s="423"/>
      <c r="AF219" s="423"/>
      <c r="AG219" s="423"/>
    </row>
    <row r="220" spans="1:33">
      <c r="A220" s="17">
        <f t="shared" si="17"/>
        <v>212</v>
      </c>
      <c r="E220" s="252"/>
      <c r="F220" s="252"/>
      <c r="G220" s="252"/>
      <c r="H220" s="252"/>
      <c r="I220" s="252"/>
      <c r="J220" s="252"/>
      <c r="K220" s="252"/>
      <c r="L220" s="252"/>
      <c r="M220" s="252"/>
      <c r="N220" s="252"/>
      <c r="O220" s="252"/>
      <c r="P220" s="252"/>
      <c r="Q220" s="252"/>
      <c r="R220" s="252"/>
      <c r="S220" s="252"/>
      <c r="T220" s="252"/>
      <c r="U220" s="252"/>
      <c r="V220" s="252"/>
      <c r="W220" s="252"/>
      <c r="X220" s="252"/>
      <c r="Z220" s="423"/>
      <c r="AA220" s="423"/>
      <c r="AB220" s="423"/>
      <c r="AC220" s="423"/>
      <c r="AD220" s="423"/>
      <c r="AE220" s="423"/>
      <c r="AF220" s="423"/>
      <c r="AG220" s="423"/>
    </row>
    <row r="221" spans="1:33">
      <c r="A221" s="17">
        <f t="shared" si="17"/>
        <v>213</v>
      </c>
      <c r="B221" s="250" t="s">
        <v>316</v>
      </c>
      <c r="E221" s="255">
        <f t="shared" ref="E221:K221" si="23">E209+E200+E193</f>
        <v>217</v>
      </c>
      <c r="F221" s="255">
        <f t="shared" si="23"/>
        <v>303</v>
      </c>
      <c r="G221" s="255">
        <f t="shared" si="23"/>
        <v>207</v>
      </c>
      <c r="H221" s="255">
        <f t="shared" si="23"/>
        <v>255</v>
      </c>
      <c r="I221" s="255">
        <f t="shared" si="23"/>
        <v>281</v>
      </c>
      <c r="J221" s="255">
        <f t="shared" si="23"/>
        <v>429</v>
      </c>
      <c r="K221" s="255">
        <f t="shared" si="23"/>
        <v>520</v>
      </c>
      <c r="L221" s="254"/>
      <c r="M221" s="255">
        <f>M209+M200+M193</f>
        <v>370</v>
      </c>
      <c r="N221" s="255">
        <f>N209+N200+N193</f>
        <v>378.3</v>
      </c>
      <c r="P221" s="453">
        <v>233</v>
      </c>
      <c r="Q221" s="453">
        <v>234</v>
      </c>
      <c r="R221" s="252"/>
      <c r="S221" s="252"/>
      <c r="T221" s="252"/>
      <c r="U221" s="252"/>
      <c r="V221" s="252"/>
      <c r="W221" s="252"/>
      <c r="X221" s="252"/>
      <c r="Z221" s="423"/>
      <c r="AA221" s="423"/>
      <c r="AB221" s="423"/>
      <c r="AC221" s="423"/>
      <c r="AD221" s="423"/>
      <c r="AE221" s="423"/>
      <c r="AF221" s="423"/>
      <c r="AG221" s="423"/>
    </row>
    <row r="222" spans="1:33">
      <c r="A222" s="17">
        <f t="shared" si="17"/>
        <v>214</v>
      </c>
      <c r="R222" s="252"/>
      <c r="S222" s="252"/>
      <c r="T222" s="252"/>
      <c r="U222" s="252"/>
      <c r="V222" s="252"/>
      <c r="W222" s="252"/>
      <c r="X222" s="252"/>
      <c r="Z222" s="423"/>
      <c r="AA222" s="423"/>
      <c r="AB222" s="423"/>
      <c r="AC222" s="423"/>
      <c r="AD222" s="423"/>
      <c r="AE222" s="423"/>
      <c r="AF222" s="423"/>
      <c r="AG222" s="423"/>
    </row>
    <row r="223" spans="1:33">
      <c r="A223" s="17">
        <f t="shared" si="17"/>
        <v>215</v>
      </c>
      <c r="B223" s="250" t="s">
        <v>317</v>
      </c>
      <c r="E223" s="254"/>
      <c r="F223" s="254"/>
      <c r="G223" s="254"/>
      <c r="H223" s="254"/>
      <c r="I223" s="254"/>
      <c r="J223" s="254"/>
      <c r="K223" s="254"/>
      <c r="L223" s="254"/>
      <c r="M223" s="254"/>
      <c r="N223" s="254"/>
      <c r="P223" s="454"/>
      <c r="Q223" s="454"/>
      <c r="R223" s="252"/>
      <c r="S223" s="252"/>
      <c r="T223" s="252"/>
      <c r="U223" s="252"/>
      <c r="V223" s="252"/>
      <c r="W223" s="252"/>
      <c r="X223" s="252"/>
      <c r="Z223" s="423"/>
      <c r="AA223" s="423"/>
      <c r="AB223" s="423"/>
      <c r="AC223" s="423"/>
      <c r="AD223" s="423"/>
      <c r="AE223" s="423"/>
      <c r="AF223" s="423"/>
      <c r="AG223" s="423"/>
    </row>
    <row r="224" spans="1:33">
      <c r="A224" s="17">
        <f t="shared" si="17"/>
        <v>216</v>
      </c>
      <c r="C224" s="434" t="s">
        <v>200</v>
      </c>
      <c r="E224" s="254"/>
      <c r="F224" s="254"/>
      <c r="G224" s="254"/>
      <c r="H224" s="254"/>
      <c r="I224" s="254"/>
      <c r="J224" s="254"/>
      <c r="K224" s="254"/>
      <c r="L224" s="254"/>
      <c r="M224" s="254"/>
      <c r="N224" s="254"/>
      <c r="P224" s="346"/>
      <c r="Q224" s="448"/>
      <c r="R224" s="252"/>
      <c r="S224" s="252"/>
      <c r="T224" s="252"/>
      <c r="U224" s="252"/>
      <c r="V224" s="252"/>
      <c r="W224" s="252"/>
      <c r="X224" s="252"/>
      <c r="Z224" s="423"/>
      <c r="AA224" s="423"/>
      <c r="AB224" s="423"/>
      <c r="AC224" s="423"/>
      <c r="AD224" s="423"/>
      <c r="AE224" s="423"/>
      <c r="AF224" s="423"/>
      <c r="AG224" s="423"/>
    </row>
    <row r="225" spans="1:33">
      <c r="A225" s="17">
        <f t="shared" si="17"/>
        <v>217</v>
      </c>
      <c r="D225" s="248" t="s">
        <v>240</v>
      </c>
      <c r="E225" s="252">
        <v>10</v>
      </c>
      <c r="F225" s="252">
        <v>10</v>
      </c>
      <c r="G225" s="252">
        <v>10</v>
      </c>
      <c r="H225" s="252">
        <v>15</v>
      </c>
      <c r="I225" s="252">
        <v>16</v>
      </c>
      <c r="J225" s="252">
        <v>13</v>
      </c>
      <c r="K225" s="252">
        <v>14</v>
      </c>
      <c r="L225" s="252"/>
      <c r="M225" s="252">
        <v>15</v>
      </c>
      <c r="N225" s="252">
        <v>16</v>
      </c>
      <c r="P225" s="346"/>
      <c r="Q225" s="443"/>
      <c r="R225" s="252"/>
      <c r="S225" s="252"/>
      <c r="T225" s="252"/>
      <c r="U225" s="252"/>
      <c r="V225" s="252"/>
      <c r="W225" s="252"/>
      <c r="X225" s="252"/>
      <c r="Z225" s="423"/>
      <c r="AA225" s="423"/>
      <c r="AB225" s="423"/>
      <c r="AC225" s="423"/>
      <c r="AD225" s="423"/>
      <c r="AE225" s="423"/>
      <c r="AF225" s="423"/>
      <c r="AG225" s="423"/>
    </row>
    <row r="226" spans="1:33">
      <c r="A226" s="17">
        <f t="shared" si="17"/>
        <v>218</v>
      </c>
      <c r="D226" s="248" t="s">
        <v>84</v>
      </c>
      <c r="E226" s="252">
        <f>62-51</f>
        <v>11</v>
      </c>
      <c r="F226" s="252">
        <f>68-46</f>
        <v>22</v>
      </c>
      <c r="G226" s="252">
        <f>48-37</f>
        <v>11</v>
      </c>
      <c r="H226" s="252">
        <f>65-56</f>
        <v>9</v>
      </c>
      <c r="I226" s="252">
        <f>27-12</f>
        <v>15</v>
      </c>
      <c r="J226" s="252">
        <f>87-24</f>
        <v>63</v>
      </c>
      <c r="K226" s="252">
        <f>169-32</f>
        <v>137</v>
      </c>
      <c r="L226" s="252"/>
      <c r="M226" s="252">
        <v>15</v>
      </c>
      <c r="N226" s="252">
        <v>16</v>
      </c>
      <c r="P226" s="444"/>
      <c r="Q226" s="445"/>
      <c r="R226" s="252"/>
      <c r="S226" s="252"/>
      <c r="T226" s="252"/>
      <c r="U226" s="252"/>
      <c r="V226" s="252"/>
      <c r="W226" s="252"/>
      <c r="X226" s="252"/>
      <c r="Z226" s="423"/>
      <c r="AA226" s="423"/>
      <c r="AB226" s="423"/>
      <c r="AC226" s="423"/>
      <c r="AD226" s="423"/>
      <c r="AE226" s="423"/>
      <c r="AF226" s="423"/>
      <c r="AG226" s="423"/>
    </row>
    <row r="227" spans="1:33">
      <c r="A227" s="17">
        <f t="shared" si="17"/>
        <v>219</v>
      </c>
      <c r="E227" s="253">
        <f t="shared" ref="E227:K227" si="24">SUM(E225:E226)</f>
        <v>21</v>
      </c>
      <c r="F227" s="253">
        <f t="shared" si="24"/>
        <v>32</v>
      </c>
      <c r="G227" s="253">
        <f t="shared" si="24"/>
        <v>21</v>
      </c>
      <c r="H227" s="253">
        <f t="shared" si="24"/>
        <v>24</v>
      </c>
      <c r="I227" s="253">
        <f t="shared" si="24"/>
        <v>31</v>
      </c>
      <c r="J227" s="253">
        <f t="shared" si="24"/>
        <v>76</v>
      </c>
      <c r="K227" s="253">
        <f t="shared" si="24"/>
        <v>151</v>
      </c>
      <c r="L227" s="252"/>
      <c r="M227" s="253">
        <f>M226+M225</f>
        <v>30</v>
      </c>
      <c r="N227" s="253">
        <f>N226+N225</f>
        <v>32</v>
      </c>
      <c r="P227" s="346">
        <v>14</v>
      </c>
      <c r="Q227" s="346">
        <v>15</v>
      </c>
      <c r="R227" s="252"/>
      <c r="S227" s="252"/>
      <c r="T227" s="252"/>
      <c r="U227" s="252"/>
      <c r="V227" s="252"/>
      <c r="W227" s="252"/>
      <c r="X227" s="252"/>
      <c r="Y227" s="252"/>
      <c r="Z227" s="252"/>
      <c r="AA227" s="252"/>
      <c r="AB227" s="252"/>
      <c r="AC227" s="252"/>
      <c r="AD227" s="423"/>
      <c r="AE227" s="423"/>
      <c r="AF227" s="423"/>
      <c r="AG227" s="423"/>
    </row>
    <row r="228" spans="1:33">
      <c r="A228" s="17">
        <f t="shared" si="17"/>
        <v>220</v>
      </c>
      <c r="R228" s="252"/>
      <c r="S228" s="252"/>
      <c r="T228" s="254"/>
      <c r="U228" s="254"/>
      <c r="V228" s="254"/>
      <c r="W228" s="254"/>
      <c r="X228" s="254"/>
      <c r="Y228" s="254"/>
      <c r="Z228" s="254"/>
      <c r="AA228" s="254"/>
      <c r="AB228" s="254"/>
      <c r="AC228" s="254"/>
      <c r="AD228" s="252"/>
      <c r="AE228" s="423"/>
      <c r="AF228" s="423"/>
      <c r="AG228" s="423"/>
    </row>
    <row r="229" spans="1:33">
      <c r="A229" s="17">
        <f t="shared" si="17"/>
        <v>221</v>
      </c>
      <c r="C229" s="248" t="s">
        <v>318</v>
      </c>
      <c r="E229" s="252"/>
      <c r="F229" s="252"/>
      <c r="G229" s="252"/>
      <c r="H229" s="252"/>
      <c r="I229" s="252"/>
      <c r="J229" s="252"/>
      <c r="K229" s="252"/>
      <c r="L229" s="252"/>
      <c r="M229" s="252"/>
      <c r="N229" s="252"/>
      <c r="P229" s="346"/>
      <c r="Q229" s="346"/>
      <c r="R229" s="252"/>
      <c r="S229" s="252"/>
      <c r="T229" s="252"/>
      <c r="U229" s="252"/>
      <c r="V229" s="252"/>
      <c r="W229" s="252"/>
      <c r="X229" s="252"/>
      <c r="Z229" s="423"/>
      <c r="AA229" s="423"/>
      <c r="AB229" s="423"/>
      <c r="AC229" s="423"/>
      <c r="AD229" s="423"/>
      <c r="AE229" s="423"/>
      <c r="AF229" s="423"/>
      <c r="AG229" s="423"/>
    </row>
    <row r="230" spans="1:33">
      <c r="A230" s="17">
        <f t="shared" si="17"/>
        <v>222</v>
      </c>
      <c r="E230" s="252"/>
      <c r="F230" s="252"/>
      <c r="G230" s="252"/>
      <c r="H230" s="252"/>
      <c r="I230" s="252"/>
      <c r="J230" s="252"/>
      <c r="K230" s="252"/>
      <c r="L230" s="252"/>
      <c r="M230" s="252"/>
      <c r="N230" s="252"/>
      <c r="P230" s="346"/>
      <c r="Q230" s="346"/>
      <c r="R230" s="252"/>
      <c r="S230" s="252"/>
      <c r="T230" s="252"/>
      <c r="U230" s="252"/>
      <c r="V230" s="252"/>
      <c r="W230" s="252"/>
      <c r="X230" s="252"/>
      <c r="Z230" s="423"/>
      <c r="AA230" s="423"/>
      <c r="AB230" s="423"/>
      <c r="AC230" s="423"/>
      <c r="AD230" s="423"/>
      <c r="AE230" s="423"/>
      <c r="AF230" s="423"/>
      <c r="AG230" s="423"/>
    </row>
    <row r="231" spans="1:33">
      <c r="A231" s="17">
        <f t="shared" si="17"/>
        <v>223</v>
      </c>
      <c r="C231" s="434" t="s">
        <v>202</v>
      </c>
      <c r="E231" s="252"/>
      <c r="F231" s="252"/>
      <c r="G231" s="252"/>
      <c r="H231" s="252"/>
      <c r="I231" s="252"/>
      <c r="J231" s="252"/>
      <c r="K231" s="252"/>
      <c r="L231" s="252"/>
      <c r="M231" s="252"/>
      <c r="N231" s="252"/>
      <c r="P231" s="346"/>
      <c r="Q231" s="346"/>
      <c r="R231" s="252"/>
      <c r="S231" s="252"/>
      <c r="T231" s="252"/>
      <c r="U231" s="252"/>
      <c r="V231" s="252"/>
      <c r="W231" s="252"/>
      <c r="X231" s="252"/>
      <c r="Z231" s="423"/>
      <c r="AA231" s="423"/>
      <c r="AB231" s="423"/>
      <c r="AC231" s="423"/>
      <c r="AD231" s="423"/>
      <c r="AE231" s="423"/>
      <c r="AF231" s="423"/>
      <c r="AG231" s="423"/>
    </row>
    <row r="232" spans="1:33">
      <c r="A232" s="17">
        <f t="shared" si="17"/>
        <v>224</v>
      </c>
      <c r="D232" s="248" t="s">
        <v>240</v>
      </c>
      <c r="E232" s="252">
        <v>59</v>
      </c>
      <c r="F232" s="252">
        <v>103</v>
      </c>
      <c r="G232" s="252">
        <v>11</v>
      </c>
      <c r="H232" s="252">
        <v>0</v>
      </c>
      <c r="I232" s="252">
        <v>0</v>
      </c>
      <c r="J232" s="252">
        <v>12</v>
      </c>
      <c r="K232" s="252">
        <v>78</v>
      </c>
      <c r="L232" s="252"/>
      <c r="M232" s="252">
        <v>79</v>
      </c>
      <c r="N232" s="252">
        <f>27+55</f>
        <v>82</v>
      </c>
      <c r="P232" s="346"/>
      <c r="Q232" s="443"/>
      <c r="R232" s="252"/>
      <c r="S232" s="252"/>
      <c r="T232" s="252"/>
      <c r="U232" s="252"/>
      <c r="V232" s="252"/>
      <c r="W232" s="252"/>
      <c r="X232" s="252"/>
      <c r="Y232" s="252"/>
      <c r="Z232" s="252"/>
      <c r="AA232" s="490"/>
      <c r="AB232" s="423"/>
      <c r="AC232" s="423"/>
      <c r="AD232" s="423"/>
      <c r="AE232" s="423"/>
      <c r="AF232" s="423"/>
      <c r="AG232" s="423"/>
    </row>
    <row r="233" spans="1:33">
      <c r="A233" s="17">
        <f t="shared" si="17"/>
        <v>225</v>
      </c>
      <c r="D233" s="248" t="s">
        <v>84</v>
      </c>
      <c r="E233" s="418">
        <v>14</v>
      </c>
      <c r="F233" s="418">
        <v>56</v>
      </c>
      <c r="G233" s="418">
        <v>26</v>
      </c>
      <c r="H233" s="418">
        <v>50</v>
      </c>
      <c r="I233" s="418">
        <v>53</v>
      </c>
      <c r="J233" s="418">
        <v>68</v>
      </c>
      <c r="K233" s="418">
        <v>20</v>
      </c>
      <c r="L233" s="418"/>
      <c r="M233" s="418">
        <v>70</v>
      </c>
      <c r="N233" s="418">
        <v>72</v>
      </c>
      <c r="P233" s="444"/>
      <c r="Q233" s="445"/>
      <c r="R233" s="252"/>
      <c r="S233" s="252"/>
      <c r="T233" s="252"/>
      <c r="U233" s="252"/>
      <c r="V233" s="252"/>
      <c r="W233" s="252"/>
      <c r="X233" s="252"/>
      <c r="Y233" s="252"/>
      <c r="Z233" s="252"/>
      <c r="AA233" s="252"/>
      <c r="AB233" s="423"/>
      <c r="AC233" s="423"/>
      <c r="AD233" s="423"/>
      <c r="AE233" s="423"/>
      <c r="AF233" s="423"/>
      <c r="AG233" s="423"/>
    </row>
    <row r="234" spans="1:33">
      <c r="A234" s="17">
        <f t="shared" si="17"/>
        <v>226</v>
      </c>
      <c r="E234" s="252">
        <f t="shared" ref="E234:K234" si="25">SUM(E232:E233)</f>
        <v>73</v>
      </c>
      <c r="F234" s="252">
        <f t="shared" si="25"/>
        <v>159</v>
      </c>
      <c r="G234" s="252">
        <f t="shared" si="25"/>
        <v>37</v>
      </c>
      <c r="H234" s="252">
        <f t="shared" si="25"/>
        <v>50</v>
      </c>
      <c r="I234" s="252">
        <f t="shared" si="25"/>
        <v>53</v>
      </c>
      <c r="J234" s="252">
        <f t="shared" si="25"/>
        <v>80</v>
      </c>
      <c r="K234" s="252">
        <f t="shared" si="25"/>
        <v>98</v>
      </c>
      <c r="L234" s="252"/>
      <c r="M234" s="252">
        <f>M232+M233</f>
        <v>149</v>
      </c>
      <c r="N234" s="252">
        <f>N233+N232</f>
        <v>154</v>
      </c>
      <c r="P234" s="346">
        <v>120</v>
      </c>
      <c r="Q234" s="346">
        <v>138</v>
      </c>
      <c r="R234" s="252"/>
      <c r="S234" s="252"/>
      <c r="T234" s="252"/>
      <c r="U234" s="252"/>
      <c r="V234" s="252"/>
      <c r="W234" s="491"/>
      <c r="X234" s="491"/>
      <c r="Y234" s="252"/>
      <c r="Z234" s="252"/>
      <c r="AA234" s="252"/>
      <c r="AB234" s="423"/>
      <c r="AC234" s="423"/>
      <c r="AD234" s="423"/>
      <c r="AE234" s="423"/>
      <c r="AF234" s="423"/>
      <c r="AG234" s="423"/>
    </row>
    <row r="235" spans="1:33">
      <c r="A235" s="17">
        <f t="shared" si="17"/>
        <v>227</v>
      </c>
      <c r="C235" s="422" t="s">
        <v>319</v>
      </c>
      <c r="E235" s="252"/>
      <c r="F235" s="252"/>
      <c r="G235" s="252"/>
      <c r="H235" s="252"/>
      <c r="I235" s="252"/>
      <c r="J235" s="252"/>
      <c r="K235" s="252"/>
      <c r="L235" s="252"/>
      <c r="M235" s="252"/>
      <c r="N235" s="252"/>
      <c r="P235" s="346"/>
      <c r="Q235" s="346"/>
      <c r="R235" s="252"/>
      <c r="S235" s="252"/>
      <c r="T235" s="252"/>
      <c r="U235" s="252"/>
      <c r="V235" s="252"/>
      <c r="W235" s="252"/>
      <c r="X235" s="252"/>
      <c r="Z235" s="423"/>
      <c r="AA235" s="423"/>
      <c r="AB235" s="423"/>
      <c r="AC235" s="423"/>
      <c r="AD235" s="423"/>
      <c r="AE235" s="423"/>
      <c r="AF235" s="423"/>
      <c r="AG235" s="423"/>
    </row>
    <row r="236" spans="1:33">
      <c r="A236" s="17">
        <f t="shared" si="17"/>
        <v>228</v>
      </c>
      <c r="C236" s="422"/>
      <c r="E236" s="252"/>
      <c r="F236" s="252"/>
      <c r="G236" s="252"/>
      <c r="H236" s="252"/>
      <c r="I236" s="252"/>
      <c r="J236" s="252"/>
      <c r="K236" s="252"/>
      <c r="L236" s="252"/>
      <c r="M236" s="252"/>
      <c r="N236" s="252"/>
      <c r="P236" s="346"/>
      <c r="Q236" s="346"/>
      <c r="R236" s="252"/>
      <c r="S236" s="252"/>
      <c r="T236" s="252"/>
      <c r="U236" s="252"/>
      <c r="V236" s="252"/>
      <c r="W236" s="252"/>
      <c r="X236" s="252"/>
      <c r="Z236" s="423"/>
      <c r="AA236" s="423"/>
      <c r="AB236" s="423"/>
      <c r="AC236" s="423"/>
      <c r="AD236" s="423"/>
      <c r="AE236" s="423"/>
      <c r="AF236" s="423"/>
      <c r="AG236" s="423"/>
    </row>
    <row r="237" spans="1:33">
      <c r="A237" s="17">
        <f t="shared" si="17"/>
        <v>229</v>
      </c>
      <c r="C237" s="422" t="s">
        <v>320</v>
      </c>
      <c r="E237" s="252"/>
      <c r="F237" s="252"/>
      <c r="G237" s="252"/>
      <c r="H237" s="252"/>
      <c r="I237" s="252"/>
      <c r="J237" s="252"/>
      <c r="K237" s="252"/>
      <c r="L237" s="252"/>
      <c r="M237" s="252"/>
      <c r="N237" s="252"/>
      <c r="P237" s="346"/>
      <c r="Q237" s="346"/>
      <c r="R237" s="252"/>
      <c r="S237" s="252"/>
      <c r="T237" s="252"/>
      <c r="U237" s="252"/>
      <c r="V237" s="252"/>
      <c r="W237" s="252"/>
      <c r="X237" s="252"/>
      <c r="Z237" s="423"/>
      <c r="AA237" s="423"/>
      <c r="AB237" s="423"/>
      <c r="AC237" s="423"/>
      <c r="AD237" s="423"/>
      <c r="AE237" s="423"/>
      <c r="AF237" s="423"/>
      <c r="AG237" s="423"/>
    </row>
    <row r="238" spans="1:33">
      <c r="A238" s="17">
        <f t="shared" si="17"/>
        <v>230</v>
      </c>
      <c r="C238" s="422" t="s">
        <v>321</v>
      </c>
      <c r="E238" s="252"/>
      <c r="F238" s="252"/>
      <c r="G238" s="252"/>
      <c r="H238" s="252"/>
      <c r="I238" s="252"/>
      <c r="J238" s="252"/>
      <c r="K238" s="252"/>
      <c r="L238" s="252"/>
      <c r="M238" s="252"/>
      <c r="N238" s="252"/>
      <c r="P238" s="346"/>
      <c r="Q238" s="346"/>
      <c r="R238" s="252"/>
      <c r="S238" s="252"/>
      <c r="T238" s="252"/>
      <c r="U238" s="252"/>
      <c r="V238" s="252"/>
      <c r="W238" s="252"/>
      <c r="X238" s="252"/>
      <c r="Z238" s="423"/>
      <c r="AA238" s="423"/>
      <c r="AB238" s="423"/>
      <c r="AC238" s="423"/>
      <c r="AD238" s="423"/>
      <c r="AE238" s="423"/>
      <c r="AF238" s="423"/>
      <c r="AG238" s="423"/>
    </row>
    <row r="239" spans="1:33">
      <c r="A239" s="17">
        <f t="shared" si="17"/>
        <v>231</v>
      </c>
      <c r="C239" s="422"/>
      <c r="E239" s="252"/>
      <c r="F239" s="252"/>
      <c r="G239" s="252"/>
      <c r="H239" s="252"/>
      <c r="I239" s="252"/>
      <c r="J239" s="252"/>
      <c r="K239" s="252"/>
      <c r="L239" s="252"/>
      <c r="M239" s="252"/>
      <c r="N239" s="252"/>
      <c r="P239" s="346"/>
      <c r="Q239" s="346"/>
      <c r="R239" s="252"/>
      <c r="S239" s="252"/>
      <c r="T239" s="252"/>
      <c r="U239" s="252"/>
      <c r="V239" s="252"/>
      <c r="W239" s="252"/>
      <c r="X239" s="252"/>
      <c r="Z239" s="423"/>
      <c r="AA239" s="423"/>
      <c r="AB239" s="423"/>
      <c r="AC239" s="423"/>
      <c r="AD239" s="423"/>
      <c r="AE239" s="423"/>
      <c r="AF239" s="423"/>
      <c r="AG239" s="423"/>
    </row>
    <row r="240" spans="1:33">
      <c r="A240" s="17">
        <f t="shared" si="17"/>
        <v>232</v>
      </c>
      <c r="C240" s="422" t="s">
        <v>322</v>
      </c>
      <c r="E240" s="252"/>
      <c r="F240" s="252"/>
      <c r="G240" s="252"/>
      <c r="H240" s="252"/>
      <c r="I240" s="252"/>
      <c r="J240" s="252"/>
      <c r="K240" s="252"/>
      <c r="L240" s="252"/>
      <c r="M240" s="252"/>
      <c r="N240" s="252"/>
      <c r="P240" s="346"/>
      <c r="Q240" s="346"/>
      <c r="R240" s="252"/>
      <c r="S240" s="252"/>
      <c r="T240" s="252"/>
      <c r="U240" s="252"/>
      <c r="V240" s="252"/>
      <c r="W240" s="252"/>
      <c r="X240" s="252"/>
      <c r="Z240" s="423"/>
      <c r="AA240" s="423"/>
      <c r="AB240" s="423"/>
      <c r="AC240" s="423"/>
      <c r="AD240" s="423"/>
      <c r="AE240" s="423"/>
      <c r="AF240" s="423"/>
      <c r="AG240" s="423"/>
    </row>
    <row r="241" spans="1:33">
      <c r="A241" s="17">
        <f t="shared" ref="A241:A274" si="26">A240+1</f>
        <v>233</v>
      </c>
      <c r="C241" s="422"/>
      <c r="E241" s="252"/>
      <c r="F241" s="252"/>
      <c r="G241" s="252"/>
      <c r="H241" s="252"/>
      <c r="I241" s="252"/>
      <c r="J241" s="252"/>
      <c r="K241" s="252"/>
      <c r="L241" s="252"/>
      <c r="M241" s="252"/>
      <c r="N241" s="252"/>
      <c r="P241" s="346"/>
      <c r="Q241" s="346"/>
      <c r="R241" s="252"/>
      <c r="S241" s="252"/>
      <c r="T241" s="252"/>
      <c r="U241" s="252"/>
      <c r="V241" s="252"/>
      <c r="W241" s="252"/>
      <c r="X241" s="252"/>
      <c r="Z241" s="423"/>
      <c r="AA241" s="423"/>
      <c r="AB241" s="423"/>
      <c r="AC241" s="423"/>
      <c r="AD241" s="423"/>
      <c r="AE241" s="423"/>
      <c r="AF241" s="423"/>
      <c r="AG241" s="423"/>
    </row>
    <row r="242" spans="1:33">
      <c r="A242" s="17">
        <f t="shared" si="26"/>
        <v>234</v>
      </c>
      <c r="C242" s="422" t="s">
        <v>323</v>
      </c>
      <c r="E242" s="252"/>
      <c r="F242" s="252"/>
      <c r="G242" s="252"/>
      <c r="H242" s="252"/>
      <c r="I242" s="252"/>
      <c r="J242" s="252"/>
      <c r="K242" s="252"/>
      <c r="L242" s="252"/>
      <c r="M242" s="252"/>
      <c r="N242" s="252"/>
      <c r="P242" s="346"/>
      <c r="Q242" s="346"/>
      <c r="R242" s="252"/>
      <c r="S242" s="252"/>
      <c r="T242" s="252"/>
      <c r="U242" s="252"/>
      <c r="V242" s="252"/>
      <c r="W242" s="252"/>
      <c r="X242" s="252"/>
      <c r="Z242" s="423"/>
      <c r="AA242" s="423"/>
      <c r="AB242" s="423"/>
      <c r="AC242" s="423"/>
      <c r="AD242" s="423"/>
      <c r="AE242" s="423"/>
      <c r="AF242" s="423"/>
      <c r="AG242" s="423"/>
    </row>
    <row r="243" spans="1:33">
      <c r="A243" s="17">
        <f t="shared" si="26"/>
        <v>235</v>
      </c>
      <c r="K243" s="252"/>
      <c r="L243" s="252"/>
      <c r="M243" s="252"/>
      <c r="N243" s="252"/>
      <c r="P243" s="346"/>
      <c r="Q243" s="346"/>
      <c r="R243" s="252"/>
      <c r="S243" s="252"/>
      <c r="T243" s="252"/>
      <c r="U243" s="252"/>
      <c r="V243" s="252"/>
      <c r="W243" s="252"/>
      <c r="X243" s="252"/>
      <c r="Z243" s="423"/>
      <c r="AA243" s="423"/>
      <c r="AB243" s="423"/>
      <c r="AC243" s="423"/>
      <c r="AD243" s="423"/>
      <c r="AE243" s="423"/>
      <c r="AF243" s="423"/>
      <c r="AG243" s="423"/>
    </row>
    <row r="244" spans="1:33">
      <c r="A244" s="17">
        <f t="shared" si="26"/>
        <v>236</v>
      </c>
      <c r="C244" s="422" t="s">
        <v>324</v>
      </c>
      <c r="E244" s="252"/>
      <c r="F244" s="252"/>
      <c r="G244" s="252"/>
      <c r="H244" s="252"/>
      <c r="I244" s="252"/>
      <c r="J244" s="252"/>
      <c r="K244" s="252"/>
      <c r="L244" s="252"/>
      <c r="M244" s="252"/>
      <c r="N244" s="252"/>
      <c r="P244" s="346"/>
      <c r="Q244" s="346"/>
      <c r="R244" s="252"/>
      <c r="S244" s="252"/>
      <c r="T244" s="252"/>
      <c r="U244" s="252"/>
      <c r="V244" s="252"/>
      <c r="W244" s="252"/>
      <c r="X244" s="252"/>
      <c r="Z244" s="423"/>
      <c r="AA244" s="423"/>
      <c r="AB244" s="423"/>
      <c r="AC244" s="423"/>
      <c r="AD244" s="423"/>
      <c r="AE244" s="423"/>
      <c r="AF244" s="423"/>
      <c r="AG244" s="423"/>
    </row>
    <row r="245" spans="1:33">
      <c r="A245" s="17">
        <f t="shared" si="26"/>
        <v>237</v>
      </c>
      <c r="C245" s="433" t="s">
        <v>325</v>
      </c>
      <c r="E245" s="252"/>
      <c r="F245" s="252"/>
      <c r="G245" s="252"/>
      <c r="H245" s="252"/>
      <c r="I245" s="252"/>
      <c r="J245" s="252"/>
      <c r="K245" s="252"/>
      <c r="L245" s="252"/>
      <c r="M245" s="252"/>
      <c r="N245" s="252"/>
      <c r="P245" s="346"/>
      <c r="Q245" s="346"/>
      <c r="R245" s="252"/>
      <c r="S245" s="252"/>
      <c r="T245" s="252"/>
      <c r="U245" s="252"/>
      <c r="V245" s="252"/>
      <c r="W245" s="252"/>
      <c r="X245" s="252"/>
      <c r="Z245" s="423"/>
      <c r="AA245" s="423"/>
      <c r="AB245" s="423"/>
      <c r="AC245" s="423"/>
      <c r="AD245" s="423"/>
      <c r="AE245" s="423"/>
      <c r="AF245" s="423"/>
      <c r="AG245" s="423"/>
    </row>
    <row r="246" spans="1:33">
      <c r="A246" s="17">
        <f t="shared" si="26"/>
        <v>238</v>
      </c>
      <c r="E246" s="252"/>
      <c r="F246" s="252"/>
      <c r="G246" s="252"/>
      <c r="H246" s="252"/>
      <c r="I246" s="252"/>
      <c r="J246" s="252"/>
      <c r="K246" s="252"/>
      <c r="L246" s="252"/>
      <c r="M246" s="252"/>
      <c r="N246" s="252"/>
      <c r="P246" s="346"/>
      <c r="Q246" s="346"/>
      <c r="R246" s="252"/>
      <c r="S246" s="252"/>
      <c r="T246" s="252"/>
      <c r="U246" s="252"/>
      <c r="V246" s="252"/>
      <c r="W246" s="252"/>
      <c r="X246" s="252"/>
      <c r="Z246" s="423"/>
      <c r="AA246" s="423"/>
      <c r="AB246" s="423"/>
      <c r="AC246" s="423"/>
      <c r="AD246" s="423"/>
      <c r="AE246" s="423"/>
      <c r="AF246" s="423"/>
      <c r="AG246" s="423"/>
    </row>
    <row r="247" spans="1:33">
      <c r="A247" s="17">
        <f t="shared" si="26"/>
        <v>239</v>
      </c>
      <c r="B247" s="250" t="s">
        <v>326</v>
      </c>
      <c r="E247" s="255">
        <f t="shared" ref="E247:K247" si="27">E234+E227</f>
        <v>94</v>
      </c>
      <c r="F247" s="255">
        <f t="shared" si="27"/>
        <v>191</v>
      </c>
      <c r="G247" s="255">
        <f t="shared" si="27"/>
        <v>58</v>
      </c>
      <c r="H247" s="255">
        <f t="shared" si="27"/>
        <v>74</v>
      </c>
      <c r="I247" s="255">
        <f t="shared" si="27"/>
        <v>84</v>
      </c>
      <c r="J247" s="255">
        <f t="shared" si="27"/>
        <v>156</v>
      </c>
      <c r="K247" s="255">
        <f t="shared" si="27"/>
        <v>249</v>
      </c>
      <c r="L247" s="254"/>
      <c r="M247" s="255">
        <f>M234+M227</f>
        <v>179</v>
      </c>
      <c r="N247" s="255">
        <f>N234+N227</f>
        <v>186</v>
      </c>
      <c r="P247" s="453">
        <v>135</v>
      </c>
      <c r="Q247" s="453">
        <v>153</v>
      </c>
      <c r="R247" s="252"/>
      <c r="S247" s="252"/>
      <c r="T247" s="252"/>
      <c r="U247" s="252"/>
      <c r="V247" s="252"/>
      <c r="W247" s="252"/>
      <c r="X247" s="252"/>
      <c r="Z247" s="423"/>
      <c r="AA247" s="423"/>
      <c r="AB247" s="423"/>
      <c r="AC247" s="423"/>
      <c r="AD247" s="423"/>
      <c r="AE247" s="423"/>
      <c r="AF247" s="423"/>
      <c r="AG247" s="423"/>
    </row>
    <row r="248" spans="1:33">
      <c r="A248" s="17">
        <f t="shared" si="26"/>
        <v>240</v>
      </c>
      <c r="C248" s="422"/>
      <c r="E248" s="252"/>
      <c r="F248" s="252"/>
      <c r="G248" s="252"/>
      <c r="H248" s="252"/>
      <c r="I248" s="252"/>
      <c r="J248" s="252"/>
      <c r="K248" s="252"/>
      <c r="L248" s="252"/>
      <c r="M248" s="252"/>
      <c r="N248" s="252"/>
      <c r="P248" s="346"/>
      <c r="Q248" s="346"/>
      <c r="R248" s="252"/>
      <c r="S248" s="252"/>
      <c r="T248" s="252"/>
      <c r="U248" s="252"/>
      <c r="V248" s="252"/>
      <c r="W248" s="252"/>
      <c r="X248" s="252"/>
      <c r="Z248" s="423"/>
      <c r="AA248" s="423"/>
      <c r="AB248" s="423"/>
      <c r="AC248" s="423"/>
      <c r="AD248" s="423"/>
      <c r="AE248" s="423"/>
      <c r="AF248" s="423"/>
      <c r="AG248" s="423"/>
    </row>
    <row r="249" spans="1:33">
      <c r="A249" s="17">
        <f t="shared" si="26"/>
        <v>241</v>
      </c>
      <c r="B249" s="250" t="s">
        <v>204</v>
      </c>
      <c r="E249" s="252"/>
      <c r="F249" s="252"/>
      <c r="G249" s="252"/>
      <c r="H249" s="252"/>
      <c r="I249" s="252"/>
      <c r="J249" s="252"/>
      <c r="K249" s="252"/>
      <c r="L249" s="252"/>
      <c r="M249" s="252"/>
      <c r="N249" s="252"/>
      <c r="P249" s="346"/>
      <c r="Q249" s="346"/>
      <c r="R249" s="252"/>
      <c r="S249" s="252"/>
      <c r="T249" s="252"/>
      <c r="U249" s="252"/>
      <c r="W249" s="252"/>
      <c r="X249" s="252"/>
      <c r="Z249" s="423"/>
      <c r="AA249" s="423"/>
      <c r="AB249" s="423"/>
      <c r="AC249" s="423"/>
      <c r="AD249" s="423"/>
      <c r="AE249" s="423"/>
      <c r="AF249" s="423"/>
      <c r="AG249" s="423"/>
    </row>
    <row r="250" spans="1:33">
      <c r="A250" s="17">
        <f t="shared" si="26"/>
        <v>242</v>
      </c>
      <c r="C250" s="434" t="s">
        <v>205</v>
      </c>
      <c r="R250" s="252"/>
      <c r="S250" s="252"/>
      <c r="T250" s="252"/>
      <c r="U250" s="252"/>
      <c r="W250" s="252"/>
      <c r="X250" s="252"/>
      <c r="Z250" s="423"/>
      <c r="AA250" s="423"/>
      <c r="AB250" s="423"/>
      <c r="AC250" s="423"/>
      <c r="AD250" s="423"/>
      <c r="AE250" s="423"/>
      <c r="AF250" s="423"/>
      <c r="AG250" s="423"/>
    </row>
    <row r="251" spans="1:33">
      <c r="A251" s="17">
        <f t="shared" si="26"/>
        <v>243</v>
      </c>
      <c r="C251" s="250"/>
      <c r="D251" s="248" t="s">
        <v>240</v>
      </c>
      <c r="E251" s="252">
        <v>43</v>
      </c>
      <c r="F251" s="252">
        <v>40</v>
      </c>
      <c r="G251" s="252">
        <v>38</v>
      </c>
      <c r="H251" s="252">
        <v>35</v>
      </c>
      <c r="I251" s="252">
        <v>22</v>
      </c>
      <c r="J251" s="252">
        <v>36</v>
      </c>
      <c r="K251" s="252">
        <v>48</v>
      </c>
      <c r="L251" s="252"/>
      <c r="M251" s="252">
        <f>39+10</f>
        <v>49</v>
      </c>
      <c r="N251" s="252">
        <f>40+10</f>
        <v>50</v>
      </c>
      <c r="P251" s="346"/>
      <c r="Q251" s="443"/>
      <c r="R251" s="252"/>
      <c r="S251" s="252"/>
      <c r="T251" s="252"/>
      <c r="U251" s="252"/>
      <c r="W251" s="252"/>
      <c r="X251" s="252"/>
      <c r="Z251" s="423"/>
      <c r="AA251" s="423"/>
      <c r="AB251" s="423"/>
      <c r="AC251" s="423"/>
      <c r="AD251" s="423"/>
      <c r="AE251" s="423"/>
      <c r="AF251" s="423"/>
      <c r="AG251" s="423"/>
    </row>
    <row r="252" spans="1:33">
      <c r="A252" s="17">
        <f t="shared" si="26"/>
        <v>244</v>
      </c>
      <c r="D252" s="248" t="s">
        <v>84</v>
      </c>
      <c r="E252" s="252">
        <v>0</v>
      </c>
      <c r="F252" s="252">
        <v>0</v>
      </c>
      <c r="G252" s="252">
        <v>0</v>
      </c>
      <c r="H252" s="252">
        <v>0</v>
      </c>
      <c r="I252" s="252">
        <v>0</v>
      </c>
      <c r="J252" s="252">
        <v>0</v>
      </c>
      <c r="K252" s="252">
        <v>0</v>
      </c>
      <c r="L252" s="252"/>
      <c r="M252" s="252">
        <v>0</v>
      </c>
      <c r="N252" s="252">
        <v>0</v>
      </c>
      <c r="P252" s="444"/>
      <c r="Q252" s="445"/>
      <c r="R252" s="252"/>
      <c r="S252" s="252"/>
      <c r="T252" s="252"/>
      <c r="U252" s="252"/>
      <c r="W252" s="252"/>
      <c r="X252" s="252"/>
      <c r="Z252" s="423"/>
      <c r="AA252" s="423"/>
      <c r="AB252" s="423"/>
      <c r="AC252" s="423"/>
      <c r="AD252" s="423"/>
      <c r="AE252" s="423"/>
      <c r="AF252" s="423"/>
      <c r="AG252" s="423"/>
    </row>
    <row r="253" spans="1:33">
      <c r="A253" s="17">
        <f t="shared" si="26"/>
        <v>245</v>
      </c>
      <c r="E253" s="253">
        <f t="shared" ref="E253:K253" si="28">SUM(E251:E252)</f>
        <v>43</v>
      </c>
      <c r="F253" s="253">
        <f t="shared" si="28"/>
        <v>40</v>
      </c>
      <c r="G253" s="253">
        <f t="shared" si="28"/>
        <v>38</v>
      </c>
      <c r="H253" s="253">
        <f t="shared" si="28"/>
        <v>35</v>
      </c>
      <c r="I253" s="253">
        <f t="shared" si="28"/>
        <v>22</v>
      </c>
      <c r="J253" s="253">
        <f t="shared" si="28"/>
        <v>36</v>
      </c>
      <c r="K253" s="253">
        <f t="shared" si="28"/>
        <v>48</v>
      </c>
      <c r="L253" s="252"/>
      <c r="M253" s="253">
        <f>M251+M252</f>
        <v>49</v>
      </c>
      <c r="N253" s="253">
        <f>N251+N252</f>
        <v>50</v>
      </c>
      <c r="P253" s="346">
        <v>45</v>
      </c>
      <c r="Q253" s="443">
        <v>46</v>
      </c>
      <c r="R253" s="252"/>
      <c r="S253" s="252"/>
      <c r="T253" s="252"/>
      <c r="U253" s="252"/>
      <c r="V253" s="252"/>
      <c r="W253" s="252"/>
      <c r="X253" s="252"/>
      <c r="Z253" s="423"/>
      <c r="AA253" s="423"/>
      <c r="AB253" s="423"/>
      <c r="AC253" s="423"/>
      <c r="AD253" s="423"/>
      <c r="AE253" s="423"/>
      <c r="AF253" s="423"/>
      <c r="AG253" s="423"/>
    </row>
    <row r="254" spans="1:33">
      <c r="A254" s="17">
        <f t="shared" si="26"/>
        <v>246</v>
      </c>
      <c r="R254" s="252"/>
      <c r="S254" s="252"/>
      <c r="T254" s="252"/>
      <c r="U254" s="252"/>
      <c r="V254" s="252"/>
      <c r="W254" s="252"/>
      <c r="X254" s="252"/>
      <c r="Y254" s="252"/>
      <c r="Z254" s="252"/>
      <c r="AA254" s="490"/>
      <c r="AB254" s="423"/>
      <c r="AC254" s="423"/>
      <c r="AD254" s="423"/>
      <c r="AE254" s="423"/>
      <c r="AF254" s="423"/>
      <c r="AG254" s="423"/>
    </row>
    <row r="255" spans="1:33">
      <c r="A255" s="17">
        <f t="shared" si="26"/>
        <v>247</v>
      </c>
      <c r="C255" s="434" t="s">
        <v>207</v>
      </c>
      <c r="R255" s="252"/>
      <c r="S255" s="252"/>
      <c r="T255" s="252"/>
      <c r="U255" s="252"/>
      <c r="V255" s="252"/>
      <c r="W255" s="252"/>
      <c r="X255" s="252"/>
      <c r="Y255" s="252"/>
      <c r="Z255" s="252"/>
      <c r="AA255" s="252"/>
      <c r="AB255" s="423"/>
      <c r="AC255" s="423"/>
      <c r="AD255" s="423"/>
      <c r="AE255" s="423"/>
      <c r="AF255" s="423"/>
      <c r="AG255" s="423"/>
    </row>
    <row r="256" spans="1:33">
      <c r="A256" s="17">
        <f t="shared" si="26"/>
        <v>248</v>
      </c>
      <c r="D256" s="248" t="s">
        <v>240</v>
      </c>
      <c r="E256" s="252">
        <v>431</v>
      </c>
      <c r="F256" s="252">
        <v>332</v>
      </c>
      <c r="G256" s="252">
        <v>351</v>
      </c>
      <c r="H256" s="252">
        <v>388</v>
      </c>
      <c r="I256" s="252">
        <v>385</v>
      </c>
      <c r="J256" s="252">
        <v>322</v>
      </c>
      <c r="K256" s="252">
        <v>314</v>
      </c>
      <c r="L256" s="252"/>
      <c r="M256" s="252">
        <v>378</v>
      </c>
      <c r="N256" s="252">
        <v>389</v>
      </c>
      <c r="P256" s="346"/>
      <c r="Q256" s="443"/>
      <c r="R256" s="252"/>
      <c r="S256" s="252"/>
      <c r="T256" s="252"/>
      <c r="U256" s="252"/>
      <c r="V256" s="252"/>
      <c r="W256" s="491"/>
      <c r="X256" s="491"/>
      <c r="Y256" s="252"/>
      <c r="Z256" s="252"/>
      <c r="AA256" s="252"/>
      <c r="AB256" s="423"/>
      <c r="AC256" s="423"/>
      <c r="AD256" s="423"/>
      <c r="AE256" s="423"/>
      <c r="AF256" s="423"/>
      <c r="AG256" s="423"/>
    </row>
    <row r="257" spans="1:33">
      <c r="A257" s="17">
        <f t="shared" si="26"/>
        <v>249</v>
      </c>
      <c r="D257" s="248" t="s">
        <v>84</v>
      </c>
      <c r="E257" s="252">
        <v>81</v>
      </c>
      <c r="F257" s="252">
        <v>82</v>
      </c>
      <c r="G257" s="252">
        <v>71</v>
      </c>
      <c r="H257" s="252">
        <v>52</v>
      </c>
      <c r="I257" s="252">
        <v>36</v>
      </c>
      <c r="J257" s="252">
        <v>34</v>
      </c>
      <c r="K257" s="252">
        <v>113</v>
      </c>
      <c r="L257" s="252"/>
      <c r="M257" s="252">
        <v>72</v>
      </c>
      <c r="N257" s="252">
        <v>74</v>
      </c>
      <c r="P257" s="444"/>
      <c r="Q257" s="445"/>
      <c r="R257" s="252"/>
      <c r="S257" s="252"/>
      <c r="T257" s="252"/>
      <c r="U257" s="252"/>
      <c r="V257" s="252"/>
      <c r="W257" s="252"/>
      <c r="X257" s="252"/>
      <c r="Z257" s="423"/>
      <c r="AA257" s="423"/>
      <c r="AB257" s="423"/>
      <c r="AC257" s="423"/>
      <c r="AD257" s="423"/>
      <c r="AE257" s="423"/>
      <c r="AF257" s="423"/>
      <c r="AG257" s="423"/>
    </row>
    <row r="258" spans="1:33">
      <c r="A258" s="17">
        <f>A257+1</f>
        <v>250</v>
      </c>
      <c r="E258" s="253">
        <f t="shared" ref="E258:K258" si="29">SUM(E256:E257)</f>
        <v>512</v>
      </c>
      <c r="F258" s="253">
        <f t="shared" si="29"/>
        <v>414</v>
      </c>
      <c r="G258" s="253">
        <f t="shared" si="29"/>
        <v>422</v>
      </c>
      <c r="H258" s="253">
        <f t="shared" si="29"/>
        <v>440</v>
      </c>
      <c r="I258" s="253">
        <f t="shared" si="29"/>
        <v>421</v>
      </c>
      <c r="J258" s="253">
        <f t="shared" si="29"/>
        <v>356</v>
      </c>
      <c r="K258" s="253">
        <f t="shared" si="29"/>
        <v>427</v>
      </c>
      <c r="L258" s="252"/>
      <c r="M258" s="253">
        <f>M256+M257</f>
        <v>450</v>
      </c>
      <c r="N258" s="253">
        <f>N256+N257</f>
        <v>463</v>
      </c>
      <c r="P258" s="346">
        <v>489</v>
      </c>
      <c r="Q258" s="346">
        <v>500</v>
      </c>
      <c r="R258" s="252"/>
      <c r="S258" s="252"/>
      <c r="T258" s="252"/>
      <c r="U258" s="252"/>
      <c r="V258" s="252"/>
      <c r="W258" s="252"/>
      <c r="X258" s="252"/>
      <c r="Z258" s="423"/>
      <c r="AA258" s="423"/>
      <c r="AB258" s="423"/>
      <c r="AC258" s="423"/>
      <c r="AD258" s="423"/>
      <c r="AE258" s="423"/>
      <c r="AF258" s="423"/>
      <c r="AG258" s="423"/>
    </row>
    <row r="259" spans="1:33">
      <c r="A259" s="17">
        <f>A258+1</f>
        <v>251</v>
      </c>
      <c r="R259" s="252"/>
      <c r="S259" s="252"/>
      <c r="T259" s="252"/>
      <c r="U259" s="252"/>
      <c r="V259" s="252"/>
      <c r="W259" s="252"/>
      <c r="X259" s="252"/>
      <c r="Y259" s="252"/>
      <c r="Z259" s="252"/>
      <c r="AA259" s="490"/>
      <c r="AB259" s="423"/>
      <c r="AC259" s="423"/>
      <c r="AD259" s="423"/>
      <c r="AE259" s="423"/>
      <c r="AF259" s="423"/>
      <c r="AG259" s="423"/>
    </row>
    <row r="260" spans="1:33">
      <c r="A260" s="17">
        <f t="shared" si="26"/>
        <v>252</v>
      </c>
      <c r="C260" s="466" t="s">
        <v>327</v>
      </c>
      <c r="R260" s="252"/>
      <c r="S260" s="252"/>
      <c r="T260" s="252"/>
      <c r="U260" s="252"/>
      <c r="V260" s="252"/>
      <c r="W260" s="252"/>
      <c r="X260" s="252"/>
      <c r="Y260" s="252"/>
      <c r="Z260" s="252"/>
      <c r="AA260" s="252"/>
      <c r="AB260" s="423"/>
      <c r="AC260" s="423"/>
      <c r="AD260" s="423"/>
      <c r="AE260" s="423"/>
      <c r="AF260" s="423"/>
      <c r="AG260" s="423"/>
    </row>
    <row r="261" spans="1:33">
      <c r="A261" s="17">
        <f t="shared" si="26"/>
        <v>253</v>
      </c>
      <c r="C261" s="466"/>
      <c r="R261" s="252"/>
      <c r="S261" s="252"/>
      <c r="T261" s="252"/>
      <c r="U261" s="252"/>
      <c r="V261" s="252"/>
      <c r="W261" s="491"/>
      <c r="X261" s="491"/>
      <c r="Y261" s="252"/>
      <c r="Z261" s="252"/>
      <c r="AA261" s="252"/>
      <c r="AB261" s="423"/>
      <c r="AC261" s="423"/>
      <c r="AD261" s="423"/>
      <c r="AE261" s="423"/>
      <c r="AF261" s="423"/>
      <c r="AG261" s="423"/>
    </row>
    <row r="262" spans="1:33">
      <c r="A262" s="17">
        <f t="shared" si="26"/>
        <v>254</v>
      </c>
      <c r="C262" s="466" t="s">
        <v>328</v>
      </c>
      <c r="R262" s="252"/>
      <c r="S262" s="252"/>
      <c r="T262" s="252"/>
      <c r="U262" s="252"/>
      <c r="V262" s="252"/>
      <c r="W262" s="252"/>
      <c r="X262" s="252"/>
      <c r="Z262" s="423"/>
      <c r="AA262" s="423"/>
      <c r="AB262" s="423"/>
      <c r="AC262" s="423"/>
      <c r="AD262" s="423"/>
      <c r="AE262" s="423"/>
      <c r="AF262" s="423"/>
      <c r="AG262" s="423"/>
    </row>
    <row r="263" spans="1:33">
      <c r="A263" s="17">
        <f t="shared" si="26"/>
        <v>255</v>
      </c>
      <c r="C263" s="466"/>
      <c r="E263" s="252"/>
      <c r="F263" s="252"/>
      <c r="G263" s="252"/>
      <c r="H263" s="252"/>
      <c r="I263" s="252"/>
      <c r="J263" s="252"/>
      <c r="K263" s="252"/>
      <c r="L263" s="252"/>
      <c r="M263" s="252"/>
      <c r="N263" s="252"/>
      <c r="P263" s="346"/>
      <c r="Q263" s="346"/>
      <c r="R263" s="252"/>
      <c r="S263" s="252"/>
      <c r="T263" s="252"/>
      <c r="U263" s="252"/>
      <c r="V263" s="252"/>
      <c r="W263" s="252"/>
      <c r="X263" s="252"/>
      <c r="Z263" s="423"/>
      <c r="AA263" s="423"/>
      <c r="AB263" s="423"/>
      <c r="AC263" s="423"/>
      <c r="AD263" s="423"/>
      <c r="AE263" s="423"/>
      <c r="AF263" s="423"/>
      <c r="AG263" s="423"/>
    </row>
    <row r="264" spans="1:33">
      <c r="A264" s="17">
        <f t="shared" si="26"/>
        <v>256</v>
      </c>
      <c r="C264" s="466" t="s">
        <v>329</v>
      </c>
      <c r="E264" s="252"/>
      <c r="F264" s="252"/>
      <c r="G264" s="252"/>
      <c r="H264" s="252"/>
      <c r="I264" s="252"/>
      <c r="J264" s="252"/>
      <c r="K264" s="252"/>
      <c r="L264" s="252"/>
      <c r="M264" s="252"/>
      <c r="N264" s="252"/>
      <c r="P264" s="346"/>
      <c r="Q264" s="346"/>
      <c r="R264" s="252"/>
      <c r="S264" s="252"/>
      <c r="T264" s="252"/>
      <c r="U264" s="252"/>
      <c r="V264" s="252"/>
      <c r="W264" s="252"/>
      <c r="X264" s="252"/>
      <c r="Z264" s="423"/>
      <c r="AA264" s="423"/>
      <c r="AB264" s="423"/>
      <c r="AC264" s="423"/>
      <c r="AD264" s="423"/>
      <c r="AE264" s="423"/>
      <c r="AF264" s="423"/>
      <c r="AG264" s="423"/>
    </row>
    <row r="265" spans="1:33">
      <c r="A265" s="17">
        <f t="shared" si="26"/>
        <v>257</v>
      </c>
      <c r="E265" s="252"/>
      <c r="F265" s="252"/>
      <c r="G265" s="252"/>
      <c r="H265" s="252"/>
      <c r="I265" s="252"/>
      <c r="J265" s="252"/>
      <c r="K265" s="252"/>
      <c r="L265" s="252"/>
      <c r="M265" s="252"/>
      <c r="N265" s="252"/>
      <c r="P265" s="346"/>
      <c r="Q265" s="346"/>
      <c r="R265" s="252"/>
      <c r="S265" s="252"/>
      <c r="T265" s="252"/>
      <c r="U265" s="252"/>
      <c r="V265" s="252"/>
      <c r="W265" s="252"/>
      <c r="X265" s="252"/>
      <c r="Z265" s="423"/>
      <c r="AA265" s="423"/>
      <c r="AB265" s="423"/>
      <c r="AC265" s="423"/>
      <c r="AD265" s="423"/>
      <c r="AE265" s="423"/>
      <c r="AF265" s="423"/>
      <c r="AG265" s="423"/>
    </row>
    <row r="266" spans="1:33">
      <c r="A266" s="17">
        <f t="shared" si="26"/>
        <v>258</v>
      </c>
      <c r="C266" s="434" t="s">
        <v>209</v>
      </c>
      <c r="R266" s="252"/>
      <c r="S266" s="252"/>
      <c r="T266" s="252"/>
      <c r="U266" s="252"/>
      <c r="V266" s="252"/>
      <c r="W266" s="252"/>
      <c r="X266" s="252"/>
      <c r="Y266" s="252"/>
      <c r="Z266" s="252"/>
      <c r="AA266" s="490"/>
      <c r="AB266" s="423"/>
      <c r="AC266" s="423"/>
      <c r="AD266" s="423"/>
      <c r="AE266" s="423"/>
      <c r="AF266" s="423"/>
      <c r="AG266" s="423"/>
    </row>
    <row r="267" spans="1:33">
      <c r="A267" s="17">
        <f t="shared" si="26"/>
        <v>259</v>
      </c>
      <c r="D267" s="248" t="s">
        <v>240</v>
      </c>
      <c r="E267" s="252">
        <v>504</v>
      </c>
      <c r="F267" s="252">
        <v>530</v>
      </c>
      <c r="G267" s="252">
        <v>577</v>
      </c>
      <c r="H267" s="252">
        <v>572</v>
      </c>
      <c r="I267" s="252">
        <v>497</v>
      </c>
      <c r="J267" s="252">
        <v>480</v>
      </c>
      <c r="K267" s="252">
        <v>510</v>
      </c>
      <c r="L267" s="252"/>
      <c r="M267" s="252">
        <f>588.5-12</f>
        <v>576.5</v>
      </c>
      <c r="N267" s="252">
        <f>595-10</f>
        <v>585</v>
      </c>
      <c r="P267" s="346"/>
      <c r="Q267" s="443"/>
      <c r="R267" s="252"/>
      <c r="S267" s="252"/>
      <c r="T267" s="252"/>
      <c r="U267" s="252"/>
      <c r="V267" s="252"/>
      <c r="W267" s="252"/>
      <c r="X267" s="252"/>
      <c r="Y267" s="252"/>
      <c r="Z267" s="252"/>
      <c r="AA267" s="252"/>
      <c r="AB267" s="423"/>
      <c r="AC267" s="423"/>
      <c r="AD267" s="423"/>
      <c r="AE267" s="423"/>
      <c r="AF267" s="423"/>
      <c r="AG267" s="423"/>
    </row>
    <row r="268" spans="1:33">
      <c r="A268" s="17">
        <f t="shared" si="26"/>
        <v>260</v>
      </c>
      <c r="D268" s="248" t="s">
        <v>84</v>
      </c>
      <c r="E268" s="252">
        <v>152</v>
      </c>
      <c r="F268" s="252">
        <v>175</v>
      </c>
      <c r="G268" s="252">
        <v>175</v>
      </c>
      <c r="H268" s="252">
        <v>165</v>
      </c>
      <c r="I268" s="252">
        <v>190</v>
      </c>
      <c r="J268" s="252">
        <v>206</v>
      </c>
      <c r="K268" s="252">
        <v>226</v>
      </c>
      <c r="L268" s="252"/>
      <c r="M268" s="252">
        <v>208.5</v>
      </c>
      <c r="N268" s="252">
        <v>214</v>
      </c>
      <c r="P268" s="445"/>
      <c r="Q268" s="443"/>
      <c r="R268" s="252"/>
      <c r="S268" s="252"/>
      <c r="T268" s="252"/>
      <c r="U268" s="252"/>
      <c r="V268" s="252"/>
      <c r="W268" s="491"/>
      <c r="X268" s="491"/>
      <c r="Y268" s="252"/>
      <c r="Z268" s="252"/>
      <c r="AA268" s="252"/>
      <c r="AB268" s="423"/>
      <c r="AC268" s="423"/>
      <c r="AD268" s="423"/>
      <c r="AE268" s="423"/>
      <c r="AF268" s="423"/>
      <c r="AG268" s="423"/>
    </row>
    <row r="269" spans="1:33">
      <c r="A269" s="17">
        <f t="shared" si="26"/>
        <v>261</v>
      </c>
      <c r="E269" s="253">
        <f t="shared" ref="E269:K269" si="30">SUM(E267:E268)</f>
        <v>656</v>
      </c>
      <c r="F269" s="253">
        <f t="shared" si="30"/>
        <v>705</v>
      </c>
      <c r="G269" s="253">
        <f t="shared" si="30"/>
        <v>752</v>
      </c>
      <c r="H269" s="253">
        <f t="shared" si="30"/>
        <v>737</v>
      </c>
      <c r="I269" s="253">
        <f t="shared" si="30"/>
        <v>687</v>
      </c>
      <c r="J269" s="253">
        <f t="shared" si="30"/>
        <v>686</v>
      </c>
      <c r="K269" s="253">
        <f t="shared" si="30"/>
        <v>736</v>
      </c>
      <c r="L269" s="252"/>
      <c r="M269" s="253">
        <f>M268+M267</f>
        <v>785</v>
      </c>
      <c r="N269" s="253">
        <f>N268+N267</f>
        <v>799</v>
      </c>
      <c r="P269" s="346">
        <v>624</v>
      </c>
      <c r="Q269" s="446">
        <v>638</v>
      </c>
      <c r="R269" s="252"/>
      <c r="S269" s="252"/>
      <c r="T269" s="252"/>
      <c r="U269" s="252"/>
      <c r="V269" s="252"/>
      <c r="W269" s="252"/>
      <c r="X269" s="252"/>
      <c r="Z269" s="423"/>
      <c r="AA269" s="423"/>
      <c r="AB269" s="423"/>
      <c r="AC269" s="423"/>
      <c r="AD269" s="423"/>
      <c r="AE269" s="423"/>
      <c r="AF269" s="423"/>
      <c r="AG269" s="423"/>
    </row>
    <row r="270" spans="1:33">
      <c r="A270" s="17">
        <f t="shared" si="26"/>
        <v>262</v>
      </c>
      <c r="C270" s="466" t="s">
        <v>330</v>
      </c>
      <c r="E270" s="252"/>
      <c r="F270" s="252"/>
      <c r="G270" s="252"/>
      <c r="H270" s="252"/>
      <c r="I270" s="252"/>
      <c r="J270" s="252"/>
      <c r="K270" s="252"/>
      <c r="L270" s="252"/>
      <c r="M270" s="252"/>
      <c r="N270" s="252"/>
      <c r="P270" s="346"/>
      <c r="Q270" s="443"/>
      <c r="R270" s="252"/>
      <c r="S270" s="252"/>
      <c r="T270" s="252"/>
      <c r="U270" s="252"/>
      <c r="V270" s="252"/>
      <c r="W270" s="252"/>
      <c r="X270" s="252"/>
      <c r="Z270" s="423"/>
      <c r="AA270" s="423"/>
      <c r="AB270" s="423"/>
      <c r="AC270" s="423"/>
      <c r="AD270" s="423"/>
      <c r="AE270" s="423"/>
      <c r="AF270" s="423"/>
      <c r="AG270" s="423"/>
    </row>
    <row r="271" spans="1:33">
      <c r="A271" s="17">
        <f t="shared" si="26"/>
        <v>263</v>
      </c>
      <c r="C271" s="466"/>
      <c r="E271" s="252"/>
      <c r="F271" s="252"/>
      <c r="G271" s="252"/>
      <c r="H271" s="252"/>
      <c r="I271" s="252"/>
      <c r="J271" s="252"/>
      <c r="K271" s="252"/>
      <c r="L271" s="252"/>
      <c r="M271" s="252"/>
      <c r="N271" s="252"/>
      <c r="P271" s="346"/>
      <c r="Q271" s="443"/>
      <c r="R271" s="252"/>
      <c r="S271" s="252"/>
      <c r="T271" s="252"/>
      <c r="U271" s="252"/>
      <c r="V271" s="252"/>
      <c r="W271" s="252"/>
      <c r="X271" s="252"/>
      <c r="Z271" s="423"/>
      <c r="AA271" s="423"/>
      <c r="AB271" s="423"/>
      <c r="AC271" s="423"/>
      <c r="AD271" s="423"/>
      <c r="AE271" s="423"/>
      <c r="AF271" s="423"/>
      <c r="AG271" s="423"/>
    </row>
    <row r="272" spans="1:33">
      <c r="A272" s="17">
        <f t="shared" si="26"/>
        <v>264</v>
      </c>
      <c r="C272" s="466" t="s">
        <v>331</v>
      </c>
      <c r="E272" s="252"/>
      <c r="F272" s="252"/>
      <c r="G272" s="252"/>
      <c r="H272" s="252"/>
      <c r="I272" s="252"/>
      <c r="J272" s="252"/>
      <c r="K272" s="457"/>
      <c r="L272" s="252"/>
      <c r="M272" s="252"/>
      <c r="N272" s="252"/>
      <c r="P272" s="346"/>
      <c r="Q272" s="443"/>
      <c r="R272" s="252"/>
      <c r="S272" s="252"/>
      <c r="T272" s="252"/>
      <c r="U272" s="252"/>
      <c r="V272" s="252"/>
      <c r="W272" s="252"/>
      <c r="X272" s="252"/>
      <c r="Z272" s="423"/>
      <c r="AA272" s="423"/>
      <c r="AB272" s="423"/>
      <c r="AC272" s="423"/>
      <c r="AD272" s="423"/>
      <c r="AE272" s="423"/>
      <c r="AF272" s="423"/>
      <c r="AG272" s="423"/>
    </row>
    <row r="273" spans="1:33">
      <c r="A273" s="17">
        <f t="shared" si="26"/>
        <v>265</v>
      </c>
      <c r="C273" s="466" t="s">
        <v>332</v>
      </c>
      <c r="E273" s="252"/>
      <c r="F273" s="252"/>
      <c r="G273" s="252"/>
      <c r="H273" s="252"/>
      <c r="I273" s="252"/>
      <c r="J273" s="252"/>
      <c r="K273" s="252"/>
      <c r="L273" s="252"/>
      <c r="M273" s="252"/>
      <c r="N273" s="252"/>
      <c r="P273" s="346"/>
      <c r="Q273" s="443"/>
      <c r="R273" s="252"/>
      <c r="S273" s="252"/>
      <c r="T273" s="252"/>
      <c r="U273" s="252"/>
      <c r="V273" s="252"/>
      <c r="W273" s="252"/>
      <c r="X273" s="252"/>
      <c r="Z273" s="423"/>
      <c r="AA273" s="423"/>
      <c r="AB273" s="423"/>
      <c r="AC273" s="423"/>
      <c r="AD273" s="423"/>
      <c r="AE273" s="423"/>
      <c r="AF273" s="423"/>
      <c r="AG273" s="423"/>
    </row>
    <row r="274" spans="1:33">
      <c r="A274" s="17">
        <f t="shared" si="26"/>
        <v>266</v>
      </c>
      <c r="C274" s="466"/>
      <c r="E274" s="254"/>
      <c r="F274" s="254"/>
      <c r="G274" s="254"/>
      <c r="H274" s="254"/>
      <c r="I274" s="254"/>
      <c r="J274" s="254"/>
      <c r="K274" s="254"/>
      <c r="L274" s="254"/>
      <c r="M274" s="254"/>
      <c r="N274" s="254"/>
      <c r="P274" s="346"/>
      <c r="Q274" s="448"/>
      <c r="R274" s="252"/>
      <c r="S274" s="252"/>
      <c r="T274" s="252"/>
      <c r="U274" s="252"/>
      <c r="V274" s="252"/>
      <c r="W274" s="252"/>
      <c r="X274" s="252"/>
      <c r="Z274" s="423"/>
      <c r="AA274" s="423"/>
      <c r="AB274" s="423"/>
      <c r="AC274" s="423"/>
      <c r="AD274" s="423"/>
      <c r="AE274" s="423"/>
      <c r="AF274" s="423"/>
      <c r="AG274" s="423"/>
    </row>
    <row r="275" spans="1:33">
      <c r="A275" s="17">
        <f t="shared" ref="A275:A308" si="31">A274+1</f>
        <v>267</v>
      </c>
      <c r="C275" s="466" t="s">
        <v>333</v>
      </c>
      <c r="E275" s="254"/>
      <c r="F275" s="254"/>
      <c r="G275" s="254"/>
      <c r="H275" s="254"/>
      <c r="I275" s="254"/>
      <c r="J275" s="254"/>
      <c r="K275" s="254"/>
      <c r="L275" s="254"/>
      <c r="M275" s="254"/>
      <c r="N275" s="254"/>
      <c r="P275" s="346"/>
      <c r="Q275" s="448"/>
      <c r="R275" s="252"/>
      <c r="S275" s="252"/>
      <c r="T275" s="252"/>
      <c r="U275" s="252"/>
      <c r="V275" s="252"/>
      <c r="W275" s="252"/>
      <c r="X275" s="252"/>
      <c r="Z275" s="423"/>
      <c r="AA275" s="423"/>
      <c r="AB275" s="423"/>
      <c r="AC275" s="423"/>
      <c r="AD275" s="423"/>
      <c r="AE275" s="423"/>
      <c r="AF275" s="423"/>
      <c r="AG275" s="423"/>
    </row>
    <row r="276" spans="1:33">
      <c r="A276" s="17">
        <f t="shared" si="31"/>
        <v>268</v>
      </c>
      <c r="E276" s="254"/>
      <c r="F276" s="254"/>
      <c r="G276" s="254"/>
      <c r="H276" s="254"/>
      <c r="I276" s="254"/>
      <c r="J276" s="254"/>
      <c r="K276" s="254"/>
      <c r="L276" s="254"/>
      <c r="M276" s="254"/>
      <c r="N276" s="254"/>
      <c r="P276" s="346"/>
      <c r="Q276" s="448"/>
      <c r="R276" s="252"/>
      <c r="S276" s="252"/>
      <c r="T276" s="252"/>
      <c r="U276" s="252"/>
      <c r="V276" s="252"/>
      <c r="W276" s="252"/>
      <c r="X276" s="252"/>
      <c r="Z276" s="423"/>
      <c r="AA276" s="423"/>
      <c r="AB276" s="423"/>
      <c r="AC276" s="423"/>
      <c r="AD276" s="423"/>
      <c r="AE276" s="423"/>
      <c r="AF276" s="423"/>
      <c r="AG276" s="423"/>
    </row>
    <row r="277" spans="1:33">
      <c r="A277" s="17">
        <f t="shared" si="31"/>
        <v>269</v>
      </c>
      <c r="C277" s="434" t="s">
        <v>211</v>
      </c>
      <c r="R277" s="252"/>
      <c r="S277" s="252"/>
      <c r="T277" s="252"/>
      <c r="U277" s="252"/>
      <c r="V277" s="252"/>
      <c r="W277" s="252"/>
      <c r="X277" s="252"/>
      <c r="Y277" s="252"/>
      <c r="Z277" s="252"/>
      <c r="AA277" s="490"/>
      <c r="AB277" s="423"/>
      <c r="AC277" s="423"/>
      <c r="AD277" s="423"/>
      <c r="AE277" s="423"/>
      <c r="AF277" s="423"/>
      <c r="AG277" s="423"/>
    </row>
    <row r="278" spans="1:33">
      <c r="A278" s="17">
        <f t="shared" si="31"/>
        <v>270</v>
      </c>
      <c r="D278" s="248" t="s">
        <v>240</v>
      </c>
      <c r="E278" s="252">
        <v>178</v>
      </c>
      <c r="F278" s="252">
        <v>193</v>
      </c>
      <c r="G278" s="252">
        <v>189</v>
      </c>
      <c r="H278" s="252">
        <v>251</v>
      </c>
      <c r="I278" s="252">
        <v>295</v>
      </c>
      <c r="J278" s="252">
        <v>290</v>
      </c>
      <c r="K278" s="252">
        <v>334</v>
      </c>
      <c r="L278" s="252"/>
      <c r="M278" s="252">
        <f>352-17</f>
        <v>335</v>
      </c>
      <c r="N278" s="252">
        <f>362-17</f>
        <v>345</v>
      </c>
      <c r="P278" s="346"/>
      <c r="Q278" s="443"/>
      <c r="R278" s="252"/>
      <c r="S278" s="252"/>
      <c r="T278" s="252"/>
      <c r="U278" s="252"/>
      <c r="V278" s="252"/>
      <c r="W278" s="252"/>
      <c r="X278" s="252"/>
      <c r="Y278" s="252"/>
      <c r="Z278" s="252"/>
      <c r="AA278" s="252"/>
      <c r="AB278" s="423"/>
      <c r="AC278" s="423"/>
      <c r="AD278" s="423"/>
      <c r="AE278" s="423"/>
      <c r="AF278" s="423"/>
      <c r="AG278" s="423"/>
    </row>
    <row r="279" spans="1:33">
      <c r="A279" s="17">
        <f t="shared" si="31"/>
        <v>271</v>
      </c>
      <c r="D279" s="248" t="s">
        <v>84</v>
      </c>
      <c r="E279" s="252">
        <v>265</v>
      </c>
      <c r="F279" s="252">
        <v>253</v>
      </c>
      <c r="G279" s="252">
        <v>221</v>
      </c>
      <c r="H279" s="252">
        <v>271</v>
      </c>
      <c r="I279" s="252">
        <v>246</v>
      </c>
      <c r="J279" s="252">
        <v>275</v>
      </c>
      <c r="K279" s="252">
        <f>86+160</f>
        <v>246</v>
      </c>
      <c r="L279" s="252"/>
      <c r="M279" s="252">
        <v>450</v>
      </c>
      <c r="N279" s="252">
        <v>760</v>
      </c>
      <c r="P279" s="444"/>
      <c r="Q279" s="443"/>
      <c r="R279" s="252"/>
      <c r="S279" s="252"/>
      <c r="T279" s="252"/>
      <c r="U279" s="252"/>
      <c r="V279" s="252"/>
      <c r="W279" s="491"/>
      <c r="X279" s="491"/>
      <c r="Y279" s="252"/>
      <c r="Z279" s="252"/>
      <c r="AA279" s="252"/>
      <c r="AB279" s="423"/>
      <c r="AC279" s="423"/>
      <c r="AD279" s="423"/>
      <c r="AE279" s="423"/>
      <c r="AF279" s="423"/>
      <c r="AG279" s="423"/>
    </row>
    <row r="280" spans="1:33">
      <c r="A280" s="17">
        <f t="shared" si="31"/>
        <v>272</v>
      </c>
      <c r="E280" s="253">
        <f t="shared" ref="E280:K280" si="32">SUM(E278:E279)</f>
        <v>443</v>
      </c>
      <c r="F280" s="253">
        <f t="shared" si="32"/>
        <v>446</v>
      </c>
      <c r="G280" s="253">
        <f t="shared" si="32"/>
        <v>410</v>
      </c>
      <c r="H280" s="253">
        <f t="shared" si="32"/>
        <v>522</v>
      </c>
      <c r="I280" s="253">
        <f t="shared" si="32"/>
        <v>541</v>
      </c>
      <c r="J280" s="253">
        <f t="shared" si="32"/>
        <v>565</v>
      </c>
      <c r="K280" s="253">
        <f t="shared" si="32"/>
        <v>580</v>
      </c>
      <c r="L280" s="252"/>
      <c r="M280" s="253">
        <f>M279+M278</f>
        <v>785</v>
      </c>
      <c r="N280" s="253">
        <f>N278+N279</f>
        <v>1105</v>
      </c>
      <c r="P280" s="346">
        <v>616</v>
      </c>
      <c r="Q280" s="446">
        <v>628</v>
      </c>
      <c r="R280" s="252"/>
      <c r="S280" s="252"/>
      <c r="T280" s="252"/>
      <c r="U280" s="252"/>
      <c r="V280" s="252"/>
      <c r="W280" s="491"/>
      <c r="X280" s="491"/>
      <c r="Y280" s="252"/>
      <c r="Z280" s="252"/>
      <c r="AA280" s="252"/>
      <c r="AB280" s="423"/>
      <c r="AC280" s="423"/>
      <c r="AD280" s="423"/>
      <c r="AE280" s="423"/>
      <c r="AF280" s="423"/>
      <c r="AG280" s="423"/>
    </row>
    <row r="281" spans="1:33">
      <c r="A281" s="17">
        <f t="shared" si="31"/>
        <v>273</v>
      </c>
      <c r="R281" s="252"/>
      <c r="S281" s="252"/>
      <c r="T281" s="252"/>
      <c r="U281" s="252"/>
      <c r="V281" s="252"/>
      <c r="W281" s="491"/>
      <c r="X281" s="491"/>
      <c r="Y281" s="252"/>
      <c r="Z281" s="252"/>
      <c r="AA281" s="252"/>
      <c r="AB281" s="423"/>
      <c r="AC281" s="423"/>
      <c r="AD281" s="423"/>
      <c r="AE281" s="423"/>
      <c r="AF281" s="423"/>
      <c r="AG281" s="423"/>
    </row>
    <row r="282" spans="1:33">
      <c r="A282" s="17">
        <f t="shared" si="31"/>
        <v>274</v>
      </c>
      <c r="C282" s="466" t="s">
        <v>334</v>
      </c>
      <c r="E282" s="252"/>
      <c r="F282" s="252"/>
      <c r="G282" s="252"/>
      <c r="H282" s="252"/>
      <c r="I282" s="252"/>
      <c r="J282" s="252"/>
      <c r="K282" s="252"/>
      <c r="L282" s="252"/>
      <c r="M282" s="252"/>
      <c r="N282" s="252"/>
      <c r="P282" s="346"/>
      <c r="Q282" s="443"/>
      <c r="R282" s="252"/>
      <c r="S282" s="252"/>
      <c r="T282" s="252"/>
      <c r="U282" s="252"/>
      <c r="V282" s="252"/>
      <c r="W282" s="491"/>
      <c r="X282" s="491"/>
      <c r="Y282" s="252"/>
      <c r="Z282" s="252"/>
      <c r="AA282" s="252"/>
      <c r="AB282" s="423"/>
      <c r="AC282" s="423"/>
      <c r="AD282" s="423"/>
      <c r="AE282" s="423"/>
      <c r="AF282" s="423"/>
      <c r="AG282" s="423"/>
    </row>
    <row r="283" spans="1:33">
      <c r="A283" s="17">
        <f t="shared" si="31"/>
        <v>275</v>
      </c>
      <c r="C283" s="466"/>
      <c r="E283" s="252"/>
      <c r="F283" s="252"/>
      <c r="G283" s="252"/>
      <c r="H283" s="252"/>
      <c r="I283" s="252"/>
      <c r="J283" s="252"/>
      <c r="K283" s="252"/>
      <c r="L283" s="252"/>
      <c r="M283" s="252"/>
      <c r="N283" s="252"/>
      <c r="P283" s="346"/>
      <c r="Q283" s="443"/>
      <c r="R283" s="252"/>
      <c r="S283" s="252"/>
      <c r="T283" s="252"/>
      <c r="U283" s="252"/>
      <c r="V283" s="252"/>
      <c r="W283" s="491"/>
      <c r="X283" s="491"/>
      <c r="Y283" s="252"/>
      <c r="Z283" s="252"/>
      <c r="AA283" s="252"/>
      <c r="AB283" s="423"/>
      <c r="AC283" s="423"/>
      <c r="AD283" s="423"/>
      <c r="AE283" s="423"/>
      <c r="AF283" s="423"/>
      <c r="AG283" s="423"/>
    </row>
    <row r="284" spans="1:33">
      <c r="A284" s="17">
        <f t="shared" si="31"/>
        <v>276</v>
      </c>
      <c r="C284" s="466" t="s">
        <v>335</v>
      </c>
      <c r="E284" s="252"/>
      <c r="F284" s="252"/>
      <c r="G284" s="252"/>
      <c r="H284" s="252"/>
      <c r="I284" s="252"/>
      <c r="J284" s="252"/>
      <c r="K284" s="252"/>
      <c r="L284" s="252"/>
      <c r="M284" s="252"/>
      <c r="N284" s="252"/>
      <c r="P284" s="346"/>
      <c r="Q284" s="443"/>
      <c r="R284" s="252"/>
      <c r="S284" s="252"/>
      <c r="T284" s="252"/>
      <c r="U284" s="252"/>
      <c r="V284" s="252"/>
      <c r="W284" s="491"/>
      <c r="X284" s="491"/>
      <c r="Y284" s="252"/>
      <c r="Z284" s="252"/>
      <c r="AA284" s="252"/>
      <c r="AB284" s="423"/>
      <c r="AC284" s="423"/>
      <c r="AD284" s="423"/>
      <c r="AE284" s="423"/>
      <c r="AF284" s="423"/>
      <c r="AG284" s="423"/>
    </row>
    <row r="285" spans="1:33">
      <c r="A285" s="17">
        <f t="shared" si="31"/>
        <v>277</v>
      </c>
      <c r="C285" s="466"/>
      <c r="E285" s="252"/>
      <c r="F285" s="252"/>
      <c r="G285" s="252"/>
      <c r="H285" s="252"/>
      <c r="I285" s="252"/>
      <c r="J285" s="252"/>
      <c r="K285" s="252"/>
      <c r="L285" s="252"/>
      <c r="M285" s="252"/>
      <c r="N285" s="252"/>
      <c r="P285" s="346"/>
      <c r="Q285" s="443"/>
      <c r="R285" s="252"/>
      <c r="S285" s="252"/>
      <c r="T285" s="252"/>
      <c r="U285" s="252"/>
      <c r="V285" s="252"/>
      <c r="W285" s="252"/>
      <c r="X285" s="252"/>
      <c r="Z285" s="423"/>
      <c r="AA285" s="423"/>
      <c r="AB285" s="423"/>
      <c r="AC285" s="423"/>
      <c r="AD285" s="423"/>
      <c r="AE285" s="423"/>
      <c r="AF285" s="423"/>
      <c r="AG285" s="423"/>
    </row>
    <row r="286" spans="1:33">
      <c r="A286" s="17">
        <f t="shared" si="31"/>
        <v>278</v>
      </c>
      <c r="C286" s="466" t="s">
        <v>336</v>
      </c>
      <c r="E286" s="252"/>
      <c r="F286" s="252"/>
      <c r="G286" s="252"/>
      <c r="H286" s="252"/>
      <c r="I286" s="252"/>
      <c r="J286" s="252"/>
      <c r="K286" s="252"/>
      <c r="L286" s="252"/>
      <c r="M286" s="252"/>
      <c r="N286" s="252"/>
      <c r="P286" s="346"/>
      <c r="Q286" s="443"/>
      <c r="R286" s="252"/>
      <c r="S286" s="252"/>
      <c r="T286" s="252"/>
      <c r="U286" s="252"/>
      <c r="V286" s="252"/>
      <c r="W286" s="252"/>
      <c r="X286" s="252"/>
      <c r="Z286" s="423"/>
      <c r="AA286" s="423"/>
      <c r="AB286" s="423"/>
      <c r="AC286" s="423"/>
      <c r="AD286" s="423"/>
      <c r="AE286" s="423"/>
      <c r="AF286" s="423"/>
      <c r="AG286" s="423"/>
    </row>
    <row r="287" spans="1:33">
      <c r="A287" s="17">
        <f t="shared" si="31"/>
        <v>279</v>
      </c>
      <c r="C287" s="466"/>
      <c r="E287" s="252"/>
      <c r="F287" s="252"/>
      <c r="G287" s="252"/>
      <c r="H287" s="252"/>
      <c r="I287" s="252"/>
      <c r="J287" s="252"/>
      <c r="K287" s="252"/>
      <c r="L287" s="252"/>
      <c r="M287" s="252"/>
      <c r="N287" s="252"/>
      <c r="P287" s="346"/>
      <c r="Q287" s="443"/>
      <c r="R287" s="252"/>
      <c r="S287" s="252"/>
      <c r="T287" s="252"/>
      <c r="U287" s="252"/>
      <c r="V287" s="252"/>
      <c r="W287" s="252"/>
      <c r="X287" s="252"/>
      <c r="Z287" s="423"/>
      <c r="AA287" s="423"/>
      <c r="AB287" s="423"/>
      <c r="AC287" s="423"/>
      <c r="AD287" s="423"/>
      <c r="AE287" s="423"/>
      <c r="AF287" s="423"/>
      <c r="AG287" s="423"/>
    </row>
    <row r="288" spans="1:33" ht="14.25" customHeight="1">
      <c r="A288" s="17">
        <f t="shared" si="31"/>
        <v>280</v>
      </c>
      <c r="C288" s="466" t="s">
        <v>337</v>
      </c>
      <c r="E288" s="252"/>
      <c r="F288" s="252"/>
      <c r="G288" s="252"/>
      <c r="H288" s="252"/>
      <c r="I288" s="252"/>
      <c r="J288" s="252"/>
      <c r="K288" s="252"/>
      <c r="L288" s="252"/>
      <c r="M288" s="252"/>
      <c r="N288" s="252"/>
      <c r="P288" s="346"/>
      <c r="Q288" s="443"/>
      <c r="R288" s="252"/>
      <c r="S288" s="252"/>
      <c r="T288" s="252"/>
      <c r="U288" s="252"/>
      <c r="V288" s="252"/>
      <c r="W288" s="252"/>
      <c r="X288" s="252"/>
      <c r="Z288" s="423"/>
      <c r="AA288" s="423"/>
      <c r="AB288" s="423"/>
      <c r="AC288" s="423"/>
      <c r="AD288" s="423"/>
      <c r="AE288" s="423"/>
      <c r="AF288" s="423"/>
      <c r="AG288" s="423"/>
    </row>
    <row r="289" spans="1:33">
      <c r="A289" s="17">
        <f t="shared" si="31"/>
        <v>281</v>
      </c>
      <c r="E289" s="254"/>
      <c r="F289" s="254"/>
      <c r="G289" s="254"/>
      <c r="H289" s="254"/>
      <c r="I289" s="254"/>
      <c r="J289" s="254"/>
      <c r="K289" s="254"/>
      <c r="L289" s="254"/>
      <c r="M289" s="254"/>
      <c r="N289" s="254"/>
      <c r="P289" s="346"/>
      <c r="Q289" s="448"/>
      <c r="R289" s="252"/>
      <c r="S289" s="252"/>
      <c r="T289" s="252"/>
      <c r="U289" s="252"/>
      <c r="V289" s="252"/>
      <c r="W289" s="252"/>
      <c r="X289" s="252"/>
      <c r="Z289" s="423"/>
      <c r="AA289" s="423"/>
      <c r="AB289" s="423"/>
      <c r="AC289" s="423"/>
      <c r="AD289" s="423"/>
      <c r="AE289" s="423"/>
      <c r="AF289" s="423"/>
      <c r="AG289" s="423"/>
    </row>
    <row r="290" spans="1:33">
      <c r="A290" s="17">
        <f t="shared" si="31"/>
        <v>282</v>
      </c>
      <c r="C290" s="434" t="s">
        <v>213</v>
      </c>
      <c r="R290" s="252"/>
      <c r="S290" s="252"/>
      <c r="T290" s="252"/>
      <c r="U290" s="252"/>
      <c r="V290" s="252"/>
      <c r="W290" s="252"/>
      <c r="X290" s="252"/>
      <c r="Y290" s="252"/>
      <c r="Z290" s="252"/>
      <c r="AA290" s="490"/>
      <c r="AB290" s="423"/>
      <c r="AC290" s="423"/>
      <c r="AD290" s="423"/>
      <c r="AE290" s="423"/>
      <c r="AF290" s="423"/>
      <c r="AG290" s="423"/>
    </row>
    <row r="291" spans="1:33">
      <c r="A291" s="17">
        <f t="shared" si="31"/>
        <v>283</v>
      </c>
      <c r="D291" s="248" t="s">
        <v>240</v>
      </c>
      <c r="E291" s="252">
        <v>174</v>
      </c>
      <c r="F291" s="252">
        <v>167</v>
      </c>
      <c r="G291" s="252">
        <v>176</v>
      </c>
      <c r="H291" s="252">
        <v>193</v>
      </c>
      <c r="I291" s="252">
        <f>234-20</f>
        <v>214</v>
      </c>
      <c r="J291" s="252">
        <v>211</v>
      </c>
      <c r="K291" s="252">
        <v>217</v>
      </c>
      <c r="L291" s="252"/>
      <c r="M291" s="252">
        <f>296-90+15</f>
        <v>221</v>
      </c>
      <c r="N291" s="252">
        <f>304-90+15</f>
        <v>229</v>
      </c>
      <c r="P291" s="346"/>
      <c r="Q291" s="443"/>
      <c r="R291" s="252"/>
      <c r="S291" s="252"/>
      <c r="T291" s="252"/>
      <c r="U291" s="252"/>
      <c r="V291" s="252"/>
      <c r="W291" s="252"/>
      <c r="X291" s="252"/>
      <c r="Y291" s="252"/>
      <c r="Z291" s="252"/>
      <c r="AA291" s="252"/>
      <c r="AB291" s="423"/>
      <c r="AC291" s="423"/>
      <c r="AD291" s="423"/>
      <c r="AE291" s="423"/>
      <c r="AF291" s="423"/>
      <c r="AG291" s="423"/>
    </row>
    <row r="292" spans="1:33">
      <c r="A292" s="17">
        <f t="shared" si="31"/>
        <v>284</v>
      </c>
      <c r="D292" s="248" t="s">
        <v>84</v>
      </c>
      <c r="E292" s="252">
        <v>2</v>
      </c>
      <c r="F292" s="252">
        <v>4</v>
      </c>
      <c r="G292" s="252">
        <v>8</v>
      </c>
      <c r="H292" s="252">
        <v>8</v>
      </c>
      <c r="I292" s="252">
        <v>-2</v>
      </c>
      <c r="J292" s="252">
        <v>2</v>
      </c>
      <c r="K292" s="252">
        <v>12</v>
      </c>
      <c r="L292" s="252"/>
      <c r="M292" s="252">
        <v>11</v>
      </c>
      <c r="N292" s="252">
        <v>12</v>
      </c>
      <c r="P292" s="346"/>
      <c r="Q292" s="443"/>
      <c r="R292" s="252"/>
      <c r="S292" s="252"/>
      <c r="T292" s="252"/>
      <c r="U292" s="252"/>
      <c r="V292" s="252"/>
      <c r="W292" s="491"/>
      <c r="X292" s="491"/>
      <c r="Y292" s="252"/>
      <c r="Z292" s="252"/>
      <c r="AA292" s="252"/>
      <c r="AB292" s="423"/>
      <c r="AC292" s="423"/>
      <c r="AD292" s="423"/>
      <c r="AE292" s="423"/>
      <c r="AF292" s="423"/>
      <c r="AG292" s="423"/>
    </row>
    <row r="293" spans="1:33">
      <c r="A293" s="17">
        <f t="shared" si="31"/>
        <v>285</v>
      </c>
      <c r="E293" s="253">
        <f t="shared" ref="E293:K293" si="33">SUM(E291:E292)</f>
        <v>176</v>
      </c>
      <c r="F293" s="253">
        <f t="shared" si="33"/>
        <v>171</v>
      </c>
      <c r="G293" s="253">
        <f t="shared" si="33"/>
        <v>184</v>
      </c>
      <c r="H293" s="253">
        <f t="shared" si="33"/>
        <v>201</v>
      </c>
      <c r="I293" s="253">
        <f t="shared" si="33"/>
        <v>212</v>
      </c>
      <c r="J293" s="253">
        <f t="shared" si="33"/>
        <v>213</v>
      </c>
      <c r="K293" s="253">
        <f t="shared" si="33"/>
        <v>229</v>
      </c>
      <c r="L293" s="252"/>
      <c r="M293" s="253">
        <f>M291+M292</f>
        <v>232</v>
      </c>
      <c r="N293" s="253">
        <f>N291+N292</f>
        <v>241</v>
      </c>
      <c r="P293" s="446">
        <v>173</v>
      </c>
      <c r="Q293" s="446">
        <v>176</v>
      </c>
      <c r="R293" s="252"/>
      <c r="S293" s="252"/>
      <c r="T293" s="252"/>
      <c r="U293" s="252"/>
      <c r="V293" s="252"/>
      <c r="W293" s="252"/>
      <c r="X293" s="252"/>
      <c r="Z293" s="423"/>
      <c r="AA293" s="423"/>
      <c r="AB293" s="423"/>
      <c r="AC293" s="423"/>
      <c r="AD293" s="423"/>
      <c r="AE293" s="423"/>
      <c r="AF293" s="423"/>
      <c r="AG293" s="423"/>
    </row>
    <row r="294" spans="1:33">
      <c r="A294" s="17">
        <f t="shared" si="31"/>
        <v>286</v>
      </c>
      <c r="I294" s="252"/>
      <c r="J294" s="252"/>
      <c r="K294" s="252"/>
      <c r="L294" s="252"/>
      <c r="M294" s="252"/>
      <c r="N294" s="252"/>
      <c r="P294" s="443"/>
      <c r="Q294" s="443"/>
      <c r="R294" s="252"/>
      <c r="S294" s="252"/>
      <c r="T294" s="252"/>
      <c r="U294" s="252"/>
      <c r="V294" s="252"/>
      <c r="W294" s="252"/>
      <c r="X294" s="252"/>
      <c r="Z294" s="423"/>
      <c r="AA294" s="423"/>
      <c r="AB294" s="423"/>
      <c r="AC294" s="423"/>
      <c r="AD294" s="423"/>
      <c r="AE294" s="423"/>
      <c r="AF294" s="423"/>
      <c r="AG294" s="423"/>
    </row>
    <row r="295" spans="1:33">
      <c r="A295" s="17">
        <f t="shared" si="31"/>
        <v>287</v>
      </c>
      <c r="C295" s="466" t="s">
        <v>338</v>
      </c>
      <c r="E295" s="252"/>
      <c r="F295" s="252"/>
      <c r="G295" s="252"/>
      <c r="H295" s="252"/>
      <c r="I295" s="252"/>
      <c r="J295" s="252"/>
      <c r="K295" s="252"/>
      <c r="L295" s="252"/>
      <c r="M295" s="252"/>
      <c r="N295" s="252"/>
      <c r="P295" s="443"/>
      <c r="Q295" s="443"/>
      <c r="R295" s="252"/>
      <c r="S295" s="252"/>
      <c r="T295" s="252"/>
      <c r="U295" s="252"/>
      <c r="V295" s="252"/>
      <c r="W295" s="252"/>
      <c r="X295" s="252"/>
      <c r="Z295" s="423"/>
      <c r="AA295" s="423"/>
      <c r="AB295" s="423"/>
      <c r="AC295" s="423"/>
      <c r="AD295" s="423"/>
      <c r="AE295" s="423"/>
      <c r="AF295" s="423"/>
      <c r="AG295" s="423"/>
    </row>
    <row r="296" spans="1:33">
      <c r="A296" s="17">
        <f t="shared" si="31"/>
        <v>288</v>
      </c>
      <c r="E296" s="254"/>
      <c r="F296" s="254"/>
      <c r="G296" s="254"/>
      <c r="H296" s="254"/>
      <c r="I296" s="254"/>
      <c r="J296" s="254"/>
      <c r="K296" s="254"/>
      <c r="L296" s="254"/>
      <c r="M296" s="254"/>
      <c r="N296" s="254"/>
      <c r="P296" s="346"/>
      <c r="Q296" s="448"/>
      <c r="R296" s="252"/>
      <c r="S296" s="252"/>
      <c r="T296" s="252"/>
      <c r="U296" s="252"/>
      <c r="V296" s="252"/>
      <c r="W296" s="252"/>
      <c r="X296" s="252"/>
      <c r="Z296" s="423"/>
      <c r="AA296" s="423"/>
      <c r="AB296" s="423"/>
      <c r="AC296" s="423"/>
      <c r="AD296" s="423"/>
      <c r="AE296" s="423"/>
      <c r="AF296" s="423"/>
      <c r="AG296" s="423"/>
    </row>
    <row r="297" spans="1:33">
      <c r="A297" s="17">
        <f t="shared" si="31"/>
        <v>289</v>
      </c>
      <c r="C297" s="434" t="s">
        <v>215</v>
      </c>
      <c r="R297" s="252"/>
      <c r="S297" s="252"/>
      <c r="T297" s="252"/>
      <c r="U297" s="252"/>
      <c r="V297" s="252"/>
      <c r="W297" s="252"/>
      <c r="X297" s="252"/>
      <c r="Y297" s="252"/>
      <c r="Z297" s="252"/>
      <c r="AA297" s="490"/>
      <c r="AB297" s="423"/>
      <c r="AC297" s="423"/>
      <c r="AD297" s="423"/>
      <c r="AE297" s="423"/>
      <c r="AF297" s="423"/>
      <c r="AG297" s="423"/>
    </row>
    <row r="298" spans="1:33">
      <c r="A298" s="17">
        <f t="shared" si="31"/>
        <v>290</v>
      </c>
      <c r="D298" s="248" t="s">
        <v>240</v>
      </c>
      <c r="E298" s="252">
        <v>125</v>
      </c>
      <c r="F298" s="252">
        <v>103</v>
      </c>
      <c r="G298" s="252">
        <v>131</v>
      </c>
      <c r="H298" s="252">
        <v>85</v>
      </c>
      <c r="I298" s="252">
        <f>87+20</f>
        <v>107</v>
      </c>
      <c r="J298" s="252">
        <v>106</v>
      </c>
      <c r="K298" s="252">
        <v>81</v>
      </c>
      <c r="L298" s="252"/>
      <c r="M298" s="252">
        <f>65+30</f>
        <v>95</v>
      </c>
      <c r="N298" s="252">
        <f>66+30</f>
        <v>96</v>
      </c>
      <c r="P298" s="346"/>
      <c r="Q298" s="443"/>
      <c r="R298" s="252"/>
      <c r="S298" s="252"/>
      <c r="T298" s="252"/>
      <c r="U298" s="252"/>
      <c r="V298" s="252"/>
      <c r="W298" s="252"/>
      <c r="X298" s="252"/>
      <c r="Y298" s="252"/>
      <c r="Z298" s="252"/>
      <c r="AA298" s="252"/>
      <c r="AB298" s="423"/>
      <c r="AC298" s="423"/>
      <c r="AD298" s="423"/>
      <c r="AE298" s="423"/>
      <c r="AF298" s="423"/>
      <c r="AG298" s="423"/>
    </row>
    <row r="299" spans="1:33">
      <c r="A299" s="17">
        <f t="shared" si="31"/>
        <v>291</v>
      </c>
      <c r="D299" s="248" t="s">
        <v>84</v>
      </c>
      <c r="E299" s="252">
        <v>9</v>
      </c>
      <c r="F299" s="252">
        <v>6</v>
      </c>
      <c r="G299" s="252">
        <v>11</v>
      </c>
      <c r="H299" s="252">
        <v>3</v>
      </c>
      <c r="I299" s="252">
        <v>8</v>
      </c>
      <c r="J299" s="252">
        <v>7</v>
      </c>
      <c r="K299" s="252">
        <v>17</v>
      </c>
      <c r="L299" s="252"/>
      <c r="M299" s="252">
        <v>11</v>
      </c>
      <c r="N299" s="252">
        <v>10</v>
      </c>
      <c r="P299" s="444"/>
      <c r="Q299" s="443"/>
      <c r="R299" s="252"/>
      <c r="S299" s="252"/>
      <c r="T299" s="252"/>
      <c r="U299" s="252"/>
      <c r="V299" s="252"/>
      <c r="W299" s="491"/>
      <c r="X299" s="491"/>
      <c r="Y299" s="252"/>
      <c r="Z299" s="252"/>
      <c r="AA299" s="252"/>
      <c r="AB299" s="423"/>
      <c r="AC299" s="423"/>
      <c r="AD299" s="423"/>
      <c r="AE299" s="423"/>
      <c r="AF299" s="423"/>
      <c r="AG299" s="423"/>
    </row>
    <row r="300" spans="1:33">
      <c r="A300" s="17">
        <f t="shared" si="31"/>
        <v>292</v>
      </c>
      <c r="E300" s="253">
        <f t="shared" ref="E300:K300" si="34">SUM(E298:E299)</f>
        <v>134</v>
      </c>
      <c r="F300" s="253">
        <f t="shared" si="34"/>
        <v>109</v>
      </c>
      <c r="G300" s="253">
        <f t="shared" si="34"/>
        <v>142</v>
      </c>
      <c r="H300" s="253">
        <f t="shared" si="34"/>
        <v>88</v>
      </c>
      <c r="I300" s="253">
        <f t="shared" si="34"/>
        <v>115</v>
      </c>
      <c r="J300" s="253">
        <f t="shared" si="34"/>
        <v>113</v>
      </c>
      <c r="K300" s="253">
        <f t="shared" si="34"/>
        <v>98</v>
      </c>
      <c r="L300" s="252"/>
      <c r="M300" s="253">
        <f>M299+M298</f>
        <v>106</v>
      </c>
      <c r="N300" s="253">
        <f>N299+N298</f>
        <v>106</v>
      </c>
      <c r="P300" s="346">
        <v>129</v>
      </c>
      <c r="Q300" s="446">
        <v>132</v>
      </c>
      <c r="R300" s="252"/>
      <c r="S300" s="252"/>
      <c r="T300" s="252"/>
      <c r="U300" s="252"/>
      <c r="V300" s="252"/>
      <c r="W300" s="252"/>
      <c r="X300" s="252"/>
      <c r="Z300" s="423"/>
      <c r="AA300" s="423"/>
      <c r="AB300" s="423"/>
      <c r="AC300" s="423"/>
      <c r="AD300" s="423"/>
      <c r="AE300" s="423"/>
      <c r="AF300" s="423"/>
      <c r="AG300" s="423"/>
    </row>
    <row r="301" spans="1:33">
      <c r="A301" s="17">
        <f t="shared" si="31"/>
        <v>293</v>
      </c>
      <c r="E301" s="252"/>
      <c r="F301" s="252"/>
      <c r="G301" s="252"/>
      <c r="H301" s="252"/>
      <c r="I301" s="252"/>
      <c r="J301" s="252"/>
      <c r="K301" s="252"/>
      <c r="L301" s="252"/>
      <c r="M301" s="252"/>
      <c r="N301" s="252"/>
      <c r="P301" s="346"/>
      <c r="Q301" s="443"/>
      <c r="R301" s="252"/>
      <c r="S301" s="252"/>
      <c r="T301" s="252"/>
      <c r="U301" s="252"/>
      <c r="V301" s="252"/>
      <c r="W301" s="252"/>
      <c r="X301" s="252"/>
      <c r="Z301" s="423"/>
      <c r="AA301" s="423"/>
      <c r="AB301" s="423"/>
      <c r="AC301" s="423"/>
      <c r="AD301" s="423"/>
      <c r="AE301" s="423"/>
      <c r="AF301" s="423"/>
      <c r="AG301" s="423"/>
    </row>
    <row r="302" spans="1:33">
      <c r="A302" s="17">
        <f t="shared" si="31"/>
        <v>294</v>
      </c>
      <c r="C302" s="466" t="s">
        <v>339</v>
      </c>
      <c r="E302" s="252"/>
      <c r="F302" s="252"/>
      <c r="G302" s="252"/>
      <c r="H302" s="252"/>
      <c r="I302" s="252"/>
      <c r="J302" s="252"/>
      <c r="K302" s="252"/>
      <c r="L302" s="252"/>
      <c r="M302" s="252"/>
      <c r="N302" s="252"/>
      <c r="P302" s="346"/>
      <c r="Q302" s="443"/>
      <c r="R302" s="252"/>
      <c r="S302" s="252"/>
      <c r="T302" s="252"/>
      <c r="U302" s="252"/>
      <c r="V302" s="252"/>
      <c r="W302" s="252"/>
      <c r="X302" s="252"/>
      <c r="Z302" s="423"/>
      <c r="AA302" s="423"/>
      <c r="AB302" s="423"/>
      <c r="AC302" s="423"/>
      <c r="AD302" s="423"/>
      <c r="AE302" s="423"/>
      <c r="AF302" s="423"/>
      <c r="AG302" s="423"/>
    </row>
    <row r="303" spans="1:33">
      <c r="A303" s="17">
        <f t="shared" si="31"/>
        <v>295</v>
      </c>
      <c r="E303" s="254"/>
      <c r="F303" s="254"/>
      <c r="G303" s="254"/>
      <c r="H303" s="254"/>
      <c r="I303" s="254"/>
      <c r="J303" s="254"/>
      <c r="K303" s="254"/>
      <c r="L303" s="254"/>
      <c r="M303" s="254"/>
      <c r="N303" s="254"/>
      <c r="P303" s="346"/>
      <c r="Q303" s="448"/>
      <c r="R303" s="252"/>
      <c r="S303" s="252"/>
      <c r="T303" s="252"/>
      <c r="U303" s="252"/>
      <c r="V303" s="252"/>
      <c r="W303" s="252"/>
      <c r="X303" s="252"/>
      <c r="Y303" s="252"/>
      <c r="Z303" s="252"/>
      <c r="AA303" s="490"/>
      <c r="AB303" s="423"/>
      <c r="AC303" s="423"/>
      <c r="AD303" s="423"/>
      <c r="AE303" s="423"/>
      <c r="AF303" s="423"/>
      <c r="AG303" s="423"/>
    </row>
    <row r="304" spans="1:33">
      <c r="A304" s="17">
        <f t="shared" si="31"/>
        <v>296</v>
      </c>
      <c r="C304" s="434" t="s">
        <v>217</v>
      </c>
      <c r="R304" s="252"/>
      <c r="S304" s="252"/>
      <c r="T304" s="252"/>
      <c r="U304" s="252"/>
      <c r="V304" s="252"/>
      <c r="W304" s="252"/>
      <c r="X304" s="252"/>
      <c r="Y304" s="252"/>
      <c r="Z304" s="252"/>
      <c r="AA304" s="252"/>
      <c r="AB304" s="423"/>
      <c r="AC304" s="423"/>
      <c r="AD304" s="423"/>
      <c r="AE304" s="423"/>
      <c r="AF304" s="423"/>
      <c r="AG304" s="423"/>
    </row>
    <row r="305" spans="1:33">
      <c r="A305" s="17">
        <f t="shared" si="31"/>
        <v>297</v>
      </c>
      <c r="D305" s="248" t="s">
        <v>84</v>
      </c>
      <c r="E305" s="252">
        <v>53</v>
      </c>
      <c r="F305" s="252">
        <v>67</v>
      </c>
      <c r="G305" s="252">
        <v>112</v>
      </c>
      <c r="H305" s="252">
        <v>-32</v>
      </c>
      <c r="I305" s="252">
        <v>178</v>
      </c>
      <c r="J305" s="252">
        <v>-5</v>
      </c>
      <c r="K305" s="252">
        <v>50</v>
      </c>
      <c r="L305" s="252"/>
      <c r="M305" s="252">
        <v>78</v>
      </c>
      <c r="N305" s="252">
        <v>78</v>
      </c>
      <c r="P305" s="445"/>
      <c r="Q305" s="443"/>
      <c r="R305" s="252"/>
      <c r="S305" s="252"/>
      <c r="T305" s="252"/>
      <c r="U305" s="252"/>
      <c r="V305" s="252"/>
      <c r="W305" s="491"/>
      <c r="X305" s="491"/>
      <c r="Y305" s="252"/>
      <c r="Z305" s="252"/>
      <c r="AA305" s="252"/>
      <c r="AB305" s="423"/>
      <c r="AC305" s="423"/>
      <c r="AD305" s="423"/>
      <c r="AE305" s="423"/>
      <c r="AF305" s="423"/>
      <c r="AG305" s="423"/>
    </row>
    <row r="306" spans="1:33">
      <c r="A306" s="17">
        <f t="shared" si="31"/>
        <v>298</v>
      </c>
      <c r="E306" s="253">
        <f t="shared" ref="E306:K306" si="35">SUM(E305)</f>
        <v>53</v>
      </c>
      <c r="F306" s="253">
        <f t="shared" si="35"/>
        <v>67</v>
      </c>
      <c r="G306" s="253">
        <f t="shared" si="35"/>
        <v>112</v>
      </c>
      <c r="H306" s="253">
        <f t="shared" si="35"/>
        <v>-32</v>
      </c>
      <c r="I306" s="253">
        <f t="shared" si="35"/>
        <v>178</v>
      </c>
      <c r="J306" s="253">
        <f t="shared" si="35"/>
        <v>-5</v>
      </c>
      <c r="K306" s="253">
        <f t="shared" si="35"/>
        <v>50</v>
      </c>
      <c r="L306" s="252"/>
      <c r="M306" s="253">
        <f>M305</f>
        <v>78</v>
      </c>
      <c r="N306" s="253">
        <f>N305</f>
        <v>78</v>
      </c>
      <c r="P306" s="346">
        <v>86</v>
      </c>
      <c r="Q306" s="446">
        <v>88</v>
      </c>
      <c r="R306" s="252"/>
      <c r="S306" s="495"/>
      <c r="T306" s="252"/>
      <c r="U306" s="252"/>
      <c r="V306" s="252"/>
      <c r="W306" s="252"/>
      <c r="X306" s="252"/>
      <c r="Z306" s="423"/>
      <c r="AA306" s="423"/>
      <c r="AB306" s="423"/>
      <c r="AC306" s="423"/>
      <c r="AD306" s="423"/>
      <c r="AE306" s="423"/>
      <c r="AF306" s="423"/>
      <c r="AG306" s="423"/>
    </row>
    <row r="307" spans="1:33">
      <c r="A307" s="17">
        <f t="shared" si="31"/>
        <v>299</v>
      </c>
      <c r="R307" s="252"/>
      <c r="S307" s="496"/>
      <c r="T307" s="252"/>
      <c r="U307" s="252"/>
      <c r="V307" s="252"/>
      <c r="W307" s="252"/>
      <c r="X307" s="252"/>
      <c r="Z307" s="423"/>
      <c r="AA307" s="423"/>
      <c r="AB307" s="423"/>
      <c r="AC307" s="423"/>
      <c r="AD307" s="423"/>
      <c r="AE307" s="423"/>
      <c r="AF307" s="423"/>
      <c r="AG307" s="423"/>
    </row>
    <row r="308" spans="1:33">
      <c r="A308" s="17">
        <f t="shared" si="31"/>
        <v>300</v>
      </c>
      <c r="C308" s="466" t="s">
        <v>340</v>
      </c>
      <c r="E308" s="252"/>
      <c r="F308" s="252"/>
      <c r="G308" s="252"/>
      <c r="H308" s="252"/>
      <c r="I308" s="252"/>
      <c r="J308" s="252"/>
      <c r="K308" s="252"/>
      <c r="L308" s="252"/>
      <c r="M308" s="252"/>
      <c r="N308" s="252"/>
      <c r="P308" s="346"/>
      <c r="Q308" s="443"/>
      <c r="R308" s="252"/>
      <c r="S308" s="497"/>
      <c r="T308" s="252"/>
      <c r="U308" s="252"/>
      <c r="V308" s="252"/>
      <c r="W308" s="252"/>
      <c r="X308" s="252"/>
      <c r="Z308" s="423"/>
      <c r="AA308" s="423"/>
      <c r="AB308" s="423"/>
      <c r="AC308" s="423"/>
      <c r="AD308" s="423"/>
      <c r="AE308" s="423"/>
      <c r="AF308" s="423"/>
      <c r="AG308" s="423"/>
    </row>
    <row r="309" spans="1:33">
      <c r="A309" s="17">
        <f t="shared" ref="A309:A342" si="36">A308+1</f>
        <v>301</v>
      </c>
      <c r="C309" s="466"/>
      <c r="E309" s="252"/>
      <c r="F309" s="252"/>
      <c r="G309" s="252"/>
      <c r="H309" s="252"/>
      <c r="I309" s="252"/>
      <c r="J309" s="252"/>
      <c r="K309" s="252"/>
      <c r="L309" s="252"/>
      <c r="M309" s="252"/>
      <c r="N309" s="252"/>
      <c r="P309" s="346"/>
      <c r="Q309" s="443"/>
      <c r="R309" s="252"/>
      <c r="S309" s="252"/>
      <c r="T309" s="252"/>
      <c r="U309" s="252"/>
      <c r="V309" s="252"/>
      <c r="W309" s="252"/>
      <c r="X309" s="252"/>
      <c r="Z309" s="423"/>
      <c r="AA309" s="493"/>
      <c r="AB309" s="423"/>
      <c r="AC309" s="423"/>
      <c r="AD309" s="423"/>
      <c r="AE309" s="423"/>
      <c r="AF309" s="423"/>
      <c r="AG309" s="423"/>
    </row>
    <row r="310" spans="1:33">
      <c r="A310" s="17">
        <f t="shared" si="36"/>
        <v>302</v>
      </c>
      <c r="C310" s="466" t="s">
        <v>341</v>
      </c>
      <c r="E310" s="252"/>
      <c r="F310" s="252"/>
      <c r="G310" s="252"/>
      <c r="H310" s="252"/>
      <c r="I310" s="252"/>
      <c r="J310" s="252"/>
      <c r="K310" s="252"/>
      <c r="L310" s="252"/>
      <c r="M310" s="252"/>
      <c r="N310" s="252"/>
      <c r="P310" s="346"/>
      <c r="Q310" s="443"/>
      <c r="R310" s="252"/>
      <c r="S310" s="252"/>
      <c r="T310" s="252"/>
      <c r="U310" s="252"/>
      <c r="V310" s="252"/>
      <c r="W310" s="252"/>
      <c r="X310" s="252"/>
      <c r="Z310" s="423"/>
      <c r="AA310" s="423"/>
      <c r="AB310" s="423"/>
      <c r="AC310" s="423"/>
      <c r="AD310" s="423"/>
      <c r="AE310" s="423"/>
      <c r="AF310" s="423"/>
      <c r="AG310" s="423"/>
    </row>
    <row r="311" spans="1:33">
      <c r="A311" s="17">
        <f t="shared" si="36"/>
        <v>303</v>
      </c>
      <c r="C311" s="466"/>
      <c r="E311" s="252"/>
      <c r="F311" s="252"/>
      <c r="G311" s="252"/>
      <c r="H311" s="252"/>
      <c r="I311" s="252"/>
      <c r="J311" s="252"/>
      <c r="K311" s="252"/>
      <c r="L311" s="252"/>
      <c r="M311" s="252"/>
      <c r="N311" s="252"/>
      <c r="P311" s="346"/>
      <c r="Q311" s="443"/>
      <c r="R311" s="252"/>
      <c r="S311" s="252"/>
      <c r="T311" s="252"/>
      <c r="U311" s="252"/>
      <c r="V311" s="252"/>
      <c r="W311" s="252"/>
      <c r="X311" s="252"/>
      <c r="Z311" s="423"/>
      <c r="AA311" s="423"/>
      <c r="AB311" s="423"/>
      <c r="AC311" s="423"/>
      <c r="AD311" s="423"/>
      <c r="AE311" s="423"/>
      <c r="AF311" s="423"/>
      <c r="AG311" s="423"/>
    </row>
    <row r="312" spans="1:33">
      <c r="A312" s="17">
        <f t="shared" si="36"/>
        <v>304</v>
      </c>
      <c r="C312" s="466" t="s">
        <v>329</v>
      </c>
      <c r="E312" s="252"/>
      <c r="F312" s="252"/>
      <c r="G312" s="252"/>
      <c r="H312" s="252"/>
      <c r="I312" s="252"/>
      <c r="J312" s="252"/>
      <c r="K312" s="252"/>
      <c r="L312" s="252"/>
      <c r="M312" s="252"/>
      <c r="N312" s="252"/>
      <c r="P312" s="346"/>
      <c r="Q312" s="443"/>
      <c r="R312" s="252"/>
      <c r="S312" s="252"/>
      <c r="T312" s="252"/>
      <c r="U312" s="252"/>
      <c r="V312" s="252"/>
      <c r="W312" s="252"/>
      <c r="X312" s="252"/>
      <c r="Z312" s="423"/>
      <c r="AA312" s="423"/>
      <c r="AB312" s="423"/>
      <c r="AC312" s="423"/>
      <c r="AD312" s="423"/>
      <c r="AE312" s="423"/>
      <c r="AF312" s="423"/>
      <c r="AG312" s="423"/>
    </row>
    <row r="313" spans="1:33">
      <c r="A313" s="17">
        <f t="shared" si="36"/>
        <v>305</v>
      </c>
      <c r="E313" s="252"/>
      <c r="F313" s="252"/>
      <c r="G313" s="252"/>
      <c r="H313" s="252"/>
      <c r="I313" s="252"/>
      <c r="J313" s="252"/>
      <c r="K313" s="252"/>
      <c r="L313" s="252"/>
      <c r="M313" s="252"/>
      <c r="N313" s="252"/>
      <c r="O313" s="252"/>
      <c r="P313" s="252"/>
      <c r="Q313" s="252"/>
      <c r="R313" s="252"/>
      <c r="S313" s="252"/>
      <c r="T313" s="252"/>
      <c r="U313" s="252"/>
      <c r="V313" s="252"/>
      <c r="W313" s="252"/>
      <c r="X313" s="252"/>
      <c r="Z313" s="423"/>
      <c r="AA313" s="423"/>
      <c r="AB313" s="423"/>
      <c r="AC313" s="423"/>
      <c r="AD313" s="423"/>
      <c r="AE313" s="423"/>
      <c r="AF313" s="423"/>
      <c r="AG313" s="423"/>
    </row>
    <row r="314" spans="1:33">
      <c r="A314" s="17">
        <f t="shared" si="36"/>
        <v>306</v>
      </c>
      <c r="B314" s="250" t="s">
        <v>342</v>
      </c>
      <c r="E314" s="255">
        <f t="shared" ref="E314:K314" si="37">E306+E300+E293+E280+E269+E258+E253</f>
        <v>2017</v>
      </c>
      <c r="F314" s="255">
        <f t="shared" si="37"/>
        <v>1952</v>
      </c>
      <c r="G314" s="255">
        <f t="shared" si="37"/>
        <v>2060</v>
      </c>
      <c r="H314" s="255">
        <f t="shared" si="37"/>
        <v>1991</v>
      </c>
      <c r="I314" s="255">
        <f t="shared" si="37"/>
        <v>2176</v>
      </c>
      <c r="J314" s="255">
        <f t="shared" si="37"/>
        <v>1964</v>
      </c>
      <c r="K314" s="255">
        <f t="shared" si="37"/>
        <v>2168</v>
      </c>
      <c r="L314" s="254"/>
      <c r="M314" s="255">
        <f>M306+M300+M293+M280+M269+M258+M253</f>
        <v>2485</v>
      </c>
      <c r="N314" s="255">
        <f>N306+N300+N293+N280+N269+N258+N253</f>
        <v>2842</v>
      </c>
      <c r="P314" s="449">
        <v>2163</v>
      </c>
      <c r="Q314" s="449">
        <v>2208</v>
      </c>
      <c r="R314" s="252"/>
      <c r="S314" s="252"/>
      <c r="T314" s="252"/>
      <c r="U314" s="252"/>
      <c r="V314" s="252"/>
      <c r="W314" s="252"/>
      <c r="X314" s="252"/>
      <c r="Z314" s="423"/>
      <c r="AA314" s="423"/>
      <c r="AB314" s="423"/>
      <c r="AC314" s="423"/>
      <c r="AD314" s="423"/>
      <c r="AE314" s="423"/>
      <c r="AF314" s="423"/>
      <c r="AG314" s="423"/>
    </row>
    <row r="315" spans="1:33">
      <c r="A315" s="17">
        <f t="shared" si="36"/>
        <v>307</v>
      </c>
      <c r="E315" s="254"/>
      <c r="F315" s="254"/>
      <c r="G315" s="254"/>
      <c r="H315" s="254"/>
      <c r="I315" s="254"/>
      <c r="J315" s="254"/>
      <c r="K315" s="254"/>
      <c r="L315" s="254"/>
      <c r="M315" s="254"/>
      <c r="N315" s="254"/>
      <c r="P315" s="346"/>
      <c r="Q315" s="448"/>
      <c r="R315" s="252"/>
      <c r="S315" s="252"/>
      <c r="T315" s="252"/>
      <c r="U315" s="252"/>
      <c r="V315" s="252"/>
      <c r="W315" s="252"/>
      <c r="X315" s="252"/>
      <c r="Z315" s="423"/>
      <c r="AA315" s="423"/>
      <c r="AB315" s="423"/>
      <c r="AC315" s="423"/>
      <c r="AD315" s="423"/>
      <c r="AE315" s="423"/>
      <c r="AF315" s="423"/>
      <c r="AG315" s="423"/>
    </row>
    <row r="316" spans="1:33">
      <c r="A316" s="17">
        <f t="shared" si="36"/>
        <v>308</v>
      </c>
      <c r="B316" s="250" t="s">
        <v>343</v>
      </c>
      <c r="E316" s="254"/>
      <c r="F316" s="254"/>
      <c r="G316" s="254"/>
      <c r="H316" s="254"/>
      <c r="I316" s="254"/>
      <c r="J316" s="254"/>
      <c r="K316" s="254"/>
      <c r="L316" s="254"/>
      <c r="M316" s="254"/>
      <c r="N316" s="254"/>
      <c r="P316" s="346"/>
      <c r="Q316" s="448"/>
      <c r="R316" s="252"/>
      <c r="S316" s="252"/>
      <c r="T316" s="252"/>
      <c r="U316" s="252"/>
      <c r="V316" s="252"/>
      <c r="W316" s="252"/>
      <c r="X316" s="252"/>
      <c r="Z316" s="423"/>
      <c r="AA316" s="423"/>
      <c r="AB316" s="423"/>
      <c r="AC316" s="423"/>
      <c r="AD316" s="423"/>
      <c r="AE316" s="423"/>
      <c r="AF316" s="423"/>
      <c r="AG316" s="423"/>
    </row>
    <row r="317" spans="1:33">
      <c r="A317" s="17">
        <f t="shared" si="36"/>
        <v>309</v>
      </c>
      <c r="C317" s="434" t="s">
        <v>220</v>
      </c>
      <c r="R317" s="252"/>
      <c r="S317" s="252"/>
      <c r="T317" s="252"/>
      <c r="U317" s="252"/>
      <c r="V317" s="252"/>
      <c r="W317" s="252"/>
      <c r="X317" s="252"/>
      <c r="Y317" s="252"/>
      <c r="Z317" s="252"/>
      <c r="AA317" s="490"/>
      <c r="AB317" s="423"/>
      <c r="AC317" s="423"/>
      <c r="AD317" s="423"/>
      <c r="AE317" s="423"/>
      <c r="AF317" s="423"/>
      <c r="AG317" s="423"/>
    </row>
    <row r="318" spans="1:33">
      <c r="A318" s="17">
        <f t="shared" si="36"/>
        <v>310</v>
      </c>
      <c r="D318" s="248" t="s">
        <v>240</v>
      </c>
      <c r="E318" s="252">
        <v>612</v>
      </c>
      <c r="F318" s="252">
        <v>684</v>
      </c>
      <c r="G318" s="252">
        <v>722</v>
      </c>
      <c r="H318" s="252">
        <v>648</v>
      </c>
      <c r="I318" s="252">
        <v>678</v>
      </c>
      <c r="J318" s="252">
        <v>997</v>
      </c>
      <c r="K318" s="252">
        <v>767</v>
      </c>
      <c r="L318" s="252"/>
      <c r="M318" s="252">
        <f>756+90+21</f>
        <v>867</v>
      </c>
      <c r="N318" s="252">
        <f>788+90</f>
        <v>878</v>
      </c>
      <c r="P318" s="346"/>
      <c r="Q318" s="443"/>
      <c r="R318" s="252"/>
      <c r="S318" s="252"/>
      <c r="T318" s="252"/>
      <c r="U318" s="252"/>
      <c r="V318" s="252"/>
      <c r="W318" s="252"/>
      <c r="X318" s="252"/>
      <c r="Y318" s="252"/>
      <c r="Z318" s="252"/>
      <c r="AA318" s="252"/>
      <c r="AB318" s="423"/>
      <c r="AC318" s="423"/>
      <c r="AD318" s="423"/>
      <c r="AE318" s="423"/>
      <c r="AF318" s="423"/>
      <c r="AG318" s="423"/>
    </row>
    <row r="319" spans="1:33">
      <c r="A319" s="17">
        <f t="shared" si="36"/>
        <v>311</v>
      </c>
      <c r="D319" s="248" t="s">
        <v>84</v>
      </c>
      <c r="E319" s="418">
        <f>1313+236+0.25-112</f>
        <v>1437.25</v>
      </c>
      <c r="F319" s="418">
        <f>(1544+296-8-8.64-112-7)+0.00109068548772484</f>
        <v>1704.3610906854876</v>
      </c>
      <c r="G319" s="418">
        <f>(1594-110+101-112)+0.171049475990003</f>
        <v>1473.17104947599</v>
      </c>
      <c r="H319" s="418">
        <f>(1601+56-120+120-112)+0.998885699955281</f>
        <v>1545.9988856999553</v>
      </c>
      <c r="I319" s="418">
        <f>(1524+12+386+159-112)+0.138096777038299</f>
        <v>1969.1380967770383</v>
      </c>
      <c r="J319" s="418">
        <f>(1525+24+224+119-112+34.42)+0.00380567389947828</f>
        <v>1814.4238056738996</v>
      </c>
      <c r="K319" s="418">
        <f>1886-160+32+130-112-2+38.91</f>
        <v>1812.91</v>
      </c>
      <c r="L319" s="252"/>
      <c r="M319" s="418">
        <f>1525+40+180+65+100+60</f>
        <v>1970</v>
      </c>
      <c r="N319" s="418">
        <f>1543+40+185+60+90+50+122</f>
        <v>2090</v>
      </c>
      <c r="P319" s="346"/>
      <c r="Q319" s="443"/>
      <c r="R319" s="252"/>
      <c r="S319" s="252"/>
      <c r="T319" s="252"/>
      <c r="U319" s="252"/>
      <c r="V319" s="252"/>
      <c r="W319" s="491"/>
      <c r="X319" s="491"/>
      <c r="Y319" s="252"/>
      <c r="Z319" s="252"/>
      <c r="AA319" s="252"/>
      <c r="AB319" s="423"/>
      <c r="AC319" s="423"/>
      <c r="AD319" s="423"/>
      <c r="AE319" s="423"/>
      <c r="AF319" s="423"/>
      <c r="AG319" s="423"/>
    </row>
    <row r="320" spans="1:33">
      <c r="A320" s="17">
        <f t="shared" si="36"/>
        <v>312</v>
      </c>
      <c r="E320" s="252">
        <f>SUM(E318:E319)</f>
        <v>2049.25</v>
      </c>
      <c r="F320" s="252">
        <f t="shared" ref="F320:K320" si="38">SUM(F318:F319)</f>
        <v>2388.3610906854874</v>
      </c>
      <c r="G320" s="252">
        <f t="shared" si="38"/>
        <v>2195.17104947599</v>
      </c>
      <c r="H320" s="252">
        <f t="shared" si="38"/>
        <v>2193.9988856999553</v>
      </c>
      <c r="I320" s="252">
        <f t="shared" si="38"/>
        <v>2647.1380967770383</v>
      </c>
      <c r="J320" s="252">
        <f t="shared" si="38"/>
        <v>2811.4238056738996</v>
      </c>
      <c r="K320" s="252">
        <f t="shared" si="38"/>
        <v>2579.91</v>
      </c>
      <c r="L320" s="252"/>
      <c r="M320" s="252">
        <f>M318+M319</f>
        <v>2837</v>
      </c>
      <c r="N320" s="252">
        <f>N319+N318</f>
        <v>2968</v>
      </c>
      <c r="P320" s="455">
        <v>2069</v>
      </c>
      <c r="Q320" s="455">
        <v>2107</v>
      </c>
      <c r="R320" s="252"/>
      <c r="S320" s="252"/>
      <c r="T320" s="252"/>
      <c r="U320" s="252"/>
      <c r="V320" s="252"/>
      <c r="W320" s="252"/>
      <c r="X320" s="252"/>
      <c r="Z320" s="423"/>
      <c r="AA320" s="423"/>
      <c r="AB320" s="423"/>
      <c r="AC320" s="423"/>
      <c r="AD320" s="423"/>
      <c r="AE320" s="423"/>
      <c r="AF320" s="423"/>
      <c r="AG320" s="423"/>
    </row>
    <row r="321" spans="1:33">
      <c r="A321" s="17">
        <f t="shared" si="36"/>
        <v>313</v>
      </c>
      <c r="E321" s="252"/>
      <c r="F321" s="252"/>
      <c r="G321" s="252"/>
      <c r="H321" s="252"/>
      <c r="I321" s="252"/>
      <c r="J321" s="252"/>
      <c r="K321" s="252"/>
      <c r="L321" s="252"/>
      <c r="M321" s="252"/>
      <c r="N321" s="252"/>
      <c r="P321" s="447"/>
      <c r="Q321" s="447"/>
      <c r="R321" s="252"/>
      <c r="S321" s="252"/>
      <c r="T321" s="252"/>
      <c r="U321" s="252"/>
      <c r="V321" s="252"/>
      <c r="W321" s="252"/>
      <c r="X321" s="252"/>
      <c r="Z321" s="423"/>
      <c r="AA321" s="423"/>
      <c r="AB321" s="423"/>
      <c r="AC321" s="423"/>
      <c r="AD321" s="423"/>
      <c r="AE321" s="423"/>
      <c r="AF321" s="423"/>
      <c r="AG321" s="423"/>
    </row>
    <row r="322" spans="1:33">
      <c r="A322" s="17">
        <f t="shared" si="36"/>
        <v>314</v>
      </c>
      <c r="C322" s="28" t="s">
        <v>344</v>
      </c>
      <c r="E322" s="252"/>
      <c r="F322" s="252"/>
      <c r="G322" s="252"/>
      <c r="H322" s="252"/>
      <c r="I322" s="252"/>
      <c r="J322" s="252"/>
      <c r="K322" s="252"/>
      <c r="L322" s="252"/>
      <c r="M322" s="252"/>
      <c r="N322" s="252"/>
      <c r="P322" s="447"/>
      <c r="Q322" s="447"/>
      <c r="R322" s="252"/>
      <c r="S322" s="252"/>
      <c r="T322" s="252"/>
      <c r="U322" s="252"/>
      <c r="V322" s="252"/>
      <c r="W322" s="252"/>
      <c r="X322" s="252"/>
      <c r="Z322" s="423"/>
      <c r="AA322" s="423"/>
      <c r="AB322" s="423"/>
      <c r="AC322" s="423"/>
      <c r="AD322" s="423"/>
      <c r="AE322" s="423"/>
      <c r="AF322" s="423"/>
      <c r="AG322" s="423"/>
    </row>
    <row r="323" spans="1:33">
      <c r="A323" s="17">
        <f t="shared" si="36"/>
        <v>315</v>
      </c>
      <c r="E323" s="252"/>
      <c r="F323" s="252"/>
      <c r="G323" s="252"/>
      <c r="H323" s="252"/>
      <c r="I323" s="252"/>
      <c r="J323" s="252"/>
      <c r="K323" s="252"/>
      <c r="L323" s="252"/>
      <c r="M323" s="252"/>
      <c r="N323" s="252"/>
      <c r="P323" s="447"/>
      <c r="Q323" s="447"/>
      <c r="R323" s="252"/>
      <c r="S323" s="252"/>
      <c r="T323" s="252"/>
      <c r="U323" s="252"/>
      <c r="V323" s="252"/>
      <c r="W323" s="252"/>
      <c r="X323" s="252"/>
      <c r="Z323" s="423"/>
      <c r="AA323" s="423"/>
      <c r="AB323" s="423"/>
      <c r="AC323" s="423"/>
      <c r="AD323" s="423"/>
      <c r="AE323" s="423"/>
      <c r="AF323" s="423"/>
      <c r="AG323" s="423"/>
    </row>
    <row r="324" spans="1:33">
      <c r="A324" s="17">
        <f t="shared" si="36"/>
        <v>316</v>
      </c>
      <c r="C324" s="28" t="s">
        <v>345</v>
      </c>
      <c r="E324" s="252"/>
      <c r="F324" s="252"/>
      <c r="G324" s="252"/>
      <c r="H324" s="252"/>
      <c r="I324" s="252"/>
      <c r="J324" s="252"/>
      <c r="K324" s="252"/>
      <c r="L324" s="252"/>
      <c r="M324" s="252"/>
      <c r="N324" s="252"/>
      <c r="P324" s="447"/>
      <c r="Q324" s="447"/>
      <c r="R324" s="252"/>
      <c r="S324" s="252"/>
      <c r="T324" s="252"/>
      <c r="U324" s="252"/>
      <c r="V324" s="252"/>
      <c r="W324" s="252"/>
      <c r="X324" s="252"/>
      <c r="Z324" s="423"/>
      <c r="AA324" s="423"/>
      <c r="AB324" s="423"/>
      <c r="AC324" s="423"/>
      <c r="AD324" s="423"/>
      <c r="AE324" s="423"/>
      <c r="AF324" s="423"/>
      <c r="AG324" s="423"/>
    </row>
    <row r="325" spans="1:33">
      <c r="A325" s="17">
        <f t="shared" si="36"/>
        <v>317</v>
      </c>
      <c r="C325" s="28" t="s">
        <v>346</v>
      </c>
      <c r="E325" s="252"/>
      <c r="F325" s="252"/>
      <c r="G325" s="252"/>
      <c r="H325" s="252"/>
      <c r="I325" s="252"/>
      <c r="J325" s="252"/>
      <c r="K325" s="252"/>
      <c r="L325" s="252"/>
      <c r="M325" s="252"/>
      <c r="N325" s="252"/>
      <c r="P325" s="447"/>
      <c r="Q325" s="447"/>
      <c r="R325" s="252"/>
      <c r="S325" s="252"/>
      <c r="T325" s="252"/>
      <c r="U325" s="252"/>
      <c r="V325" s="252"/>
      <c r="W325" s="252"/>
      <c r="X325" s="252"/>
      <c r="Z325" s="423"/>
      <c r="AA325" s="423"/>
      <c r="AB325" s="423"/>
      <c r="AC325" s="423"/>
      <c r="AD325" s="423"/>
      <c r="AE325" s="423"/>
      <c r="AF325" s="423"/>
      <c r="AG325" s="423"/>
    </row>
    <row r="326" spans="1:33">
      <c r="A326" s="17">
        <f t="shared" si="36"/>
        <v>318</v>
      </c>
      <c r="C326" s="16"/>
      <c r="E326" s="420"/>
      <c r="F326" s="420"/>
      <c r="G326" s="420"/>
      <c r="H326" s="420"/>
      <c r="I326" s="420"/>
      <c r="J326" s="420"/>
      <c r="K326" s="420"/>
      <c r="L326" s="252"/>
      <c r="M326" s="252"/>
      <c r="N326" s="252"/>
      <c r="P326" s="447"/>
      <c r="Q326" s="447"/>
      <c r="R326" s="252"/>
      <c r="S326" s="252"/>
      <c r="T326" s="252"/>
      <c r="U326" s="252"/>
      <c r="V326" s="252"/>
      <c r="W326" s="252"/>
      <c r="X326" s="252"/>
      <c r="Z326" s="423"/>
      <c r="AA326" s="423"/>
      <c r="AB326" s="423"/>
      <c r="AC326" s="423"/>
      <c r="AD326" s="423"/>
      <c r="AE326" s="423"/>
      <c r="AF326" s="423"/>
      <c r="AG326" s="423"/>
    </row>
    <row r="327" spans="1:33">
      <c r="A327" s="17">
        <f t="shared" si="36"/>
        <v>319</v>
      </c>
      <c r="C327" s="28" t="s">
        <v>347</v>
      </c>
      <c r="E327" s="420"/>
      <c r="F327" s="420"/>
      <c r="G327" s="420"/>
      <c r="H327" s="420"/>
      <c r="I327" s="420"/>
      <c r="J327" s="420"/>
      <c r="K327" s="420"/>
      <c r="L327" s="252"/>
      <c r="M327" s="252"/>
      <c r="N327" s="252"/>
      <c r="P327" s="447"/>
      <c r="Q327" s="447"/>
      <c r="R327" s="252"/>
      <c r="S327" s="252"/>
      <c r="T327" s="252"/>
      <c r="U327" s="252"/>
      <c r="V327" s="252"/>
      <c r="W327" s="252"/>
      <c r="X327" s="252"/>
      <c r="Z327" s="423"/>
      <c r="AA327" s="423"/>
      <c r="AB327" s="423"/>
      <c r="AC327" s="423"/>
      <c r="AD327" s="423"/>
      <c r="AE327" s="423"/>
      <c r="AF327" s="423"/>
      <c r="AG327" s="423"/>
    </row>
    <row r="328" spans="1:33">
      <c r="A328" s="17">
        <f t="shared" si="36"/>
        <v>320</v>
      </c>
      <c r="C328" s="16"/>
      <c r="E328" s="420"/>
      <c r="F328" s="420"/>
      <c r="G328" s="420"/>
      <c r="H328" s="420"/>
      <c r="I328" s="420"/>
      <c r="J328" s="420"/>
      <c r="K328" s="420"/>
      <c r="L328" s="252"/>
      <c r="M328" s="252"/>
      <c r="N328" s="252"/>
      <c r="P328" s="447"/>
      <c r="Q328" s="447"/>
      <c r="R328" s="252"/>
      <c r="S328" s="252"/>
      <c r="T328" s="252"/>
      <c r="U328" s="252"/>
      <c r="V328" s="252"/>
      <c r="W328" s="252"/>
      <c r="X328" s="252"/>
      <c r="Z328" s="423"/>
      <c r="AA328" s="423"/>
      <c r="AB328" s="423"/>
      <c r="AC328" s="423"/>
      <c r="AD328" s="423"/>
      <c r="AE328" s="423"/>
      <c r="AF328" s="423"/>
      <c r="AG328" s="423"/>
    </row>
    <row r="329" spans="1:33">
      <c r="A329" s="17">
        <f t="shared" si="36"/>
        <v>321</v>
      </c>
      <c r="C329" s="28" t="s">
        <v>348</v>
      </c>
      <c r="E329" s="252"/>
      <c r="F329" s="252"/>
      <c r="G329" s="252"/>
      <c r="H329" s="252"/>
      <c r="I329" s="252"/>
      <c r="J329" s="252"/>
      <c r="K329" s="252"/>
      <c r="L329" s="252"/>
      <c r="M329" s="252"/>
      <c r="N329" s="252"/>
      <c r="P329" s="447"/>
      <c r="Q329" s="447"/>
      <c r="R329" s="252"/>
      <c r="S329" s="252"/>
      <c r="T329" s="252"/>
      <c r="U329" s="252"/>
      <c r="V329" s="252"/>
      <c r="W329" s="252"/>
      <c r="X329" s="252"/>
      <c r="Z329" s="423"/>
      <c r="AA329" s="423"/>
      <c r="AB329" s="423"/>
      <c r="AC329" s="423"/>
      <c r="AD329" s="423"/>
      <c r="AE329" s="423"/>
      <c r="AF329" s="423"/>
      <c r="AG329" s="423"/>
    </row>
    <row r="330" spans="1:33">
      <c r="A330" s="17">
        <f t="shared" si="36"/>
        <v>322</v>
      </c>
      <c r="C330" s="28" t="s">
        <v>349</v>
      </c>
      <c r="E330" s="252"/>
      <c r="F330" s="252"/>
      <c r="G330" s="252"/>
      <c r="H330" s="252"/>
      <c r="I330" s="252"/>
      <c r="J330" s="252"/>
      <c r="K330" s="252"/>
      <c r="L330" s="252"/>
      <c r="M330" s="252"/>
      <c r="N330" s="252"/>
      <c r="P330" s="447"/>
      <c r="Q330" s="447"/>
      <c r="R330" s="252"/>
      <c r="S330" s="252"/>
      <c r="T330" s="252"/>
      <c r="U330" s="252"/>
      <c r="V330" s="252"/>
      <c r="W330" s="252"/>
      <c r="X330" s="252"/>
      <c r="Z330" s="423"/>
      <c r="AA330" s="423"/>
      <c r="AB330" s="423"/>
      <c r="AC330" s="423"/>
      <c r="AD330" s="423"/>
      <c r="AE330" s="423"/>
      <c r="AF330" s="423"/>
      <c r="AG330" s="423"/>
    </row>
    <row r="331" spans="1:33">
      <c r="A331" s="17">
        <f t="shared" si="36"/>
        <v>323</v>
      </c>
      <c r="C331" s="36"/>
      <c r="E331" s="252"/>
      <c r="F331" s="252"/>
      <c r="G331" s="252"/>
      <c r="H331" s="252"/>
      <c r="I331" s="252"/>
      <c r="J331" s="252"/>
      <c r="K331" s="252"/>
      <c r="L331" s="252"/>
      <c r="M331" s="252"/>
      <c r="N331" s="252"/>
      <c r="P331" s="447"/>
      <c r="Q331" s="447"/>
      <c r="R331" s="252"/>
      <c r="S331" s="252"/>
      <c r="T331" s="252"/>
      <c r="U331" s="252"/>
      <c r="V331" s="252"/>
      <c r="W331" s="252"/>
      <c r="X331" s="252"/>
      <c r="Z331" s="423"/>
      <c r="AA331" s="423"/>
      <c r="AB331" s="423"/>
      <c r="AC331" s="423"/>
      <c r="AD331" s="423"/>
      <c r="AE331" s="423"/>
      <c r="AF331" s="423"/>
      <c r="AG331" s="423"/>
    </row>
    <row r="332" spans="1:33">
      <c r="A332" s="17">
        <f t="shared" si="36"/>
        <v>324</v>
      </c>
      <c r="C332" s="28" t="s">
        <v>350</v>
      </c>
      <c r="E332" s="252"/>
      <c r="F332" s="252"/>
      <c r="G332" s="252"/>
      <c r="H332" s="252"/>
      <c r="I332" s="252"/>
      <c r="J332" s="252"/>
      <c r="K332" s="252"/>
      <c r="L332" s="252"/>
      <c r="M332" s="252"/>
      <c r="N332" s="252"/>
      <c r="P332" s="447"/>
      <c r="Q332" s="447"/>
      <c r="R332" s="252"/>
      <c r="S332" s="252"/>
      <c r="T332" s="252"/>
      <c r="U332" s="252"/>
      <c r="V332" s="252"/>
      <c r="W332" s="252"/>
      <c r="X332" s="252"/>
      <c r="Z332" s="423"/>
      <c r="AA332" s="423"/>
      <c r="AB332" s="423"/>
      <c r="AC332" s="423"/>
      <c r="AD332" s="423"/>
      <c r="AE332" s="423"/>
      <c r="AF332" s="423"/>
      <c r="AG332" s="423"/>
    </row>
    <row r="333" spans="1:33">
      <c r="A333" s="17">
        <f t="shared" si="36"/>
        <v>325</v>
      </c>
      <c r="C333" s="468" t="s">
        <v>351</v>
      </c>
      <c r="E333" s="252"/>
      <c r="F333" s="252"/>
      <c r="G333" s="252"/>
      <c r="H333" s="252"/>
      <c r="I333" s="252"/>
      <c r="J333" s="252"/>
      <c r="K333" s="252"/>
      <c r="L333" s="252"/>
      <c r="M333" s="252"/>
      <c r="N333" s="252"/>
      <c r="P333" s="447"/>
      <c r="Q333" s="447"/>
      <c r="R333" s="252"/>
      <c r="S333" s="252"/>
      <c r="T333" s="252"/>
      <c r="U333" s="252"/>
      <c r="V333" s="252"/>
      <c r="W333" s="252"/>
      <c r="X333" s="252"/>
      <c r="Z333" s="423"/>
      <c r="AA333" s="423"/>
      <c r="AB333" s="423"/>
      <c r="AC333" s="423"/>
      <c r="AD333" s="423"/>
      <c r="AE333" s="423"/>
      <c r="AF333" s="423"/>
      <c r="AG333" s="423"/>
    </row>
    <row r="334" spans="1:33">
      <c r="A334" s="17">
        <f t="shared" si="36"/>
        <v>326</v>
      </c>
      <c r="C334" s="28" t="s">
        <v>352</v>
      </c>
      <c r="E334" s="252"/>
      <c r="F334" s="252"/>
      <c r="G334" s="252"/>
      <c r="H334" s="252"/>
      <c r="I334" s="252"/>
      <c r="J334" s="252"/>
      <c r="K334" s="252"/>
      <c r="L334" s="252"/>
      <c r="M334" s="252"/>
      <c r="N334" s="252"/>
      <c r="P334" s="447"/>
      <c r="Q334" s="447"/>
      <c r="R334" s="252"/>
      <c r="S334" s="252"/>
      <c r="T334" s="252"/>
      <c r="U334" s="252"/>
      <c r="V334" s="252"/>
      <c r="W334" s="252"/>
      <c r="X334" s="252"/>
      <c r="Z334" s="423"/>
      <c r="AA334" s="423"/>
      <c r="AB334" s="423"/>
      <c r="AC334" s="423"/>
      <c r="AD334" s="423"/>
      <c r="AE334" s="423"/>
      <c r="AF334" s="423"/>
      <c r="AG334" s="423"/>
    </row>
    <row r="335" spans="1:33">
      <c r="A335" s="17">
        <f t="shared" si="36"/>
        <v>327</v>
      </c>
      <c r="E335" s="252"/>
      <c r="F335" s="252"/>
      <c r="G335" s="252"/>
      <c r="H335" s="252"/>
      <c r="I335" s="252"/>
      <c r="J335" s="252"/>
      <c r="K335" s="252"/>
      <c r="L335" s="252"/>
      <c r="M335" s="252"/>
      <c r="N335" s="252"/>
      <c r="P335" s="447"/>
      <c r="Q335" s="447"/>
      <c r="R335" s="252"/>
      <c r="S335" s="252"/>
      <c r="T335" s="252"/>
      <c r="U335" s="252"/>
      <c r="V335" s="252"/>
      <c r="W335" s="252"/>
      <c r="X335" s="252"/>
      <c r="Z335" s="423"/>
      <c r="AA335" s="423"/>
      <c r="AB335" s="423"/>
      <c r="AC335" s="423"/>
      <c r="AD335" s="423"/>
      <c r="AE335" s="423"/>
      <c r="AF335" s="423"/>
      <c r="AG335" s="423"/>
    </row>
    <row r="336" spans="1:33">
      <c r="A336" s="17">
        <f t="shared" si="36"/>
        <v>328</v>
      </c>
      <c r="C336" s="28" t="s">
        <v>353</v>
      </c>
      <c r="E336" s="252"/>
      <c r="F336" s="252"/>
      <c r="G336" s="252"/>
      <c r="H336" s="252"/>
      <c r="I336" s="252"/>
      <c r="J336" s="252"/>
      <c r="K336" s="252"/>
      <c r="L336" s="252"/>
      <c r="M336" s="252"/>
      <c r="N336" s="252"/>
      <c r="P336" s="447"/>
      <c r="Q336" s="447"/>
      <c r="R336" s="252"/>
      <c r="S336" s="252"/>
      <c r="T336" s="252"/>
      <c r="U336" s="252"/>
      <c r="V336" s="252"/>
      <c r="W336" s="252"/>
      <c r="X336" s="252"/>
      <c r="Z336" s="423"/>
      <c r="AA336" s="423"/>
      <c r="AB336" s="423"/>
      <c r="AC336" s="423"/>
      <c r="AD336" s="423"/>
      <c r="AE336" s="423"/>
      <c r="AF336" s="423"/>
      <c r="AG336" s="423"/>
    </row>
    <row r="337" spans="1:33">
      <c r="A337" s="17">
        <f t="shared" si="36"/>
        <v>329</v>
      </c>
      <c r="C337" s="28" t="s">
        <v>354</v>
      </c>
      <c r="E337" s="252"/>
      <c r="F337" s="252"/>
      <c r="G337" s="252"/>
      <c r="H337" s="252"/>
      <c r="I337" s="252"/>
      <c r="J337" s="252"/>
      <c r="K337" s="252"/>
      <c r="L337" s="252"/>
      <c r="M337" s="252"/>
      <c r="N337" s="252"/>
      <c r="P337" s="447"/>
      <c r="Q337" s="447"/>
      <c r="R337" s="252"/>
      <c r="S337" s="252"/>
      <c r="T337" s="252"/>
      <c r="U337" s="252"/>
      <c r="V337" s="252"/>
      <c r="W337" s="252"/>
      <c r="X337" s="252"/>
      <c r="Z337" s="423"/>
      <c r="AA337" s="423"/>
      <c r="AB337" s="423"/>
      <c r="AC337" s="423"/>
      <c r="AD337" s="423"/>
      <c r="AE337" s="423"/>
      <c r="AF337" s="423"/>
      <c r="AG337" s="423"/>
    </row>
    <row r="338" spans="1:33">
      <c r="A338" s="17">
        <f t="shared" si="36"/>
        <v>330</v>
      </c>
      <c r="C338" s="16"/>
      <c r="E338" s="252"/>
      <c r="F338" s="252"/>
      <c r="G338" s="252"/>
      <c r="H338" s="252"/>
      <c r="I338" s="252"/>
      <c r="J338" s="252"/>
      <c r="K338" s="252"/>
      <c r="L338" s="252"/>
      <c r="M338" s="252"/>
      <c r="N338" s="252"/>
      <c r="P338" s="447"/>
      <c r="Q338" s="447"/>
      <c r="R338" s="252"/>
      <c r="S338" s="252"/>
      <c r="T338" s="252"/>
      <c r="U338" s="252"/>
      <c r="V338" s="252"/>
      <c r="W338" s="252"/>
      <c r="X338" s="252"/>
      <c r="Z338" s="423"/>
      <c r="AA338" s="423"/>
      <c r="AB338" s="423"/>
      <c r="AC338" s="423"/>
      <c r="AD338" s="423"/>
      <c r="AE338" s="423"/>
      <c r="AF338" s="423"/>
      <c r="AG338" s="423"/>
    </row>
    <row r="339" spans="1:33">
      <c r="A339" s="17">
        <f t="shared" si="36"/>
        <v>331</v>
      </c>
      <c r="C339" s="28" t="s">
        <v>355</v>
      </c>
      <c r="E339" s="252"/>
      <c r="F339" s="252"/>
      <c r="G339" s="252"/>
      <c r="H339" s="252"/>
      <c r="I339" s="252"/>
      <c r="J339" s="252"/>
      <c r="K339" s="252"/>
      <c r="L339" s="252"/>
      <c r="M339" s="252"/>
      <c r="N339" s="252"/>
      <c r="P339" s="346"/>
      <c r="Q339" s="448"/>
      <c r="R339" s="252"/>
      <c r="S339" s="252"/>
      <c r="T339" s="252"/>
      <c r="U339" s="252"/>
      <c r="V339" s="252"/>
      <c r="W339" s="252"/>
      <c r="X339" s="252"/>
      <c r="Z339" s="423"/>
      <c r="AA339" s="423"/>
      <c r="AB339" s="423"/>
      <c r="AC339" s="423"/>
      <c r="AD339" s="423"/>
      <c r="AE339" s="423"/>
      <c r="AF339" s="423"/>
      <c r="AG339" s="423"/>
    </row>
    <row r="340" spans="1:33">
      <c r="A340" s="17">
        <f t="shared" si="36"/>
        <v>332</v>
      </c>
      <c r="C340" s="28" t="s">
        <v>356</v>
      </c>
      <c r="E340" s="252"/>
      <c r="F340" s="252"/>
      <c r="G340" s="252"/>
      <c r="H340" s="252"/>
      <c r="I340" s="252"/>
      <c r="J340" s="252"/>
      <c r="K340" s="252"/>
      <c r="L340" s="254"/>
      <c r="M340" s="254"/>
      <c r="N340" s="254"/>
      <c r="P340" s="346"/>
      <c r="Q340" s="448"/>
      <c r="R340" s="252"/>
      <c r="S340" s="252"/>
      <c r="T340" s="252"/>
      <c r="U340" s="252"/>
      <c r="V340" s="252"/>
      <c r="W340" s="252"/>
      <c r="X340" s="252"/>
      <c r="Z340" s="423"/>
      <c r="AA340" s="423"/>
      <c r="AB340" s="423"/>
      <c r="AC340" s="423"/>
      <c r="AD340" s="423"/>
      <c r="AE340" s="423"/>
      <c r="AF340" s="423"/>
      <c r="AG340" s="423"/>
    </row>
    <row r="341" spans="1:33">
      <c r="A341" s="17">
        <f t="shared" si="36"/>
        <v>333</v>
      </c>
      <c r="C341" s="28"/>
      <c r="E341" s="252"/>
      <c r="F341" s="252"/>
      <c r="G341" s="252"/>
      <c r="H341" s="252"/>
      <c r="I341" s="252"/>
      <c r="J341" s="252"/>
      <c r="K341" s="252"/>
      <c r="L341" s="254"/>
      <c r="M341" s="254"/>
      <c r="N341" s="254"/>
      <c r="P341" s="346"/>
      <c r="Q341" s="448"/>
      <c r="R341" s="252"/>
      <c r="S341" s="252"/>
      <c r="T341" s="252"/>
      <c r="U341" s="252"/>
      <c r="V341" s="252"/>
      <c r="W341" s="252"/>
      <c r="X341" s="252"/>
      <c r="Z341" s="423"/>
      <c r="AA341" s="423"/>
      <c r="AB341" s="423"/>
      <c r="AC341" s="423"/>
      <c r="AD341" s="423"/>
      <c r="AE341" s="423"/>
      <c r="AF341" s="423"/>
      <c r="AG341" s="423"/>
    </row>
    <row r="342" spans="1:33">
      <c r="A342" s="17">
        <f t="shared" si="36"/>
        <v>334</v>
      </c>
      <c r="C342" s="28" t="s">
        <v>357</v>
      </c>
      <c r="E342" s="252"/>
      <c r="F342" s="252"/>
      <c r="G342" s="252"/>
      <c r="H342" s="252"/>
      <c r="I342" s="252"/>
      <c r="J342" s="252"/>
      <c r="K342" s="252"/>
      <c r="L342" s="254"/>
      <c r="M342" s="254"/>
      <c r="N342" s="254"/>
      <c r="P342" s="346"/>
      <c r="Q342" s="448"/>
      <c r="R342" s="252"/>
      <c r="S342" s="252"/>
      <c r="T342" s="252"/>
      <c r="U342" s="252"/>
      <c r="V342" s="252"/>
      <c r="W342" s="252"/>
      <c r="X342" s="252"/>
      <c r="Z342" s="423"/>
      <c r="AA342" s="423"/>
      <c r="AB342" s="423"/>
      <c r="AC342" s="423"/>
      <c r="AD342" s="423"/>
      <c r="AE342" s="423"/>
      <c r="AF342" s="423"/>
      <c r="AG342" s="423"/>
    </row>
    <row r="343" spans="1:33">
      <c r="A343" s="17">
        <f t="shared" ref="A343:A375" si="39">A342+1</f>
        <v>335</v>
      </c>
      <c r="E343" s="252"/>
      <c r="F343" s="252"/>
      <c r="G343" s="252"/>
      <c r="H343" s="252"/>
      <c r="I343" s="252"/>
      <c r="J343" s="252"/>
      <c r="K343" s="252"/>
      <c r="L343" s="254"/>
      <c r="M343" s="254"/>
      <c r="N343" s="254"/>
      <c r="P343" s="346"/>
      <c r="Q343" s="448"/>
      <c r="R343" s="252"/>
      <c r="S343" s="252"/>
      <c r="T343" s="252"/>
      <c r="U343" s="252"/>
      <c r="V343" s="252"/>
      <c r="W343" s="252"/>
      <c r="X343" s="252"/>
      <c r="Z343" s="423"/>
      <c r="AA343" s="423"/>
      <c r="AB343" s="423"/>
      <c r="AC343" s="423"/>
      <c r="AD343" s="423"/>
      <c r="AE343" s="423"/>
      <c r="AF343" s="423"/>
      <c r="AG343" s="423"/>
    </row>
    <row r="344" spans="1:33">
      <c r="A344" s="17">
        <f t="shared" si="39"/>
        <v>336</v>
      </c>
      <c r="R344" s="252"/>
      <c r="S344" s="252"/>
      <c r="T344" s="252"/>
      <c r="U344" s="252"/>
      <c r="V344" s="252"/>
      <c r="W344" s="252"/>
      <c r="X344" s="252"/>
      <c r="Y344" s="252"/>
      <c r="Z344" s="252"/>
      <c r="AA344" s="490"/>
      <c r="AB344" s="423"/>
      <c r="AC344" s="423"/>
      <c r="AD344" s="423"/>
      <c r="AE344" s="423"/>
      <c r="AF344" s="423"/>
      <c r="AG344" s="423"/>
    </row>
    <row r="345" spans="1:33">
      <c r="A345" s="17">
        <f t="shared" si="39"/>
        <v>337</v>
      </c>
      <c r="C345" s="434" t="s">
        <v>222</v>
      </c>
      <c r="R345" s="252"/>
      <c r="S345" s="252"/>
      <c r="T345" s="252"/>
      <c r="U345" s="252"/>
      <c r="V345" s="252"/>
      <c r="W345" s="252"/>
      <c r="X345" s="252"/>
      <c r="Y345" s="252"/>
      <c r="Z345" s="252"/>
      <c r="AA345" s="252"/>
      <c r="AB345" s="423"/>
      <c r="AC345" s="423"/>
      <c r="AD345" s="423"/>
      <c r="AE345" s="423"/>
      <c r="AF345" s="423"/>
      <c r="AG345" s="423"/>
    </row>
    <row r="346" spans="1:33">
      <c r="A346" s="17">
        <f t="shared" si="39"/>
        <v>338</v>
      </c>
      <c r="C346" s="251"/>
      <c r="D346" s="248" t="s">
        <v>240</v>
      </c>
      <c r="E346" s="252">
        <v>0</v>
      </c>
      <c r="F346" s="252">
        <v>0</v>
      </c>
      <c r="G346" s="252">
        <v>0</v>
      </c>
      <c r="H346" s="252">
        <v>0</v>
      </c>
      <c r="I346" s="252">
        <v>0</v>
      </c>
      <c r="J346" s="252">
        <v>0</v>
      </c>
      <c r="K346" s="252">
        <v>0</v>
      </c>
      <c r="L346" s="252"/>
      <c r="M346" s="252"/>
      <c r="N346" s="252"/>
      <c r="P346" s="346"/>
      <c r="Q346" s="443"/>
      <c r="R346" s="252"/>
      <c r="S346" s="252"/>
      <c r="T346" s="252"/>
      <c r="U346" s="252"/>
      <c r="V346" s="252"/>
      <c r="W346" s="491"/>
      <c r="X346" s="491"/>
      <c r="Y346" s="252"/>
      <c r="Z346" s="252"/>
      <c r="AA346" s="252"/>
      <c r="AB346" s="423"/>
      <c r="AC346" s="423"/>
      <c r="AD346" s="423"/>
      <c r="AE346" s="423"/>
      <c r="AF346" s="423"/>
      <c r="AG346" s="423"/>
    </row>
    <row r="347" spans="1:33">
      <c r="A347" s="17">
        <f t="shared" si="39"/>
        <v>339</v>
      </c>
      <c r="D347" s="248" t="s">
        <v>84</v>
      </c>
      <c r="E347" s="252">
        <f>594-236</f>
        <v>358</v>
      </c>
      <c r="F347" s="252">
        <f>562-296</f>
        <v>266</v>
      </c>
      <c r="G347" s="252">
        <f>179+110-101</f>
        <v>188</v>
      </c>
      <c r="H347" s="252">
        <f>226+120-120</f>
        <v>226</v>
      </c>
      <c r="I347" s="252">
        <f>793-386-159</f>
        <v>248</v>
      </c>
      <c r="J347" s="252">
        <f>447-224-119</f>
        <v>104</v>
      </c>
      <c r="K347" s="252">
        <f>238-130</f>
        <v>108</v>
      </c>
      <c r="L347" s="252"/>
      <c r="M347" s="252">
        <f>357-180-65</f>
        <v>112</v>
      </c>
      <c r="N347" s="252">
        <f>366-185-60</f>
        <v>121</v>
      </c>
      <c r="P347" s="444"/>
      <c r="Q347" s="445"/>
      <c r="R347" s="252"/>
      <c r="S347" s="252"/>
      <c r="T347" s="252"/>
      <c r="U347" s="252"/>
      <c r="V347" s="252"/>
      <c r="W347" s="252"/>
      <c r="X347" s="252"/>
      <c r="Z347" s="423"/>
      <c r="AA347" s="423"/>
      <c r="AB347" s="423"/>
      <c r="AC347" s="423"/>
      <c r="AD347" s="423"/>
      <c r="AE347" s="423"/>
      <c r="AF347" s="423"/>
      <c r="AG347" s="423"/>
    </row>
    <row r="348" spans="1:33">
      <c r="A348" s="17">
        <f t="shared" si="39"/>
        <v>340</v>
      </c>
      <c r="E348" s="253">
        <f t="shared" ref="E348:K348" si="40">SUM(E346:E347)</f>
        <v>358</v>
      </c>
      <c r="F348" s="253">
        <f t="shared" si="40"/>
        <v>266</v>
      </c>
      <c r="G348" s="253">
        <f t="shared" si="40"/>
        <v>188</v>
      </c>
      <c r="H348" s="253">
        <f t="shared" si="40"/>
        <v>226</v>
      </c>
      <c r="I348" s="253">
        <f t="shared" si="40"/>
        <v>248</v>
      </c>
      <c r="J348" s="253">
        <f t="shared" si="40"/>
        <v>104</v>
      </c>
      <c r="K348" s="253">
        <f t="shared" si="40"/>
        <v>108</v>
      </c>
      <c r="L348" s="252"/>
      <c r="M348" s="253">
        <f>M347</f>
        <v>112</v>
      </c>
      <c r="N348" s="253">
        <f>N347</f>
        <v>121</v>
      </c>
      <c r="P348" s="346">
        <v>143</v>
      </c>
      <c r="Q348" s="443">
        <v>145</v>
      </c>
      <c r="R348" s="252"/>
      <c r="S348" s="252"/>
      <c r="T348" s="252"/>
      <c r="U348" s="252"/>
      <c r="V348" s="252"/>
      <c r="W348" s="252"/>
      <c r="X348" s="252"/>
      <c r="Z348" s="423"/>
      <c r="AA348" s="423"/>
      <c r="AB348" s="423"/>
      <c r="AC348" s="423"/>
      <c r="AD348" s="423"/>
      <c r="AE348" s="423"/>
      <c r="AF348" s="423"/>
      <c r="AG348" s="423"/>
    </row>
    <row r="349" spans="1:33">
      <c r="A349" s="17">
        <f t="shared" si="39"/>
        <v>341</v>
      </c>
      <c r="E349" s="252"/>
      <c r="F349" s="252"/>
      <c r="G349" s="252"/>
      <c r="H349" s="252"/>
      <c r="I349" s="252"/>
      <c r="J349" s="252"/>
      <c r="K349" s="252"/>
      <c r="L349" s="252"/>
      <c r="M349" s="252"/>
      <c r="N349" s="252"/>
      <c r="P349" s="346"/>
      <c r="Q349" s="443"/>
      <c r="R349" s="252"/>
      <c r="S349" s="252"/>
      <c r="T349" s="252"/>
      <c r="U349" s="252"/>
      <c r="V349" s="252"/>
      <c r="W349" s="252"/>
      <c r="X349" s="252"/>
      <c r="Z349" s="423"/>
      <c r="AA349" s="423"/>
      <c r="AB349" s="423"/>
      <c r="AC349" s="423"/>
      <c r="AD349" s="423"/>
      <c r="AE349" s="423"/>
      <c r="AF349" s="423"/>
      <c r="AG349" s="423"/>
    </row>
    <row r="350" spans="1:33">
      <c r="A350" s="17">
        <f t="shared" si="39"/>
        <v>342</v>
      </c>
      <c r="C350" s="466" t="s">
        <v>358</v>
      </c>
      <c r="E350" s="252"/>
      <c r="F350" s="252"/>
      <c r="G350" s="252"/>
      <c r="H350" s="252"/>
      <c r="I350" s="252"/>
      <c r="J350" s="252"/>
      <c r="K350" s="252"/>
      <c r="L350" s="252"/>
      <c r="M350" s="252"/>
      <c r="N350" s="252"/>
      <c r="P350" s="346"/>
      <c r="Q350" s="443"/>
      <c r="R350" s="252"/>
      <c r="S350" s="252"/>
      <c r="T350" s="252"/>
      <c r="U350" s="252"/>
      <c r="V350" s="252"/>
      <c r="W350" s="252"/>
      <c r="X350" s="252"/>
      <c r="Z350" s="423"/>
      <c r="AA350" s="423"/>
      <c r="AB350" s="423"/>
      <c r="AC350" s="423"/>
      <c r="AD350" s="423"/>
      <c r="AE350" s="423"/>
      <c r="AF350" s="423"/>
      <c r="AG350" s="423"/>
    </row>
    <row r="351" spans="1:33">
      <c r="A351" s="17">
        <f t="shared" si="39"/>
        <v>343</v>
      </c>
      <c r="C351" s="466"/>
      <c r="E351" s="252"/>
      <c r="F351" s="252"/>
      <c r="G351" s="252"/>
      <c r="H351" s="252"/>
      <c r="I351" s="252"/>
      <c r="J351" s="252"/>
      <c r="K351" s="252"/>
      <c r="L351" s="252"/>
      <c r="M351" s="252"/>
      <c r="N351" s="252"/>
      <c r="P351" s="346"/>
      <c r="Q351" s="443"/>
      <c r="R351" s="252"/>
      <c r="S351" s="252"/>
      <c r="T351" s="252"/>
      <c r="U351" s="252"/>
      <c r="V351" s="252"/>
      <c r="W351" s="252"/>
      <c r="X351" s="252"/>
      <c r="Z351" s="423"/>
      <c r="AA351" s="423"/>
      <c r="AB351" s="423"/>
      <c r="AC351" s="423"/>
      <c r="AD351" s="423"/>
      <c r="AE351" s="423"/>
      <c r="AF351" s="423"/>
      <c r="AG351" s="423"/>
    </row>
    <row r="352" spans="1:33">
      <c r="A352" s="17">
        <f t="shared" si="39"/>
        <v>344</v>
      </c>
      <c r="C352" s="466" t="s">
        <v>359</v>
      </c>
      <c r="E352" s="252"/>
      <c r="F352" s="252"/>
      <c r="G352" s="252"/>
      <c r="H352" s="252"/>
      <c r="I352" s="252"/>
      <c r="J352" s="252"/>
      <c r="K352" s="252"/>
      <c r="L352" s="252"/>
      <c r="M352" s="252"/>
      <c r="N352" s="252"/>
      <c r="P352" s="346"/>
      <c r="Q352" s="443"/>
      <c r="R352" s="252"/>
      <c r="S352" s="252"/>
      <c r="T352" s="252"/>
      <c r="U352" s="252"/>
      <c r="V352" s="252"/>
      <c r="W352" s="252"/>
      <c r="X352" s="252"/>
      <c r="Z352" s="423"/>
      <c r="AA352" s="423"/>
      <c r="AB352" s="423"/>
      <c r="AC352" s="423"/>
      <c r="AD352" s="423"/>
      <c r="AE352" s="423"/>
      <c r="AF352" s="423"/>
      <c r="AG352" s="423"/>
    </row>
    <row r="353" spans="1:33">
      <c r="A353" s="17">
        <f t="shared" si="39"/>
        <v>345</v>
      </c>
      <c r="E353" s="252"/>
      <c r="F353" s="252"/>
      <c r="G353" s="252"/>
      <c r="H353" s="252"/>
      <c r="I353" s="252"/>
      <c r="J353" s="252"/>
      <c r="K353" s="252"/>
      <c r="L353" s="252"/>
      <c r="M353" s="252"/>
      <c r="N353" s="252"/>
      <c r="P353" s="346"/>
      <c r="Q353" s="443"/>
      <c r="R353" s="252"/>
      <c r="S353" s="252"/>
      <c r="T353" s="252"/>
      <c r="U353" s="252"/>
      <c r="V353" s="252"/>
      <c r="W353" s="252"/>
      <c r="X353" s="252"/>
      <c r="Z353" s="423"/>
      <c r="AA353" s="423"/>
      <c r="AB353" s="423"/>
      <c r="AC353" s="423"/>
      <c r="AD353" s="423"/>
      <c r="AE353" s="423"/>
      <c r="AF353" s="423"/>
      <c r="AG353" s="423"/>
    </row>
    <row r="354" spans="1:33">
      <c r="A354" s="17">
        <f t="shared" si="39"/>
        <v>346</v>
      </c>
      <c r="E354" s="252"/>
      <c r="F354" s="252"/>
      <c r="G354" s="252"/>
      <c r="H354" s="252"/>
      <c r="I354" s="252"/>
      <c r="J354" s="252"/>
      <c r="K354" s="252"/>
      <c r="L354" s="252"/>
      <c r="M354" s="252"/>
      <c r="N354" s="252"/>
      <c r="P354" s="346"/>
      <c r="Q354" s="443"/>
      <c r="R354" s="252"/>
      <c r="S354" s="252"/>
      <c r="T354" s="252"/>
      <c r="U354" s="252"/>
      <c r="V354" s="252"/>
      <c r="W354" s="252"/>
      <c r="X354" s="252"/>
      <c r="Z354" s="423"/>
      <c r="AA354" s="423"/>
      <c r="AB354" s="423"/>
      <c r="AC354" s="423"/>
      <c r="AD354" s="423"/>
      <c r="AE354" s="423"/>
      <c r="AF354" s="423"/>
      <c r="AG354" s="423"/>
    </row>
    <row r="355" spans="1:33">
      <c r="A355" s="17">
        <f t="shared" si="39"/>
        <v>347</v>
      </c>
      <c r="C355" s="434" t="s">
        <v>224</v>
      </c>
      <c r="E355" s="254"/>
      <c r="F355" s="254"/>
      <c r="G355" s="254"/>
      <c r="H355" s="254"/>
      <c r="I355" s="254"/>
      <c r="J355" s="254"/>
      <c r="K355" s="254"/>
      <c r="L355" s="254"/>
      <c r="M355" s="254"/>
      <c r="N355" s="254"/>
      <c r="P355" s="346"/>
      <c r="Q355" s="448"/>
      <c r="R355" s="252"/>
      <c r="S355" s="252"/>
      <c r="T355" s="252"/>
      <c r="U355" s="252"/>
      <c r="V355" s="252"/>
      <c r="W355" s="252"/>
      <c r="X355" s="252"/>
      <c r="Y355" s="252"/>
      <c r="Z355" s="252"/>
      <c r="AA355" s="490"/>
      <c r="AB355" s="423"/>
      <c r="AC355" s="423"/>
      <c r="AD355" s="423"/>
      <c r="AE355" s="423"/>
      <c r="AF355" s="423"/>
      <c r="AG355" s="423"/>
    </row>
    <row r="356" spans="1:33">
      <c r="A356" s="17">
        <f t="shared" si="39"/>
        <v>348</v>
      </c>
      <c r="D356" s="248" t="s">
        <v>84</v>
      </c>
      <c r="E356" s="252">
        <v>93</v>
      </c>
      <c r="F356" s="252">
        <v>88</v>
      </c>
      <c r="G356" s="252">
        <v>89</v>
      </c>
      <c r="H356" s="252">
        <v>98</v>
      </c>
      <c r="I356" s="252">
        <v>117</v>
      </c>
      <c r="J356" s="252">
        <v>132</v>
      </c>
      <c r="K356" s="252">
        <v>154</v>
      </c>
      <c r="L356" s="252"/>
      <c r="M356" s="252">
        <v>158</v>
      </c>
      <c r="N356" s="252">
        <v>165</v>
      </c>
      <c r="P356" s="444"/>
      <c r="Q356" s="445"/>
      <c r="R356" s="252"/>
      <c r="S356" s="252"/>
      <c r="T356" s="252"/>
      <c r="U356" s="252"/>
      <c r="V356" s="252"/>
      <c r="W356" s="252"/>
      <c r="X356" s="252"/>
      <c r="Y356" s="252"/>
      <c r="Z356" s="252"/>
      <c r="AA356" s="252"/>
      <c r="AB356" s="423"/>
      <c r="AC356" s="423"/>
      <c r="AD356" s="423"/>
      <c r="AE356" s="423"/>
      <c r="AF356" s="423"/>
      <c r="AG356" s="423"/>
    </row>
    <row r="357" spans="1:33">
      <c r="A357" s="17">
        <f t="shared" si="39"/>
        <v>349</v>
      </c>
      <c r="E357" s="253">
        <f t="shared" ref="E357:K357" si="41">SUM(E356)</f>
        <v>93</v>
      </c>
      <c r="F357" s="253">
        <f t="shared" si="41"/>
        <v>88</v>
      </c>
      <c r="G357" s="253">
        <f t="shared" si="41"/>
        <v>89</v>
      </c>
      <c r="H357" s="253">
        <f t="shared" si="41"/>
        <v>98</v>
      </c>
      <c r="I357" s="253">
        <f t="shared" si="41"/>
        <v>117</v>
      </c>
      <c r="J357" s="253">
        <f t="shared" si="41"/>
        <v>132</v>
      </c>
      <c r="K357" s="253">
        <f t="shared" si="41"/>
        <v>154</v>
      </c>
      <c r="L357" s="252"/>
      <c r="M357" s="253">
        <f>M356</f>
        <v>158</v>
      </c>
      <c r="N357" s="253">
        <f>N356</f>
        <v>165</v>
      </c>
      <c r="P357" s="346">
        <v>100</v>
      </c>
      <c r="Q357" s="443">
        <v>102</v>
      </c>
      <c r="R357" s="252"/>
      <c r="S357" s="252"/>
      <c r="T357" s="252"/>
      <c r="U357" s="252"/>
      <c r="V357" s="252"/>
      <c r="W357" s="491"/>
      <c r="X357" s="491"/>
      <c r="Y357" s="252"/>
      <c r="Z357" s="252"/>
      <c r="AA357" s="252"/>
      <c r="AB357" s="423"/>
      <c r="AC357" s="493"/>
      <c r="AD357" s="423"/>
      <c r="AE357" s="423"/>
      <c r="AF357" s="423"/>
      <c r="AG357" s="423"/>
    </row>
    <row r="358" spans="1:33">
      <c r="A358" s="17">
        <f t="shared" si="39"/>
        <v>350</v>
      </c>
      <c r="E358" s="252"/>
      <c r="F358" s="252"/>
      <c r="G358" s="252"/>
      <c r="H358" s="252"/>
      <c r="I358" s="252"/>
      <c r="J358" s="252"/>
      <c r="K358" s="252"/>
      <c r="L358" s="252"/>
      <c r="M358" s="252"/>
      <c r="N358" s="252"/>
      <c r="P358" s="346"/>
      <c r="Q358" s="443"/>
      <c r="R358" s="252"/>
      <c r="S358" s="252"/>
      <c r="T358" s="252"/>
      <c r="U358" s="252"/>
      <c r="V358" s="252"/>
      <c r="W358" s="491"/>
      <c r="X358" s="491"/>
      <c r="Y358" s="252"/>
      <c r="Z358" s="252"/>
      <c r="AA358" s="252"/>
      <c r="AB358" s="423"/>
      <c r="AC358" s="493"/>
      <c r="AD358" s="423"/>
      <c r="AE358" s="423"/>
      <c r="AF358" s="423"/>
      <c r="AG358" s="423"/>
    </row>
    <row r="359" spans="1:33">
      <c r="A359" s="17">
        <f t="shared" si="39"/>
        <v>351</v>
      </c>
      <c r="C359" s="28" t="s">
        <v>360</v>
      </c>
      <c r="E359" s="254"/>
      <c r="G359" s="254"/>
      <c r="H359" s="254"/>
      <c r="I359" s="254"/>
      <c r="J359" s="254"/>
      <c r="K359" s="254"/>
      <c r="L359" s="254"/>
      <c r="M359" s="254"/>
      <c r="N359" s="254"/>
      <c r="P359" s="346"/>
      <c r="Q359" s="448"/>
      <c r="R359" s="252"/>
      <c r="S359" s="252"/>
      <c r="T359" s="252"/>
      <c r="U359" s="252"/>
      <c r="V359" s="252"/>
      <c r="W359" s="252"/>
      <c r="X359" s="252"/>
      <c r="Z359" s="423"/>
      <c r="AA359" s="423"/>
      <c r="AB359" s="423"/>
      <c r="AC359" s="423"/>
      <c r="AD359" s="423"/>
      <c r="AE359" s="423"/>
      <c r="AF359" s="423"/>
      <c r="AG359" s="423"/>
    </row>
    <row r="360" spans="1:33">
      <c r="A360" s="17">
        <f t="shared" si="39"/>
        <v>352</v>
      </c>
      <c r="C360" s="28"/>
      <c r="E360" s="254"/>
      <c r="F360" s="254"/>
      <c r="G360" s="254"/>
      <c r="H360" s="254"/>
      <c r="I360" s="254"/>
      <c r="J360" s="254"/>
      <c r="K360" s="254"/>
      <c r="L360" s="254"/>
      <c r="M360" s="254"/>
      <c r="N360" s="254"/>
      <c r="P360" s="346"/>
      <c r="Q360" s="448"/>
      <c r="R360" s="252"/>
      <c r="S360" s="252"/>
      <c r="T360" s="252"/>
      <c r="U360" s="252"/>
      <c r="V360" s="252"/>
      <c r="W360" s="252"/>
      <c r="X360" s="252"/>
      <c r="Z360" s="423"/>
      <c r="AA360" s="423"/>
      <c r="AB360" s="423"/>
      <c r="AC360" s="423"/>
      <c r="AD360" s="423"/>
      <c r="AE360" s="423"/>
      <c r="AF360" s="423"/>
      <c r="AG360" s="423"/>
    </row>
    <row r="361" spans="1:33">
      <c r="A361" s="17">
        <f t="shared" si="39"/>
        <v>353</v>
      </c>
      <c r="C361" s="28" t="s">
        <v>361</v>
      </c>
      <c r="E361" s="254"/>
      <c r="F361" s="254"/>
      <c r="G361" s="254"/>
      <c r="H361" s="254"/>
      <c r="I361" s="254"/>
      <c r="J361" s="254"/>
      <c r="K361" s="254"/>
      <c r="L361" s="254"/>
      <c r="M361" s="254"/>
      <c r="N361" s="254"/>
      <c r="P361" s="346"/>
      <c r="Q361" s="448"/>
      <c r="R361" s="252"/>
      <c r="S361" s="252"/>
      <c r="T361" s="252"/>
      <c r="U361" s="252"/>
      <c r="V361" s="252"/>
      <c r="W361" s="252"/>
      <c r="X361" s="252"/>
      <c r="Z361" s="423"/>
      <c r="AA361" s="423"/>
      <c r="AB361" s="423"/>
      <c r="AC361" s="423"/>
      <c r="AD361" s="423"/>
      <c r="AE361" s="423"/>
      <c r="AF361" s="423"/>
      <c r="AG361" s="423"/>
    </row>
    <row r="362" spans="1:33">
      <c r="A362" s="17">
        <f t="shared" si="39"/>
        <v>354</v>
      </c>
      <c r="C362" s="427"/>
      <c r="E362" s="254"/>
      <c r="F362" s="254"/>
      <c r="G362" s="254"/>
      <c r="H362" s="254"/>
      <c r="I362" s="254"/>
      <c r="J362" s="254"/>
      <c r="K362" s="254"/>
      <c r="L362" s="254"/>
      <c r="M362" s="254"/>
      <c r="N362" s="254"/>
      <c r="P362" s="451"/>
      <c r="Q362" s="448"/>
      <c r="R362" s="252"/>
      <c r="S362" s="252"/>
      <c r="T362" s="252"/>
      <c r="U362" s="252"/>
      <c r="V362" s="252"/>
      <c r="W362" s="252"/>
      <c r="X362" s="252"/>
      <c r="Z362" s="423"/>
      <c r="AA362" s="423"/>
      <c r="AB362" s="423"/>
      <c r="AC362" s="423"/>
      <c r="AD362" s="423"/>
      <c r="AE362" s="423"/>
      <c r="AF362" s="423"/>
      <c r="AG362" s="423"/>
    </row>
    <row r="363" spans="1:33">
      <c r="A363" s="17">
        <f t="shared" si="39"/>
        <v>355</v>
      </c>
      <c r="C363" s="434" t="s">
        <v>226</v>
      </c>
      <c r="R363" s="252"/>
      <c r="S363" s="252"/>
      <c r="T363" s="252"/>
      <c r="U363" s="252"/>
      <c r="V363" s="252"/>
      <c r="W363" s="252"/>
      <c r="X363" s="252"/>
      <c r="Z363" s="423"/>
      <c r="AA363" s="423"/>
      <c r="AB363" s="423"/>
      <c r="AC363" s="423"/>
      <c r="AD363" s="423"/>
      <c r="AE363" s="423"/>
      <c r="AF363" s="423"/>
      <c r="AG363" s="423"/>
    </row>
    <row r="364" spans="1:33">
      <c r="A364" s="17">
        <f t="shared" si="39"/>
        <v>356</v>
      </c>
      <c r="D364" s="248" t="s">
        <v>84</v>
      </c>
      <c r="E364" s="252">
        <v>112</v>
      </c>
      <c r="F364" s="252">
        <v>112</v>
      </c>
      <c r="G364" s="252">
        <v>112</v>
      </c>
      <c r="H364" s="252">
        <v>112</v>
      </c>
      <c r="I364" s="252">
        <v>112</v>
      </c>
      <c r="J364" s="252">
        <v>112</v>
      </c>
      <c r="K364" s="252">
        <v>112</v>
      </c>
      <c r="L364" s="252"/>
      <c r="M364" s="252">
        <v>-279</v>
      </c>
      <c r="N364" s="252">
        <v>-279</v>
      </c>
      <c r="P364" s="444"/>
      <c r="Q364" s="443"/>
      <c r="R364" s="252"/>
      <c r="S364" s="252"/>
      <c r="T364" s="252"/>
      <c r="U364" s="252"/>
      <c r="V364" s="252"/>
      <c r="W364" s="252"/>
      <c r="X364" s="252"/>
      <c r="Z364" s="423"/>
      <c r="AA364" s="423"/>
      <c r="AB364" s="423"/>
      <c r="AC364" s="423"/>
      <c r="AD364" s="423"/>
      <c r="AE364" s="423"/>
      <c r="AF364" s="423"/>
      <c r="AG364" s="423"/>
    </row>
    <row r="365" spans="1:33">
      <c r="A365" s="17">
        <f t="shared" si="39"/>
        <v>357</v>
      </c>
      <c r="E365" s="253">
        <f t="shared" ref="E365:K365" si="42">SUM(E364)</f>
        <v>112</v>
      </c>
      <c r="F365" s="253">
        <f t="shared" si="42"/>
        <v>112</v>
      </c>
      <c r="G365" s="253">
        <f t="shared" si="42"/>
        <v>112</v>
      </c>
      <c r="H365" s="253">
        <f t="shared" si="42"/>
        <v>112</v>
      </c>
      <c r="I365" s="253">
        <f t="shared" si="42"/>
        <v>112</v>
      </c>
      <c r="J365" s="253">
        <f t="shared" si="42"/>
        <v>112</v>
      </c>
      <c r="K365" s="253">
        <f t="shared" si="42"/>
        <v>112</v>
      </c>
      <c r="L365" s="252"/>
      <c r="M365" s="253">
        <f>SUM(M364)</f>
        <v>-279</v>
      </c>
      <c r="N365" s="253">
        <f>SUM(N364)</f>
        <v>-279</v>
      </c>
      <c r="P365" s="346">
        <v>112</v>
      </c>
      <c r="Q365" s="446">
        <v>112</v>
      </c>
      <c r="R365" s="252"/>
      <c r="S365" s="252"/>
      <c r="T365" s="252"/>
      <c r="U365" s="252"/>
      <c r="V365" s="252"/>
      <c r="W365" s="252"/>
      <c r="X365" s="252"/>
      <c r="Z365" s="423"/>
      <c r="AA365" s="423"/>
      <c r="AB365" s="423"/>
      <c r="AC365" s="423"/>
      <c r="AD365" s="423"/>
      <c r="AE365" s="423"/>
      <c r="AF365" s="423"/>
      <c r="AG365" s="423"/>
    </row>
    <row r="366" spans="1:33">
      <c r="A366" s="17">
        <f t="shared" si="39"/>
        <v>358</v>
      </c>
      <c r="R366" s="252"/>
      <c r="S366" s="252"/>
      <c r="T366" s="252"/>
      <c r="U366" s="252"/>
      <c r="V366" s="252"/>
      <c r="W366" s="252"/>
      <c r="X366" s="252"/>
      <c r="Y366" s="252"/>
      <c r="Z366" s="252"/>
      <c r="AA366" s="490"/>
      <c r="AB366" s="423"/>
      <c r="AC366" s="423"/>
      <c r="AD366" s="423"/>
      <c r="AE366" s="423"/>
      <c r="AF366" s="423"/>
      <c r="AG366" s="423"/>
    </row>
    <row r="367" spans="1:33">
      <c r="A367" s="17">
        <f t="shared" si="39"/>
        <v>359</v>
      </c>
      <c r="C367" s="434" t="s">
        <v>228</v>
      </c>
      <c r="R367" s="252"/>
      <c r="S367" s="252"/>
      <c r="T367" s="252"/>
      <c r="U367" s="252"/>
      <c r="V367" s="252"/>
      <c r="W367" s="252"/>
      <c r="X367" s="252"/>
      <c r="Y367" s="252"/>
      <c r="Z367" s="252"/>
      <c r="AA367" s="252"/>
      <c r="AB367" s="423"/>
      <c r="AC367" s="423"/>
      <c r="AD367" s="423"/>
      <c r="AE367" s="423"/>
      <c r="AF367" s="423"/>
      <c r="AG367" s="423"/>
    </row>
    <row r="368" spans="1:33">
      <c r="A368" s="17">
        <f t="shared" si="39"/>
        <v>360</v>
      </c>
      <c r="D368" s="248" t="s">
        <v>240</v>
      </c>
      <c r="E368" s="252">
        <v>169</v>
      </c>
      <c r="F368" s="252">
        <v>187</v>
      </c>
      <c r="G368" s="252">
        <v>109</v>
      </c>
      <c r="H368" s="252">
        <v>9</v>
      </c>
      <c r="I368" s="252">
        <v>20</v>
      </c>
      <c r="J368" s="252">
        <v>-22</v>
      </c>
      <c r="K368" s="252">
        <v>0</v>
      </c>
      <c r="L368" s="252"/>
      <c r="M368" s="252">
        <v>0</v>
      </c>
      <c r="N368" s="252">
        <v>0</v>
      </c>
      <c r="P368" s="346"/>
      <c r="Q368" s="443"/>
      <c r="R368" s="252"/>
      <c r="S368" s="252"/>
      <c r="T368" s="252"/>
      <c r="U368" s="252"/>
      <c r="V368" s="252"/>
      <c r="W368" s="491"/>
      <c r="X368" s="491"/>
      <c r="Y368" s="252"/>
      <c r="Z368" s="252"/>
      <c r="AA368" s="252"/>
      <c r="AB368" s="423"/>
      <c r="AC368" s="423"/>
      <c r="AD368" s="423"/>
      <c r="AE368" s="423"/>
      <c r="AF368" s="423"/>
      <c r="AG368" s="423"/>
    </row>
    <row r="369" spans="1:33">
      <c r="A369" s="17">
        <f t="shared" si="39"/>
        <v>361</v>
      </c>
      <c r="D369" s="248" t="s">
        <v>84</v>
      </c>
      <c r="E369" s="252">
        <v>216</v>
      </c>
      <c r="F369" s="252">
        <v>182</v>
      </c>
      <c r="G369" s="252">
        <v>180</v>
      </c>
      <c r="H369" s="252">
        <v>112</v>
      </c>
      <c r="I369" s="252">
        <v>130</v>
      </c>
      <c r="J369" s="252">
        <v>181</v>
      </c>
      <c r="K369" s="252">
        <v>180</v>
      </c>
      <c r="L369" s="252"/>
      <c r="M369" s="252">
        <v>177</v>
      </c>
      <c r="N369" s="252">
        <v>181</v>
      </c>
      <c r="P369" s="444"/>
      <c r="Q369" s="445"/>
      <c r="R369" s="252"/>
      <c r="S369" s="252"/>
      <c r="T369" s="252"/>
      <c r="U369" s="252"/>
      <c r="V369" s="252"/>
      <c r="W369" s="252"/>
      <c r="X369" s="252"/>
      <c r="Z369" s="423"/>
      <c r="AA369" s="423"/>
      <c r="AB369" s="423"/>
      <c r="AC369" s="423"/>
      <c r="AD369" s="423"/>
      <c r="AE369" s="423"/>
      <c r="AF369" s="423"/>
      <c r="AG369" s="423"/>
    </row>
    <row r="370" spans="1:33">
      <c r="A370" s="17">
        <f t="shared" si="39"/>
        <v>362</v>
      </c>
      <c r="E370" s="253">
        <f t="shared" ref="E370:K370" si="43">SUM(E368:E369)</f>
        <v>385</v>
      </c>
      <c r="F370" s="253">
        <f t="shared" si="43"/>
        <v>369</v>
      </c>
      <c r="G370" s="253">
        <f t="shared" si="43"/>
        <v>289</v>
      </c>
      <c r="H370" s="253">
        <f t="shared" si="43"/>
        <v>121</v>
      </c>
      <c r="I370" s="253">
        <f t="shared" si="43"/>
        <v>150</v>
      </c>
      <c r="J370" s="253">
        <f t="shared" si="43"/>
        <v>159</v>
      </c>
      <c r="K370" s="253">
        <f t="shared" si="43"/>
        <v>180</v>
      </c>
      <c r="L370" s="252"/>
      <c r="M370" s="253">
        <f>M369</f>
        <v>177</v>
      </c>
      <c r="N370" s="253">
        <f>N369</f>
        <v>181</v>
      </c>
      <c r="P370" s="346">
        <v>335</v>
      </c>
      <c r="Q370" s="346">
        <v>340</v>
      </c>
      <c r="R370" s="252"/>
      <c r="S370" s="252"/>
      <c r="T370" s="252"/>
      <c r="U370" s="252"/>
      <c r="V370" s="252"/>
      <c r="W370" s="252"/>
      <c r="X370" s="252"/>
      <c r="Z370" s="423"/>
      <c r="AA370" s="423"/>
      <c r="AB370" s="423"/>
      <c r="AC370" s="423"/>
      <c r="AD370" s="423"/>
      <c r="AE370" s="423"/>
      <c r="AF370" s="423"/>
      <c r="AG370" s="423"/>
    </row>
    <row r="371" spans="1:33">
      <c r="A371" s="17">
        <f t="shared" si="39"/>
        <v>363</v>
      </c>
      <c r="P371" s="346"/>
      <c r="Q371" s="346"/>
      <c r="R371" s="252"/>
      <c r="S371" s="252"/>
      <c r="T371" s="252"/>
      <c r="U371" s="252"/>
      <c r="V371" s="252"/>
      <c r="W371" s="252"/>
      <c r="X371" s="252"/>
      <c r="Z371" s="423"/>
      <c r="AA371" s="423"/>
      <c r="AB371" s="423"/>
      <c r="AC371" s="423"/>
      <c r="AD371" s="423"/>
      <c r="AE371" s="423"/>
      <c r="AF371" s="423"/>
      <c r="AG371" s="423"/>
    </row>
    <row r="372" spans="1:33">
      <c r="A372" s="17">
        <f t="shared" si="39"/>
        <v>364</v>
      </c>
      <c r="C372" s="28" t="s">
        <v>362</v>
      </c>
      <c r="E372" s="252"/>
      <c r="F372" s="252"/>
      <c r="G372" s="252"/>
      <c r="H372" s="252"/>
      <c r="I372" s="252"/>
      <c r="J372" s="252"/>
      <c r="K372" s="252"/>
      <c r="L372" s="252"/>
      <c r="M372" s="252"/>
      <c r="N372" s="252"/>
      <c r="P372" s="346"/>
      <c r="Q372" s="346"/>
      <c r="R372" s="252"/>
      <c r="S372" s="252"/>
      <c r="T372" s="252"/>
      <c r="U372" s="252"/>
      <c r="V372" s="252"/>
      <c r="W372" s="252"/>
      <c r="X372" s="252"/>
      <c r="Z372" s="423"/>
      <c r="AA372" s="423"/>
      <c r="AB372" s="423"/>
      <c r="AC372" s="423"/>
      <c r="AD372" s="423"/>
      <c r="AE372" s="423"/>
      <c r="AF372" s="423"/>
      <c r="AG372" s="423"/>
    </row>
    <row r="373" spans="1:33">
      <c r="A373" s="17">
        <f t="shared" si="39"/>
        <v>365</v>
      </c>
      <c r="C373" s="28" t="s">
        <v>363</v>
      </c>
      <c r="E373" s="252"/>
      <c r="F373" s="252"/>
      <c r="G373" s="252"/>
      <c r="H373" s="252"/>
      <c r="I373" s="252"/>
      <c r="J373" s="252"/>
      <c r="K373" s="252"/>
      <c r="L373" s="252"/>
      <c r="M373" s="252"/>
      <c r="N373" s="252"/>
      <c r="P373" s="346"/>
      <c r="Q373" s="346"/>
      <c r="R373" s="252"/>
      <c r="S373" s="252"/>
      <c r="T373" s="252"/>
      <c r="U373" s="252"/>
      <c r="V373" s="252"/>
      <c r="W373" s="252"/>
      <c r="X373" s="252"/>
      <c r="Z373" s="423"/>
      <c r="AA373" s="423"/>
      <c r="AB373" s="423"/>
      <c r="AC373" s="423"/>
      <c r="AD373" s="423"/>
      <c r="AE373" s="423"/>
      <c r="AF373" s="423"/>
      <c r="AG373" s="423"/>
    </row>
    <row r="374" spans="1:33">
      <c r="A374" s="17">
        <f t="shared" si="39"/>
        <v>366</v>
      </c>
      <c r="C374" s="28" t="s">
        <v>364</v>
      </c>
      <c r="E374" s="252"/>
      <c r="F374" s="252"/>
      <c r="G374" s="252"/>
      <c r="H374" s="252"/>
      <c r="I374" s="252"/>
      <c r="J374" s="252"/>
      <c r="K374" s="252"/>
      <c r="L374" s="252"/>
      <c r="M374" s="252"/>
      <c r="N374" s="252"/>
      <c r="P374" s="346"/>
      <c r="Q374" s="448"/>
      <c r="R374" s="252"/>
      <c r="S374" s="252"/>
      <c r="T374" s="252"/>
      <c r="U374" s="252"/>
      <c r="V374" s="252"/>
      <c r="W374" s="252"/>
      <c r="X374" s="252"/>
      <c r="Z374" s="423"/>
      <c r="AA374" s="423"/>
      <c r="AB374" s="423"/>
      <c r="AC374" s="423"/>
      <c r="AD374" s="423"/>
      <c r="AE374" s="423"/>
      <c r="AF374" s="423"/>
      <c r="AG374" s="423"/>
    </row>
    <row r="375" spans="1:33">
      <c r="A375" s="17">
        <f t="shared" si="39"/>
        <v>367</v>
      </c>
      <c r="E375" s="252"/>
      <c r="F375" s="252"/>
      <c r="G375" s="252"/>
      <c r="H375" s="252"/>
      <c r="I375" s="252"/>
      <c r="J375" s="252"/>
      <c r="K375" s="252"/>
      <c r="L375" s="252"/>
      <c r="M375" s="252"/>
      <c r="N375" s="252"/>
      <c r="P375" s="346"/>
      <c r="Q375" s="448"/>
      <c r="R375" s="252"/>
      <c r="S375" s="252"/>
      <c r="T375" s="252"/>
      <c r="U375" s="252"/>
      <c r="V375" s="252"/>
      <c r="W375" s="252"/>
      <c r="X375" s="252"/>
      <c r="Z375" s="423"/>
      <c r="AA375" s="423"/>
      <c r="AB375" s="423"/>
      <c r="AC375" s="423"/>
      <c r="AD375" s="423"/>
      <c r="AE375" s="423"/>
      <c r="AF375" s="423"/>
      <c r="AG375" s="423"/>
    </row>
    <row r="376" spans="1:33">
      <c r="A376" s="17">
        <f t="shared" ref="A376:A409" si="44">A375+1</f>
        <v>368</v>
      </c>
      <c r="C376" s="28" t="s">
        <v>365</v>
      </c>
      <c r="E376" s="254"/>
      <c r="F376" s="254"/>
      <c r="G376" s="254"/>
      <c r="H376" s="254"/>
      <c r="I376" s="254"/>
      <c r="J376" s="254"/>
      <c r="K376" s="254"/>
      <c r="L376" s="254"/>
      <c r="M376" s="254"/>
      <c r="N376" s="254"/>
      <c r="R376" s="252"/>
      <c r="S376" s="252"/>
      <c r="T376" s="252"/>
      <c r="U376" s="252"/>
      <c r="V376" s="252"/>
      <c r="W376" s="252"/>
      <c r="X376" s="252"/>
      <c r="Y376" s="252"/>
      <c r="Z376" s="252"/>
      <c r="AA376" s="490"/>
      <c r="AB376" s="423"/>
      <c r="AC376" s="423"/>
      <c r="AD376" s="423"/>
      <c r="AE376" s="423"/>
      <c r="AF376" s="423"/>
      <c r="AG376" s="423"/>
    </row>
    <row r="377" spans="1:33">
      <c r="A377" s="17">
        <f t="shared" si="44"/>
        <v>369</v>
      </c>
      <c r="C377" s="28" t="s">
        <v>366</v>
      </c>
      <c r="E377" s="254"/>
      <c r="F377" s="254"/>
      <c r="G377" s="254"/>
      <c r="H377" s="254"/>
      <c r="I377" s="254"/>
      <c r="J377" s="254"/>
      <c r="K377" s="254"/>
      <c r="L377" s="254"/>
      <c r="M377" s="254"/>
      <c r="N377" s="254"/>
      <c r="R377" s="252"/>
      <c r="S377" s="252"/>
      <c r="T377" s="252"/>
      <c r="U377" s="252"/>
      <c r="V377" s="252"/>
      <c r="W377" s="252"/>
      <c r="X377" s="252"/>
      <c r="Y377" s="252"/>
      <c r="Z377" s="252"/>
      <c r="AA377" s="490"/>
      <c r="AB377" s="423"/>
      <c r="AC377" s="423"/>
      <c r="AD377" s="423"/>
      <c r="AE377" s="423"/>
      <c r="AF377" s="423"/>
      <c r="AG377" s="423"/>
    </row>
    <row r="378" spans="1:33">
      <c r="A378" s="17">
        <f t="shared" si="44"/>
        <v>370</v>
      </c>
      <c r="R378" s="252"/>
      <c r="S378" s="252"/>
      <c r="T378" s="252"/>
      <c r="U378" s="252"/>
      <c r="V378" s="252"/>
      <c r="W378" s="252"/>
      <c r="X378" s="252"/>
      <c r="Y378" s="252"/>
      <c r="Z378" s="252"/>
      <c r="AA378" s="252"/>
      <c r="AB378" s="423"/>
      <c r="AC378" s="423"/>
      <c r="AD378" s="423"/>
      <c r="AE378" s="423"/>
      <c r="AF378" s="423"/>
      <c r="AG378" s="423"/>
    </row>
    <row r="379" spans="1:33">
      <c r="A379" s="17">
        <f t="shared" si="44"/>
        <v>371</v>
      </c>
      <c r="C379" s="434" t="s">
        <v>230</v>
      </c>
      <c r="R379" s="252"/>
      <c r="S379" s="252"/>
      <c r="T379" s="252"/>
      <c r="U379" s="252"/>
      <c r="V379" s="252"/>
      <c r="W379" s="491"/>
      <c r="X379" s="491"/>
      <c r="Y379" s="252"/>
      <c r="Z379" s="252"/>
      <c r="AA379" s="252"/>
      <c r="AB379" s="423"/>
      <c r="AC379" s="423"/>
      <c r="AD379" s="423"/>
      <c r="AE379" s="423"/>
      <c r="AF379" s="423"/>
      <c r="AG379" s="423"/>
    </row>
    <row r="380" spans="1:33">
      <c r="A380" s="17">
        <f t="shared" si="44"/>
        <v>372</v>
      </c>
      <c r="D380" s="248" t="s">
        <v>240</v>
      </c>
      <c r="E380" s="252">
        <v>343</v>
      </c>
      <c r="F380" s="252">
        <v>365</v>
      </c>
      <c r="G380" s="252">
        <v>330</v>
      </c>
      <c r="H380" s="252">
        <v>341</v>
      </c>
      <c r="I380" s="428">
        <v>452</v>
      </c>
      <c r="J380" s="428">
        <v>380</v>
      </c>
      <c r="K380" s="428">
        <v>583</v>
      </c>
      <c r="L380" s="252"/>
      <c r="M380" s="252">
        <v>518</v>
      </c>
      <c r="N380" s="252">
        <v>524</v>
      </c>
      <c r="P380" s="346"/>
      <c r="Q380" s="443"/>
      <c r="R380" s="252"/>
      <c r="S380" s="252"/>
      <c r="T380" s="252"/>
      <c r="U380" s="252"/>
      <c r="V380" s="252"/>
      <c r="W380" s="252"/>
      <c r="X380" s="252"/>
      <c r="Z380" s="423"/>
      <c r="AA380" s="423"/>
      <c r="AB380" s="423"/>
      <c r="AC380" s="423"/>
      <c r="AD380" s="423"/>
      <c r="AE380" s="423"/>
      <c r="AF380" s="423"/>
      <c r="AG380" s="423"/>
    </row>
    <row r="381" spans="1:33">
      <c r="A381" s="17">
        <f t="shared" si="44"/>
        <v>373</v>
      </c>
      <c r="D381" s="248" t="s">
        <v>84</v>
      </c>
      <c r="E381" s="252">
        <v>66</v>
      </c>
      <c r="F381" s="252">
        <v>127</v>
      </c>
      <c r="G381" s="252">
        <f>77+2</f>
        <v>79</v>
      </c>
      <c r="H381" s="252">
        <v>112</v>
      </c>
      <c r="I381" s="428">
        <v>66</v>
      </c>
      <c r="J381" s="428">
        <v>53</v>
      </c>
      <c r="K381" s="428">
        <v>142</v>
      </c>
      <c r="L381" s="252"/>
      <c r="M381" s="252">
        <v>141</v>
      </c>
      <c r="N381" s="252">
        <v>84</v>
      </c>
      <c r="P381" s="444"/>
      <c r="Q381" s="443"/>
      <c r="R381" s="252"/>
      <c r="S381" s="252"/>
      <c r="T381" s="252"/>
      <c r="U381" s="252"/>
      <c r="V381" s="252"/>
      <c r="W381" s="252"/>
      <c r="X381" s="252"/>
      <c r="Z381" s="423"/>
      <c r="AA381" s="423"/>
      <c r="AB381" s="423"/>
      <c r="AC381" s="423"/>
      <c r="AD381" s="423"/>
      <c r="AE381" s="423"/>
      <c r="AF381" s="423"/>
      <c r="AG381" s="423"/>
    </row>
    <row r="382" spans="1:33">
      <c r="A382" s="17">
        <f t="shared" si="44"/>
        <v>374</v>
      </c>
      <c r="E382" s="253">
        <f t="shared" ref="E382:K382" si="45">SUM(E380:E381)</f>
        <v>409</v>
      </c>
      <c r="F382" s="253">
        <f t="shared" si="45"/>
        <v>492</v>
      </c>
      <c r="G382" s="253">
        <f t="shared" si="45"/>
        <v>409</v>
      </c>
      <c r="H382" s="253">
        <f t="shared" si="45"/>
        <v>453</v>
      </c>
      <c r="I382" s="253">
        <f t="shared" si="45"/>
        <v>518</v>
      </c>
      <c r="J382" s="253">
        <f t="shared" si="45"/>
        <v>433</v>
      </c>
      <c r="K382" s="253">
        <f t="shared" si="45"/>
        <v>725</v>
      </c>
      <c r="L382" s="252"/>
      <c r="M382" s="253">
        <f>M380+M381</f>
        <v>659</v>
      </c>
      <c r="N382" s="253">
        <f>N381+N380</f>
        <v>608</v>
      </c>
      <c r="P382" s="346">
        <v>495</v>
      </c>
      <c r="Q382" s="446">
        <v>505</v>
      </c>
      <c r="R382" s="252"/>
      <c r="S382" s="252"/>
      <c r="T382" s="252"/>
      <c r="U382" s="252"/>
      <c r="V382" s="252"/>
      <c r="W382" s="252"/>
      <c r="X382" s="252"/>
      <c r="Z382" s="423"/>
      <c r="AA382" s="423"/>
      <c r="AB382" s="423"/>
      <c r="AC382" s="423"/>
      <c r="AD382" s="423"/>
      <c r="AE382" s="423"/>
      <c r="AF382" s="423"/>
      <c r="AG382" s="423"/>
    </row>
    <row r="383" spans="1:33">
      <c r="A383" s="17">
        <f t="shared" si="44"/>
        <v>375</v>
      </c>
      <c r="K383" s="252"/>
      <c r="L383" s="252"/>
      <c r="M383" s="252"/>
      <c r="N383" s="252"/>
      <c r="P383" s="346"/>
      <c r="Q383" s="443"/>
      <c r="R383" s="252"/>
      <c r="S383" s="252"/>
      <c r="T383" s="252"/>
      <c r="U383" s="252"/>
      <c r="V383" s="252"/>
      <c r="W383" s="252"/>
      <c r="X383" s="252"/>
      <c r="Z383" s="423"/>
      <c r="AA383" s="423"/>
      <c r="AB383" s="423"/>
      <c r="AC383" s="423"/>
      <c r="AD383" s="423"/>
      <c r="AE383" s="423"/>
      <c r="AF383" s="423"/>
      <c r="AG383" s="423"/>
    </row>
    <row r="384" spans="1:33">
      <c r="A384" s="17">
        <f t="shared" si="44"/>
        <v>376</v>
      </c>
      <c r="C384" s="36" t="s">
        <v>367</v>
      </c>
      <c r="E384" s="252"/>
      <c r="F384" s="252"/>
      <c r="G384" s="252"/>
      <c r="H384" s="252"/>
      <c r="I384" s="252"/>
      <c r="J384" s="252"/>
      <c r="K384" s="252"/>
      <c r="M384" s="252"/>
      <c r="N384" s="252"/>
      <c r="P384" s="346"/>
      <c r="Q384" s="443"/>
      <c r="R384" s="252"/>
      <c r="S384" s="252"/>
      <c r="T384" s="252"/>
      <c r="U384" s="252"/>
      <c r="V384" s="252"/>
      <c r="W384" s="252"/>
      <c r="X384" s="252"/>
      <c r="Z384" s="423"/>
      <c r="AA384" s="423"/>
      <c r="AB384" s="423"/>
      <c r="AC384" s="423"/>
      <c r="AD384" s="423"/>
      <c r="AE384" s="423"/>
      <c r="AF384" s="423"/>
      <c r="AG384" s="423"/>
    </row>
    <row r="385" spans="1:33">
      <c r="A385" s="17">
        <f t="shared" si="44"/>
        <v>377</v>
      </c>
      <c r="C385" s="36"/>
      <c r="E385" s="252"/>
      <c r="F385" s="252"/>
      <c r="G385" s="252"/>
      <c r="H385" s="252"/>
      <c r="I385" s="252"/>
      <c r="J385" s="252"/>
      <c r="K385" s="252"/>
      <c r="L385" s="252"/>
      <c r="M385" s="252"/>
      <c r="N385" s="252"/>
      <c r="P385" s="346"/>
      <c r="Q385" s="443"/>
      <c r="R385" s="252"/>
      <c r="S385" s="252"/>
      <c r="T385" s="252"/>
      <c r="U385" s="252"/>
      <c r="V385" s="252"/>
      <c r="W385" s="252"/>
      <c r="X385" s="252"/>
      <c r="Z385" s="423"/>
      <c r="AA385" s="423"/>
      <c r="AB385" s="423"/>
      <c r="AC385" s="423"/>
      <c r="AD385" s="423"/>
      <c r="AE385" s="423"/>
      <c r="AF385" s="423"/>
      <c r="AG385" s="423"/>
    </row>
    <row r="386" spans="1:33">
      <c r="A386" s="17">
        <f t="shared" si="44"/>
        <v>378</v>
      </c>
      <c r="C386" s="36" t="s">
        <v>368</v>
      </c>
      <c r="E386" s="252"/>
      <c r="F386" s="252"/>
      <c r="G386" s="252"/>
      <c r="H386" s="252"/>
      <c r="I386" s="252"/>
      <c r="J386" s="252"/>
      <c r="K386" s="252"/>
      <c r="L386" s="252"/>
      <c r="M386" s="252"/>
      <c r="N386" s="252"/>
      <c r="P386" s="346"/>
      <c r="Q386" s="443"/>
      <c r="R386" s="252"/>
      <c r="S386" s="252"/>
      <c r="T386" s="252"/>
      <c r="U386" s="252"/>
      <c r="V386" s="252"/>
      <c r="W386" s="252"/>
      <c r="X386" s="252"/>
      <c r="Z386" s="423"/>
      <c r="AA386" s="423"/>
      <c r="AB386" s="423"/>
      <c r="AC386" s="423"/>
      <c r="AD386" s="423"/>
      <c r="AE386" s="423"/>
      <c r="AF386" s="423"/>
      <c r="AG386" s="423"/>
    </row>
    <row r="387" spans="1:33">
      <c r="A387" s="17">
        <f t="shared" si="44"/>
        <v>379</v>
      </c>
      <c r="C387" s="465"/>
      <c r="E387" s="252"/>
      <c r="F387" s="252"/>
      <c r="G387" s="252"/>
      <c r="H387" s="252"/>
      <c r="I387" s="252"/>
      <c r="J387" s="252"/>
      <c r="K387" s="254"/>
      <c r="L387" s="254"/>
      <c r="M387" s="254"/>
      <c r="N387" s="254"/>
      <c r="P387" s="346"/>
      <c r="Q387" s="448"/>
      <c r="R387" s="252"/>
      <c r="S387" s="252"/>
      <c r="T387" s="252"/>
      <c r="U387" s="252"/>
      <c r="V387" s="252"/>
      <c r="W387" s="252"/>
      <c r="X387" s="252"/>
      <c r="Z387" s="423"/>
      <c r="AA387" s="423"/>
      <c r="AB387" s="423"/>
      <c r="AC387" s="423"/>
      <c r="AD387" s="423"/>
      <c r="AE387" s="423"/>
      <c r="AF387" s="423"/>
      <c r="AG387" s="423"/>
    </row>
    <row r="388" spans="1:33">
      <c r="A388" s="17">
        <f t="shared" si="44"/>
        <v>380</v>
      </c>
      <c r="C388" s="36" t="s">
        <v>369</v>
      </c>
      <c r="E388" s="252"/>
      <c r="F388" s="252"/>
      <c r="G388" s="252"/>
      <c r="H388" s="252"/>
      <c r="I388" s="252"/>
      <c r="J388" s="252"/>
      <c r="K388" s="254"/>
      <c r="L388" s="254"/>
      <c r="M388" s="254"/>
      <c r="N388" s="254"/>
      <c r="P388" s="346"/>
      <c r="Q388" s="448"/>
      <c r="R388" s="252"/>
      <c r="S388" s="252"/>
      <c r="T388" s="252"/>
      <c r="U388" s="252"/>
      <c r="V388" s="252"/>
      <c r="W388" s="252"/>
      <c r="X388" s="252"/>
      <c r="Z388" s="423"/>
      <c r="AA388" s="423"/>
      <c r="AB388" s="423"/>
      <c r="AC388" s="423"/>
      <c r="AD388" s="423"/>
      <c r="AE388" s="423"/>
      <c r="AF388" s="423"/>
      <c r="AG388" s="423"/>
    </row>
    <row r="389" spans="1:33">
      <c r="A389" s="17">
        <f t="shared" si="44"/>
        <v>381</v>
      </c>
      <c r="C389" s="36"/>
      <c r="E389" s="252"/>
      <c r="F389" s="252"/>
      <c r="G389" s="252"/>
      <c r="H389" s="252"/>
      <c r="I389" s="252"/>
      <c r="J389" s="252"/>
      <c r="R389" s="252"/>
      <c r="S389" s="252"/>
      <c r="T389" s="252"/>
      <c r="U389" s="252"/>
      <c r="V389" s="252"/>
      <c r="W389" s="252"/>
      <c r="X389" s="252"/>
      <c r="Y389" s="252"/>
      <c r="Z389" s="252"/>
      <c r="AA389" s="490"/>
      <c r="AB389" s="423"/>
      <c r="AC389" s="423"/>
      <c r="AD389" s="423"/>
      <c r="AE389" s="423"/>
      <c r="AF389" s="423"/>
      <c r="AG389" s="423"/>
    </row>
    <row r="390" spans="1:33">
      <c r="A390" s="17">
        <f t="shared" si="44"/>
        <v>382</v>
      </c>
      <c r="C390" s="36" t="s">
        <v>370</v>
      </c>
      <c r="E390" s="254"/>
      <c r="F390" s="254"/>
      <c r="G390" s="254"/>
      <c r="H390" s="254"/>
      <c r="I390" s="254"/>
      <c r="J390" s="254"/>
      <c r="R390" s="252"/>
      <c r="S390" s="252"/>
      <c r="T390" s="252"/>
      <c r="U390" s="252"/>
      <c r="V390" s="252"/>
      <c r="W390" s="252"/>
      <c r="X390" s="252"/>
      <c r="Y390" s="252"/>
      <c r="Z390" s="252"/>
      <c r="AA390" s="252"/>
      <c r="AB390" s="423"/>
      <c r="AC390" s="423"/>
      <c r="AD390" s="423"/>
      <c r="AE390" s="423"/>
      <c r="AF390" s="423"/>
      <c r="AG390" s="423"/>
    </row>
    <row r="391" spans="1:33">
      <c r="A391" s="17">
        <f t="shared" si="44"/>
        <v>383</v>
      </c>
      <c r="C391" s="36"/>
      <c r="E391" s="254"/>
      <c r="F391" s="254"/>
      <c r="G391" s="254"/>
      <c r="H391" s="254"/>
      <c r="I391" s="254"/>
      <c r="J391" s="254"/>
      <c r="R391" s="252"/>
      <c r="S391" s="252"/>
      <c r="T391" s="252"/>
      <c r="U391" s="252"/>
      <c r="V391" s="252"/>
      <c r="W391" s="252"/>
      <c r="X391" s="252"/>
      <c r="Y391" s="252"/>
      <c r="Z391" s="252"/>
      <c r="AA391" s="252"/>
      <c r="AB391" s="423"/>
      <c r="AC391" s="423"/>
      <c r="AD391" s="423"/>
      <c r="AE391" s="423"/>
      <c r="AF391" s="423"/>
      <c r="AG391" s="423"/>
    </row>
    <row r="392" spans="1:33">
      <c r="A392" s="17">
        <f t="shared" si="44"/>
        <v>384</v>
      </c>
      <c r="C392" s="36" t="s">
        <v>371</v>
      </c>
      <c r="E392" s="254"/>
      <c r="F392" s="254"/>
      <c r="G392" s="254"/>
      <c r="H392" s="254"/>
      <c r="I392" s="254"/>
      <c r="J392" s="254"/>
      <c r="R392" s="252"/>
      <c r="S392" s="252"/>
      <c r="T392" s="252"/>
      <c r="U392" s="252"/>
      <c r="V392" s="252"/>
      <c r="W392" s="252"/>
      <c r="X392" s="252"/>
      <c r="Y392" s="252"/>
      <c r="Z392" s="252"/>
      <c r="AA392" s="252"/>
      <c r="AB392" s="423"/>
      <c r="AC392" s="423"/>
      <c r="AD392" s="423"/>
      <c r="AE392" s="423"/>
      <c r="AF392" s="423"/>
      <c r="AG392" s="423"/>
    </row>
    <row r="393" spans="1:33">
      <c r="A393" s="17">
        <f t="shared" si="44"/>
        <v>385</v>
      </c>
      <c r="C393" s="36" t="s">
        <v>372</v>
      </c>
      <c r="E393" s="254"/>
      <c r="F393" s="254"/>
      <c r="G393" s="254"/>
      <c r="H393" s="254"/>
      <c r="I393" s="254"/>
      <c r="J393" s="254"/>
      <c r="R393" s="252"/>
      <c r="S393" s="252"/>
      <c r="T393" s="252"/>
      <c r="U393" s="252"/>
      <c r="V393" s="252"/>
      <c r="W393" s="491"/>
      <c r="X393" s="491"/>
      <c r="Y393" s="252"/>
      <c r="Z393" s="252"/>
      <c r="AA393" s="252"/>
      <c r="AB393" s="423"/>
      <c r="AC393" s="423"/>
      <c r="AD393" s="423"/>
      <c r="AE393" s="423"/>
      <c r="AF393" s="423"/>
      <c r="AG393" s="423"/>
    </row>
    <row r="394" spans="1:33">
      <c r="A394" s="17">
        <f t="shared" si="44"/>
        <v>386</v>
      </c>
      <c r="K394" s="252"/>
      <c r="L394" s="252"/>
      <c r="M394" s="252"/>
      <c r="N394" s="252"/>
      <c r="P394" s="346"/>
      <c r="Q394" s="443"/>
      <c r="R394" s="252"/>
      <c r="S394" s="252"/>
      <c r="T394" s="252"/>
      <c r="U394" s="252"/>
      <c r="V394" s="252"/>
      <c r="W394" s="252"/>
      <c r="X394" s="252"/>
      <c r="Z394" s="423"/>
      <c r="AA394" s="423"/>
      <c r="AB394" s="423"/>
      <c r="AC394" s="423"/>
      <c r="AD394" s="423"/>
      <c r="AE394" s="423"/>
      <c r="AF394" s="423"/>
      <c r="AG394" s="423"/>
    </row>
    <row r="395" spans="1:33">
      <c r="A395" s="17">
        <f t="shared" si="44"/>
        <v>387</v>
      </c>
      <c r="C395" s="434" t="s">
        <v>232</v>
      </c>
      <c r="E395" s="252"/>
      <c r="F395" s="252"/>
      <c r="G395" s="252"/>
      <c r="H395" s="252"/>
      <c r="I395" s="252"/>
      <c r="J395" s="252"/>
      <c r="K395" s="252"/>
      <c r="L395" s="254"/>
      <c r="M395" s="254"/>
      <c r="N395" s="254"/>
      <c r="P395" s="346"/>
      <c r="Q395" s="448"/>
      <c r="R395" s="252"/>
      <c r="S395" s="252"/>
      <c r="T395" s="252"/>
      <c r="U395" s="252"/>
      <c r="V395" s="252"/>
      <c r="W395" s="252"/>
      <c r="X395" s="252"/>
      <c r="Z395" s="423"/>
      <c r="AA395" s="423"/>
      <c r="AB395" s="423"/>
      <c r="AC395" s="423"/>
      <c r="AD395" s="423"/>
      <c r="AE395" s="423"/>
      <c r="AF395" s="423"/>
      <c r="AG395" s="423"/>
    </row>
    <row r="396" spans="1:33">
      <c r="A396" s="17">
        <f t="shared" si="44"/>
        <v>388</v>
      </c>
      <c r="C396" s="16"/>
      <c r="D396" s="248" t="s">
        <v>240</v>
      </c>
      <c r="E396" s="252">
        <v>0</v>
      </c>
      <c r="F396" s="252"/>
      <c r="G396" s="252"/>
      <c r="H396" s="252"/>
      <c r="I396" s="252"/>
      <c r="J396" s="252"/>
      <c r="K396" s="252"/>
      <c r="L396" s="252"/>
      <c r="M396" s="252"/>
      <c r="N396" s="252"/>
      <c r="P396" s="346"/>
      <c r="Q396" s="443"/>
      <c r="R396" s="252"/>
      <c r="S396" s="252"/>
      <c r="T396" s="252"/>
      <c r="U396" s="252"/>
      <c r="V396" s="252"/>
      <c r="W396" s="252"/>
      <c r="X396" s="252"/>
      <c r="Z396" s="423"/>
      <c r="AA396" s="423"/>
      <c r="AB396" s="423"/>
      <c r="AC396" s="423"/>
      <c r="AD396" s="423"/>
      <c r="AE396" s="423"/>
      <c r="AF396" s="423"/>
      <c r="AG396" s="423"/>
    </row>
    <row r="397" spans="1:33">
      <c r="A397" s="17">
        <f t="shared" si="44"/>
        <v>389</v>
      </c>
      <c r="C397" s="16"/>
      <c r="D397" s="248" t="s">
        <v>84</v>
      </c>
      <c r="E397" s="252">
        <v>153</v>
      </c>
      <c r="F397" s="252">
        <v>16</v>
      </c>
      <c r="G397" s="252">
        <v>66</v>
      </c>
      <c r="H397" s="252">
        <v>128</v>
      </c>
      <c r="I397" s="252">
        <v>165</v>
      </c>
      <c r="J397" s="252">
        <v>164</v>
      </c>
      <c r="K397" s="252">
        <f>79+7+2+12.5+9</f>
        <v>109.5</v>
      </c>
      <c r="L397" s="252"/>
      <c r="M397" s="252">
        <v>130</v>
      </c>
      <c r="N397" s="252">
        <v>130</v>
      </c>
      <c r="P397" s="444"/>
      <c r="Q397" s="443"/>
      <c r="R397" s="252"/>
      <c r="S397" s="252"/>
      <c r="T397" s="252"/>
      <c r="U397" s="252"/>
      <c r="V397" s="252"/>
      <c r="W397" s="252"/>
      <c r="X397" s="252"/>
      <c r="Z397" s="423"/>
      <c r="AA397" s="423"/>
      <c r="AB397" s="423"/>
      <c r="AC397" s="423"/>
      <c r="AD397" s="423"/>
      <c r="AE397" s="423"/>
      <c r="AF397" s="423"/>
      <c r="AG397" s="423"/>
    </row>
    <row r="398" spans="1:33">
      <c r="A398" s="17">
        <f t="shared" si="44"/>
        <v>390</v>
      </c>
      <c r="C398" s="16"/>
      <c r="E398" s="253">
        <f t="shared" ref="E398:K398" si="46">SUM(E396:E397)</f>
        <v>153</v>
      </c>
      <c r="F398" s="253">
        <f t="shared" si="46"/>
        <v>16</v>
      </c>
      <c r="G398" s="253">
        <f t="shared" si="46"/>
        <v>66</v>
      </c>
      <c r="H398" s="253">
        <f>SUM(H396:H397)</f>
        <v>128</v>
      </c>
      <c r="I398" s="253">
        <f t="shared" si="46"/>
        <v>165</v>
      </c>
      <c r="J398" s="253">
        <f t="shared" si="46"/>
        <v>164</v>
      </c>
      <c r="K398" s="253">
        <f t="shared" si="46"/>
        <v>109.5</v>
      </c>
      <c r="L398" s="252"/>
      <c r="M398" s="253">
        <f>M397</f>
        <v>130</v>
      </c>
      <c r="N398" s="253">
        <f>N397</f>
        <v>130</v>
      </c>
      <c r="P398" s="346">
        <v>366</v>
      </c>
      <c r="Q398" s="446">
        <v>367</v>
      </c>
      <c r="R398" s="252"/>
      <c r="S398" s="252"/>
      <c r="T398" s="252"/>
      <c r="U398" s="252"/>
      <c r="V398" s="252"/>
      <c r="W398" s="252"/>
      <c r="X398" s="252"/>
      <c r="Z398" s="423"/>
      <c r="AA398" s="423"/>
      <c r="AB398" s="423"/>
      <c r="AC398" s="423"/>
      <c r="AD398" s="423"/>
      <c r="AE398" s="423"/>
      <c r="AF398" s="423"/>
      <c r="AG398" s="423"/>
    </row>
    <row r="399" spans="1:33">
      <c r="A399" s="17">
        <f t="shared" si="44"/>
        <v>391</v>
      </c>
      <c r="C399" s="16"/>
      <c r="E399" s="252"/>
      <c r="F399" s="252"/>
      <c r="G399" s="252"/>
      <c r="H399" s="252"/>
      <c r="I399" s="252"/>
      <c r="J399" s="252"/>
      <c r="K399" s="252"/>
      <c r="L399" s="254"/>
      <c r="M399" s="254"/>
      <c r="N399" s="254"/>
      <c r="P399" s="346"/>
      <c r="Q399" s="448"/>
      <c r="R399" s="252"/>
      <c r="S399" s="252"/>
      <c r="T399" s="252"/>
      <c r="U399" s="252"/>
      <c r="V399" s="252"/>
      <c r="W399" s="252"/>
      <c r="X399" s="252"/>
      <c r="Z399" s="423"/>
      <c r="AA399" s="423"/>
      <c r="AB399" s="423"/>
      <c r="AC399" s="423"/>
      <c r="AD399" s="423"/>
      <c r="AE399" s="423"/>
      <c r="AF399" s="423"/>
      <c r="AG399" s="423"/>
    </row>
    <row r="400" spans="1:33">
      <c r="A400" s="17">
        <f t="shared" si="44"/>
        <v>392</v>
      </c>
      <c r="C400" s="36" t="s">
        <v>373</v>
      </c>
      <c r="E400" s="252"/>
      <c r="F400" s="252"/>
      <c r="G400" s="252"/>
      <c r="H400" s="252"/>
      <c r="I400" s="252"/>
      <c r="J400" s="252"/>
      <c r="K400" s="252"/>
      <c r="L400" s="254"/>
      <c r="M400" s="254"/>
      <c r="N400" s="254"/>
      <c r="P400" s="346"/>
      <c r="Q400" s="448"/>
      <c r="R400" s="252"/>
      <c r="S400" s="252"/>
      <c r="T400" s="252"/>
      <c r="U400" s="252"/>
      <c r="V400" s="252"/>
      <c r="W400" s="252"/>
      <c r="X400" s="252"/>
      <c r="Z400" s="423"/>
      <c r="AA400" s="423"/>
      <c r="AB400" s="423"/>
      <c r="AC400" s="423"/>
      <c r="AD400" s="423"/>
      <c r="AE400" s="423"/>
      <c r="AF400" s="423"/>
      <c r="AG400" s="423"/>
    </row>
    <row r="401" spans="1:33">
      <c r="A401" s="17">
        <f t="shared" si="44"/>
        <v>393</v>
      </c>
      <c r="R401" s="252"/>
      <c r="S401" s="252"/>
      <c r="T401" s="252"/>
      <c r="U401" s="252"/>
      <c r="V401" s="252"/>
      <c r="W401" s="252"/>
      <c r="X401" s="252"/>
      <c r="Z401" s="423"/>
      <c r="AA401" s="423"/>
      <c r="AB401" s="423"/>
      <c r="AC401" s="423"/>
      <c r="AD401" s="423"/>
      <c r="AE401" s="423"/>
      <c r="AF401" s="423"/>
      <c r="AG401" s="423"/>
    </row>
    <row r="402" spans="1:33">
      <c r="A402" s="17">
        <f t="shared" si="44"/>
        <v>394</v>
      </c>
      <c r="C402" s="434" t="s">
        <v>234</v>
      </c>
      <c r="R402" s="252"/>
      <c r="S402" s="252"/>
      <c r="T402" s="252"/>
      <c r="U402" s="252"/>
      <c r="V402" s="252"/>
      <c r="W402" s="252"/>
      <c r="X402" s="252"/>
      <c r="Z402" s="423"/>
      <c r="AA402" s="423"/>
      <c r="AB402" s="423"/>
      <c r="AC402" s="423"/>
      <c r="AD402" s="423"/>
      <c r="AE402" s="423"/>
      <c r="AF402" s="423"/>
      <c r="AG402" s="423"/>
    </row>
    <row r="403" spans="1:33">
      <c r="A403" s="17">
        <f t="shared" si="44"/>
        <v>395</v>
      </c>
      <c r="D403" s="248" t="s">
        <v>84</v>
      </c>
      <c r="E403" s="252">
        <v>0</v>
      </c>
      <c r="F403" s="252">
        <v>0</v>
      </c>
      <c r="G403" s="252">
        <v>0</v>
      </c>
      <c r="H403" s="252">
        <v>0</v>
      </c>
      <c r="I403" s="252">
        <v>0</v>
      </c>
      <c r="J403" s="252">
        <v>0</v>
      </c>
      <c r="K403" s="252">
        <v>0</v>
      </c>
      <c r="L403" s="252"/>
      <c r="M403" s="252">
        <v>0</v>
      </c>
      <c r="N403" s="252">
        <v>0</v>
      </c>
      <c r="P403" s="444"/>
      <c r="Q403" s="443"/>
      <c r="R403" s="252"/>
      <c r="S403" s="252"/>
      <c r="T403" s="252"/>
      <c r="U403" s="252"/>
      <c r="V403" s="252"/>
      <c r="W403" s="252"/>
      <c r="X403" s="252"/>
      <c r="Z403" s="423"/>
      <c r="AA403" s="423"/>
      <c r="AB403" s="423"/>
      <c r="AC403" s="423"/>
      <c r="AD403" s="423"/>
      <c r="AE403" s="423"/>
      <c r="AF403" s="423"/>
      <c r="AG403" s="423"/>
    </row>
    <row r="404" spans="1:33">
      <c r="A404" s="17">
        <f t="shared" si="44"/>
        <v>396</v>
      </c>
      <c r="E404" s="253">
        <f t="shared" ref="E404:K404" si="47">SUM(E403)</f>
        <v>0</v>
      </c>
      <c r="F404" s="253">
        <f t="shared" si="47"/>
        <v>0</v>
      </c>
      <c r="G404" s="253">
        <f t="shared" si="47"/>
        <v>0</v>
      </c>
      <c r="H404" s="253">
        <f t="shared" si="47"/>
        <v>0</v>
      </c>
      <c r="I404" s="253">
        <f t="shared" si="47"/>
        <v>0</v>
      </c>
      <c r="J404" s="253">
        <f t="shared" si="47"/>
        <v>0</v>
      </c>
      <c r="K404" s="253">
        <f t="shared" si="47"/>
        <v>0</v>
      </c>
      <c r="L404" s="252"/>
      <c r="M404" s="253">
        <f>SUM(M403)</f>
        <v>0</v>
      </c>
      <c r="N404" s="253">
        <f>SUM(N403)</f>
        <v>0</v>
      </c>
      <c r="P404" s="346">
        <v>2</v>
      </c>
      <c r="Q404" s="446">
        <v>2</v>
      </c>
      <c r="R404" s="252"/>
      <c r="S404" s="252"/>
      <c r="T404" s="252"/>
      <c r="U404" s="252"/>
      <c r="V404" s="252"/>
      <c r="W404" s="252"/>
      <c r="X404" s="252"/>
      <c r="Y404" s="252"/>
      <c r="Z404" s="252"/>
      <c r="AA404" s="490"/>
      <c r="AB404" s="423"/>
      <c r="AC404" s="423"/>
      <c r="AD404" s="423"/>
      <c r="AE404" s="423"/>
      <c r="AF404" s="423"/>
      <c r="AG404" s="423"/>
    </row>
    <row r="405" spans="1:33">
      <c r="A405" s="17">
        <f t="shared" si="44"/>
        <v>397</v>
      </c>
      <c r="R405" s="252"/>
      <c r="S405" s="252"/>
      <c r="T405" s="252"/>
      <c r="U405" s="252"/>
      <c r="V405" s="252"/>
      <c r="W405" s="252"/>
      <c r="X405" s="252"/>
      <c r="Y405" s="252"/>
      <c r="Z405" s="252"/>
      <c r="AA405" s="252"/>
      <c r="AB405" s="423"/>
      <c r="AC405" s="423"/>
      <c r="AD405" s="423"/>
      <c r="AE405" s="423"/>
      <c r="AF405" s="423"/>
      <c r="AG405" s="423"/>
    </row>
    <row r="406" spans="1:33">
      <c r="A406" s="17">
        <f t="shared" si="44"/>
        <v>398</v>
      </c>
      <c r="C406" s="434" t="s">
        <v>235</v>
      </c>
      <c r="R406" s="252"/>
      <c r="S406" s="252"/>
      <c r="T406" s="252"/>
      <c r="U406" s="252"/>
      <c r="V406" s="252"/>
      <c r="W406" s="491"/>
      <c r="X406" s="491"/>
      <c r="Y406" s="252"/>
      <c r="Z406" s="252"/>
      <c r="AA406" s="252"/>
      <c r="AB406" s="423"/>
      <c r="AC406" s="423"/>
      <c r="AD406" s="423"/>
      <c r="AE406" s="423"/>
      <c r="AF406" s="423"/>
      <c r="AG406" s="423"/>
    </row>
    <row r="407" spans="1:33">
      <c r="A407" s="17">
        <f t="shared" si="44"/>
        <v>399</v>
      </c>
      <c r="D407" s="248" t="s">
        <v>240</v>
      </c>
      <c r="E407" s="252">
        <v>12</v>
      </c>
      <c r="F407" s="252">
        <v>51</v>
      </c>
      <c r="G407" s="252">
        <v>71</v>
      </c>
      <c r="H407" s="252">
        <v>70</v>
      </c>
      <c r="I407" s="252">
        <v>84</v>
      </c>
      <c r="J407" s="252">
        <v>77</v>
      </c>
      <c r="K407" s="252">
        <v>74</v>
      </c>
      <c r="L407" s="252"/>
      <c r="M407" s="252">
        <v>73</v>
      </c>
      <c r="N407" s="252">
        <v>74.400000000000006</v>
      </c>
      <c r="P407" s="346"/>
      <c r="Q407" s="443"/>
      <c r="R407" s="252"/>
      <c r="S407" s="252"/>
      <c r="T407" s="252"/>
      <c r="U407" s="252"/>
      <c r="V407" s="252"/>
      <c r="W407" s="252"/>
      <c r="X407" s="252"/>
      <c r="Z407" s="423"/>
      <c r="AA407" s="423"/>
      <c r="AB407" s="423"/>
      <c r="AC407" s="423"/>
      <c r="AD407" s="423"/>
      <c r="AE407" s="423"/>
      <c r="AF407" s="423"/>
      <c r="AG407" s="423"/>
    </row>
    <row r="408" spans="1:33">
      <c r="A408" s="17">
        <f t="shared" si="44"/>
        <v>400</v>
      </c>
      <c r="D408" s="248" t="s">
        <v>84</v>
      </c>
      <c r="E408" s="252">
        <v>141</v>
      </c>
      <c r="F408" s="252">
        <f>110+8</f>
        <v>118</v>
      </c>
      <c r="G408" s="252">
        <v>159</v>
      </c>
      <c r="H408" s="252">
        <v>79</v>
      </c>
      <c r="I408" s="252">
        <v>248</v>
      </c>
      <c r="J408" s="252">
        <f>453</f>
        <v>453</v>
      </c>
      <c r="K408" s="252">
        <f>226</f>
        <v>226</v>
      </c>
      <c r="L408" s="252"/>
      <c r="M408" s="252">
        <v>198</v>
      </c>
      <c r="N408" s="252">
        <v>202.6</v>
      </c>
      <c r="P408" s="444"/>
      <c r="Q408" s="443"/>
      <c r="R408" s="252"/>
      <c r="S408" s="252"/>
      <c r="T408" s="252"/>
      <c r="U408" s="252"/>
      <c r="V408" s="252"/>
      <c r="W408" s="252"/>
      <c r="X408" s="252"/>
      <c r="Z408" s="423"/>
      <c r="AA408" s="423"/>
      <c r="AB408" s="423"/>
      <c r="AC408" s="423"/>
      <c r="AD408" s="423"/>
      <c r="AE408" s="423"/>
      <c r="AF408" s="423"/>
      <c r="AG408" s="423"/>
    </row>
    <row r="409" spans="1:33">
      <c r="A409" s="17">
        <f t="shared" si="44"/>
        <v>401</v>
      </c>
      <c r="E409" s="253">
        <f t="shared" ref="E409:K409" si="48">SUM(E407:E408)</f>
        <v>153</v>
      </c>
      <c r="F409" s="253">
        <f t="shared" si="48"/>
        <v>169</v>
      </c>
      <c r="G409" s="253">
        <f t="shared" si="48"/>
        <v>230</v>
      </c>
      <c r="H409" s="253">
        <f t="shared" si="48"/>
        <v>149</v>
      </c>
      <c r="I409" s="253">
        <f t="shared" si="48"/>
        <v>332</v>
      </c>
      <c r="J409" s="253">
        <f t="shared" si="48"/>
        <v>530</v>
      </c>
      <c r="K409" s="253">
        <f t="shared" si="48"/>
        <v>300</v>
      </c>
      <c r="L409" s="252"/>
      <c r="M409" s="253">
        <f>M407+M408</f>
        <v>271</v>
      </c>
      <c r="N409" s="253">
        <f>N408+N407</f>
        <v>277</v>
      </c>
      <c r="P409" s="346">
        <v>184</v>
      </c>
      <c r="Q409" s="446">
        <v>186</v>
      </c>
      <c r="R409" s="252"/>
      <c r="S409" s="252"/>
      <c r="T409" s="252"/>
      <c r="U409" s="252"/>
      <c r="V409" s="252"/>
      <c r="W409" s="252"/>
      <c r="X409" s="252"/>
      <c r="Z409" s="423"/>
      <c r="AA409" s="423"/>
      <c r="AB409" s="423"/>
      <c r="AC409" s="423"/>
      <c r="AD409" s="423"/>
      <c r="AE409" s="423"/>
      <c r="AF409" s="423"/>
      <c r="AG409" s="423"/>
    </row>
    <row r="410" spans="1:33">
      <c r="A410" s="17">
        <f t="shared" ref="A410:A426" si="49">A409+1</f>
        <v>402</v>
      </c>
      <c r="E410" s="252"/>
      <c r="F410" s="252"/>
      <c r="G410" s="252"/>
      <c r="H410" s="252"/>
      <c r="I410" s="252"/>
      <c r="J410" s="252"/>
      <c r="K410" s="252"/>
      <c r="L410" s="252"/>
      <c r="M410" s="252"/>
      <c r="N410" s="252"/>
      <c r="P410" s="346"/>
      <c r="Q410" s="443"/>
      <c r="R410" s="252"/>
      <c r="S410" s="252"/>
      <c r="T410" s="252"/>
      <c r="U410" s="252"/>
      <c r="V410" s="252"/>
      <c r="W410" s="252"/>
      <c r="X410" s="252"/>
      <c r="Z410" s="423"/>
      <c r="AA410" s="423"/>
      <c r="AB410" s="423"/>
      <c r="AC410" s="423"/>
      <c r="AD410" s="423"/>
      <c r="AE410" s="423"/>
      <c r="AF410" s="423"/>
      <c r="AG410" s="423"/>
    </row>
    <row r="411" spans="1:33">
      <c r="A411" s="17">
        <f t="shared" si="49"/>
        <v>403</v>
      </c>
      <c r="C411" s="440" t="s">
        <v>374</v>
      </c>
      <c r="E411" s="252"/>
      <c r="F411" s="252"/>
      <c r="G411" s="252"/>
      <c r="H411" s="252"/>
      <c r="I411" s="252"/>
      <c r="J411" s="252"/>
      <c r="K411" s="252"/>
      <c r="L411" s="252"/>
      <c r="M411" s="252"/>
      <c r="N411" s="252"/>
      <c r="P411" s="346"/>
      <c r="Q411" s="443"/>
      <c r="R411" s="252"/>
      <c r="S411" s="252"/>
      <c r="T411" s="252"/>
      <c r="U411" s="252"/>
      <c r="V411" s="252"/>
      <c r="W411" s="252"/>
      <c r="X411" s="252"/>
      <c r="Z411" s="423"/>
      <c r="AA411" s="423"/>
      <c r="AB411" s="423"/>
      <c r="AC411" s="423"/>
      <c r="AD411" s="423"/>
      <c r="AE411" s="423"/>
      <c r="AF411" s="423"/>
      <c r="AG411" s="423"/>
    </row>
    <row r="412" spans="1:33">
      <c r="A412" s="17">
        <f t="shared" si="49"/>
        <v>404</v>
      </c>
      <c r="C412" s="440"/>
      <c r="E412" s="252"/>
      <c r="F412" s="252"/>
      <c r="G412" s="252"/>
      <c r="H412" s="252"/>
      <c r="I412" s="252"/>
      <c r="J412" s="252"/>
      <c r="K412" s="252"/>
      <c r="L412" s="252"/>
      <c r="M412" s="252"/>
      <c r="N412" s="252"/>
      <c r="P412" s="346"/>
      <c r="Q412" s="443"/>
      <c r="R412" s="252"/>
      <c r="S412" s="252"/>
      <c r="T412" s="252"/>
      <c r="U412" s="252"/>
      <c r="V412" s="252"/>
      <c r="W412" s="252"/>
      <c r="X412" s="252"/>
      <c r="Z412" s="423"/>
      <c r="AA412" s="423"/>
      <c r="AB412" s="423"/>
      <c r="AC412" s="423"/>
      <c r="AD412" s="423"/>
      <c r="AE412" s="423"/>
      <c r="AF412" s="423"/>
      <c r="AG412" s="423"/>
    </row>
    <row r="413" spans="1:33">
      <c r="A413" s="17">
        <f t="shared" si="49"/>
        <v>405</v>
      </c>
      <c r="C413" s="440" t="s">
        <v>375</v>
      </c>
      <c r="E413" s="252"/>
      <c r="F413" s="252"/>
      <c r="G413" s="252"/>
      <c r="H413" s="252"/>
      <c r="I413" s="252"/>
      <c r="J413" s="252"/>
      <c r="K413" s="252"/>
      <c r="L413" s="252"/>
      <c r="M413" s="252"/>
      <c r="N413" s="252"/>
      <c r="P413" s="346"/>
      <c r="Q413" s="443"/>
      <c r="R413" s="252"/>
      <c r="S413" s="252"/>
      <c r="T413" s="252"/>
      <c r="U413" s="252"/>
      <c r="V413" s="252"/>
      <c r="W413" s="252"/>
      <c r="X413" s="252"/>
      <c r="Z413" s="423"/>
      <c r="AA413" s="423"/>
      <c r="AB413" s="423"/>
      <c r="AC413" s="423"/>
      <c r="AD413" s="423"/>
      <c r="AE413" s="423"/>
      <c r="AF413" s="423"/>
      <c r="AG413" s="423"/>
    </row>
    <row r="414" spans="1:33">
      <c r="A414" s="17">
        <f t="shared" si="49"/>
        <v>406</v>
      </c>
      <c r="C414" s="440"/>
      <c r="E414" s="252"/>
      <c r="F414" s="252"/>
      <c r="G414" s="252"/>
      <c r="H414" s="252"/>
      <c r="I414" s="252"/>
      <c r="J414" s="252"/>
      <c r="K414" s="252"/>
      <c r="L414" s="252"/>
      <c r="M414" s="252"/>
      <c r="N414" s="252"/>
      <c r="P414" s="346"/>
      <c r="Q414" s="443"/>
      <c r="R414" s="252"/>
      <c r="S414" s="252"/>
      <c r="T414" s="252"/>
      <c r="U414" s="252"/>
      <c r="V414" s="252"/>
      <c r="W414" s="252"/>
      <c r="X414" s="252"/>
      <c r="Z414" s="423"/>
      <c r="AA414" s="423"/>
      <c r="AB414" s="423"/>
      <c r="AC414" s="423"/>
      <c r="AD414" s="423"/>
      <c r="AE414" s="423"/>
      <c r="AF414" s="423"/>
      <c r="AG414" s="423"/>
    </row>
    <row r="415" spans="1:33">
      <c r="A415" s="17">
        <f t="shared" si="49"/>
        <v>407</v>
      </c>
      <c r="C415" s="440" t="s">
        <v>376</v>
      </c>
      <c r="E415" s="252"/>
      <c r="F415" s="252"/>
      <c r="G415" s="252"/>
      <c r="H415" s="252"/>
      <c r="I415" s="252"/>
      <c r="J415" s="252"/>
      <c r="K415" s="252"/>
      <c r="L415" s="252"/>
      <c r="M415" s="252"/>
      <c r="N415" s="252"/>
      <c r="P415" s="346"/>
      <c r="Q415" s="443"/>
      <c r="R415" s="252"/>
      <c r="S415" s="252"/>
      <c r="T415" s="252"/>
      <c r="U415" s="252"/>
      <c r="V415" s="252"/>
      <c r="W415" s="252"/>
      <c r="X415" s="252"/>
      <c r="Z415" s="423"/>
      <c r="AA415" s="423"/>
      <c r="AB415" s="423"/>
      <c r="AC415" s="423"/>
      <c r="AD415" s="423"/>
      <c r="AE415" s="423"/>
      <c r="AF415" s="423"/>
      <c r="AG415" s="423"/>
    </row>
    <row r="416" spans="1:33">
      <c r="A416" s="17">
        <f t="shared" si="49"/>
        <v>408</v>
      </c>
      <c r="C416" s="440"/>
      <c r="E416" s="252"/>
      <c r="F416" s="252"/>
      <c r="G416" s="252"/>
      <c r="H416" s="252"/>
      <c r="I416" s="252"/>
      <c r="J416" s="252"/>
      <c r="K416" s="252"/>
      <c r="L416" s="252"/>
      <c r="M416" s="252"/>
      <c r="N416" s="252"/>
      <c r="P416" s="346"/>
      <c r="Q416" s="443"/>
      <c r="R416" s="252"/>
      <c r="S416" s="252"/>
      <c r="T416" s="252"/>
      <c r="U416" s="252"/>
      <c r="V416" s="252"/>
      <c r="W416" s="252"/>
      <c r="X416" s="252"/>
      <c r="Z416" s="423"/>
      <c r="AA416" s="423"/>
      <c r="AB416" s="423"/>
      <c r="AC416" s="423"/>
      <c r="AD416" s="423"/>
      <c r="AE416" s="423"/>
      <c r="AF416" s="423"/>
      <c r="AG416" s="423"/>
    </row>
    <row r="417" spans="1:33">
      <c r="A417" s="17">
        <f t="shared" si="49"/>
        <v>409</v>
      </c>
      <c r="C417" s="440" t="s">
        <v>377</v>
      </c>
      <c r="E417" s="252"/>
      <c r="F417" s="252"/>
      <c r="G417" s="252"/>
      <c r="H417" s="252"/>
      <c r="I417" s="252"/>
      <c r="J417" s="252"/>
      <c r="K417" s="252"/>
      <c r="L417" s="252"/>
      <c r="M417" s="252"/>
      <c r="N417" s="252"/>
      <c r="P417" s="346"/>
      <c r="Q417" s="443"/>
      <c r="R417" s="252"/>
      <c r="S417" s="252"/>
      <c r="T417" s="252"/>
      <c r="U417" s="252"/>
      <c r="V417" s="252"/>
      <c r="W417" s="252"/>
      <c r="X417" s="252"/>
      <c r="Z417" s="423"/>
      <c r="AA417" s="423"/>
      <c r="AB417" s="423"/>
      <c r="AC417" s="423"/>
      <c r="AD417" s="423"/>
      <c r="AE417" s="423"/>
      <c r="AF417" s="423"/>
      <c r="AG417" s="423"/>
    </row>
    <row r="418" spans="1:33">
      <c r="A418" s="17">
        <f t="shared" si="49"/>
        <v>410</v>
      </c>
      <c r="C418" s="440" t="s">
        <v>346</v>
      </c>
      <c r="E418" s="252"/>
      <c r="F418" s="252"/>
      <c r="G418" s="252"/>
      <c r="H418" s="252"/>
      <c r="I418" s="252"/>
      <c r="J418" s="252"/>
      <c r="K418" s="252"/>
      <c r="L418" s="252"/>
      <c r="M418" s="252"/>
      <c r="N418" s="252"/>
      <c r="P418" s="346"/>
      <c r="Q418" s="443"/>
      <c r="R418" s="252"/>
      <c r="S418" s="252"/>
      <c r="T418" s="252"/>
      <c r="U418" s="252"/>
      <c r="V418" s="252"/>
      <c r="W418" s="252"/>
      <c r="X418" s="252"/>
      <c r="Z418" s="423"/>
      <c r="AA418" s="423"/>
      <c r="AB418" s="423"/>
      <c r="AC418" s="423"/>
      <c r="AD418" s="423"/>
      <c r="AE418" s="423"/>
      <c r="AF418" s="423"/>
      <c r="AG418" s="423"/>
    </row>
    <row r="419" spans="1:33">
      <c r="A419" s="17">
        <f t="shared" si="49"/>
        <v>411</v>
      </c>
      <c r="E419" s="252"/>
      <c r="F419" s="252"/>
      <c r="G419" s="252"/>
      <c r="H419" s="252"/>
      <c r="I419" s="252"/>
      <c r="J419" s="252"/>
      <c r="K419" s="252"/>
      <c r="L419" s="252"/>
      <c r="M419" s="252"/>
      <c r="N419" s="252"/>
      <c r="P419" s="346"/>
      <c r="Q419" s="346"/>
      <c r="R419" s="252"/>
      <c r="S419" s="252"/>
      <c r="T419" s="252"/>
      <c r="U419" s="252"/>
      <c r="V419" s="252"/>
      <c r="W419" s="252"/>
      <c r="X419" s="252"/>
      <c r="Z419" s="423"/>
      <c r="AA419" s="423"/>
      <c r="AB419" s="423"/>
      <c r="AC419" s="423"/>
      <c r="AD419" s="423"/>
      <c r="AE419" s="423"/>
      <c r="AF419" s="423"/>
      <c r="AG419" s="423"/>
    </row>
    <row r="420" spans="1:33">
      <c r="A420" s="17">
        <f t="shared" si="49"/>
        <v>412</v>
      </c>
      <c r="B420" s="250" t="s">
        <v>378</v>
      </c>
      <c r="E420" s="255">
        <f t="shared" ref="E420:K420" si="50">E409+E404+E398+E382+E370+E365+E357+E348+E320</f>
        <v>3712.25</v>
      </c>
      <c r="F420" s="255">
        <f t="shared" si="50"/>
        <v>3900.3610906854874</v>
      </c>
      <c r="G420" s="255">
        <f t="shared" si="50"/>
        <v>3578.17104947599</v>
      </c>
      <c r="H420" s="255">
        <f t="shared" si="50"/>
        <v>3480.9988856999553</v>
      </c>
      <c r="I420" s="255">
        <f t="shared" si="50"/>
        <v>4289.1380967770383</v>
      </c>
      <c r="J420" s="255">
        <f t="shared" si="50"/>
        <v>4445.4238056738996</v>
      </c>
      <c r="K420" s="255">
        <f t="shared" si="50"/>
        <v>4268.41</v>
      </c>
      <c r="L420" s="254"/>
      <c r="M420" s="255">
        <f>M409+M404+M398+M382+M370+M365+M357+M348+M320</f>
        <v>4065</v>
      </c>
      <c r="N420" s="255">
        <f>N409+N404+N398+N382+N370+N365+N357+N348+N320</f>
        <v>4171</v>
      </c>
      <c r="P420" s="449">
        <v>3804</v>
      </c>
      <c r="Q420" s="449">
        <v>3865</v>
      </c>
      <c r="R420" s="252"/>
      <c r="S420" s="252"/>
      <c r="T420" s="252"/>
      <c r="U420" s="252"/>
      <c r="V420" s="252"/>
      <c r="W420" s="252"/>
      <c r="X420" s="252"/>
      <c r="Z420" s="423"/>
      <c r="AA420" s="423"/>
      <c r="AB420" s="423"/>
      <c r="AC420" s="423"/>
      <c r="AD420" s="423"/>
      <c r="AE420" s="423"/>
      <c r="AF420" s="423"/>
      <c r="AG420" s="423"/>
    </row>
    <row r="421" spans="1:33">
      <c r="A421" s="17">
        <f t="shared" si="49"/>
        <v>413</v>
      </c>
      <c r="E421" s="254"/>
      <c r="F421" s="254"/>
      <c r="G421" s="254"/>
      <c r="H421" s="254"/>
      <c r="I421" s="254"/>
      <c r="J421" s="254"/>
      <c r="K421" s="254"/>
      <c r="L421" s="254"/>
      <c r="M421" s="254"/>
      <c r="N421" s="254"/>
      <c r="P421" s="346"/>
      <c r="Q421" s="448"/>
      <c r="R421" s="252"/>
      <c r="S421" s="252"/>
      <c r="T421" s="252"/>
      <c r="U421" s="252"/>
      <c r="V421" s="252"/>
      <c r="W421" s="252"/>
      <c r="X421" s="252"/>
      <c r="Z421" s="423"/>
      <c r="AA421" s="423"/>
      <c r="AB421" s="423"/>
      <c r="AC421" s="423"/>
      <c r="AD421" s="423"/>
      <c r="AE421" s="423"/>
      <c r="AF421" s="423"/>
      <c r="AG421" s="423"/>
    </row>
    <row r="422" spans="1:33" ht="16" thickBot="1">
      <c r="A422" s="17">
        <f t="shared" si="49"/>
        <v>414</v>
      </c>
      <c r="B422" s="250" t="s">
        <v>379</v>
      </c>
      <c r="E422" s="256">
        <f t="shared" ref="E422:K422" si="51">E420+E314+E247+E221+E187+E78</f>
        <v>11140.84943</v>
      </c>
      <c r="F422" s="256">
        <f t="shared" si="51"/>
        <v>11883.474000685488</v>
      </c>
      <c r="G422" s="256">
        <f t="shared" si="51"/>
        <v>11113.415819475991</v>
      </c>
      <c r="H422" s="256">
        <f t="shared" si="51"/>
        <v>11104.350865699955</v>
      </c>
      <c r="I422" s="256">
        <f t="shared" si="51"/>
        <v>11965.641386777039</v>
      </c>
      <c r="J422" s="256">
        <f t="shared" si="51"/>
        <v>13813.570635673899</v>
      </c>
      <c r="K422" s="256">
        <f t="shared" si="51"/>
        <v>14793.63415</v>
      </c>
      <c r="L422" s="404"/>
      <c r="M422" s="256">
        <f>M420+M314+M247+M221+M187+M78</f>
        <v>14609</v>
      </c>
      <c r="N422" s="256">
        <f>N420+N314+N247+N221+N187+N78</f>
        <v>14862.82</v>
      </c>
      <c r="P422" s="456">
        <v>11630</v>
      </c>
      <c r="Q422" s="456">
        <v>11754</v>
      </c>
      <c r="R422" s="252"/>
      <c r="S422" s="252"/>
      <c r="T422" s="252"/>
      <c r="U422" s="252"/>
      <c r="V422" s="252"/>
      <c r="W422" s="252"/>
      <c r="X422" s="252"/>
      <c r="Z422" s="423"/>
      <c r="AA422" s="423"/>
      <c r="AB422" s="423"/>
      <c r="AC422" s="423"/>
      <c r="AD422" s="423"/>
      <c r="AE422" s="423"/>
      <c r="AF422" s="423"/>
      <c r="AG422" s="423"/>
    </row>
    <row r="423" spans="1:33" ht="16" thickTop="1">
      <c r="A423" s="17">
        <f t="shared" si="49"/>
        <v>415</v>
      </c>
      <c r="Q423" s="252"/>
    </row>
    <row r="424" spans="1:33">
      <c r="A424" s="17">
        <f t="shared" si="49"/>
        <v>416</v>
      </c>
      <c r="D424" s="248" t="s">
        <v>240</v>
      </c>
      <c r="E424" s="405">
        <f t="shared" ref="E424:K424" si="52">SUMIF($D$11:$D$408,$D424,E11:E408)</f>
        <v>5671</v>
      </c>
      <c r="F424" s="405">
        <f t="shared" si="52"/>
        <v>5643</v>
      </c>
      <c r="G424" s="405">
        <f t="shared" si="52"/>
        <v>6042</v>
      </c>
      <c r="H424" s="405">
        <f t="shared" si="52"/>
        <v>5917</v>
      </c>
      <c r="I424" s="405">
        <f t="shared" si="52"/>
        <v>6037</v>
      </c>
      <c r="J424" s="405">
        <f t="shared" si="52"/>
        <v>6266</v>
      </c>
      <c r="K424" s="405">
        <f t="shared" si="52"/>
        <v>6483</v>
      </c>
      <c r="L424" s="405"/>
      <c r="M424" s="405">
        <f>SUMIF($D$11:$D$408,$D424,M11:M408)</f>
        <v>7132.5</v>
      </c>
      <c r="N424" s="405">
        <f>SUMIF($D$11:$D$408,$D424,N11:N408)</f>
        <v>7294.92</v>
      </c>
      <c r="O424" s="405"/>
      <c r="P424" s="405"/>
      <c r="Q424" s="405"/>
      <c r="R424" s="405"/>
    </row>
    <row r="425" spans="1:33">
      <c r="A425" s="17">
        <f t="shared" si="49"/>
        <v>417</v>
      </c>
      <c r="D425" s="248" t="s">
        <v>84</v>
      </c>
      <c r="E425" s="406">
        <f t="shared" ref="E425:K425" si="53">SUMIF($D$11:$D$408,$D425,E11:E408)</f>
        <v>5469.8494300000002</v>
      </c>
      <c r="F425" s="406">
        <f t="shared" si="53"/>
        <v>6240.4740006854872</v>
      </c>
      <c r="G425" s="406">
        <f t="shared" si="53"/>
        <v>5071.4158194759902</v>
      </c>
      <c r="H425" s="406">
        <f t="shared" si="53"/>
        <v>5187.3508656999547</v>
      </c>
      <c r="I425" s="406">
        <f t="shared" si="53"/>
        <v>5928.6413867770389</v>
      </c>
      <c r="J425" s="406">
        <f t="shared" si="53"/>
        <v>7547.5706356738992</v>
      </c>
      <c r="K425" s="406">
        <f t="shared" si="53"/>
        <v>8310.6341499999999</v>
      </c>
      <c r="L425" s="405"/>
      <c r="M425" s="407">
        <f>SUMIF($D$11:$D$408,$D425,M11:M408)</f>
        <v>7476.5</v>
      </c>
      <c r="N425" s="407">
        <f>SUMIF($D$11:$D$408,$D425,N11:N408)</f>
        <v>7567.9000000000005</v>
      </c>
    </row>
    <row r="426" spans="1:33">
      <c r="A426" s="17">
        <f t="shared" si="49"/>
        <v>418</v>
      </c>
      <c r="D426" s="248" t="s">
        <v>85</v>
      </c>
      <c r="E426" s="405">
        <f t="shared" ref="E426:K426" si="54">SUM(E424:E425)</f>
        <v>11140.84943</v>
      </c>
      <c r="F426" s="405">
        <f t="shared" si="54"/>
        <v>11883.474000685488</v>
      </c>
      <c r="G426" s="405">
        <f t="shared" si="54"/>
        <v>11113.415819475991</v>
      </c>
      <c r="H426" s="405">
        <f t="shared" si="54"/>
        <v>11104.350865699955</v>
      </c>
      <c r="I426" s="405">
        <f t="shared" si="54"/>
        <v>11965.641386777039</v>
      </c>
      <c r="J426" s="405">
        <f t="shared" si="54"/>
        <v>13813.570635673899</v>
      </c>
      <c r="K426" s="405">
        <f t="shared" si="54"/>
        <v>14793.63415</v>
      </c>
      <c r="L426" s="405"/>
      <c r="M426" s="408">
        <f>SUM(M424:M425)</f>
        <v>14609</v>
      </c>
      <c r="N426" s="408">
        <f>SUM(N424:N425)</f>
        <v>14862.82</v>
      </c>
      <c r="O426" s="376"/>
      <c r="P426" s="464">
        <v>11630</v>
      </c>
      <c r="Q426" s="464">
        <v>11754</v>
      </c>
    </row>
    <row r="427" spans="1:33">
      <c r="A427" s="17"/>
      <c r="E427" s="405"/>
      <c r="F427" s="405"/>
      <c r="G427" s="405"/>
      <c r="H427" s="405"/>
      <c r="I427" s="405"/>
      <c r="J427" s="405"/>
      <c r="K427" s="405"/>
      <c r="L427" s="405"/>
      <c r="M427" s="405"/>
      <c r="N427" s="405"/>
    </row>
    <row r="428" spans="1:33">
      <c r="W428" s="393"/>
    </row>
    <row r="430" spans="1:33">
      <c r="E430" s="393"/>
      <c r="F430" s="393"/>
      <c r="G430" s="393"/>
      <c r="H430" s="393"/>
      <c r="I430" s="393"/>
      <c r="J430" s="393"/>
      <c r="K430" s="393"/>
      <c r="L430" s="393"/>
      <c r="M430" s="393"/>
      <c r="N430" s="393"/>
      <c r="O430" s="393"/>
    </row>
    <row r="431" spans="1:33">
      <c r="E431" s="393"/>
      <c r="F431" s="393"/>
      <c r="G431" s="393"/>
      <c r="H431" s="393"/>
      <c r="I431" s="393"/>
      <c r="J431" s="393"/>
      <c r="K431" s="393"/>
      <c r="L431" s="393"/>
      <c r="M431" s="393"/>
      <c r="N431" s="393"/>
      <c r="O431" s="393"/>
    </row>
    <row r="432" spans="1:33">
      <c r="E432" s="393"/>
      <c r="F432" s="393"/>
      <c r="G432" s="393"/>
      <c r="H432" s="393"/>
      <c r="I432" s="393"/>
      <c r="J432" s="393"/>
      <c r="K432" s="393"/>
      <c r="L432" s="393"/>
      <c r="M432" s="393"/>
      <c r="N432" s="393"/>
      <c r="O432" s="393"/>
    </row>
    <row r="433" spans="5:20">
      <c r="E433" s="393"/>
      <c r="F433" s="393"/>
      <c r="G433" s="393"/>
      <c r="H433" s="393"/>
      <c r="I433" s="393"/>
      <c r="J433" s="393"/>
      <c r="K433" s="393"/>
      <c r="L433" s="393"/>
      <c r="M433" s="393"/>
      <c r="N433" s="393"/>
      <c r="O433" s="393"/>
      <c r="P433" s="405"/>
      <c r="S433" s="252"/>
      <c r="T433" s="252"/>
    </row>
    <row r="434" spans="5:20">
      <c r="E434" s="393"/>
      <c r="F434" s="393"/>
      <c r="G434" s="393"/>
      <c r="H434" s="393"/>
      <c r="I434" s="393"/>
      <c r="J434" s="393"/>
      <c r="K434" s="393"/>
      <c r="L434" s="393"/>
      <c r="M434" s="393"/>
      <c r="N434" s="393"/>
      <c r="O434" s="393"/>
      <c r="P434" s="405"/>
      <c r="Q434" s="405"/>
    </row>
    <row r="435" spans="5:20">
      <c r="E435" s="252"/>
      <c r="F435" s="252"/>
      <c r="G435" s="252"/>
      <c r="H435" s="252"/>
      <c r="I435" s="252"/>
      <c r="J435" s="252"/>
      <c r="K435" s="252"/>
      <c r="L435" s="252"/>
      <c r="M435" s="252"/>
      <c r="N435" s="252"/>
      <c r="O435" s="252"/>
      <c r="P435" s="252"/>
      <c r="Q435" s="252"/>
    </row>
    <row r="436" spans="5:20">
      <c r="E436" s="435"/>
      <c r="F436" s="435"/>
      <c r="G436" s="435"/>
      <c r="H436" s="435"/>
      <c r="I436" s="435"/>
      <c r="J436" s="435"/>
      <c r="K436" s="435"/>
      <c r="M436" s="252"/>
    </row>
    <row r="437" spans="5:20">
      <c r="E437" s="252"/>
      <c r="F437" s="252"/>
      <c r="G437" s="252"/>
      <c r="H437" s="252"/>
      <c r="I437" s="252"/>
      <c r="J437" s="252"/>
      <c r="K437" s="252"/>
    </row>
    <row r="439" spans="5:20">
      <c r="E439" s="252"/>
      <c r="F439" s="252"/>
      <c r="G439" s="252"/>
      <c r="H439" s="252"/>
      <c r="I439" s="252"/>
      <c r="J439" s="252"/>
      <c r="K439" s="252"/>
      <c r="L439" s="252"/>
      <c r="M439" s="252"/>
      <c r="N439" s="252"/>
      <c r="O439" s="252"/>
      <c r="P439" s="252"/>
      <c r="Q439" s="252"/>
      <c r="R439" s="252"/>
      <c r="S439" s="252"/>
      <c r="T439" s="252"/>
    </row>
    <row r="440" spans="5:20">
      <c r="E440" s="252"/>
      <c r="F440" s="252"/>
      <c r="G440" s="252"/>
      <c r="H440" s="252"/>
      <c r="I440" s="252"/>
      <c r="J440" s="252"/>
      <c r="K440" s="252"/>
      <c r="L440" s="252"/>
      <c r="M440" s="252"/>
      <c r="N440" s="252"/>
      <c r="O440" s="252"/>
      <c r="P440" s="252"/>
      <c r="Q440" s="252"/>
      <c r="R440" s="252"/>
      <c r="S440" s="252"/>
      <c r="T440" s="252"/>
    </row>
    <row r="441" spans="5:20">
      <c r="E441" s="252"/>
      <c r="F441" s="252"/>
      <c r="G441" s="252"/>
      <c r="H441" s="252"/>
      <c r="I441" s="252"/>
      <c r="J441" s="252"/>
      <c r="K441" s="252"/>
      <c r="L441" s="252"/>
      <c r="M441" s="252"/>
      <c r="N441" s="252"/>
      <c r="O441" s="252"/>
      <c r="P441" s="252"/>
      <c r="Q441" s="252"/>
      <c r="R441" s="252"/>
      <c r="S441" s="252"/>
      <c r="T441" s="252"/>
    </row>
    <row r="442" spans="5:20">
      <c r="E442" s="252"/>
      <c r="F442" s="252"/>
      <c r="G442" s="252"/>
      <c r="H442" s="252"/>
      <c r="I442" s="252"/>
      <c r="J442" s="252"/>
      <c r="K442" s="252"/>
      <c r="L442" s="252"/>
      <c r="M442" s="252"/>
      <c r="N442" s="252"/>
      <c r="O442" s="252"/>
      <c r="P442" s="252"/>
      <c r="Q442" s="252"/>
      <c r="R442" s="252"/>
      <c r="S442" s="252"/>
      <c r="T442" s="252"/>
    </row>
    <row r="443" spans="5:20">
      <c r="E443" s="252"/>
      <c r="F443" s="252"/>
      <c r="G443" s="252"/>
      <c r="H443" s="252"/>
      <c r="I443" s="252"/>
      <c r="J443" s="252"/>
      <c r="K443" s="252"/>
      <c r="L443" s="252"/>
      <c r="M443" s="252"/>
      <c r="N443" s="252"/>
      <c r="O443" s="252"/>
      <c r="P443" s="252"/>
      <c r="Q443" s="252"/>
      <c r="R443" s="252"/>
      <c r="S443" s="252"/>
      <c r="T443" s="252"/>
    </row>
    <row r="444" spans="5:20">
      <c r="E444" s="252"/>
      <c r="F444" s="252"/>
      <c r="G444" s="252"/>
      <c r="H444" s="252"/>
      <c r="I444" s="252"/>
      <c r="J444" s="252"/>
      <c r="K444" s="252"/>
      <c r="L444" s="252"/>
      <c r="M444" s="252"/>
      <c r="N444" s="252"/>
      <c r="O444" s="252"/>
      <c r="P444" s="252"/>
      <c r="Q444" s="252"/>
      <c r="R444" s="252"/>
      <c r="S444" s="252"/>
      <c r="T444" s="252"/>
    </row>
    <row r="445" spans="5:20">
      <c r="E445" s="254"/>
      <c r="F445" s="254"/>
      <c r="G445" s="254"/>
      <c r="H445" s="254"/>
      <c r="I445" s="254"/>
      <c r="J445" s="254"/>
      <c r="K445" s="254"/>
      <c r="L445" s="254"/>
      <c r="M445" s="254"/>
      <c r="N445" s="254"/>
      <c r="O445" s="254"/>
      <c r="P445" s="254"/>
      <c r="Q445" s="254"/>
      <c r="R445" s="252"/>
      <c r="S445" s="252"/>
      <c r="T445" s="252"/>
    </row>
    <row r="446" spans="5:20">
      <c r="E446" s="252"/>
      <c r="F446" s="252"/>
      <c r="G446" s="252"/>
      <c r="H446" s="252"/>
      <c r="I446" s="252"/>
      <c r="J446" s="252"/>
      <c r="K446" s="252"/>
      <c r="L446" s="252"/>
      <c r="M446" s="252"/>
      <c r="N446" s="252"/>
      <c r="O446" s="252"/>
      <c r="P446" s="252"/>
      <c r="Q446" s="252"/>
      <c r="R446" s="252"/>
    </row>
    <row r="448" spans="5:20">
      <c r="F448" s="252"/>
    </row>
    <row r="450" spans="5:14">
      <c r="E450" s="424"/>
      <c r="F450" s="424"/>
      <c r="G450" s="424"/>
      <c r="H450" s="424"/>
      <c r="I450" s="424"/>
      <c r="J450" s="424"/>
      <c r="K450" s="424"/>
      <c r="L450" s="424"/>
      <c r="M450" s="424"/>
      <c r="N450" s="424"/>
    </row>
    <row r="451" spans="5:14">
      <c r="F451" s="425"/>
      <c r="G451" s="425"/>
      <c r="H451" s="425"/>
      <c r="I451" s="425"/>
      <c r="J451" s="425"/>
      <c r="K451" s="425"/>
      <c r="L451" s="425"/>
      <c r="M451" s="425"/>
      <c r="N451" s="425"/>
    </row>
    <row r="453" spans="5:14">
      <c r="M453" s="375"/>
      <c r="N453" s="375"/>
    </row>
    <row r="454" spans="5:14">
      <c r="M454" s="252"/>
      <c r="N454" s="252"/>
    </row>
    <row r="455" spans="5:14">
      <c r="M455" s="252"/>
      <c r="N455" s="252"/>
    </row>
    <row r="460" spans="5:14">
      <c r="G460" s="405"/>
      <c r="H460" s="405"/>
      <c r="I460" s="405"/>
      <c r="J460" s="405"/>
      <c r="K460" s="405"/>
      <c r="M460" s="405"/>
      <c r="N460" s="405"/>
    </row>
    <row r="461" spans="5:14">
      <c r="G461" s="405"/>
      <c r="H461" s="405"/>
      <c r="I461" s="405"/>
      <c r="J461" s="405"/>
      <c r="K461" s="405"/>
      <c r="M461" s="405"/>
      <c r="N461" s="405"/>
    </row>
    <row r="462" spans="5:14">
      <c r="G462" s="405"/>
      <c r="H462" s="405"/>
      <c r="I462" s="405"/>
      <c r="J462" s="405"/>
      <c r="K462" s="405"/>
      <c r="M462" s="405"/>
      <c r="N462" s="405"/>
    </row>
    <row r="463" spans="5:14">
      <c r="G463" s="405"/>
      <c r="H463" s="405"/>
      <c r="I463" s="405"/>
      <c r="J463" s="405"/>
      <c r="K463" s="405"/>
      <c r="M463" s="405"/>
      <c r="N463" s="405"/>
    </row>
    <row r="464" spans="5:14">
      <c r="G464" s="405"/>
      <c r="H464" s="405"/>
      <c r="I464" s="405"/>
      <c r="J464" s="405"/>
      <c r="K464" s="405"/>
      <c r="M464" s="405"/>
      <c r="N464" s="405"/>
    </row>
    <row r="465" spans="7:14">
      <c r="G465" s="405"/>
      <c r="H465" s="405"/>
      <c r="I465" s="405"/>
      <c r="J465" s="405"/>
      <c r="K465" s="405"/>
      <c r="M465" s="405"/>
      <c r="N465" s="405"/>
    </row>
    <row r="466" spans="7:14">
      <c r="G466" s="405"/>
      <c r="H466" s="405"/>
      <c r="I466" s="405"/>
      <c r="J466" s="405"/>
      <c r="K466" s="405"/>
    </row>
    <row r="467" spans="7:14">
      <c r="G467" s="405"/>
      <c r="H467" s="405"/>
      <c r="I467" s="405"/>
      <c r="J467" s="405"/>
      <c r="K467" s="405"/>
      <c r="M467" s="252"/>
      <c r="N467" s="252"/>
    </row>
    <row r="468" spans="7:14">
      <c r="G468" s="405"/>
      <c r="H468" s="405"/>
      <c r="I468" s="405"/>
      <c r="J468" s="405"/>
      <c r="K468" s="405"/>
      <c r="M468" s="252"/>
      <c r="N468" s="252"/>
    </row>
    <row r="469" spans="7:14">
      <c r="G469" s="405"/>
      <c r="H469" s="405"/>
      <c r="I469" s="405"/>
      <c r="J469" s="405"/>
      <c r="K469" s="405"/>
      <c r="M469" s="252"/>
      <c r="N469" s="252"/>
    </row>
    <row r="470" spans="7:14">
      <c r="M470" s="252"/>
      <c r="N470" s="252"/>
    </row>
    <row r="471" spans="7:14">
      <c r="M471" s="252"/>
      <c r="N471" s="252"/>
    </row>
    <row r="472" spans="7:14">
      <c r="M472" s="252"/>
      <c r="N472" s="252"/>
    </row>
    <row r="473" spans="7:14">
      <c r="M473" s="252"/>
    </row>
  </sheetData>
  <mergeCells count="6">
    <mergeCell ref="M7:N7"/>
    <mergeCell ref="E7:K7"/>
    <mergeCell ref="A1:Q1"/>
    <mergeCell ref="A2:Q2"/>
    <mergeCell ref="A4:Q4"/>
    <mergeCell ref="A5:Q5"/>
  </mergeCells>
  <printOptions horizontalCentered="1"/>
  <pageMargins left="0.5" right="0.5" top="0.75" bottom="0.75" header="0.3" footer="0.3"/>
  <pageSetup scale="55" fitToHeight="0" orientation="landscape" useFirstPageNumber="1" r:id="rId1"/>
  <headerFooter scaleWithDoc="0" alignWithMargins="0">
    <oddHeader>&amp;R&amp;"Arial,Bold"Schedule 5.1-2
Page &amp;P of 6</oddHeader>
  </headerFooter>
  <rowBreaks count="9" manualBreakCount="9">
    <brk id="49" max="16" man="1"/>
    <brk id="92" max="16" man="1"/>
    <brk id="133" max="16" man="1"/>
    <brk id="174" max="16" man="1"/>
    <brk id="222" max="16" man="1"/>
    <brk id="265" max="16" man="1"/>
    <brk id="315" max="16" man="1"/>
    <brk id="362" max="16" man="1"/>
    <brk id="405" max="16" man="1"/>
  </rowBreaks>
  <ignoredErrors>
    <ignoredError sqref="A5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pageSetUpPr fitToPage="1"/>
  </sheetPr>
  <dimension ref="A1:V34"/>
  <sheetViews>
    <sheetView zoomScale="80" zoomScaleNormal="80" zoomScaleSheetLayoutView="100" workbookViewId="0">
      <selection activeCell="D32" sqref="D32"/>
    </sheetView>
  </sheetViews>
  <sheetFormatPr defaultColWidth="7.54296875" defaultRowHeight="12.5"/>
  <cols>
    <col min="1" max="1" width="7.81640625" style="9" bestFit="1" customWidth="1"/>
    <col min="2" max="2" width="2.1796875" style="9" customWidth="1"/>
    <col min="3" max="3" width="49" style="9" customWidth="1"/>
    <col min="4" max="4" width="22" style="9" customWidth="1"/>
    <col min="5" max="5" width="45.7265625" style="9" bestFit="1" customWidth="1"/>
    <col min="6" max="6" width="8" style="32" bestFit="1" customWidth="1"/>
    <col min="7" max="7" width="3" style="32" customWidth="1"/>
    <col min="8" max="8" width="9" style="9" bestFit="1" customWidth="1"/>
    <col min="9" max="9" width="11.453125" style="9" customWidth="1"/>
    <col min="10" max="10" width="9" style="9" bestFit="1" customWidth="1"/>
    <col min="11" max="14" width="8.54296875" style="9" bestFit="1" customWidth="1"/>
    <col min="15" max="15" width="2" style="9" customWidth="1"/>
    <col min="16" max="17" width="12.7265625" style="9" customWidth="1"/>
    <col min="18" max="18" width="2.1796875" style="9" customWidth="1"/>
    <col min="19" max="19" width="12.7265625" style="9" customWidth="1"/>
    <col min="20" max="20" width="2.1796875" style="9" customWidth="1"/>
    <col min="21" max="21" width="12.7265625" style="9" customWidth="1"/>
    <col min="22" max="22" width="2.1796875" style="9" customWidth="1"/>
    <col min="23" max="16384" width="7.54296875" style="9"/>
  </cols>
  <sheetData>
    <row r="1" spans="1:22" ht="15.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235"/>
    </row>
    <row r="2" spans="1:22" ht="15.5">
      <c r="A2" s="14" t="str">
        <f>'S1.1'!A2</f>
        <v>2023 - 2024 General Rate Application (GRA)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235"/>
    </row>
    <row r="3" spans="1:22" ht="15.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235"/>
    </row>
    <row r="4" spans="1:22" ht="15.5">
      <c r="A4" s="14" t="s">
        <v>380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2" s="8" customFormat="1" ht="15.5">
      <c r="A5" s="344" t="s">
        <v>6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</row>
    <row r="6" spans="1:22" s="8" customFormat="1" ht="15.5">
      <c r="A6" s="14"/>
      <c r="B6" s="14"/>
      <c r="C6" s="14"/>
      <c r="D6" s="14"/>
      <c r="E6" s="14"/>
      <c r="F6" s="14"/>
      <c r="G6" s="14"/>
    </row>
    <row r="7" spans="1:22" s="8" customFormat="1" ht="15.5">
      <c r="A7" s="6" t="s">
        <v>7</v>
      </c>
      <c r="B7" s="6"/>
      <c r="C7" s="6"/>
      <c r="D7" s="6"/>
      <c r="E7" s="6"/>
      <c r="F7" s="6" t="s">
        <v>8</v>
      </c>
      <c r="G7" s="6"/>
      <c r="H7" s="519" t="s">
        <v>9</v>
      </c>
      <c r="I7" s="519"/>
      <c r="J7" s="519"/>
      <c r="K7" s="519"/>
      <c r="L7" s="519"/>
      <c r="M7" s="519"/>
      <c r="N7" s="519"/>
      <c r="O7" s="6"/>
      <c r="P7" s="519" t="s">
        <v>10</v>
      </c>
      <c r="Q7" s="519"/>
      <c r="R7" s="519"/>
      <c r="S7" s="519" t="s">
        <v>11</v>
      </c>
      <c r="T7" s="519"/>
      <c r="U7" s="519"/>
    </row>
    <row r="8" spans="1:22" s="8" customFormat="1" ht="15.5">
      <c r="A8" s="7" t="s">
        <v>12</v>
      </c>
      <c r="B8" s="6"/>
      <c r="C8" s="7" t="s">
        <v>381</v>
      </c>
      <c r="D8" s="137" t="s">
        <v>382</v>
      </c>
      <c r="E8" s="137" t="s">
        <v>383</v>
      </c>
      <c r="F8" s="7" t="s">
        <v>14</v>
      </c>
      <c r="G8" s="6"/>
      <c r="H8" s="7">
        <v>2016</v>
      </c>
      <c r="I8" s="7">
        <v>2017</v>
      </c>
      <c r="J8" s="7">
        <v>2018</v>
      </c>
      <c r="K8" s="7">
        <v>2019</v>
      </c>
      <c r="L8" s="7">
        <v>2020</v>
      </c>
      <c r="M8" s="7">
        <v>2021</v>
      </c>
      <c r="N8" s="7">
        <v>2022</v>
      </c>
      <c r="O8" s="6"/>
      <c r="P8" s="7">
        <v>2023</v>
      </c>
      <c r="Q8" s="7">
        <v>2024</v>
      </c>
      <c r="R8" s="7"/>
      <c r="S8" s="7">
        <v>2016</v>
      </c>
      <c r="T8" s="7"/>
      <c r="U8" s="7">
        <v>2017</v>
      </c>
    </row>
    <row r="9" spans="1:22" s="8" customFormat="1" ht="15.5">
      <c r="A9" s="16"/>
      <c r="B9" s="16"/>
      <c r="C9" s="16"/>
      <c r="D9" s="17"/>
      <c r="E9" s="16"/>
      <c r="F9" s="17"/>
      <c r="G9" s="17"/>
    </row>
    <row r="10" spans="1:22" s="8" customFormat="1" ht="15.5">
      <c r="A10" s="17">
        <v>1</v>
      </c>
      <c r="B10" s="16"/>
      <c r="C10" s="78" t="s">
        <v>384</v>
      </c>
      <c r="D10" s="44"/>
      <c r="E10" s="16"/>
      <c r="F10" s="17"/>
      <c r="G10" s="17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</row>
    <row r="11" spans="1:22" s="8" customFormat="1" ht="15.5">
      <c r="A11" s="17">
        <f t="shared" ref="A11:A14" si="0">A10+1</f>
        <v>2</v>
      </c>
      <c r="B11" s="16"/>
      <c r="C11" s="36" t="s">
        <v>385</v>
      </c>
      <c r="D11" s="44" t="s">
        <v>386</v>
      </c>
      <c r="E11" s="16" t="s">
        <v>387</v>
      </c>
      <c r="F11" s="17"/>
      <c r="G11" s="17"/>
      <c r="H11" s="66">
        <v>36</v>
      </c>
      <c r="I11" s="66">
        <v>24.46</v>
      </c>
      <c r="J11" s="66">
        <v>0</v>
      </c>
      <c r="K11" s="66">
        <v>15</v>
      </c>
      <c r="L11" s="66">
        <v>0</v>
      </c>
      <c r="M11" s="66">
        <v>0</v>
      </c>
      <c r="N11" s="66">
        <v>0</v>
      </c>
      <c r="O11" s="69"/>
      <c r="P11" s="66">
        <v>0</v>
      </c>
      <c r="Q11" s="66">
        <v>0</v>
      </c>
      <c r="R11" s="66"/>
      <c r="S11" s="66">
        <v>48.103647100000011</v>
      </c>
      <c r="T11" s="66"/>
      <c r="U11" s="66">
        <v>49</v>
      </c>
    </row>
    <row r="12" spans="1:22" s="8" customFormat="1" ht="15.5">
      <c r="A12" s="17">
        <f t="shared" si="0"/>
        <v>3</v>
      </c>
      <c r="B12" s="16"/>
      <c r="C12" s="36" t="s">
        <v>173</v>
      </c>
      <c r="D12" s="44" t="s">
        <v>386</v>
      </c>
      <c r="E12" s="16" t="s">
        <v>388</v>
      </c>
      <c r="F12" s="17"/>
      <c r="G12" s="17"/>
      <c r="H12" s="66">
        <v>4.7</v>
      </c>
      <c r="I12" s="66"/>
      <c r="J12" s="66">
        <v>7.2</v>
      </c>
      <c r="K12" s="66">
        <v>26</v>
      </c>
      <c r="L12" s="66">
        <v>27</v>
      </c>
      <c r="M12" s="66">
        <v>51.9</v>
      </c>
      <c r="N12" s="66">
        <v>31.7</v>
      </c>
      <c r="O12" s="69"/>
      <c r="P12" s="66">
        <v>32</v>
      </c>
      <c r="Q12" s="66">
        <v>32</v>
      </c>
      <c r="R12" s="66"/>
      <c r="S12" s="66">
        <v>59.251779999999997</v>
      </c>
      <c r="T12" s="66"/>
      <c r="U12" s="66">
        <v>60</v>
      </c>
    </row>
    <row r="13" spans="1:22" s="8" customFormat="1" ht="15.5">
      <c r="A13" s="17">
        <f t="shared" si="0"/>
        <v>4</v>
      </c>
      <c r="B13" s="16"/>
      <c r="C13" s="36" t="s">
        <v>209</v>
      </c>
      <c r="D13" s="44" t="s">
        <v>389</v>
      </c>
      <c r="E13" s="16" t="s">
        <v>390</v>
      </c>
      <c r="F13" s="17"/>
      <c r="G13" s="17"/>
      <c r="H13" s="66"/>
      <c r="I13" s="66"/>
      <c r="J13" s="66"/>
      <c r="K13" s="66">
        <v>15</v>
      </c>
      <c r="L13" s="66">
        <v>22.234920000000002</v>
      </c>
      <c r="M13" s="66">
        <v>22.234920000000002</v>
      </c>
      <c r="N13" s="66">
        <v>14</v>
      </c>
      <c r="O13" s="69"/>
      <c r="P13" s="66">
        <v>20.850613333333335</v>
      </c>
      <c r="Q13" s="66">
        <v>20.850613333333335</v>
      </c>
      <c r="R13" s="66"/>
      <c r="S13" s="66">
        <v>23.7543544</v>
      </c>
      <c r="T13" s="66"/>
      <c r="U13" s="66">
        <v>24.466985032</v>
      </c>
    </row>
    <row r="14" spans="1:22" s="8" customFormat="1" ht="15.5">
      <c r="A14" s="17">
        <f t="shared" si="0"/>
        <v>5</v>
      </c>
      <c r="B14" s="16"/>
      <c r="C14" s="36" t="s">
        <v>391</v>
      </c>
      <c r="D14" s="44" t="s">
        <v>389</v>
      </c>
      <c r="E14" s="16" t="s">
        <v>392</v>
      </c>
      <c r="F14" s="17"/>
      <c r="G14" s="17"/>
      <c r="H14" s="66"/>
      <c r="I14" s="66">
        <v>0</v>
      </c>
      <c r="J14" s="66">
        <v>0</v>
      </c>
      <c r="K14" s="66">
        <v>0</v>
      </c>
      <c r="L14" s="66">
        <v>0</v>
      </c>
      <c r="M14" s="66">
        <v>0</v>
      </c>
      <c r="N14" s="66">
        <v>0</v>
      </c>
      <c r="O14" s="69"/>
      <c r="P14" s="66">
        <v>0</v>
      </c>
      <c r="Q14" s="66">
        <v>0</v>
      </c>
      <c r="R14" s="66"/>
      <c r="S14" s="66">
        <v>5.6888033</v>
      </c>
      <c r="T14" s="66"/>
      <c r="U14" s="66">
        <v>5.8594673990000006</v>
      </c>
    </row>
    <row r="15" spans="1:22" s="8" customFormat="1" ht="15.5">
      <c r="A15" s="17">
        <f t="shared" ref="A15:A27" si="1">A14+1</f>
        <v>6</v>
      </c>
      <c r="B15" s="16"/>
      <c r="C15" s="36" t="s">
        <v>211</v>
      </c>
      <c r="D15" s="44" t="s">
        <v>386</v>
      </c>
      <c r="E15" s="16" t="s">
        <v>393</v>
      </c>
      <c r="F15" s="17"/>
      <c r="G15" s="17"/>
      <c r="H15" s="66">
        <v>87.261789999999991</v>
      </c>
      <c r="I15" s="66">
        <v>68</v>
      </c>
      <c r="J15" s="66">
        <v>60</v>
      </c>
      <c r="K15" s="66">
        <v>79.8</v>
      </c>
      <c r="L15" s="66">
        <v>79.8</v>
      </c>
      <c r="M15" s="66">
        <v>46.161600000000007</v>
      </c>
      <c r="N15" s="66">
        <v>42</v>
      </c>
      <c r="O15" s="69"/>
      <c r="P15" s="66">
        <v>64.32053333333333</v>
      </c>
      <c r="Q15" s="66">
        <v>64.32053333333333</v>
      </c>
      <c r="R15" s="66"/>
      <c r="S15" s="66">
        <v>73</v>
      </c>
      <c r="T15" s="66"/>
      <c r="U15" s="66">
        <v>74</v>
      </c>
    </row>
    <row r="16" spans="1:22" s="8" customFormat="1" ht="15.5">
      <c r="A16" s="17">
        <f t="shared" si="1"/>
        <v>7</v>
      </c>
      <c r="B16" s="16"/>
      <c r="C16" s="36"/>
      <c r="D16" s="44"/>
      <c r="E16" s="16"/>
      <c r="F16" s="17"/>
      <c r="G16" s="17"/>
      <c r="H16" s="66"/>
      <c r="I16" s="66"/>
      <c r="J16" s="66"/>
      <c r="K16" s="66"/>
      <c r="L16" s="66"/>
      <c r="M16" s="66"/>
      <c r="N16" s="66"/>
      <c r="O16" s="69"/>
      <c r="P16" s="66"/>
      <c r="Q16" s="66"/>
      <c r="R16" s="66"/>
      <c r="S16" s="66"/>
      <c r="T16" s="66"/>
      <c r="U16" s="66"/>
    </row>
    <row r="17" spans="1:22" s="8" customFormat="1" ht="15.5">
      <c r="A17" s="17">
        <f t="shared" si="1"/>
        <v>8</v>
      </c>
      <c r="B17" s="16"/>
      <c r="C17" s="78" t="s">
        <v>394</v>
      </c>
      <c r="D17" s="44"/>
      <c r="E17" s="16"/>
      <c r="F17" s="17"/>
      <c r="G17" s="17"/>
      <c r="H17" s="66"/>
      <c r="I17" s="66"/>
      <c r="J17" s="66"/>
      <c r="K17" s="66"/>
      <c r="L17" s="66"/>
      <c r="M17" s="66"/>
      <c r="N17" s="66"/>
      <c r="O17" s="69"/>
      <c r="P17" s="66"/>
      <c r="Q17" s="66"/>
      <c r="R17" s="66"/>
      <c r="S17" s="66"/>
      <c r="T17" s="66"/>
      <c r="U17" s="66"/>
    </row>
    <row r="18" spans="1:22" s="8" customFormat="1" ht="15.5">
      <c r="A18" s="17">
        <f t="shared" si="1"/>
        <v>9</v>
      </c>
      <c r="B18" s="16"/>
      <c r="C18" s="36" t="s">
        <v>391</v>
      </c>
      <c r="D18" s="44" t="s">
        <v>386</v>
      </c>
      <c r="E18" s="16" t="s">
        <v>395</v>
      </c>
      <c r="H18" s="66">
        <v>31</v>
      </c>
      <c r="I18" s="66">
        <v>112</v>
      </c>
      <c r="J18" s="66">
        <v>127</v>
      </c>
      <c r="K18" s="66">
        <v>127</v>
      </c>
      <c r="L18" s="66">
        <v>127</v>
      </c>
      <c r="M18" s="66">
        <v>113</v>
      </c>
      <c r="N18" s="66">
        <v>118</v>
      </c>
      <c r="O18" s="69"/>
      <c r="P18" s="66">
        <v>121</v>
      </c>
      <c r="Q18" s="66">
        <v>112</v>
      </c>
      <c r="R18" s="66"/>
      <c r="S18" s="66">
        <v>145.84676400000001</v>
      </c>
      <c r="T18" s="66"/>
      <c r="U18" s="66">
        <v>149</v>
      </c>
    </row>
    <row r="19" spans="1:22" s="8" customFormat="1" ht="15.5">
      <c r="A19" s="17">
        <f t="shared" si="1"/>
        <v>10</v>
      </c>
      <c r="B19" s="16"/>
      <c r="C19" s="36" t="s">
        <v>391</v>
      </c>
      <c r="D19" s="44" t="s">
        <v>386</v>
      </c>
      <c r="E19" s="16" t="s">
        <v>396</v>
      </c>
      <c r="H19" s="66">
        <v>0</v>
      </c>
      <c r="I19" s="66">
        <v>0</v>
      </c>
      <c r="J19" s="66">
        <v>0</v>
      </c>
      <c r="K19" s="66">
        <v>0</v>
      </c>
      <c r="L19" s="66">
        <v>0</v>
      </c>
      <c r="M19" s="66">
        <v>0</v>
      </c>
      <c r="N19" s="66">
        <v>0</v>
      </c>
      <c r="O19" s="69"/>
      <c r="P19" s="66">
        <v>0</v>
      </c>
      <c r="Q19" s="66">
        <v>0</v>
      </c>
      <c r="R19" s="66"/>
      <c r="S19" s="66">
        <v>40.3272051</v>
      </c>
      <c r="T19" s="66"/>
      <c r="U19" s="66">
        <v>41</v>
      </c>
    </row>
    <row r="20" spans="1:22" s="8" customFormat="1" ht="15.5">
      <c r="A20" s="17">
        <f t="shared" si="1"/>
        <v>11</v>
      </c>
      <c r="B20" s="16"/>
      <c r="C20" s="36" t="s">
        <v>391</v>
      </c>
      <c r="D20" s="44" t="s">
        <v>386</v>
      </c>
      <c r="E20" s="16" t="s">
        <v>397</v>
      </c>
      <c r="H20" s="66">
        <f>611-155</f>
        <v>456</v>
      </c>
      <c r="I20" s="66">
        <f>687-68-10-115</f>
        <v>494</v>
      </c>
      <c r="J20" s="66">
        <v>413</v>
      </c>
      <c r="K20" s="66">
        <v>428</v>
      </c>
      <c r="L20" s="66">
        <v>410</v>
      </c>
      <c r="M20" s="66">
        <v>397</v>
      </c>
      <c r="N20" s="66">
        <v>241</v>
      </c>
      <c r="O20" s="69"/>
      <c r="P20" s="66">
        <v>697</v>
      </c>
      <c r="Q20" s="66">
        <v>792</v>
      </c>
      <c r="R20" s="66"/>
      <c r="S20" s="66">
        <v>554</v>
      </c>
      <c r="T20" s="66"/>
      <c r="U20" s="66">
        <v>565</v>
      </c>
    </row>
    <row r="21" spans="1:22" s="8" customFormat="1" ht="15.5">
      <c r="A21" s="17">
        <f t="shared" si="1"/>
        <v>12</v>
      </c>
      <c r="B21" s="16"/>
      <c r="C21" s="36" t="s">
        <v>391</v>
      </c>
      <c r="D21" s="44" t="s">
        <v>386</v>
      </c>
      <c r="E21" s="16" t="s">
        <v>398</v>
      </c>
      <c r="H21" s="66">
        <v>155</v>
      </c>
      <c r="I21" s="66">
        <v>115</v>
      </c>
      <c r="J21" s="66">
        <v>8.1999999999999993</v>
      </c>
      <c r="K21" s="66">
        <v>7</v>
      </c>
      <c r="L21" s="66">
        <v>7.4</v>
      </c>
      <c r="M21" s="66">
        <v>0</v>
      </c>
      <c r="N21" s="66">
        <v>0</v>
      </c>
      <c r="O21" s="69"/>
      <c r="P21" s="66">
        <v>0</v>
      </c>
      <c r="Q21" s="66">
        <v>0</v>
      </c>
      <c r="R21" s="69"/>
      <c r="S21" s="69">
        <v>114</v>
      </c>
      <c r="T21" s="69"/>
      <c r="U21" s="69">
        <v>116</v>
      </c>
      <c r="V21" s="68" t="s">
        <v>156</v>
      </c>
    </row>
    <row r="22" spans="1:22" s="8" customFormat="1" ht="15.5">
      <c r="A22" s="17">
        <f t="shared" si="1"/>
        <v>13</v>
      </c>
      <c r="B22" s="16"/>
      <c r="C22" s="36" t="s">
        <v>399</v>
      </c>
      <c r="D22" s="44" t="s">
        <v>386</v>
      </c>
      <c r="E22" s="16" t="s">
        <v>400</v>
      </c>
      <c r="H22" s="66">
        <v>0</v>
      </c>
      <c r="I22" s="66">
        <v>0</v>
      </c>
      <c r="J22" s="66">
        <v>24.9</v>
      </c>
      <c r="K22" s="66">
        <v>52.116</v>
      </c>
      <c r="L22" s="66">
        <v>52.116</v>
      </c>
      <c r="M22" s="66">
        <v>56.8</v>
      </c>
      <c r="N22" s="66">
        <v>0</v>
      </c>
      <c r="O22" s="69"/>
      <c r="P22" s="66"/>
      <c r="Q22" s="66"/>
      <c r="R22" s="69"/>
      <c r="S22" s="69"/>
      <c r="T22" s="69"/>
      <c r="U22" s="69"/>
      <c r="V22" s="68"/>
    </row>
    <row r="23" spans="1:22" s="8" customFormat="1" ht="15.5">
      <c r="A23" s="17">
        <f t="shared" si="1"/>
        <v>14</v>
      </c>
      <c r="B23" s="16"/>
      <c r="C23" s="36"/>
      <c r="D23" s="44"/>
      <c r="E23" s="80" t="s">
        <v>401</v>
      </c>
      <c r="F23" s="81" t="s">
        <v>156</v>
      </c>
      <c r="G23" s="41"/>
      <c r="H23" s="141">
        <f t="shared" ref="H23:N23" si="2">SUM(H18:H22)</f>
        <v>642</v>
      </c>
      <c r="I23" s="141">
        <f>SUM(I18:I22)</f>
        <v>721</v>
      </c>
      <c r="J23" s="141">
        <f>SUM(J18:J22)</f>
        <v>573.1</v>
      </c>
      <c r="K23" s="141">
        <f t="shared" si="2"/>
        <v>614.11599999999999</v>
      </c>
      <c r="L23" s="141">
        <f t="shared" si="2"/>
        <v>596.51599999999996</v>
      </c>
      <c r="M23" s="141">
        <f t="shared" si="2"/>
        <v>566.79999999999995</v>
      </c>
      <c r="N23" s="141">
        <f t="shared" si="2"/>
        <v>359</v>
      </c>
      <c r="O23" s="69"/>
      <c r="P23" s="141">
        <f>SUM(P18:P21)</f>
        <v>818</v>
      </c>
      <c r="Q23" s="141">
        <f>SUM(Q18:Q21)</f>
        <v>904</v>
      </c>
      <c r="R23" s="141"/>
      <c r="S23" s="141">
        <f>SUM(S18:S21)</f>
        <v>854.17396910000002</v>
      </c>
      <c r="T23" s="141"/>
      <c r="U23" s="141">
        <v>870</v>
      </c>
    </row>
    <row r="24" spans="1:22" s="8" customFormat="1" ht="15" customHeight="1">
      <c r="A24" s="17">
        <f t="shared" si="1"/>
        <v>15</v>
      </c>
      <c r="B24" s="16"/>
      <c r="C24" s="36"/>
      <c r="D24" s="44"/>
      <c r="E24" s="80"/>
      <c r="F24" s="6"/>
      <c r="G24" s="41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</row>
    <row r="25" spans="1:22" s="8" customFormat="1" ht="15" customHeight="1">
      <c r="A25" s="17">
        <f t="shared" si="1"/>
        <v>16</v>
      </c>
      <c r="B25" s="16"/>
      <c r="C25" s="36" t="s">
        <v>391</v>
      </c>
      <c r="D25" s="44" t="s">
        <v>386</v>
      </c>
      <c r="E25" s="16" t="s">
        <v>402</v>
      </c>
      <c r="F25" s="17"/>
      <c r="G25" s="41"/>
      <c r="H25" s="69">
        <v>10</v>
      </c>
      <c r="I25" s="69">
        <v>10</v>
      </c>
      <c r="J25" s="69">
        <v>3</v>
      </c>
      <c r="K25" s="69">
        <v>3</v>
      </c>
      <c r="L25" s="69">
        <v>5</v>
      </c>
      <c r="M25" s="69">
        <v>3</v>
      </c>
      <c r="N25" s="69">
        <v>3</v>
      </c>
      <c r="O25" s="69"/>
      <c r="P25" s="69">
        <v>3</v>
      </c>
      <c r="Q25" s="69">
        <v>5</v>
      </c>
      <c r="R25" s="69"/>
      <c r="S25" s="69">
        <v>3.09</v>
      </c>
      <c r="T25" s="69"/>
      <c r="U25" s="69">
        <v>3.1827000000000001</v>
      </c>
    </row>
    <row r="26" spans="1:22" s="8" customFormat="1" ht="15" customHeight="1">
      <c r="A26" s="17">
        <f t="shared" si="1"/>
        <v>17</v>
      </c>
      <c r="B26" s="16"/>
      <c r="C26" s="36"/>
      <c r="D26" s="17"/>
      <c r="E26" s="16"/>
      <c r="F26" s="17"/>
      <c r="G26" s="41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</row>
    <row r="27" spans="1:22" s="8" customFormat="1" ht="15" customHeight="1" thickBot="1">
      <c r="A27" s="17">
        <f t="shared" si="1"/>
        <v>18</v>
      </c>
      <c r="B27" s="16"/>
      <c r="C27" s="16" t="s">
        <v>403</v>
      </c>
      <c r="D27" s="36"/>
      <c r="E27" s="36"/>
      <c r="F27" s="17"/>
      <c r="G27" s="41"/>
      <c r="H27" s="73">
        <f t="shared" ref="H27:N27" si="3">+H23+H14+H13+H12+H11+H25+H15</f>
        <v>779.96179000000006</v>
      </c>
      <c r="I27" s="73">
        <f t="shared" si="3"/>
        <v>823.46</v>
      </c>
      <c r="J27" s="73">
        <f t="shared" si="3"/>
        <v>643.30000000000007</v>
      </c>
      <c r="K27" s="73">
        <f t="shared" si="3"/>
        <v>752.91599999999994</v>
      </c>
      <c r="L27" s="73">
        <f>+L23+L14+L13+L12+L11+L25+L15</f>
        <v>730.55091999999991</v>
      </c>
      <c r="M27" s="73">
        <f t="shared" si="3"/>
        <v>690.09651999999994</v>
      </c>
      <c r="N27" s="73">
        <f t="shared" si="3"/>
        <v>449.7</v>
      </c>
      <c r="O27" s="69"/>
      <c r="P27" s="73">
        <f>+P23+P14+P13+P12+P11+P25+P15</f>
        <v>938.17114666666657</v>
      </c>
      <c r="Q27" s="73">
        <f>+Q23+Q14+Q13+Q12+Q11+Q25+Q15</f>
        <v>1026.1711466666666</v>
      </c>
      <c r="R27" s="73">
        <f>+R23+R14+R13+R12+R11+R25+R15</f>
        <v>0</v>
      </c>
      <c r="S27" s="73">
        <f>+S23+S14+S13+S12+S11+S25+S15</f>
        <v>1067.0625539000002</v>
      </c>
      <c r="T27" s="69"/>
      <c r="U27" s="73">
        <f>+U23+U14+U13+U12+U11+U25+U15</f>
        <v>1086.5091524310001</v>
      </c>
      <c r="V27" s="68" t="s">
        <v>156</v>
      </c>
    </row>
    <row r="28" spans="1:22" s="8" customFormat="1" ht="15" customHeight="1" thickTop="1">
      <c r="A28" s="17"/>
      <c r="B28" s="16"/>
      <c r="C28" s="16"/>
      <c r="D28" s="36"/>
      <c r="E28" s="36"/>
      <c r="F28" s="17"/>
      <c r="G28" s="41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</row>
    <row r="29" spans="1:22" s="8" customFormat="1" ht="15" customHeight="1">
      <c r="A29" s="17"/>
      <c r="B29" s="16"/>
      <c r="C29" s="16"/>
      <c r="D29" s="36"/>
      <c r="E29" s="36"/>
      <c r="F29" s="17"/>
      <c r="G29" s="41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</row>
    <row r="30" spans="1:22" s="8" customFormat="1" ht="15" customHeight="1">
      <c r="A30" s="17"/>
      <c r="B30" s="16"/>
      <c r="C30" s="16"/>
      <c r="D30" s="36"/>
      <c r="E30" s="36"/>
      <c r="F30" s="17"/>
      <c r="G30" s="17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</row>
    <row r="31" spans="1:22" s="8" customFormat="1" ht="15" customHeight="1">
      <c r="A31" s="17"/>
      <c r="B31" s="16"/>
      <c r="C31" s="16"/>
      <c r="D31" s="36"/>
      <c r="E31" s="36"/>
      <c r="F31" s="17"/>
      <c r="G31" s="17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</row>
    <row r="33" spans="14:16">
      <c r="P33" s="439"/>
    </row>
    <row r="34" spans="14:16">
      <c r="N34" s="312"/>
      <c r="P34" s="439"/>
    </row>
  </sheetData>
  <mergeCells count="3">
    <mergeCell ref="S7:U7"/>
    <mergeCell ref="H7:N7"/>
    <mergeCell ref="P7:R7"/>
  </mergeCells>
  <printOptions horizontalCentered="1"/>
  <pageMargins left="0.5" right="0.5" top="0.75" bottom="0.75" header="0.5" footer="0.5"/>
  <pageSetup scale="50" orientation="landscape" useFirstPageNumber="1" r:id="rId1"/>
  <headerFooter alignWithMargins="0">
    <oddHeader>&amp;R&amp;"Arial,Bold"Schedule 5.3
Page &amp;P of 1</oddHeader>
  </headerFooter>
  <ignoredErrors>
    <ignoredError sqref="A5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pageSetUpPr fitToPage="1"/>
  </sheetPr>
  <dimension ref="A1:V36"/>
  <sheetViews>
    <sheetView zoomScaleNormal="100" zoomScaleSheetLayoutView="100" workbookViewId="0">
      <pane xSplit="4" ySplit="9" topLeftCell="E10" activePane="bottomRight" state="frozen"/>
      <selection pane="topRight" activeCell="N52" sqref="N52"/>
      <selection pane="bottomLeft" activeCell="N52" sqref="N52"/>
      <selection pane="bottomRight" activeCell="G24" sqref="G24"/>
    </sheetView>
  </sheetViews>
  <sheetFormatPr defaultColWidth="9" defaultRowHeight="12.5"/>
  <cols>
    <col min="1" max="1" width="6" style="145" bestFit="1" customWidth="1"/>
    <col min="2" max="2" width="37.54296875" style="145" bestFit="1" customWidth="1"/>
    <col min="3" max="3" width="2.1796875" style="145" customWidth="1"/>
    <col min="4" max="4" width="20.453125" style="145" bestFit="1" customWidth="1"/>
    <col min="5" max="5" width="8.81640625" style="145" bestFit="1" customWidth="1"/>
    <col min="6" max="6" width="8.54296875" style="145" customWidth="1"/>
    <col min="7" max="11" width="12.7265625" style="145" customWidth="1"/>
    <col min="12" max="12" width="2" style="145" customWidth="1"/>
    <col min="13" max="14" width="12.7265625" style="145" customWidth="1"/>
    <col min="15" max="15" width="2.1796875" style="145" customWidth="1"/>
    <col min="16" max="17" width="12.7265625" style="145" customWidth="1"/>
    <col min="18" max="18" width="2.1796875" style="145" customWidth="1"/>
    <col min="19" max="16384" width="9" style="145"/>
  </cols>
  <sheetData>
    <row r="1" spans="1:22" s="16" customFormat="1" ht="15.5">
      <c r="A1" s="520" t="s">
        <v>0</v>
      </c>
      <c r="B1" s="520"/>
      <c r="C1" s="520"/>
      <c r="D1" s="520"/>
      <c r="E1" s="520"/>
      <c r="F1" s="520"/>
      <c r="G1" s="520"/>
      <c r="H1" s="520"/>
      <c r="I1" s="520"/>
      <c r="J1" s="520"/>
      <c r="K1" s="520"/>
      <c r="L1" s="520"/>
      <c r="M1" s="520"/>
      <c r="N1" s="520"/>
      <c r="O1" s="520"/>
      <c r="P1" s="520"/>
      <c r="Q1" s="520"/>
      <c r="R1" s="31"/>
    </row>
    <row r="2" spans="1:22" s="16" customFormat="1" ht="15.5">
      <c r="A2" s="520" t="str">
        <f>'S1.1'!A2</f>
        <v>2023 - 2024 General Rate Application (GRA)</v>
      </c>
      <c r="B2" s="520"/>
      <c r="C2" s="520"/>
      <c r="D2" s="520"/>
      <c r="E2" s="520"/>
      <c r="F2" s="520"/>
      <c r="G2" s="520"/>
      <c r="H2" s="520"/>
      <c r="I2" s="520"/>
      <c r="J2" s="520"/>
      <c r="K2" s="520"/>
      <c r="L2" s="520"/>
      <c r="M2" s="520"/>
      <c r="N2" s="520"/>
      <c r="O2" s="520"/>
      <c r="P2" s="520"/>
      <c r="Q2" s="520"/>
      <c r="R2" s="31"/>
    </row>
    <row r="3" spans="1:22" s="16" customFormat="1" ht="15.5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31"/>
    </row>
    <row r="4" spans="1:22" s="16" customFormat="1" ht="15.5">
      <c r="A4" s="520" t="s">
        <v>404</v>
      </c>
      <c r="B4" s="520"/>
      <c r="C4" s="520"/>
      <c r="D4" s="520"/>
      <c r="E4" s="520"/>
      <c r="F4" s="520"/>
      <c r="G4" s="520"/>
      <c r="H4" s="520"/>
      <c r="I4" s="520"/>
      <c r="J4" s="520"/>
      <c r="K4" s="520"/>
      <c r="L4" s="520"/>
      <c r="M4" s="520"/>
      <c r="N4" s="520"/>
      <c r="O4" s="520"/>
      <c r="P4" s="520"/>
      <c r="Q4" s="520"/>
    </row>
    <row r="5" spans="1:22" s="16" customFormat="1" ht="15.5">
      <c r="A5" s="518" t="s">
        <v>6</v>
      </c>
      <c r="B5" s="518"/>
      <c r="C5" s="518"/>
      <c r="D5" s="518"/>
      <c r="E5" s="518"/>
      <c r="F5" s="518"/>
      <c r="G5" s="518"/>
      <c r="H5" s="518"/>
      <c r="I5" s="518"/>
      <c r="J5" s="518"/>
      <c r="K5" s="518"/>
      <c r="L5" s="518"/>
      <c r="M5" s="518"/>
      <c r="N5" s="518"/>
      <c r="O5" s="518"/>
      <c r="P5" s="518"/>
      <c r="Q5" s="518"/>
      <c r="R5" s="31"/>
    </row>
    <row r="6" spans="1:22" s="16" customFormat="1" ht="15.5">
      <c r="E6" s="289"/>
      <c r="F6" s="289"/>
      <c r="G6" s="289"/>
      <c r="H6" s="289"/>
      <c r="I6" s="289"/>
      <c r="J6" s="289"/>
      <c r="K6" s="289"/>
      <c r="P6" s="6"/>
      <c r="Q6" s="6"/>
    </row>
    <row r="7" spans="1:22" s="16" customFormat="1" ht="15.5">
      <c r="A7" s="6" t="s">
        <v>7</v>
      </c>
      <c r="B7" s="6"/>
      <c r="C7" s="6"/>
      <c r="D7" s="6" t="s">
        <v>8</v>
      </c>
      <c r="E7" s="519" t="s">
        <v>9</v>
      </c>
      <c r="F7" s="519"/>
      <c r="G7" s="519"/>
      <c r="H7" s="519"/>
      <c r="I7" s="519"/>
      <c r="J7" s="519"/>
      <c r="K7" s="519"/>
      <c r="L7" s="6"/>
      <c r="M7" s="520" t="s">
        <v>10</v>
      </c>
      <c r="N7" s="520"/>
      <c r="O7" s="18"/>
      <c r="P7" s="519" t="s">
        <v>11</v>
      </c>
      <c r="Q7" s="519"/>
    </row>
    <row r="8" spans="1:22" s="16" customFormat="1" ht="15.5">
      <c r="A8" s="7" t="s">
        <v>12</v>
      </c>
      <c r="B8" s="7" t="s">
        <v>13</v>
      </c>
      <c r="C8" s="6"/>
      <c r="D8" s="7" t="s">
        <v>14</v>
      </c>
      <c r="E8" s="7">
        <v>2016</v>
      </c>
      <c r="F8" s="140">
        <v>2017</v>
      </c>
      <c r="G8" s="7">
        <v>2018</v>
      </c>
      <c r="H8" s="7">
        <v>2019</v>
      </c>
      <c r="I8" s="7">
        <v>2020</v>
      </c>
      <c r="J8" s="7">
        <v>2021</v>
      </c>
      <c r="K8" s="7">
        <v>2022</v>
      </c>
      <c r="L8" s="6"/>
      <c r="M8" s="240">
        <v>2023</v>
      </c>
      <c r="N8" s="240">
        <v>2024</v>
      </c>
      <c r="O8" s="6"/>
      <c r="P8" s="7">
        <v>2016</v>
      </c>
      <c r="Q8" s="7">
        <v>2017</v>
      </c>
    </row>
    <row r="9" spans="1:22" s="16" customFormat="1" ht="15.75" customHeight="1"/>
    <row r="10" spans="1:22" s="16" customFormat="1" ht="15.75" customHeight="1">
      <c r="A10" s="17">
        <v>1</v>
      </c>
      <c r="B10" s="16" t="s">
        <v>405</v>
      </c>
      <c r="D10" s="17"/>
      <c r="E10" s="143">
        <v>6378.1387399999994</v>
      </c>
      <c r="F10" s="143">
        <v>6672.8527800000002</v>
      </c>
      <c r="G10" s="143">
        <v>6839.2541400000055</v>
      </c>
      <c r="H10" s="143">
        <v>6910.4742999999971</v>
      </c>
      <c r="I10" s="143">
        <v>7246.6348400000024</v>
      </c>
      <c r="J10" s="143">
        <v>7529.8919999999998</v>
      </c>
      <c r="K10" s="143">
        <v>7955.5884899999983</v>
      </c>
      <c r="L10" s="143"/>
      <c r="M10" s="143">
        <v>7936.5993200000003</v>
      </c>
      <c r="N10" s="143">
        <v>9662</v>
      </c>
      <c r="O10" s="143"/>
      <c r="P10" s="143">
        <v>6336.4</v>
      </c>
      <c r="Q10" s="143">
        <v>6723</v>
      </c>
    </row>
    <row r="11" spans="1:22" s="16" customFormat="1" ht="15.75" customHeight="1">
      <c r="A11" s="17">
        <v>2</v>
      </c>
      <c r="B11" s="16" t="s">
        <v>406</v>
      </c>
      <c r="D11" s="17"/>
      <c r="E11" s="143">
        <v>-401.892</v>
      </c>
      <c r="F11" s="143">
        <v>-401.892</v>
      </c>
      <c r="G11" s="143">
        <v>-401.892</v>
      </c>
      <c r="H11" s="143">
        <v>-401.892</v>
      </c>
      <c r="I11" s="143">
        <v>-401.892</v>
      </c>
      <c r="J11" s="143">
        <v>-401.892</v>
      </c>
      <c r="K11" s="143">
        <v>-401.892</v>
      </c>
      <c r="L11" s="143"/>
      <c r="M11" s="143">
        <v>-401.892</v>
      </c>
      <c r="N11" s="143">
        <v>-401.892</v>
      </c>
      <c r="O11" s="143"/>
      <c r="P11" s="143">
        <v>-402</v>
      </c>
      <c r="Q11" s="143">
        <v>-402</v>
      </c>
    </row>
    <row r="12" spans="1:22" s="16" customFormat="1" ht="15.75" customHeight="1">
      <c r="A12" s="17">
        <v>3</v>
      </c>
      <c r="B12" s="16" t="s">
        <v>407</v>
      </c>
      <c r="D12" s="17"/>
      <c r="E12" s="143">
        <v>-141</v>
      </c>
      <c r="F12" s="143">
        <v>-156</v>
      </c>
      <c r="G12" s="143">
        <v>-144.26568</v>
      </c>
      <c r="H12" s="143">
        <v>-126.44499999999999</v>
      </c>
      <c r="I12" s="143">
        <v>-138</v>
      </c>
      <c r="J12" s="143">
        <v>-178</v>
      </c>
      <c r="K12" s="143">
        <v>-210.56360999999998</v>
      </c>
      <c r="L12" s="143"/>
      <c r="M12" s="143">
        <v>-210.56360999999998</v>
      </c>
      <c r="N12" s="143">
        <v>-214.77488219999998</v>
      </c>
      <c r="O12" s="143"/>
      <c r="P12" s="143">
        <v>-88.355666666666664</v>
      </c>
      <c r="Q12" s="143">
        <v>-90.122780000000006</v>
      </c>
    </row>
    <row r="13" spans="1:22" s="16" customFormat="1" ht="15.75" customHeight="1">
      <c r="A13" s="17">
        <f>A12+1</f>
        <v>4</v>
      </c>
      <c r="B13" s="16" t="s">
        <v>408</v>
      </c>
      <c r="D13" s="17"/>
      <c r="E13" s="143">
        <v>0</v>
      </c>
      <c r="F13" s="143">
        <v>0</v>
      </c>
      <c r="G13" s="143">
        <v>0</v>
      </c>
      <c r="H13" s="143">
        <v>0</v>
      </c>
      <c r="I13" s="143">
        <v>0</v>
      </c>
      <c r="J13" s="143">
        <v>0</v>
      </c>
      <c r="K13" s="143">
        <v>0</v>
      </c>
      <c r="L13" s="143"/>
      <c r="M13" s="143">
        <v>1396</v>
      </c>
      <c r="N13" s="143">
        <v>1504</v>
      </c>
      <c r="O13" s="143"/>
      <c r="P13" s="143">
        <v>0</v>
      </c>
      <c r="Q13" s="143">
        <v>0</v>
      </c>
    </row>
    <row r="14" spans="1:22" s="16" customFormat="1" ht="15.75" customHeight="1">
      <c r="A14" s="17">
        <f>A13+1</f>
        <v>5</v>
      </c>
      <c r="B14" s="16" t="s">
        <v>409</v>
      </c>
      <c r="D14" s="17"/>
      <c r="E14" s="70">
        <v>0</v>
      </c>
      <c r="F14" s="70">
        <v>0</v>
      </c>
      <c r="G14" s="70">
        <v>0</v>
      </c>
      <c r="H14" s="70">
        <v>0</v>
      </c>
      <c r="I14" s="70">
        <v>0</v>
      </c>
      <c r="J14" s="70">
        <v>0</v>
      </c>
      <c r="K14" s="70">
        <v>0</v>
      </c>
      <c r="L14" s="143"/>
      <c r="M14" s="70">
        <v>669.58877629841231</v>
      </c>
      <c r="N14" s="70">
        <v>669.58877629841231</v>
      </c>
      <c r="O14" s="143"/>
      <c r="P14" s="70">
        <v>0</v>
      </c>
      <c r="Q14" s="70">
        <v>0</v>
      </c>
    </row>
    <row r="15" spans="1:22" s="16" customFormat="1" ht="15.75" customHeight="1" thickBot="1">
      <c r="A15" s="17">
        <f>A14+1</f>
        <v>6</v>
      </c>
      <c r="B15" s="16" t="s">
        <v>410</v>
      </c>
      <c r="D15" s="17"/>
      <c r="E15" s="154">
        <f>SUM(E10:E14)</f>
        <v>5835.2467399999996</v>
      </c>
      <c r="F15" s="154">
        <f t="shared" ref="F15:K15" si="0">SUM(F10:F12)</f>
        <v>6114.9607800000003</v>
      </c>
      <c r="G15" s="154">
        <f t="shared" si="0"/>
        <v>6293.0964600000052</v>
      </c>
      <c r="H15" s="154">
        <f t="shared" si="0"/>
        <v>6382.1372999999976</v>
      </c>
      <c r="I15" s="154">
        <f t="shared" si="0"/>
        <v>6706.7428400000026</v>
      </c>
      <c r="J15" s="154">
        <f t="shared" si="0"/>
        <v>6950</v>
      </c>
      <c r="K15" s="154">
        <f t="shared" si="0"/>
        <v>7343.1328799999983</v>
      </c>
      <c r="L15" s="143"/>
      <c r="M15" s="154">
        <f>SUM(M10:M14)</f>
        <v>9389.7324862984133</v>
      </c>
      <c r="N15" s="154">
        <f>SUM(N10:N14)</f>
        <v>11218.921894098414</v>
      </c>
      <c r="O15" s="143"/>
      <c r="P15" s="154">
        <v>5846.1673333333329</v>
      </c>
      <c r="Q15" s="154">
        <v>6231.0002199999999</v>
      </c>
      <c r="U15" s="143"/>
      <c r="V15" s="143"/>
    </row>
    <row r="16" spans="1:22" ht="13" thickTop="1"/>
    <row r="18" spans="10:14">
      <c r="M18" s="155"/>
    </row>
    <row r="19" spans="10:14">
      <c r="J19" s="296"/>
      <c r="K19" s="336"/>
    </row>
    <row r="20" spans="10:14">
      <c r="J20" s="155"/>
      <c r="K20" s="336"/>
      <c r="M20" s="155"/>
    </row>
    <row r="21" spans="10:14">
      <c r="J21" s="155"/>
      <c r="K21" s="336"/>
      <c r="M21" s="155"/>
    </row>
    <row r="22" spans="10:14">
      <c r="K22" s="290"/>
    </row>
    <row r="23" spans="10:14">
      <c r="N23" s="155"/>
    </row>
    <row r="24" spans="10:14">
      <c r="K24" s="155"/>
      <c r="M24" s="155"/>
    </row>
    <row r="26" spans="10:14">
      <c r="M26" s="155"/>
    </row>
    <row r="27" spans="10:14">
      <c r="M27" s="315"/>
    </row>
    <row r="28" spans="10:14">
      <c r="M28" s="315"/>
    </row>
    <row r="29" spans="10:14">
      <c r="M29" s="315"/>
    </row>
    <row r="30" spans="10:14">
      <c r="M30" s="155"/>
    </row>
    <row r="32" spans="10:14">
      <c r="M32" s="155"/>
    </row>
    <row r="34" spans="13:13">
      <c r="M34" s="155"/>
    </row>
    <row r="35" spans="13:13">
      <c r="M35" s="155"/>
    </row>
    <row r="36" spans="13:13">
      <c r="M36" s="155"/>
    </row>
  </sheetData>
  <mergeCells count="7">
    <mergeCell ref="P7:Q7"/>
    <mergeCell ref="M7:N7"/>
    <mergeCell ref="E7:K7"/>
    <mergeCell ref="A1:Q1"/>
    <mergeCell ref="A2:Q2"/>
    <mergeCell ref="A4:Q4"/>
    <mergeCell ref="A5:Q5"/>
  </mergeCells>
  <phoneticPr fontId="11" type="noConversion"/>
  <printOptions horizontalCentered="1"/>
  <pageMargins left="0.5" right="0.5" top="0.75" bottom="0.75" header="0.5" footer="0.5"/>
  <pageSetup scale="64" orientation="landscape" useFirstPageNumber="1" r:id="rId1"/>
  <headerFooter alignWithMargins="0">
    <oddHeader>&amp;R&amp;"Arial,Bold"Schedule 7.1
Page &amp;P of 1</oddHeader>
  </headerFooter>
  <ignoredErrors>
    <ignoredError sqref="F15:K15" formulaRange="1"/>
    <ignoredError sqref="A5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Z124"/>
  <sheetViews>
    <sheetView zoomScaleNormal="100" zoomScaleSheetLayoutView="100" workbookViewId="0">
      <pane ySplit="9" topLeftCell="A10" activePane="bottomLeft" state="frozen"/>
      <selection activeCell="T203" sqref="T203"/>
      <selection pane="bottomLeft" activeCell="O21" sqref="O21"/>
    </sheetView>
  </sheetViews>
  <sheetFormatPr defaultColWidth="9" defaultRowHeight="12.5"/>
  <cols>
    <col min="1" max="1" width="4.453125" style="145" bestFit="1" customWidth="1"/>
    <col min="2" max="2" width="23" style="145" customWidth="1"/>
    <col min="3" max="3" width="13.26953125" style="145" customWidth="1"/>
    <col min="4" max="7" width="12.7265625" style="145" customWidth="1"/>
    <col min="8" max="9" width="9" style="145"/>
    <col min="10" max="10" width="20" style="145" bestFit="1" customWidth="1"/>
    <col min="11" max="13" width="9" style="145"/>
    <col min="14" max="14" width="10.81640625" style="145" customWidth="1"/>
    <col min="15" max="17" width="6.54296875" style="145" customWidth="1"/>
    <col min="18" max="18" width="6.81640625" style="145" bestFit="1" customWidth="1"/>
    <col min="19" max="19" width="6.54296875" style="145" customWidth="1"/>
    <col min="20" max="21" width="6.81640625" style="145" bestFit="1" customWidth="1"/>
    <col min="22" max="22" width="8" style="145" bestFit="1" customWidth="1"/>
    <col min="23" max="23" width="12" style="145" bestFit="1" customWidth="1"/>
    <col min="24" max="16384" width="9" style="145"/>
  </cols>
  <sheetData>
    <row r="1" spans="1:23" ht="13">
      <c r="A1" s="517" t="str">
        <f>'S1.1'!A1</f>
        <v>ATCO Electric Yukon (AEY)</v>
      </c>
      <c r="B1" s="517"/>
      <c r="C1" s="517"/>
      <c r="D1" s="517"/>
      <c r="E1" s="517"/>
      <c r="F1" s="517"/>
      <c r="G1" s="517"/>
      <c r="H1" s="517"/>
      <c r="I1" s="24"/>
    </row>
    <row r="2" spans="1:23" ht="13">
      <c r="A2" s="517" t="str">
        <f>'S1.1'!A2</f>
        <v>2023 - 2024 General Rate Application (GRA)</v>
      </c>
      <c r="B2" s="517"/>
      <c r="C2" s="517"/>
      <c r="D2" s="517"/>
      <c r="E2" s="517"/>
      <c r="F2" s="517"/>
      <c r="G2" s="517"/>
      <c r="H2" s="517"/>
      <c r="I2" s="24"/>
      <c r="P2" s="1"/>
      <c r="Q2" s="1"/>
      <c r="R2" s="1"/>
      <c r="S2" s="1"/>
      <c r="T2" s="1"/>
      <c r="U2" s="1"/>
    </row>
    <row r="3" spans="1:23" ht="13">
      <c r="A3" s="3"/>
      <c r="B3" s="3"/>
      <c r="C3" s="3"/>
      <c r="D3" s="3"/>
      <c r="E3" s="3"/>
      <c r="F3" s="3"/>
      <c r="G3" s="3"/>
      <c r="H3" s="3"/>
      <c r="I3" s="24"/>
      <c r="P3" s="1"/>
      <c r="Q3" s="1"/>
      <c r="R3" s="1"/>
      <c r="S3" s="1"/>
      <c r="T3" s="1"/>
      <c r="U3" s="1"/>
    </row>
    <row r="4" spans="1:23" ht="13">
      <c r="A4" s="517" t="s">
        <v>36</v>
      </c>
      <c r="B4" s="517"/>
      <c r="C4" s="517"/>
      <c r="D4" s="517"/>
      <c r="E4" s="517"/>
      <c r="F4" s="517"/>
      <c r="G4" s="517"/>
      <c r="H4" s="517"/>
      <c r="I4" s="24"/>
      <c r="O4" s="1"/>
      <c r="P4" s="1"/>
      <c r="Q4" s="1"/>
      <c r="R4" s="1"/>
      <c r="S4" s="1"/>
      <c r="T4" s="1"/>
      <c r="U4" s="1"/>
    </row>
    <row r="5" spans="1:23" ht="13">
      <c r="A5" s="528" t="s">
        <v>6</v>
      </c>
      <c r="B5" s="517"/>
      <c r="C5" s="517"/>
      <c r="D5" s="517"/>
      <c r="E5" s="517"/>
      <c r="F5" s="517"/>
      <c r="G5" s="517"/>
      <c r="H5" s="517"/>
      <c r="I5" s="24"/>
      <c r="O5" s="133"/>
      <c r="P5" s="133"/>
      <c r="Q5" s="133"/>
      <c r="R5" s="133"/>
      <c r="S5" s="133"/>
      <c r="T5" s="133"/>
      <c r="U5" s="133"/>
      <c r="V5" s="133"/>
      <c r="W5" s="133"/>
    </row>
    <row r="6" spans="1:23">
      <c r="A6" s="167"/>
      <c r="B6" s="168"/>
      <c r="C6" s="168"/>
      <c r="D6" s="168"/>
      <c r="E6" s="147"/>
      <c r="F6" s="147"/>
      <c r="G6" s="147"/>
      <c r="N6" s="1"/>
      <c r="O6" s="333"/>
      <c r="P6" s="333"/>
      <c r="Q6" s="333"/>
      <c r="R6" s="333"/>
      <c r="S6" s="333"/>
      <c r="T6" s="333"/>
      <c r="U6" s="333"/>
      <c r="V6" s="333"/>
      <c r="W6" s="333"/>
    </row>
    <row r="7" spans="1:23" s="1" customFormat="1" ht="10.5">
      <c r="A7" s="142"/>
      <c r="B7" s="142"/>
      <c r="C7" s="142"/>
      <c r="E7" s="142" t="s">
        <v>411</v>
      </c>
      <c r="F7" s="142" t="s">
        <v>411</v>
      </c>
      <c r="G7" s="142" t="s">
        <v>411</v>
      </c>
      <c r="H7" s="142"/>
      <c r="I7" s="142"/>
      <c r="O7" s="292"/>
      <c r="P7" s="292"/>
      <c r="Q7" s="292"/>
    </row>
    <row r="8" spans="1:23" s="1" customFormat="1" ht="10.5">
      <c r="A8" s="142" t="s">
        <v>7</v>
      </c>
      <c r="B8" s="142"/>
      <c r="C8" s="142" t="s">
        <v>8</v>
      </c>
      <c r="D8" s="142" t="s">
        <v>411</v>
      </c>
      <c r="E8" s="142" t="s">
        <v>412</v>
      </c>
      <c r="F8" s="142" t="s">
        <v>413</v>
      </c>
      <c r="G8" s="142" t="s">
        <v>412</v>
      </c>
      <c r="H8" s="142"/>
      <c r="I8" s="142"/>
      <c r="O8" s="333"/>
      <c r="P8" s="333"/>
      <c r="Q8" s="333"/>
      <c r="R8" s="333"/>
      <c r="S8" s="333"/>
      <c r="T8" s="333"/>
      <c r="U8" s="333"/>
      <c r="V8" s="175"/>
      <c r="W8" s="175"/>
    </row>
    <row r="9" spans="1:23" s="1" customFormat="1" ht="10.5">
      <c r="A9" s="166" t="s">
        <v>12</v>
      </c>
      <c r="B9" s="166" t="s">
        <v>13</v>
      </c>
      <c r="C9" s="166" t="s">
        <v>14</v>
      </c>
      <c r="D9" s="166" t="s">
        <v>414</v>
      </c>
      <c r="E9" s="166" t="s">
        <v>415</v>
      </c>
      <c r="F9" s="166" t="s">
        <v>416</v>
      </c>
      <c r="G9" s="166" t="s">
        <v>413</v>
      </c>
      <c r="H9" s="166" t="s">
        <v>417</v>
      </c>
      <c r="I9" s="142"/>
      <c r="O9" s="335"/>
      <c r="P9" s="335"/>
      <c r="Q9" s="335"/>
      <c r="R9" s="335"/>
      <c r="S9" s="335"/>
      <c r="T9" s="335"/>
      <c r="U9" s="335"/>
      <c r="V9" s="335"/>
      <c r="W9" s="342"/>
    </row>
    <row r="10" spans="1:23" s="1" customFormat="1">
      <c r="A10" s="133">
        <v>1</v>
      </c>
      <c r="C10" s="133"/>
      <c r="J10"/>
      <c r="K10"/>
      <c r="L10"/>
      <c r="M10"/>
      <c r="N10"/>
      <c r="O10"/>
      <c r="P10"/>
      <c r="Q10"/>
      <c r="R10"/>
      <c r="S10"/>
      <c r="T10"/>
      <c r="U10"/>
      <c r="V10"/>
      <c r="W10"/>
    </row>
    <row r="11" spans="1:23">
      <c r="A11" s="133">
        <f t="shared" ref="A11:A42" si="0">A10+1</f>
        <v>2</v>
      </c>
      <c r="C11" s="133"/>
      <c r="J11"/>
      <c r="K11"/>
      <c r="L11"/>
      <c r="M11"/>
      <c r="N11"/>
      <c r="O11"/>
      <c r="P11"/>
      <c r="Q11"/>
      <c r="R11"/>
      <c r="S11"/>
      <c r="T11"/>
      <c r="U11"/>
      <c r="V11"/>
      <c r="W11"/>
    </row>
    <row r="12" spans="1:23">
      <c r="A12" s="133">
        <f t="shared" si="0"/>
        <v>3</v>
      </c>
      <c r="B12" s="169" t="s">
        <v>418</v>
      </c>
      <c r="C12" s="133"/>
      <c r="D12" s="1"/>
      <c r="E12" s="1"/>
      <c r="F12" s="1"/>
      <c r="G12" s="1"/>
      <c r="H12" s="170"/>
      <c r="I12" s="170"/>
      <c r="J12"/>
      <c r="K12"/>
      <c r="L12"/>
      <c r="M12"/>
      <c r="N12"/>
      <c r="O12"/>
      <c r="P12"/>
      <c r="Q12"/>
      <c r="R12"/>
      <c r="S12"/>
      <c r="T12"/>
      <c r="U12"/>
      <c r="V12"/>
      <c r="W12"/>
    </row>
    <row r="13" spans="1:23" ht="6" customHeight="1">
      <c r="A13" s="133">
        <f t="shared" si="0"/>
        <v>4</v>
      </c>
      <c r="B13" s="1"/>
      <c r="C13" s="133"/>
      <c r="D13" s="1"/>
      <c r="E13" s="1"/>
      <c r="F13" s="1"/>
      <c r="G13" s="1"/>
      <c r="H13" s="170"/>
      <c r="I13" s="170"/>
      <c r="J13"/>
      <c r="K13"/>
      <c r="L13"/>
      <c r="M13"/>
      <c r="N13"/>
      <c r="O13"/>
      <c r="P13"/>
      <c r="Q13"/>
      <c r="R13"/>
      <c r="S13"/>
      <c r="T13"/>
      <c r="U13"/>
      <c r="V13"/>
      <c r="W13"/>
    </row>
    <row r="14" spans="1:23">
      <c r="A14" s="133">
        <f t="shared" si="0"/>
        <v>5</v>
      </c>
      <c r="B14" s="1" t="s">
        <v>419</v>
      </c>
      <c r="C14" s="133" t="s">
        <v>420</v>
      </c>
      <c r="D14" s="170">
        <f>'S8.2 &amp; 8.3'!L31</f>
        <v>60200</v>
      </c>
      <c r="E14" s="171">
        <f>D14/D20</f>
        <v>0.59455758676147019</v>
      </c>
      <c r="F14" s="170">
        <f>F20*E14</f>
        <v>58546.113933352412</v>
      </c>
      <c r="G14" s="171">
        <f>'S8.2 &amp; 8.3'!N31</f>
        <v>5.435097176079734E-2</v>
      </c>
      <c r="H14" s="170">
        <f>ROUND(F14*G14,0)</f>
        <v>3182</v>
      </c>
      <c r="I14" s="170"/>
      <c r="J14"/>
      <c r="K14"/>
      <c r="L14"/>
      <c r="M14"/>
      <c r="N14"/>
      <c r="O14"/>
      <c r="P14"/>
      <c r="Q14"/>
      <c r="R14"/>
      <c r="S14"/>
      <c r="T14"/>
      <c r="U14"/>
      <c r="V14"/>
      <c r="W14"/>
    </row>
    <row r="15" spans="1:23" ht="6" customHeight="1">
      <c r="A15" s="133">
        <f t="shared" si="0"/>
        <v>6</v>
      </c>
      <c r="B15" s="1"/>
      <c r="C15" s="133"/>
      <c r="D15" s="170"/>
      <c r="E15" s="171"/>
      <c r="F15" s="170"/>
      <c r="G15" s="171"/>
      <c r="H15" s="170"/>
      <c r="I15" s="170"/>
      <c r="J15"/>
      <c r="K15"/>
      <c r="L15"/>
      <c r="M15"/>
      <c r="N15"/>
      <c r="O15"/>
      <c r="P15"/>
      <c r="Q15"/>
      <c r="R15"/>
      <c r="S15"/>
      <c r="T15"/>
      <c r="U15"/>
      <c r="V15"/>
      <c r="W15"/>
    </row>
    <row r="16" spans="1:23">
      <c r="A16" s="133">
        <f t="shared" si="0"/>
        <v>7</v>
      </c>
      <c r="B16" s="1" t="s">
        <v>421</v>
      </c>
      <c r="C16" s="133"/>
      <c r="D16" s="170">
        <v>40349.006500000003</v>
      </c>
      <c r="E16" s="171">
        <f>D16/D$20</f>
        <v>0.39850179290469889</v>
      </c>
      <c r="F16" s="170">
        <f>F20*E16</f>
        <v>39240.49055891324</v>
      </c>
      <c r="G16" s="171">
        <f>H16/F16</f>
        <v>0.10443167558895808</v>
      </c>
      <c r="H16" s="170">
        <f>H20-H14-H18</f>
        <v>4097.9501799999998</v>
      </c>
      <c r="I16" s="170"/>
      <c r="J16"/>
      <c r="K16"/>
      <c r="L16"/>
      <c r="M16"/>
      <c r="N16"/>
      <c r="O16"/>
      <c r="P16"/>
      <c r="Q16"/>
      <c r="R16"/>
      <c r="S16"/>
      <c r="T16"/>
      <c r="U16"/>
      <c r="V16"/>
      <c r="W16"/>
    </row>
    <row r="17" spans="1:24" ht="6" customHeight="1">
      <c r="A17" s="133">
        <f t="shared" si="0"/>
        <v>8</v>
      </c>
      <c r="B17" s="1"/>
      <c r="C17" s="133"/>
      <c r="D17" s="170"/>
      <c r="E17" s="171"/>
      <c r="F17" s="170"/>
      <c r="G17" s="171"/>
      <c r="H17" s="170"/>
      <c r="I17" s="170"/>
      <c r="J17"/>
      <c r="K17"/>
      <c r="L17"/>
      <c r="M17"/>
      <c r="N17"/>
      <c r="O17"/>
      <c r="P17"/>
      <c r="Q17"/>
      <c r="R17"/>
      <c r="S17"/>
      <c r="T17"/>
      <c r="U17"/>
      <c r="V17"/>
      <c r="W17"/>
    </row>
    <row r="18" spans="1:24">
      <c r="A18" s="133">
        <f t="shared" si="0"/>
        <v>9</v>
      </c>
      <c r="B18" s="1" t="s">
        <v>422</v>
      </c>
      <c r="C18" s="133" t="s">
        <v>423</v>
      </c>
      <c r="D18" s="172">
        <f>+'S8.4 '!D17</f>
        <v>702.75</v>
      </c>
      <c r="E18" s="173">
        <f>D18/D$20</f>
        <v>6.9406203338309488E-3</v>
      </c>
      <c r="F18" s="172">
        <f>F20*E18</f>
        <v>683.44321539307975</v>
      </c>
      <c r="G18" s="173">
        <v>0</v>
      </c>
      <c r="H18" s="174">
        <f>ROUND(F18*G18,0)</f>
        <v>0</v>
      </c>
      <c r="I18" s="175"/>
      <c r="J18"/>
      <c r="K18"/>
      <c r="L18"/>
      <c r="M18"/>
      <c r="N18"/>
      <c r="O18"/>
      <c r="P18"/>
      <c r="Q18"/>
      <c r="R18"/>
      <c r="S18"/>
      <c r="T18"/>
      <c r="U18"/>
      <c r="V18"/>
      <c r="W18"/>
    </row>
    <row r="19" spans="1:24">
      <c r="A19" s="133">
        <f t="shared" si="0"/>
        <v>10</v>
      </c>
      <c r="B19" s="1"/>
      <c r="C19" s="133"/>
      <c r="D19" s="170"/>
      <c r="E19" s="1"/>
      <c r="F19" s="170"/>
      <c r="G19" s="171"/>
      <c r="H19" s="170"/>
      <c r="I19" s="170"/>
      <c r="J19"/>
      <c r="K19"/>
      <c r="L19"/>
      <c r="M19"/>
      <c r="N19"/>
      <c r="O19"/>
      <c r="P19"/>
      <c r="Q19"/>
      <c r="R19"/>
      <c r="S19"/>
      <c r="T19"/>
      <c r="U19"/>
      <c r="V19"/>
      <c r="W19"/>
    </row>
    <row r="20" spans="1:24" ht="13" thickBot="1">
      <c r="A20" s="133">
        <f t="shared" si="0"/>
        <v>11</v>
      </c>
      <c r="B20" s="1" t="s">
        <v>85</v>
      </c>
      <c r="C20" s="133"/>
      <c r="D20" s="176">
        <f>SUM(D14:D18)</f>
        <v>101251.7565</v>
      </c>
      <c r="E20" s="178">
        <f>SUM(E14:E18)</f>
        <v>1</v>
      </c>
      <c r="F20" s="176">
        <f>'S8.5'!D33</f>
        <v>98470.047707658727</v>
      </c>
      <c r="G20" s="177">
        <f>H20/F20</f>
        <v>7.393060478261336E-2</v>
      </c>
      <c r="H20" s="176">
        <v>7279.9501799999998</v>
      </c>
      <c r="I20" s="170"/>
      <c r="J20"/>
      <c r="K20"/>
      <c r="L20"/>
      <c r="M20"/>
      <c r="N20"/>
      <c r="O20"/>
      <c r="P20"/>
      <c r="Q20"/>
      <c r="R20"/>
      <c r="S20"/>
      <c r="T20"/>
      <c r="U20"/>
      <c r="V20"/>
      <c r="W20"/>
    </row>
    <row r="21" spans="1:24">
      <c r="A21" s="133">
        <f t="shared" si="0"/>
        <v>12</v>
      </c>
      <c r="C21" s="133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 s="340"/>
    </row>
    <row r="22" spans="1:24">
      <c r="A22" s="133">
        <f t="shared" si="0"/>
        <v>13</v>
      </c>
      <c r="B22" s="169" t="s">
        <v>424</v>
      </c>
      <c r="C22" s="133"/>
      <c r="D22" s="1"/>
      <c r="E22" s="1"/>
      <c r="F22" s="1"/>
      <c r="G22" s="1"/>
      <c r="H22" s="170"/>
      <c r="I22" s="170"/>
      <c r="J22"/>
      <c r="K22"/>
      <c r="L22"/>
      <c r="M22"/>
      <c r="N22"/>
      <c r="O22"/>
      <c r="P22"/>
      <c r="Q22"/>
      <c r="R22"/>
      <c r="S22"/>
      <c r="T22"/>
      <c r="U22"/>
      <c r="V22"/>
      <c r="W22"/>
    </row>
    <row r="23" spans="1:24" ht="6" customHeight="1">
      <c r="A23" s="133">
        <f t="shared" si="0"/>
        <v>14</v>
      </c>
      <c r="B23" s="1"/>
      <c r="C23" s="133"/>
      <c r="D23" s="1"/>
      <c r="E23" s="1"/>
      <c r="F23" s="1"/>
      <c r="G23" s="1"/>
      <c r="H23" s="170"/>
      <c r="I23" s="170"/>
      <c r="J23"/>
      <c r="K23"/>
      <c r="L23"/>
      <c r="M23"/>
      <c r="N23"/>
      <c r="O23"/>
      <c r="P23"/>
      <c r="Q23"/>
      <c r="R23"/>
      <c r="S23"/>
      <c r="T23"/>
      <c r="U23"/>
      <c r="V23"/>
      <c r="W23"/>
    </row>
    <row r="24" spans="1:24">
      <c r="A24" s="133">
        <f t="shared" si="0"/>
        <v>15</v>
      </c>
      <c r="B24" s="1" t="s">
        <v>419</v>
      </c>
      <c r="C24" s="133" t="s">
        <v>425</v>
      </c>
      <c r="D24" s="170">
        <f>'S8.2 &amp; 8.3'!L58</f>
        <v>65150</v>
      </c>
      <c r="E24" s="171">
        <f>D24/D30</f>
        <v>0.59375383947810267</v>
      </c>
      <c r="F24" s="170">
        <f>F30*E24</f>
        <v>61051.571398595865</v>
      </c>
      <c r="G24" s="171">
        <f>'S8.2 &amp; 8.3'!N58</f>
        <v>5.2262970069071379E-2</v>
      </c>
      <c r="H24" s="170">
        <f>ROUND(F24*G24,0)</f>
        <v>3191</v>
      </c>
      <c r="I24" s="170"/>
      <c r="J24"/>
      <c r="K24"/>
      <c r="L24"/>
      <c r="M24"/>
      <c r="N24"/>
      <c r="O24"/>
      <c r="P24"/>
      <c r="Q24"/>
      <c r="R24"/>
      <c r="S24"/>
      <c r="T24"/>
      <c r="U24"/>
      <c r="V24"/>
      <c r="W24"/>
    </row>
    <row r="25" spans="1:24" ht="6" customHeight="1">
      <c r="A25" s="133">
        <f t="shared" si="0"/>
        <v>16</v>
      </c>
      <c r="B25" s="1"/>
      <c r="C25" s="133"/>
      <c r="D25" s="170"/>
      <c r="E25" s="171"/>
      <c r="F25" s="170"/>
      <c r="G25" s="171"/>
      <c r="H25" s="170"/>
      <c r="I25" s="170"/>
      <c r="J25"/>
      <c r="K25"/>
      <c r="L25"/>
      <c r="M25"/>
      <c r="N25"/>
      <c r="O25"/>
      <c r="P25"/>
      <c r="Q25"/>
      <c r="R25"/>
      <c r="S25"/>
      <c r="T25"/>
      <c r="U25"/>
      <c r="V25"/>
      <c r="W25"/>
    </row>
    <row r="26" spans="1:24">
      <c r="A26" s="133">
        <f t="shared" si="0"/>
        <v>17</v>
      </c>
      <c r="B26" s="1" t="s">
        <v>421</v>
      </c>
      <c r="C26" s="133"/>
      <c r="D26" s="170">
        <v>43766.356249999997</v>
      </c>
      <c r="E26" s="171">
        <f>D26/D30</f>
        <v>0.39887094494864089</v>
      </c>
      <c r="F26" s="170">
        <f>F30*E26</f>
        <v>41013.120851162807</v>
      </c>
      <c r="G26" s="171">
        <f>H26/F26</f>
        <v>0.12721674604901687</v>
      </c>
      <c r="H26" s="170">
        <f>H30-H24-H28</f>
        <v>5217.555780000017</v>
      </c>
      <c r="I26" s="170"/>
      <c r="J26"/>
      <c r="K26"/>
      <c r="L26"/>
      <c r="M26"/>
      <c r="N26"/>
      <c r="O26"/>
      <c r="P26"/>
      <c r="Q26"/>
      <c r="R26"/>
      <c r="S26"/>
      <c r="T26"/>
      <c r="U26"/>
      <c r="V26"/>
      <c r="W26"/>
    </row>
    <row r="27" spans="1:24" ht="6" customHeight="1">
      <c r="A27" s="133">
        <f t="shared" si="0"/>
        <v>18</v>
      </c>
      <c r="B27" s="1"/>
      <c r="C27" s="133"/>
      <c r="D27" s="170"/>
      <c r="E27" s="171"/>
      <c r="F27" s="170"/>
      <c r="G27" s="171"/>
      <c r="H27" s="170"/>
      <c r="I27" s="170"/>
      <c r="J27"/>
      <c r="K27"/>
      <c r="L27"/>
      <c r="M27"/>
      <c r="N27"/>
      <c r="O27"/>
      <c r="P27"/>
      <c r="Q27"/>
      <c r="R27"/>
      <c r="S27"/>
      <c r="T27"/>
      <c r="U27"/>
      <c r="V27"/>
      <c r="W27"/>
    </row>
    <row r="28" spans="1:24">
      <c r="A28" s="133">
        <f t="shared" si="0"/>
        <v>19</v>
      </c>
      <c r="B28" s="1" t="s">
        <v>422</v>
      </c>
      <c r="C28" s="133" t="s">
        <v>423</v>
      </c>
      <c r="D28" s="172">
        <f>'S8.4 '!E17</f>
        <v>809.25</v>
      </c>
      <c r="E28" s="173">
        <f>D28/D30</f>
        <v>7.3752155732564025E-3</v>
      </c>
      <c r="F28" s="172">
        <f>F30*E28</f>
        <v>758.34204381141524</v>
      </c>
      <c r="G28" s="173">
        <v>0</v>
      </c>
      <c r="H28" s="174">
        <f>ROUND(F28*G28,0)</f>
        <v>0</v>
      </c>
      <c r="I28" s="175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 s="341"/>
    </row>
    <row r="29" spans="1:24" ht="6" customHeight="1">
      <c r="A29" s="133">
        <f t="shared" si="0"/>
        <v>20</v>
      </c>
      <c r="B29" s="1"/>
      <c r="C29" s="133"/>
      <c r="D29" s="170"/>
      <c r="E29" s="1"/>
      <c r="F29" s="170"/>
      <c r="G29" s="171"/>
      <c r="H29" s="170"/>
      <c r="I29" s="170"/>
      <c r="J29"/>
      <c r="K29"/>
      <c r="L29"/>
      <c r="M29"/>
      <c r="N29"/>
      <c r="O29"/>
      <c r="P29"/>
      <c r="Q29"/>
      <c r="R29"/>
      <c r="S29"/>
      <c r="T29"/>
      <c r="U29"/>
      <c r="V29"/>
      <c r="W29"/>
    </row>
    <row r="30" spans="1:24" ht="13" thickBot="1">
      <c r="A30" s="133">
        <f t="shared" si="0"/>
        <v>21</v>
      </c>
      <c r="B30" s="1" t="s">
        <v>85</v>
      </c>
      <c r="C30" s="133"/>
      <c r="D30" s="176">
        <f>SUM(D24:D28)</f>
        <v>109725.60625</v>
      </c>
      <c r="E30" s="178">
        <f>SUM(E24:E28)</f>
        <v>0.99999999999999989</v>
      </c>
      <c r="F30" s="176">
        <f>'S8.5'!E33</f>
        <v>102823.03429357009</v>
      </c>
      <c r="G30" s="177">
        <f>H30/F30</f>
        <v>8.1776966005425847E-2</v>
      </c>
      <c r="H30" s="176">
        <v>8408.555780000017</v>
      </c>
      <c r="I30" s="170"/>
      <c r="J30"/>
      <c r="K30"/>
      <c r="L30"/>
      <c r="M30"/>
      <c r="N30"/>
      <c r="O30"/>
      <c r="P30"/>
      <c r="Q30"/>
      <c r="R30"/>
      <c r="S30"/>
      <c r="T30"/>
      <c r="U30"/>
      <c r="V30"/>
      <c r="W30"/>
    </row>
    <row r="31" spans="1:24">
      <c r="A31" s="133">
        <f t="shared" si="0"/>
        <v>22</v>
      </c>
      <c r="C31" s="133"/>
      <c r="J31"/>
      <c r="K31"/>
      <c r="L31"/>
      <c r="M31"/>
      <c r="N31"/>
      <c r="O31"/>
      <c r="P31"/>
      <c r="Q31"/>
      <c r="R31"/>
      <c r="S31"/>
      <c r="T31"/>
      <c r="U31"/>
      <c r="V31"/>
      <c r="W31"/>
    </row>
    <row r="32" spans="1:24">
      <c r="A32" s="133">
        <f t="shared" si="0"/>
        <v>23</v>
      </c>
      <c r="B32" s="169" t="s">
        <v>426</v>
      </c>
      <c r="C32" s="133"/>
      <c r="D32" s="1"/>
      <c r="E32" s="1"/>
      <c r="F32" s="1"/>
      <c r="G32" s="1"/>
      <c r="H32" s="170"/>
      <c r="I32" s="170"/>
      <c r="J32"/>
      <c r="K32"/>
      <c r="L32"/>
      <c r="M32"/>
      <c r="N32"/>
      <c r="O32"/>
      <c r="P32"/>
      <c r="Q32"/>
      <c r="R32"/>
      <c r="S32"/>
      <c r="T32"/>
      <c r="U32"/>
      <c r="V32"/>
      <c r="W32"/>
    </row>
    <row r="33" spans="1:26" ht="6" customHeight="1">
      <c r="A33" s="133">
        <f t="shared" si="0"/>
        <v>24</v>
      </c>
      <c r="B33" s="1"/>
      <c r="C33" s="133"/>
      <c r="D33" s="1"/>
      <c r="E33" s="1"/>
      <c r="F33" s="1"/>
      <c r="G33" s="1"/>
      <c r="H33" s="170"/>
      <c r="I33" s="170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6">
      <c r="A34" s="133">
        <f t="shared" si="0"/>
        <v>25</v>
      </c>
      <c r="B34" s="1" t="s">
        <v>419</v>
      </c>
      <c r="C34" s="133" t="s">
        <v>427</v>
      </c>
      <c r="D34" s="170">
        <f>'S8.2 &amp; 8.3'!L85</f>
        <v>67700</v>
      </c>
      <c r="E34" s="171">
        <f>D34/D40</f>
        <v>0.59507545875450474</v>
      </c>
      <c r="F34" s="170">
        <f>F40*E34</f>
        <v>62818.123082477541</v>
      </c>
      <c r="G34" s="171">
        <f>'S8.2 &amp; 8.3'!N85</f>
        <v>5.0948559822747423E-2</v>
      </c>
      <c r="H34" s="170">
        <f>ROUND(F34*G34,0)</f>
        <v>3200</v>
      </c>
      <c r="I34" s="170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6" ht="6" customHeight="1">
      <c r="A35" s="133">
        <f t="shared" si="0"/>
        <v>26</v>
      </c>
      <c r="B35" s="1"/>
      <c r="C35" s="133"/>
      <c r="D35" s="170"/>
      <c r="E35" s="171"/>
      <c r="F35" s="170"/>
      <c r="G35" s="171"/>
      <c r="H35" s="170"/>
      <c r="I35" s="170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6">
      <c r="A36" s="133">
        <f t="shared" si="0"/>
        <v>27</v>
      </c>
      <c r="B36" s="1" t="s">
        <v>421</v>
      </c>
      <c r="C36" s="133"/>
      <c r="D36" s="170">
        <v>45151.834500000004</v>
      </c>
      <c r="E36" s="171">
        <f>D36/D40</f>
        <v>0.39687959569711928</v>
      </c>
      <c r="F36" s="170">
        <f>F40*E36</f>
        <v>41895.915761014119</v>
      </c>
      <c r="G36" s="171">
        <f>H36/F36</f>
        <v>0.12625662200997212</v>
      </c>
      <c r="H36" s="170">
        <f>H40-H34-H38</f>
        <v>5289.6367999999929</v>
      </c>
      <c r="I36" s="170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6" ht="6" customHeight="1">
      <c r="A37" s="133">
        <f t="shared" si="0"/>
        <v>28</v>
      </c>
      <c r="B37" s="1"/>
      <c r="C37" s="133"/>
      <c r="D37" s="170"/>
      <c r="E37" s="171"/>
      <c r="F37" s="170"/>
      <c r="G37" s="171"/>
      <c r="H37" s="170"/>
      <c r="I37" s="170"/>
      <c r="J37"/>
      <c r="K37"/>
      <c r="L37"/>
      <c r="M37"/>
      <c r="N37"/>
      <c r="O37"/>
      <c r="P37"/>
      <c r="Q37"/>
      <c r="R37"/>
      <c r="S37"/>
      <c r="T37"/>
      <c r="U37"/>
      <c r="V37"/>
      <c r="W37"/>
    </row>
    <row r="38" spans="1:26">
      <c r="A38" s="133">
        <f t="shared" si="0"/>
        <v>29</v>
      </c>
      <c r="B38" s="1" t="s">
        <v>422</v>
      </c>
      <c r="C38" s="133" t="s">
        <v>423</v>
      </c>
      <c r="D38" s="231">
        <f>'S8.4 '!F17</f>
        <v>915.24999999999989</v>
      </c>
      <c r="E38" s="173">
        <f>D38/D40</f>
        <v>8.0449455483760767E-3</v>
      </c>
      <c r="F38" s="231">
        <f>F40*E38</f>
        <v>849.25091803895964</v>
      </c>
      <c r="G38" s="173">
        <v>0</v>
      </c>
      <c r="H38" s="174">
        <f>ROUND(F38*G38,0)</f>
        <v>0</v>
      </c>
      <c r="I38" s="175"/>
      <c r="J38"/>
      <c r="K38"/>
      <c r="L38"/>
      <c r="M38"/>
      <c r="N38"/>
      <c r="O38"/>
      <c r="P38"/>
      <c r="Q38"/>
      <c r="R38"/>
      <c r="S38"/>
      <c r="T38"/>
      <c r="U38"/>
      <c r="V38"/>
      <c r="W38"/>
    </row>
    <row r="39" spans="1:26" ht="6" customHeight="1">
      <c r="A39" s="133">
        <f t="shared" si="0"/>
        <v>30</v>
      </c>
      <c r="B39" s="1"/>
      <c r="C39" s="133"/>
      <c r="D39" s="170"/>
      <c r="E39" s="1"/>
      <c r="F39" s="170"/>
      <c r="G39" s="171"/>
      <c r="H39" s="170"/>
      <c r="I39" s="170"/>
      <c r="J39"/>
      <c r="K39"/>
      <c r="L39"/>
      <c r="M39"/>
      <c r="N39"/>
      <c r="O39"/>
      <c r="P39"/>
      <c r="Q39"/>
      <c r="R39"/>
      <c r="S39"/>
      <c r="T39"/>
      <c r="U39"/>
      <c r="V39"/>
      <c r="W39"/>
    </row>
    <row r="40" spans="1:26" ht="13" thickBot="1">
      <c r="A40" s="133">
        <f t="shared" si="0"/>
        <v>31</v>
      </c>
      <c r="B40" s="1" t="s">
        <v>85</v>
      </c>
      <c r="C40" s="133"/>
      <c r="D40" s="176">
        <f>SUM(D34:D38)</f>
        <v>113767.0845</v>
      </c>
      <c r="E40" s="178">
        <f>SUM(E34:E38)</f>
        <v>1</v>
      </c>
      <c r="F40" s="176">
        <f>'S8.5'!F33</f>
        <v>105563.28976153061</v>
      </c>
      <c r="G40" s="177">
        <f>H40/F40</f>
        <v>8.0422245452734908E-2</v>
      </c>
      <c r="H40" s="176">
        <v>8489.6367999999929</v>
      </c>
      <c r="I40" s="170"/>
      <c r="J40"/>
      <c r="K40"/>
      <c r="L40"/>
      <c r="M40"/>
      <c r="N40"/>
      <c r="O40"/>
      <c r="P40"/>
      <c r="Q40"/>
      <c r="R40"/>
      <c r="S40"/>
      <c r="T40"/>
      <c r="U40"/>
      <c r="V40"/>
      <c r="W40"/>
    </row>
    <row r="41" spans="1:26">
      <c r="A41" s="133">
        <f t="shared" si="0"/>
        <v>32</v>
      </c>
      <c r="C41" s="133"/>
      <c r="J41"/>
      <c r="K41"/>
      <c r="L41"/>
      <c r="M41"/>
      <c r="N41"/>
      <c r="O41"/>
      <c r="P41"/>
      <c r="Q41"/>
      <c r="R41"/>
      <c r="S41"/>
      <c r="T41"/>
      <c r="U41"/>
      <c r="V41"/>
      <c r="W41"/>
    </row>
    <row r="42" spans="1:26">
      <c r="A42" s="133">
        <f t="shared" si="0"/>
        <v>33</v>
      </c>
      <c r="B42" s="169" t="s">
        <v>428</v>
      </c>
      <c r="C42" s="133"/>
      <c r="D42" s="1"/>
      <c r="E42" s="1"/>
      <c r="F42" s="1"/>
      <c r="G42" s="1"/>
      <c r="H42" s="170"/>
      <c r="I42" s="170"/>
      <c r="J42"/>
      <c r="K42"/>
      <c r="L42"/>
      <c r="M42"/>
      <c r="N42"/>
      <c r="O42"/>
      <c r="P42"/>
      <c r="Q42"/>
      <c r="R42"/>
      <c r="S42"/>
      <c r="T42"/>
      <c r="U42"/>
      <c r="V42"/>
      <c r="W42"/>
    </row>
    <row r="43" spans="1:26" ht="6" customHeight="1">
      <c r="A43" s="133">
        <f t="shared" ref="A43:A74" si="1">A42+1</f>
        <v>34</v>
      </c>
      <c r="B43" s="1"/>
      <c r="C43" s="133"/>
      <c r="D43" s="1"/>
      <c r="E43" s="1"/>
      <c r="F43" s="1"/>
      <c r="G43" s="1"/>
      <c r="H43" s="170"/>
      <c r="I43" s="170"/>
      <c r="J43"/>
      <c r="K43"/>
      <c r="L43"/>
      <c r="M43"/>
      <c r="N43"/>
      <c r="O43"/>
      <c r="P43"/>
      <c r="Q43"/>
      <c r="R43"/>
      <c r="S43"/>
      <c r="T43"/>
      <c r="U43"/>
      <c r="V43"/>
      <c r="W43"/>
    </row>
    <row r="44" spans="1:26">
      <c r="A44" s="133">
        <f t="shared" si="1"/>
        <v>35</v>
      </c>
      <c r="B44" s="1" t="s">
        <v>419</v>
      </c>
      <c r="C44" s="133" t="s">
        <v>429</v>
      </c>
      <c r="D44" s="170">
        <f>'S8.2 &amp; 8.3'!L111</f>
        <v>68550</v>
      </c>
      <c r="E44" s="171">
        <f>D44/D50</f>
        <v>0.59365529192044542</v>
      </c>
      <c r="F44" s="170">
        <f>F50*E44</f>
        <v>63331.020585038357</v>
      </c>
      <c r="G44" s="171">
        <f>'S8.2 &amp; 8.3'!N111</f>
        <v>4.9447330415754935E-2</v>
      </c>
      <c r="H44" s="170">
        <f>+G44*F44</f>
        <v>3131.5499004353692</v>
      </c>
      <c r="I44" s="170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Y44" s="155"/>
    </row>
    <row r="45" spans="1:26" ht="6" customHeight="1">
      <c r="A45" s="133">
        <f t="shared" si="1"/>
        <v>36</v>
      </c>
      <c r="B45" s="1"/>
      <c r="C45" s="133"/>
      <c r="D45" s="170"/>
      <c r="E45" s="171"/>
      <c r="F45" s="170"/>
      <c r="G45" s="171"/>
      <c r="H45" s="170"/>
      <c r="I45" s="170"/>
      <c r="J45"/>
      <c r="K45"/>
      <c r="L45"/>
      <c r="M45"/>
      <c r="N45"/>
      <c r="O45"/>
      <c r="P45"/>
      <c r="Q45"/>
      <c r="R45"/>
      <c r="S45"/>
      <c r="T45"/>
      <c r="U45"/>
      <c r="V45"/>
      <c r="W45"/>
    </row>
    <row r="46" spans="1:26">
      <c r="A46" s="133">
        <f t="shared" si="1"/>
        <v>37</v>
      </c>
      <c r="B46" s="1" t="s">
        <v>421</v>
      </c>
      <c r="C46" s="133"/>
      <c r="D46" s="170">
        <v>45898.30017499996</v>
      </c>
      <c r="E46" s="171">
        <f>D46/D50</f>
        <v>0.39748750968697061</v>
      </c>
      <c r="F46" s="170">
        <f>F50*E46</f>
        <v>42403.883197683332</v>
      </c>
      <c r="G46" s="171">
        <f>H46/F46</f>
        <v>0.1300403093711455</v>
      </c>
      <c r="H46" s="170">
        <f>H50-H44-H48</f>
        <v>5514.2140895646589</v>
      </c>
      <c r="I46" s="170"/>
      <c r="J46"/>
      <c r="K46"/>
      <c r="L46"/>
      <c r="M46"/>
      <c r="N46"/>
      <c r="O46"/>
      <c r="P46"/>
      <c r="Q46"/>
      <c r="R46"/>
      <c r="S46"/>
      <c r="T46"/>
      <c r="U46"/>
      <c r="V46"/>
      <c r="W46"/>
    </row>
    <row r="47" spans="1:26" ht="6" customHeight="1">
      <c r="A47" s="133">
        <f t="shared" si="1"/>
        <v>38</v>
      </c>
      <c r="B47" s="1"/>
      <c r="C47" s="133"/>
      <c r="D47" s="170"/>
      <c r="E47" s="171"/>
      <c r="F47" s="170"/>
      <c r="G47" s="171"/>
      <c r="H47" s="170"/>
      <c r="I47" s="170"/>
      <c r="J47"/>
      <c r="K47"/>
      <c r="L47"/>
      <c r="M47"/>
      <c r="N47"/>
      <c r="O47"/>
      <c r="P47"/>
      <c r="Q47"/>
      <c r="R47"/>
      <c r="S47"/>
      <c r="T47"/>
      <c r="U47"/>
      <c r="V47"/>
      <c r="W47"/>
    </row>
    <row r="48" spans="1:26">
      <c r="A48" s="133">
        <f t="shared" si="1"/>
        <v>39</v>
      </c>
      <c r="B48" s="1" t="s">
        <v>422</v>
      </c>
      <c r="C48" s="133" t="s">
        <v>423</v>
      </c>
      <c r="D48" s="231">
        <f>+'S8.4 '!G17</f>
        <v>1022.7499999999999</v>
      </c>
      <c r="E48" s="173">
        <f>D48/D50</f>
        <v>8.8571983925840331E-3</v>
      </c>
      <c r="F48" s="231">
        <f>F50*E48</f>
        <v>944.88404527130524</v>
      </c>
      <c r="G48" s="173">
        <v>0</v>
      </c>
      <c r="H48" s="174">
        <f>ROUND(F48*G48,0)</f>
        <v>0</v>
      </c>
      <c r="I48" s="175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Z48" s="334"/>
    </row>
    <row r="49" spans="1:23" ht="6" customHeight="1">
      <c r="A49" s="133">
        <f t="shared" si="1"/>
        <v>40</v>
      </c>
      <c r="B49" s="1"/>
      <c r="C49" s="133"/>
      <c r="D49" s="170"/>
      <c r="E49" s="1"/>
      <c r="F49" s="170"/>
      <c r="G49" s="171"/>
      <c r="H49" s="170"/>
      <c r="I49" s="170"/>
      <c r="J49"/>
      <c r="K49"/>
      <c r="L49"/>
      <c r="M49"/>
      <c r="N49"/>
      <c r="O49"/>
      <c r="P49"/>
      <c r="Q49"/>
      <c r="R49"/>
      <c r="S49"/>
      <c r="T49"/>
      <c r="U49"/>
      <c r="V49"/>
      <c r="W49"/>
    </row>
    <row r="50" spans="1:23" ht="13" thickBot="1">
      <c r="A50" s="133">
        <f t="shared" si="1"/>
        <v>41</v>
      </c>
      <c r="B50" s="1" t="s">
        <v>85</v>
      </c>
      <c r="C50" s="133"/>
      <c r="D50" s="176">
        <f>SUM(D44:D48)</f>
        <v>115471.05017499995</v>
      </c>
      <c r="E50" s="178">
        <f>SUM(E44:E48)</f>
        <v>1</v>
      </c>
      <c r="F50" s="176">
        <f>+'S8.5'!G33</f>
        <v>106679.78782799299</v>
      </c>
      <c r="G50" s="177">
        <f>H50/F50</f>
        <v>8.1044068103511571E-2</v>
      </c>
      <c r="H50" s="176">
        <v>8645.7639900000286</v>
      </c>
      <c r="I50" s="170"/>
      <c r="J50"/>
      <c r="K50"/>
      <c r="L50"/>
      <c r="M50"/>
      <c r="N50"/>
      <c r="O50"/>
      <c r="P50"/>
      <c r="Q50"/>
      <c r="R50"/>
      <c r="S50"/>
      <c r="T50"/>
      <c r="U50"/>
      <c r="V50"/>
      <c r="W50"/>
    </row>
    <row r="51" spans="1:23">
      <c r="A51" s="133">
        <f t="shared" si="1"/>
        <v>42</v>
      </c>
      <c r="C51" s="133"/>
      <c r="J51"/>
      <c r="K51"/>
      <c r="L51"/>
      <c r="M51"/>
      <c r="N51"/>
      <c r="O51"/>
      <c r="P51"/>
      <c r="Q51"/>
      <c r="R51"/>
      <c r="S51"/>
      <c r="T51"/>
      <c r="U51"/>
      <c r="V51"/>
      <c r="W51"/>
    </row>
    <row r="52" spans="1:23">
      <c r="A52" s="133">
        <f t="shared" si="1"/>
        <v>43</v>
      </c>
      <c r="B52" s="169" t="s">
        <v>430</v>
      </c>
      <c r="C52" s="133"/>
      <c r="D52" s="1"/>
      <c r="E52" s="1"/>
      <c r="F52" s="1"/>
      <c r="G52" s="1"/>
      <c r="H52" s="170"/>
      <c r="I52" s="170"/>
      <c r="J52"/>
      <c r="K52"/>
      <c r="L52"/>
      <c r="M52"/>
      <c r="N52"/>
      <c r="O52"/>
      <c r="P52"/>
      <c r="Q52"/>
      <c r="R52"/>
      <c r="S52"/>
      <c r="T52"/>
      <c r="U52"/>
      <c r="V52"/>
      <c r="W52"/>
    </row>
    <row r="53" spans="1:23" ht="6" customHeight="1">
      <c r="A53" s="133">
        <f t="shared" si="1"/>
        <v>44</v>
      </c>
      <c r="B53" s="1"/>
      <c r="C53" s="133"/>
      <c r="D53" s="1"/>
      <c r="E53" s="1"/>
      <c r="F53" s="1"/>
      <c r="G53" s="1"/>
      <c r="H53" s="170"/>
      <c r="I53" s="170"/>
      <c r="J53"/>
      <c r="K53"/>
      <c r="L53"/>
      <c r="M53"/>
      <c r="N53"/>
      <c r="O53"/>
      <c r="P53"/>
      <c r="Q53"/>
      <c r="R53"/>
      <c r="S53"/>
      <c r="T53"/>
      <c r="U53"/>
      <c r="V53"/>
      <c r="W53"/>
    </row>
    <row r="54" spans="1:23">
      <c r="A54" s="133">
        <f t="shared" si="1"/>
        <v>45</v>
      </c>
      <c r="B54" s="1" t="s">
        <v>419</v>
      </c>
      <c r="C54" s="133" t="s">
        <v>431</v>
      </c>
      <c r="D54" s="170">
        <f>'S8.2 &amp; 8.3'!L138</f>
        <v>69450</v>
      </c>
      <c r="E54" s="171">
        <f>D54/D60</f>
        <v>0.59711340510173527</v>
      </c>
      <c r="F54" s="170">
        <f>F60*E54</f>
        <v>64267.61444374812</v>
      </c>
      <c r="G54" s="171">
        <f>'S8.2 &amp; 8.3'!N138</f>
        <v>4.6715140388768901E-2</v>
      </c>
      <c r="H54" s="170">
        <f>+G54*F54</f>
        <v>3002.2706311909656</v>
      </c>
      <c r="I54" s="170"/>
      <c r="J54"/>
      <c r="K54"/>
      <c r="L54"/>
      <c r="M54"/>
      <c r="N54"/>
      <c r="O54"/>
      <c r="P54"/>
      <c r="Q54"/>
      <c r="R54"/>
      <c r="S54"/>
      <c r="T54"/>
      <c r="U54"/>
      <c r="V54"/>
      <c r="W54"/>
    </row>
    <row r="55" spans="1:23" ht="6" customHeight="1">
      <c r="A55" s="133">
        <f t="shared" si="1"/>
        <v>46</v>
      </c>
      <c r="B55" s="1"/>
      <c r="C55" s="133"/>
      <c r="D55" s="170"/>
      <c r="E55" s="171"/>
      <c r="F55" s="170"/>
      <c r="G55" s="171"/>
      <c r="H55" s="170"/>
      <c r="I55" s="170"/>
      <c r="J55"/>
      <c r="K55"/>
      <c r="L55"/>
      <c r="M55"/>
      <c r="N55"/>
      <c r="O55"/>
      <c r="P55"/>
      <c r="Q55"/>
      <c r="R55"/>
      <c r="S55"/>
      <c r="T55"/>
      <c r="U55"/>
      <c r="V55"/>
      <c r="W55"/>
    </row>
    <row r="56" spans="1:23">
      <c r="A56" s="133">
        <f t="shared" si="1"/>
        <v>47</v>
      </c>
      <c r="B56" s="1" t="s">
        <v>421</v>
      </c>
      <c r="C56" s="133"/>
      <c r="D56" s="170">
        <v>45729.314324999898</v>
      </c>
      <c r="E56" s="171">
        <f>D56/D60</f>
        <v>0.39316899337031319</v>
      </c>
      <c r="F56" s="170">
        <f>F60*E56</f>
        <v>42316.975404118952</v>
      </c>
      <c r="G56" s="171">
        <f>H56/F56</f>
        <v>0.13189515922411024</v>
      </c>
      <c r="H56" s="170">
        <f>H60-H54-H58</f>
        <v>5581.4042088090264</v>
      </c>
      <c r="I56" s="170"/>
      <c r="J56"/>
      <c r="K56"/>
      <c r="L56"/>
      <c r="M56"/>
      <c r="N56"/>
      <c r="O56"/>
      <c r="P56"/>
      <c r="Q56"/>
      <c r="R56"/>
      <c r="S56"/>
      <c r="T56"/>
      <c r="U56"/>
      <c r="V56"/>
      <c r="W56"/>
    </row>
    <row r="57" spans="1:23" ht="6" customHeight="1">
      <c r="A57" s="133">
        <f t="shared" si="1"/>
        <v>48</v>
      </c>
      <c r="B57" s="1"/>
      <c r="C57" s="133"/>
      <c r="D57" s="170"/>
      <c r="E57" s="171"/>
      <c r="F57" s="170"/>
      <c r="G57" s="171"/>
      <c r="H57" s="170"/>
      <c r="I57" s="170"/>
      <c r="J57"/>
      <c r="K57"/>
      <c r="L57"/>
      <c r="M57"/>
      <c r="N57"/>
      <c r="O57"/>
      <c r="P57"/>
      <c r="Q57"/>
      <c r="R57"/>
      <c r="S57"/>
      <c r="T57"/>
      <c r="U57"/>
      <c r="V57"/>
      <c r="W57"/>
    </row>
    <row r="58" spans="1:23">
      <c r="A58" s="133">
        <f t="shared" si="1"/>
        <v>49</v>
      </c>
      <c r="B58" s="1" t="s">
        <v>422</v>
      </c>
      <c r="C58" s="133" t="s">
        <v>423</v>
      </c>
      <c r="D58" s="172">
        <f>+'S8.4 '!H17</f>
        <v>1130.2499999999995</v>
      </c>
      <c r="E58" s="173">
        <f>D58/D60</f>
        <v>9.717601527951562E-3</v>
      </c>
      <c r="F58" s="172">
        <f>F60*E58</f>
        <v>1045.9103128156412</v>
      </c>
      <c r="G58" s="173">
        <v>0</v>
      </c>
      <c r="H58" s="174">
        <f>ROUND(F58*G58,0)</f>
        <v>0</v>
      </c>
      <c r="I58" s="175"/>
      <c r="J58"/>
      <c r="K58"/>
      <c r="L58"/>
      <c r="M58"/>
      <c r="N58"/>
      <c r="O58"/>
      <c r="P58"/>
      <c r="Q58"/>
      <c r="R58"/>
      <c r="S58"/>
      <c r="T58"/>
      <c r="U58"/>
      <c r="V58"/>
      <c r="W58"/>
    </row>
    <row r="59" spans="1:23" ht="6" customHeight="1">
      <c r="A59" s="133">
        <f t="shared" si="1"/>
        <v>50</v>
      </c>
      <c r="B59" s="1"/>
      <c r="C59" s="133"/>
      <c r="D59" s="170"/>
      <c r="E59" s="1"/>
      <c r="F59" s="170"/>
      <c r="G59" s="171"/>
      <c r="H59" s="170"/>
      <c r="I59" s="170"/>
      <c r="J59"/>
      <c r="K59"/>
      <c r="L59"/>
      <c r="M59"/>
      <c r="N59"/>
      <c r="O59"/>
      <c r="P59"/>
      <c r="Q59"/>
      <c r="R59"/>
      <c r="S59"/>
      <c r="T59"/>
      <c r="U59"/>
      <c r="V59"/>
      <c r="W59"/>
    </row>
    <row r="60" spans="1:23" ht="13" thickBot="1">
      <c r="A60" s="133">
        <f t="shared" si="1"/>
        <v>51</v>
      </c>
      <c r="B60" s="1" t="s">
        <v>85</v>
      </c>
      <c r="C60" s="133"/>
      <c r="D60" s="176">
        <f>SUM(D54:D58)</f>
        <v>116309.5643249999</v>
      </c>
      <c r="E60" s="178">
        <f>SUM(E54:E58)</f>
        <v>1</v>
      </c>
      <c r="F60" s="176">
        <f>+'S8.5'!H33</f>
        <v>107630.50016068271</v>
      </c>
      <c r="G60" s="177">
        <f>H60/F60</f>
        <v>7.9751323529904009E-2</v>
      </c>
      <c r="H60" s="176">
        <v>8583.6748399999924</v>
      </c>
      <c r="I60" s="170"/>
      <c r="J60"/>
      <c r="K60"/>
      <c r="L60"/>
      <c r="M60"/>
      <c r="N60"/>
      <c r="O60"/>
      <c r="P60"/>
      <c r="Q60"/>
      <c r="R60"/>
      <c r="S60"/>
      <c r="T60"/>
      <c r="U60"/>
      <c r="V60"/>
      <c r="W60"/>
    </row>
    <row r="61" spans="1:23">
      <c r="A61" s="133">
        <f t="shared" si="1"/>
        <v>52</v>
      </c>
      <c r="C61" s="133"/>
      <c r="J61"/>
      <c r="K61"/>
      <c r="L61"/>
      <c r="M61"/>
      <c r="N61"/>
      <c r="O61"/>
      <c r="P61"/>
      <c r="Q61"/>
      <c r="R61"/>
      <c r="S61"/>
      <c r="T61"/>
      <c r="U61"/>
      <c r="V61"/>
      <c r="W61"/>
    </row>
    <row r="62" spans="1:23">
      <c r="A62" s="133">
        <f t="shared" si="1"/>
        <v>53</v>
      </c>
      <c r="B62" s="169" t="s">
        <v>432</v>
      </c>
      <c r="C62" s="133"/>
      <c r="D62" s="1"/>
      <c r="E62" s="1"/>
      <c r="F62" s="1"/>
      <c r="G62" s="1"/>
      <c r="H62" s="170"/>
      <c r="I62" s="170"/>
      <c r="J62"/>
      <c r="K62"/>
      <c r="L62"/>
      <c r="M62"/>
      <c r="N62"/>
      <c r="O62"/>
      <c r="P62"/>
      <c r="Q62"/>
      <c r="R62"/>
      <c r="S62"/>
      <c r="T62"/>
      <c r="U62"/>
      <c r="V62"/>
      <c r="W62"/>
    </row>
    <row r="63" spans="1:23" ht="6" customHeight="1">
      <c r="A63" s="133">
        <f t="shared" si="1"/>
        <v>54</v>
      </c>
      <c r="B63" s="1"/>
      <c r="C63" s="133"/>
      <c r="D63" s="1"/>
      <c r="E63" s="1"/>
      <c r="F63" s="1"/>
      <c r="G63" s="1"/>
      <c r="H63" s="170"/>
      <c r="I63" s="170"/>
      <c r="J63"/>
      <c r="K63"/>
      <c r="L63"/>
      <c r="M63"/>
      <c r="N63"/>
      <c r="O63"/>
      <c r="P63"/>
      <c r="Q63"/>
      <c r="R63"/>
      <c r="S63"/>
      <c r="T63"/>
      <c r="U63"/>
      <c r="V63"/>
      <c r="W63"/>
    </row>
    <row r="64" spans="1:23">
      <c r="A64" s="133">
        <f t="shared" si="1"/>
        <v>55</v>
      </c>
      <c r="B64" s="1" t="s">
        <v>419</v>
      </c>
      <c r="C64" s="133" t="s">
        <v>433</v>
      </c>
      <c r="D64" s="175">
        <f>+'S8.2 &amp; 8.3'!L165</f>
        <v>70800</v>
      </c>
      <c r="E64" s="171">
        <f>D64/D70</f>
        <v>0.60313963711961927</v>
      </c>
      <c r="F64" s="175">
        <f>F70*E64</f>
        <v>66129.059533043779</v>
      </c>
      <c r="G64" s="171">
        <f>'S8.2 &amp; 8.3'!N165</f>
        <v>4.5346970338983057E-2</v>
      </c>
      <c r="H64" s="175">
        <f>+G64*F64</f>
        <v>2998.752501189781</v>
      </c>
      <c r="I64" s="170"/>
      <c r="J64"/>
      <c r="K64"/>
      <c r="L64"/>
      <c r="M64"/>
      <c r="N64"/>
      <c r="O64"/>
      <c r="P64"/>
      <c r="Q64"/>
      <c r="R64"/>
      <c r="S64"/>
      <c r="T64"/>
      <c r="U64"/>
      <c r="V64"/>
      <c r="W64"/>
    </row>
    <row r="65" spans="1:23" ht="6" customHeight="1">
      <c r="A65" s="133">
        <f t="shared" si="1"/>
        <v>56</v>
      </c>
      <c r="B65" s="1"/>
      <c r="C65" s="133"/>
      <c r="D65" s="175"/>
      <c r="E65" s="171"/>
      <c r="F65" s="175"/>
      <c r="G65" s="171"/>
      <c r="H65" s="175"/>
      <c r="I65" s="170"/>
      <c r="J65"/>
      <c r="K65"/>
      <c r="L65"/>
      <c r="M65"/>
      <c r="N65"/>
      <c r="O65"/>
      <c r="P65"/>
      <c r="Q65"/>
      <c r="R65"/>
      <c r="S65"/>
      <c r="T65"/>
      <c r="U65"/>
      <c r="V65"/>
      <c r="W65"/>
    </row>
    <row r="66" spans="1:23">
      <c r="A66" s="133">
        <f t="shared" si="1"/>
        <v>57</v>
      </c>
      <c r="B66" s="1" t="s">
        <v>421</v>
      </c>
      <c r="C66" s="476"/>
      <c r="D66" s="175">
        <v>45347.902224999925</v>
      </c>
      <c r="E66" s="171">
        <f>D66/D70</f>
        <v>0.38631521599042984</v>
      </c>
      <c r="F66" s="175">
        <f>F70*E66</f>
        <v>42356.13172225521</v>
      </c>
      <c r="G66" s="171">
        <f>H66/F66</f>
        <v>0.12346091760930493</v>
      </c>
      <c r="H66" s="175">
        <f>H70-H64-H68</f>
        <v>5229.3268888102175</v>
      </c>
      <c r="I66" s="170"/>
      <c r="J66"/>
      <c r="K66"/>
      <c r="L66"/>
      <c r="M66"/>
      <c r="N66"/>
      <c r="O66"/>
      <c r="P66"/>
      <c r="Q66"/>
      <c r="R66"/>
      <c r="S66"/>
      <c r="T66"/>
      <c r="U66"/>
      <c r="V66"/>
      <c r="W66"/>
    </row>
    <row r="67" spans="1:23" ht="6" customHeight="1">
      <c r="A67" s="133">
        <f t="shared" si="1"/>
        <v>58</v>
      </c>
      <c r="B67" s="1"/>
      <c r="C67" s="133"/>
      <c r="D67" s="175"/>
      <c r="E67" s="171"/>
      <c r="F67" s="175"/>
      <c r="G67" s="171"/>
      <c r="H67" s="175"/>
      <c r="I67" s="170"/>
      <c r="J67"/>
      <c r="K67"/>
      <c r="L67"/>
      <c r="M67"/>
      <c r="N67"/>
      <c r="O67"/>
      <c r="P67"/>
      <c r="Q67"/>
      <c r="R67"/>
      <c r="S67"/>
      <c r="T67"/>
      <c r="U67"/>
      <c r="V67"/>
      <c r="W67"/>
    </row>
    <row r="68" spans="1:23">
      <c r="A68" s="133">
        <f t="shared" si="1"/>
        <v>59</v>
      </c>
      <c r="B68" s="1" t="s">
        <v>422</v>
      </c>
      <c r="C68" s="133" t="s">
        <v>423</v>
      </c>
      <c r="D68" s="174">
        <f>+'S8.4 '!I17</f>
        <v>1237.8499999999997</v>
      </c>
      <c r="E68" s="173">
        <f>D68/D70</f>
        <v>1.0545146889950854E-2</v>
      </c>
      <c r="F68" s="174">
        <f>F70*E68</f>
        <v>1156.1844116239861</v>
      </c>
      <c r="G68" s="173">
        <v>0</v>
      </c>
      <c r="H68" s="174">
        <f>ROUND(F68*G68,0)</f>
        <v>0</v>
      </c>
      <c r="I68" s="175"/>
      <c r="J68"/>
      <c r="K68"/>
      <c r="L68"/>
      <c r="M68"/>
      <c r="N68"/>
      <c r="O68"/>
      <c r="P68"/>
      <c r="Q68"/>
      <c r="R68"/>
      <c r="S68"/>
      <c r="T68"/>
      <c r="U68"/>
      <c r="V68"/>
      <c r="W68"/>
    </row>
    <row r="69" spans="1:23" ht="6" customHeight="1">
      <c r="A69" s="133">
        <f t="shared" si="1"/>
        <v>60</v>
      </c>
      <c r="B69" s="1"/>
      <c r="C69" s="133"/>
      <c r="D69" s="175"/>
      <c r="E69" s="1"/>
      <c r="F69" s="175"/>
      <c r="G69" s="171"/>
      <c r="H69" s="175"/>
      <c r="I69" s="170"/>
      <c r="J69"/>
      <c r="K69"/>
      <c r="L69"/>
      <c r="M69"/>
      <c r="N69"/>
      <c r="O69"/>
      <c r="P69"/>
      <c r="Q69"/>
      <c r="R69"/>
      <c r="S69"/>
      <c r="T69"/>
      <c r="U69"/>
      <c r="V69"/>
      <c r="W69"/>
    </row>
    <row r="70" spans="1:23" ht="13" thickBot="1">
      <c r="A70" s="133">
        <f t="shared" si="1"/>
        <v>61</v>
      </c>
      <c r="B70" s="1" t="s">
        <v>85</v>
      </c>
      <c r="C70" s="133"/>
      <c r="D70" s="200">
        <f>SUM(D64:D68)</f>
        <v>117385.75222499993</v>
      </c>
      <c r="E70" s="178">
        <f>SUM(E64:E68)</f>
        <v>1</v>
      </c>
      <c r="F70" s="200">
        <f>+'S8.5'!I33</f>
        <v>109641.37566692298</v>
      </c>
      <c r="G70" s="177">
        <f>H70/F70</f>
        <v>7.5045386287343682E-2</v>
      </c>
      <c r="H70" s="200">
        <v>8228.079389999999</v>
      </c>
      <c r="I70" s="170"/>
      <c r="J70"/>
      <c r="K70"/>
      <c r="L70"/>
      <c r="M70"/>
      <c r="N70"/>
      <c r="O70"/>
      <c r="P70"/>
      <c r="Q70"/>
      <c r="R70"/>
      <c r="S70"/>
      <c r="T70"/>
      <c r="U70"/>
      <c r="V70"/>
      <c r="W70"/>
    </row>
    <row r="71" spans="1:23">
      <c r="A71" s="133">
        <f t="shared" si="1"/>
        <v>62</v>
      </c>
      <c r="C71" s="133"/>
      <c r="D71" s="155"/>
      <c r="F71" s="155"/>
      <c r="H71" s="155"/>
      <c r="J71"/>
      <c r="K71"/>
      <c r="L71"/>
      <c r="M71"/>
      <c r="N71"/>
      <c r="O71"/>
      <c r="P71"/>
      <c r="Q71"/>
      <c r="R71"/>
      <c r="S71"/>
      <c r="T71"/>
      <c r="U71"/>
      <c r="V71"/>
      <c r="W71"/>
    </row>
    <row r="72" spans="1:23">
      <c r="A72" s="133">
        <f t="shared" si="1"/>
        <v>63</v>
      </c>
      <c r="B72" s="169" t="s">
        <v>434</v>
      </c>
      <c r="C72" s="133"/>
      <c r="D72" s="175"/>
      <c r="E72" s="1"/>
      <c r="F72" s="201"/>
      <c r="G72" s="1"/>
      <c r="H72" s="175"/>
      <c r="I72" s="170"/>
      <c r="J72"/>
      <c r="K72"/>
      <c r="L72"/>
      <c r="M72"/>
      <c r="N72"/>
      <c r="O72"/>
      <c r="P72"/>
      <c r="Q72"/>
      <c r="R72"/>
      <c r="S72"/>
      <c r="T72"/>
      <c r="U72"/>
      <c r="V72"/>
      <c r="W72"/>
    </row>
    <row r="73" spans="1:23" ht="6" customHeight="1">
      <c r="A73" s="133">
        <f t="shared" si="1"/>
        <v>64</v>
      </c>
      <c r="B73" s="1"/>
      <c r="C73" s="133"/>
      <c r="D73" s="175"/>
      <c r="E73" s="1"/>
      <c r="F73" s="175"/>
      <c r="G73" s="1"/>
      <c r="H73" s="175"/>
      <c r="I73" s="170"/>
      <c r="J73"/>
      <c r="K73"/>
      <c r="L73"/>
      <c r="M73"/>
      <c r="N73"/>
      <c r="O73"/>
      <c r="P73"/>
      <c r="Q73"/>
      <c r="R73"/>
      <c r="S73"/>
      <c r="T73"/>
      <c r="U73"/>
      <c r="V73"/>
      <c r="W73"/>
    </row>
    <row r="74" spans="1:23">
      <c r="A74" s="133">
        <f t="shared" si="1"/>
        <v>65</v>
      </c>
      <c r="B74" s="1" t="s">
        <v>419</v>
      </c>
      <c r="C74" s="133" t="s">
        <v>435</v>
      </c>
      <c r="D74" s="175">
        <f>+'S8.2 &amp; 8.3'!L194</f>
        <v>72300</v>
      </c>
      <c r="E74" s="171">
        <f>D74/D80</f>
        <v>0.60058459178345058</v>
      </c>
      <c r="F74" s="175">
        <f>F80*E74</f>
        <v>69066.540395634496</v>
      </c>
      <c r="G74" s="171">
        <f>'S8.2 &amp; 8.3'!N194</f>
        <v>4.5407162655601671E-2</v>
      </c>
      <c r="H74" s="209">
        <f>+G74*F74</f>
        <v>3136.1156338042588</v>
      </c>
      <c r="I74" s="170"/>
    </row>
    <row r="75" spans="1:23" ht="6" customHeight="1">
      <c r="A75" s="133">
        <f t="shared" ref="A75:A106" si="2">A74+1</f>
        <v>66</v>
      </c>
      <c r="B75" s="1"/>
      <c r="C75" s="133"/>
      <c r="D75" s="175"/>
      <c r="E75" s="171"/>
      <c r="F75" s="175"/>
      <c r="G75" s="171"/>
      <c r="H75" s="175"/>
      <c r="I75" s="170"/>
    </row>
    <row r="76" spans="1:23">
      <c r="A76" s="133">
        <f t="shared" si="2"/>
        <v>67</v>
      </c>
      <c r="B76" s="1" t="s">
        <v>421</v>
      </c>
      <c r="C76" s="133"/>
      <c r="D76" s="175">
        <v>46738.547312646384</v>
      </c>
      <c r="E76" s="171">
        <f>D76/D80</f>
        <v>0.38824967300577073</v>
      </c>
      <c r="F76" s="175">
        <f>F80*E76</f>
        <v>44648.267856184873</v>
      </c>
      <c r="G76" s="171">
        <f>H76/F76</f>
        <v>0.11878280112839119</v>
      </c>
      <c r="H76" s="175">
        <f>H80-H74-H78</f>
        <v>5303.446321488349</v>
      </c>
      <c r="I76" s="170"/>
      <c r="M76" s="334"/>
      <c r="N76" s="334"/>
    </row>
    <row r="77" spans="1:23" ht="6" customHeight="1">
      <c r="A77" s="133">
        <f t="shared" si="2"/>
        <v>68</v>
      </c>
      <c r="B77" s="1"/>
      <c r="C77" s="133"/>
      <c r="D77" s="175"/>
      <c r="E77" s="171"/>
      <c r="F77" s="175"/>
      <c r="G77" s="171"/>
      <c r="H77" s="175"/>
      <c r="I77" s="170"/>
    </row>
    <row r="78" spans="1:23">
      <c r="A78" s="133">
        <f t="shared" si="2"/>
        <v>69</v>
      </c>
      <c r="B78" s="1" t="s">
        <v>422</v>
      </c>
      <c r="C78" s="133" t="s">
        <v>423</v>
      </c>
      <c r="D78" s="174">
        <f>+'S8.4 '!J17</f>
        <v>1344.1614500000001</v>
      </c>
      <c r="E78" s="173">
        <f>D78/D80</f>
        <v>1.1165735210778715E-2</v>
      </c>
      <c r="F78" s="174">
        <f>F80*E78</f>
        <v>1284.0467646567033</v>
      </c>
      <c r="G78" s="173">
        <v>0</v>
      </c>
      <c r="H78" s="174">
        <f>ROUND(F78*G78,0)</f>
        <v>0</v>
      </c>
      <c r="I78" s="175"/>
    </row>
    <row r="79" spans="1:23" ht="6" customHeight="1">
      <c r="A79" s="133">
        <f t="shared" si="2"/>
        <v>70</v>
      </c>
      <c r="B79" s="1"/>
      <c r="C79" s="133"/>
      <c r="D79" s="175"/>
      <c r="E79" s="1"/>
      <c r="F79" s="175"/>
      <c r="G79" s="171"/>
      <c r="H79" s="175"/>
      <c r="I79" s="170"/>
    </row>
    <row r="80" spans="1:23" ht="13" thickBot="1">
      <c r="A80" s="133">
        <f t="shared" si="2"/>
        <v>71</v>
      </c>
      <c r="B80" s="1" t="s">
        <v>85</v>
      </c>
      <c r="C80" s="133"/>
      <c r="D80" s="200">
        <f>SUM(D74:D78)</f>
        <v>120382.70876264638</v>
      </c>
      <c r="E80" s="178">
        <f>SUM(E74:E78)</f>
        <v>1</v>
      </c>
      <c r="F80" s="200">
        <f>+'S8.5'!J33</f>
        <v>114998.85501647607</v>
      </c>
      <c r="G80" s="177">
        <f>H80/F80</f>
        <v>7.3388225944366642E-2</v>
      </c>
      <c r="H80" s="200">
        <v>8439.5619552926073</v>
      </c>
      <c r="I80" s="170"/>
      <c r="J80" s="175"/>
      <c r="K80" s="304"/>
      <c r="M80" s="155"/>
      <c r="N80" s="155"/>
    </row>
    <row r="81" spans="1:10">
      <c r="A81" s="133">
        <f t="shared" si="2"/>
        <v>72</v>
      </c>
      <c r="C81" s="133"/>
      <c r="D81" s="155"/>
      <c r="H81" s="155"/>
    </row>
    <row r="82" spans="1:10">
      <c r="A82" s="133">
        <f t="shared" si="2"/>
        <v>73</v>
      </c>
      <c r="B82" s="169" t="s">
        <v>436</v>
      </c>
      <c r="C82" s="133"/>
      <c r="D82" s="175"/>
      <c r="E82" s="1"/>
      <c r="F82" s="201"/>
      <c r="G82" s="1"/>
      <c r="H82" s="175"/>
      <c r="I82" s="170"/>
    </row>
    <row r="83" spans="1:10" ht="6" customHeight="1">
      <c r="A83" s="133">
        <f t="shared" si="2"/>
        <v>74</v>
      </c>
      <c r="B83" s="1"/>
      <c r="C83" s="133"/>
      <c r="D83" s="175"/>
      <c r="E83" s="1"/>
      <c r="F83" s="175"/>
      <c r="G83" s="1"/>
      <c r="H83" s="175"/>
      <c r="I83" s="170"/>
    </row>
    <row r="84" spans="1:10">
      <c r="A84" s="133">
        <f t="shared" si="2"/>
        <v>75</v>
      </c>
      <c r="B84" s="1" t="s">
        <v>419</v>
      </c>
      <c r="C84" s="133" t="s">
        <v>437</v>
      </c>
      <c r="D84" s="175">
        <f>'S8.2 &amp; 8.3'!L222</f>
        <v>76050</v>
      </c>
      <c r="E84" s="171">
        <f>D84/D90</f>
        <v>0.59719565284020604</v>
      </c>
      <c r="F84" s="175">
        <f>F90*E84</f>
        <v>77370.799147213082</v>
      </c>
      <c r="G84" s="171">
        <f>'S8.2 &amp; 8.3'!N222</f>
        <v>4.4655295463510852E-2</v>
      </c>
      <c r="H84" s="175">
        <f>+G84*F84</f>
        <v>3455.0158961667535</v>
      </c>
      <c r="I84" s="170"/>
      <c r="J84" s="340"/>
    </row>
    <row r="85" spans="1:10" ht="6" customHeight="1">
      <c r="A85" s="133">
        <f t="shared" si="2"/>
        <v>76</v>
      </c>
      <c r="B85" s="1"/>
      <c r="C85" s="133"/>
      <c r="D85" s="175"/>
      <c r="E85" s="171"/>
      <c r="F85" s="175"/>
      <c r="G85" s="171"/>
      <c r="H85" s="175"/>
      <c r="I85" s="170"/>
    </row>
    <row r="86" spans="1:10">
      <c r="A86" s="133">
        <f t="shared" si="2"/>
        <v>77</v>
      </c>
      <c r="B86" s="1" t="s">
        <v>421</v>
      </c>
      <c r="C86" s="133"/>
      <c r="D86" s="175">
        <v>50136.755251062415</v>
      </c>
      <c r="E86" s="171">
        <f>D86/D90</f>
        <v>0.39370745934842666</v>
      </c>
      <c r="F86" s="175">
        <f>F90*E86</f>
        <v>51007.505856974771</v>
      </c>
      <c r="G86" s="171">
        <f>8.75%+0.75%</f>
        <v>9.5000000000000001E-2</v>
      </c>
      <c r="H86" s="175">
        <f>+G86*F86</f>
        <v>4845.7130564126037</v>
      </c>
      <c r="I86" s="170"/>
    </row>
    <row r="87" spans="1:10" ht="6" customHeight="1">
      <c r="A87" s="133">
        <f t="shared" si="2"/>
        <v>78</v>
      </c>
      <c r="B87" s="1"/>
      <c r="C87" s="133"/>
      <c r="D87" s="175"/>
      <c r="E87" s="171"/>
      <c r="F87" s="175"/>
      <c r="G87" s="171"/>
      <c r="H87" s="175"/>
      <c r="I87" s="170"/>
    </row>
    <row r="88" spans="1:10">
      <c r="A88" s="133">
        <f t="shared" si="2"/>
        <v>79</v>
      </c>
      <c r="B88" s="1" t="s">
        <v>422</v>
      </c>
      <c r="C88" s="133" t="s">
        <v>423</v>
      </c>
      <c r="D88" s="174">
        <f>'S8.4 '!L17</f>
        <v>1158.4449999999999</v>
      </c>
      <c r="E88" s="173">
        <f>D88/D90</f>
        <v>9.0968878113671589E-3</v>
      </c>
      <c r="F88" s="174">
        <f>F90*E88</f>
        <v>1178.5643053003716</v>
      </c>
      <c r="G88" s="173">
        <v>0</v>
      </c>
      <c r="H88" s="174">
        <f>+G88*F88</f>
        <v>0</v>
      </c>
      <c r="I88" s="175"/>
    </row>
    <row r="89" spans="1:10" ht="6" customHeight="1">
      <c r="A89" s="133">
        <f t="shared" si="2"/>
        <v>80</v>
      </c>
      <c r="B89" s="1"/>
      <c r="C89" s="133"/>
      <c r="D89" s="175"/>
      <c r="E89" s="1"/>
      <c r="F89" s="175"/>
      <c r="G89" s="171"/>
      <c r="H89" s="175"/>
      <c r="I89" s="170"/>
    </row>
    <row r="90" spans="1:10" ht="13" thickBot="1">
      <c r="A90" s="133">
        <f t="shared" si="2"/>
        <v>81</v>
      </c>
      <c r="B90" s="1" t="s">
        <v>85</v>
      </c>
      <c r="C90" s="133"/>
      <c r="D90" s="200">
        <f>SUM(D84:D88)</f>
        <v>127345.20025106243</v>
      </c>
      <c r="E90" s="178">
        <f>SUM(E84:E88)</f>
        <v>0.99999999999999989</v>
      </c>
      <c r="F90" s="200">
        <f>'S8.5'!L33</f>
        <v>129556.86930948825</v>
      </c>
      <c r="G90" s="177">
        <f>H90/F90</f>
        <v>6.4070156965204184E-2</v>
      </c>
      <c r="H90" s="200">
        <f>SUM(H84:H88)</f>
        <v>8300.7289525793567</v>
      </c>
      <c r="I90" s="170"/>
    </row>
    <row r="91" spans="1:10">
      <c r="A91" s="133">
        <f t="shared" si="2"/>
        <v>82</v>
      </c>
      <c r="C91" s="133"/>
    </row>
    <row r="92" spans="1:10">
      <c r="A92" s="133">
        <f t="shared" si="2"/>
        <v>83</v>
      </c>
    </row>
    <row r="93" spans="1:10">
      <c r="A93" s="133">
        <f t="shared" si="2"/>
        <v>84</v>
      </c>
      <c r="B93" s="169" t="s">
        <v>438</v>
      </c>
      <c r="C93" s="133"/>
      <c r="D93" s="175"/>
      <c r="E93" s="1"/>
      <c r="F93" s="201"/>
      <c r="G93" s="1"/>
      <c r="H93" s="175"/>
    </row>
    <row r="94" spans="1:10">
      <c r="A94" s="133">
        <f t="shared" si="2"/>
        <v>85</v>
      </c>
      <c r="B94" s="1"/>
      <c r="C94" s="133"/>
      <c r="D94" s="175"/>
      <c r="E94" s="1"/>
      <c r="F94" s="175"/>
      <c r="G94" s="1"/>
      <c r="H94" s="175"/>
    </row>
    <row r="95" spans="1:10">
      <c r="A95" s="133">
        <f t="shared" si="2"/>
        <v>86</v>
      </c>
      <c r="B95" s="1" t="s">
        <v>419</v>
      </c>
      <c r="C95" s="133" t="s">
        <v>439</v>
      </c>
      <c r="D95" s="175">
        <f>'S8.2 &amp; 8.3'!L251</f>
        <v>81350</v>
      </c>
      <c r="E95" s="171">
        <f>D95/D101</f>
        <v>0.59390595399274226</v>
      </c>
      <c r="F95" s="175">
        <f>F101*E95</f>
        <v>84602.749769215341</v>
      </c>
      <c r="G95" s="171">
        <f>'S8.2 &amp; 8.3'!N251</f>
        <v>4.3649664658881371E-2</v>
      </c>
      <c r="H95" s="175">
        <f>+G95*F95</f>
        <v>3692.881656645503</v>
      </c>
    </row>
    <row r="96" spans="1:10">
      <c r="A96" s="133">
        <f t="shared" si="2"/>
        <v>87</v>
      </c>
      <c r="B96" s="1"/>
      <c r="C96" s="133"/>
      <c r="D96" s="175"/>
      <c r="E96" s="171"/>
      <c r="F96" s="175"/>
      <c r="G96" s="171"/>
      <c r="H96" s="175"/>
    </row>
    <row r="97" spans="1:10">
      <c r="A97" s="133">
        <f t="shared" si="2"/>
        <v>88</v>
      </c>
      <c r="B97" s="1" t="s">
        <v>421</v>
      </c>
      <c r="C97" s="133"/>
      <c r="D97" s="175">
        <v>54744.978669020609</v>
      </c>
      <c r="E97" s="171">
        <f>D97/D101</f>
        <v>0.39967263408404441</v>
      </c>
      <c r="F97" s="175">
        <f>F101*E97</f>
        <v>56933.936465349507</v>
      </c>
      <c r="G97" s="171">
        <f>G86</f>
        <v>9.5000000000000001E-2</v>
      </c>
      <c r="H97" s="175">
        <f>+G97*F97</f>
        <v>5408.7239642082031</v>
      </c>
    </row>
    <row r="98" spans="1:10">
      <c r="A98" s="133">
        <f t="shared" si="2"/>
        <v>89</v>
      </c>
      <c r="B98" s="1"/>
      <c r="C98" s="133"/>
      <c r="D98" s="175"/>
      <c r="E98" s="171"/>
      <c r="F98" s="175"/>
      <c r="G98" s="171"/>
      <c r="H98" s="175"/>
    </row>
    <row r="99" spans="1:10">
      <c r="A99" s="133">
        <f t="shared" si="2"/>
        <v>90</v>
      </c>
      <c r="B99" s="1" t="s">
        <v>422</v>
      </c>
      <c r="C99" s="133" t="s">
        <v>423</v>
      </c>
      <c r="D99" s="174">
        <f>'S8.4 '!M17</f>
        <v>879.56999999999994</v>
      </c>
      <c r="E99" s="173">
        <f>D99/D101</f>
        <v>6.4214119232132308E-3</v>
      </c>
      <c r="F99" s="174">
        <f>F101*E99</f>
        <v>914.7392822926704</v>
      </c>
      <c r="G99" s="173">
        <v>0</v>
      </c>
      <c r="H99" s="174">
        <f>ROUND(F99*G99,0)</f>
        <v>0</v>
      </c>
    </row>
    <row r="100" spans="1:10">
      <c r="A100" s="133">
        <f t="shared" si="2"/>
        <v>91</v>
      </c>
      <c r="B100" s="1"/>
      <c r="C100" s="133"/>
      <c r="D100" s="175"/>
      <c r="E100" s="1"/>
      <c r="F100" s="175"/>
      <c r="G100" s="171"/>
      <c r="H100" s="175"/>
    </row>
    <row r="101" spans="1:10" ht="13" thickBot="1">
      <c r="A101" s="133">
        <f t="shared" si="2"/>
        <v>92</v>
      </c>
      <c r="B101" s="1" t="s">
        <v>85</v>
      </c>
      <c r="C101" s="133"/>
      <c r="D101" s="200">
        <f>SUM(D95:D99)</f>
        <v>136974.54866902062</v>
      </c>
      <c r="E101" s="178">
        <f>SUM(E95:E99)</f>
        <v>0.99999999999999989</v>
      </c>
      <c r="F101" s="200">
        <f>'S8.5'!N33</f>
        <v>142451.42551685753</v>
      </c>
      <c r="G101" s="177">
        <f>H101/F101</f>
        <v>6.3892695968680455E-2</v>
      </c>
      <c r="H101" s="200">
        <f>SUM(H95:H99)</f>
        <v>9101.6056208537066</v>
      </c>
    </row>
    <row r="102" spans="1:10">
      <c r="A102" s="133">
        <f t="shared" si="2"/>
        <v>93</v>
      </c>
      <c r="C102" s="133"/>
    </row>
    <row r="103" spans="1:10">
      <c r="A103" s="133">
        <f t="shared" si="2"/>
        <v>94</v>
      </c>
    </row>
    <row r="104" spans="1:10">
      <c r="A104" s="133">
        <f t="shared" si="2"/>
        <v>95</v>
      </c>
      <c r="B104" s="169" t="s">
        <v>440</v>
      </c>
      <c r="C104" s="133"/>
      <c r="D104" s="175"/>
      <c r="E104" s="1"/>
      <c r="F104" s="201"/>
      <c r="G104" s="1"/>
      <c r="H104" s="175"/>
    </row>
    <row r="105" spans="1:10">
      <c r="A105" s="133">
        <f t="shared" si="2"/>
        <v>96</v>
      </c>
      <c r="B105" s="1"/>
      <c r="C105" s="133"/>
      <c r="D105" s="175"/>
      <c r="E105" s="1"/>
      <c r="F105" s="175"/>
      <c r="G105" s="1"/>
      <c r="H105" s="175"/>
    </row>
    <row r="106" spans="1:10">
      <c r="A106" s="133">
        <f t="shared" si="2"/>
        <v>97</v>
      </c>
      <c r="B106" s="1" t="s">
        <v>419</v>
      </c>
      <c r="C106" s="133" t="s">
        <v>441</v>
      </c>
      <c r="D106" s="175">
        <f>'S8.2 &amp; 8.3'!L277</f>
        <v>59200</v>
      </c>
      <c r="E106" s="171">
        <f>D106/D112</f>
        <v>0.59602765689144388</v>
      </c>
      <c r="F106" s="175">
        <f>F112*E106</f>
        <v>59210.88048487655</v>
      </c>
      <c r="G106" s="269">
        <f>'S8.2 &amp; 8.3'!N277</f>
        <v>5.462733952702703E-2</v>
      </c>
      <c r="H106" s="175">
        <f>+G106*F106</f>
        <v>3234.5328719415702</v>
      </c>
      <c r="J106" s="156"/>
    </row>
    <row r="107" spans="1:10">
      <c r="A107" s="133">
        <f t="shared" ref="A107:A123" si="3">A106+1</f>
        <v>98</v>
      </c>
      <c r="B107" s="1"/>
      <c r="C107" s="133"/>
      <c r="D107" s="175"/>
      <c r="E107" s="171"/>
      <c r="F107" s="175"/>
      <c r="G107" s="171"/>
      <c r="H107" s="175"/>
      <c r="J107" s="156"/>
    </row>
    <row r="108" spans="1:10">
      <c r="A108" s="133">
        <f t="shared" si="3"/>
        <v>99</v>
      </c>
      <c r="B108" s="1" t="s">
        <v>421</v>
      </c>
      <c r="C108" s="133"/>
      <c r="D108" s="175">
        <v>39464.5</v>
      </c>
      <c r="E108" s="171">
        <f>D108/D112</f>
        <v>0.39732995718568226</v>
      </c>
      <c r="F108" s="175">
        <f>F112*E108</f>
        <v>39471.75325836843</v>
      </c>
      <c r="G108" s="171">
        <f>H108/F108</f>
        <v>8.9999983147575818E-2</v>
      </c>
      <c r="H108" s="175">
        <f>H112-H106-H110</f>
        <v>3552.4571280584296</v>
      </c>
    </row>
    <row r="109" spans="1:10">
      <c r="A109" s="133">
        <f t="shared" si="3"/>
        <v>100</v>
      </c>
      <c r="B109" s="1"/>
      <c r="C109" s="133"/>
      <c r="D109" s="175"/>
      <c r="E109" s="171"/>
      <c r="F109" s="175"/>
      <c r="G109" s="171"/>
      <c r="H109" s="175"/>
    </row>
    <row r="110" spans="1:10">
      <c r="A110" s="133">
        <f t="shared" si="3"/>
        <v>101</v>
      </c>
      <c r="B110" s="1" t="s">
        <v>422</v>
      </c>
      <c r="C110" s="133" t="s">
        <v>423</v>
      </c>
      <c r="D110" s="174">
        <f>'S8.4 '!O17</f>
        <v>659.75</v>
      </c>
      <c r="E110" s="173">
        <f>D110/D112</f>
        <v>6.6423859228738197E-3</v>
      </c>
      <c r="F110" s="174">
        <f>F112*E110</f>
        <v>659.87125675502205</v>
      </c>
      <c r="G110" s="173">
        <v>0</v>
      </c>
      <c r="H110" s="174">
        <f>ROUND(F110*G110,0)</f>
        <v>0</v>
      </c>
    </row>
    <row r="111" spans="1:10">
      <c r="A111" s="133">
        <f t="shared" si="3"/>
        <v>102</v>
      </c>
      <c r="B111" s="1"/>
      <c r="C111" s="133"/>
      <c r="D111" s="175"/>
      <c r="E111" s="1"/>
      <c r="F111" s="175"/>
      <c r="G111" s="171"/>
      <c r="H111" s="175"/>
    </row>
    <row r="112" spans="1:10" ht="13" thickBot="1">
      <c r="A112" s="133">
        <f t="shared" si="3"/>
        <v>103</v>
      </c>
      <c r="B112" s="1" t="s">
        <v>85</v>
      </c>
      <c r="C112" s="133"/>
      <c r="D112" s="200">
        <f>SUM(D106:D110)</f>
        <v>99324.25</v>
      </c>
      <c r="E112" s="178">
        <f>SUM(E106:E110)</f>
        <v>0.99999999999999989</v>
      </c>
      <c r="F112" s="200">
        <f>'S8.5'!P33</f>
        <v>99342.505000000005</v>
      </c>
      <c r="G112" s="177">
        <f>H112/F112</f>
        <v>6.8319094631245705E-2</v>
      </c>
      <c r="H112" s="200">
        <v>6786.99</v>
      </c>
    </row>
    <row r="113" spans="1:8">
      <c r="A113" s="133">
        <f t="shared" si="3"/>
        <v>104</v>
      </c>
      <c r="C113" s="133"/>
    </row>
    <row r="114" spans="1:8">
      <c r="A114" s="133">
        <f t="shared" si="3"/>
        <v>105</v>
      </c>
    </row>
    <row r="115" spans="1:8">
      <c r="A115" s="133">
        <f t="shared" si="3"/>
        <v>106</v>
      </c>
      <c r="B115" s="169" t="s">
        <v>442</v>
      </c>
      <c r="C115" s="133"/>
      <c r="D115" s="175"/>
      <c r="E115" s="1"/>
      <c r="F115" s="201"/>
      <c r="G115" s="1"/>
      <c r="H115" s="175"/>
    </row>
    <row r="116" spans="1:8">
      <c r="A116" s="133">
        <f t="shared" si="3"/>
        <v>107</v>
      </c>
      <c r="B116" s="1"/>
      <c r="C116" s="133"/>
      <c r="D116" s="175"/>
      <c r="E116" s="1"/>
      <c r="F116" s="175"/>
      <c r="G116" s="1"/>
      <c r="H116" s="175"/>
    </row>
    <row r="117" spans="1:8">
      <c r="A117" s="133">
        <f t="shared" si="3"/>
        <v>108</v>
      </c>
      <c r="B117" s="1" t="s">
        <v>419</v>
      </c>
      <c r="C117" s="133" t="s">
        <v>443</v>
      </c>
      <c r="D117" s="175">
        <f>'S8.2 &amp; 8.3'!L304</f>
        <v>63400</v>
      </c>
      <c r="E117" s="171">
        <f>D117/D123</f>
        <v>0.59623030100696151</v>
      </c>
      <c r="F117" s="175">
        <f>F123*E117</f>
        <v>62868.657442651616</v>
      </c>
      <c r="G117" s="171">
        <f>'S8.2 &amp; 8.3'!N304</f>
        <v>5.2795599369085171E-2</v>
      </c>
      <c r="H117" s="175">
        <f>+G117*F117</f>
        <v>3319.1884512144893</v>
      </c>
    </row>
    <row r="118" spans="1:8">
      <c r="A118" s="133">
        <f t="shared" si="3"/>
        <v>109</v>
      </c>
      <c r="B118" s="1"/>
      <c r="C118" s="133"/>
      <c r="D118" s="175"/>
      <c r="E118" s="171"/>
      <c r="F118" s="175"/>
      <c r="G118" s="171"/>
      <c r="H118" s="175"/>
    </row>
    <row r="119" spans="1:8">
      <c r="A119" s="133">
        <f t="shared" si="3"/>
        <v>110</v>
      </c>
      <c r="B119" s="1" t="s">
        <v>421</v>
      </c>
      <c r="C119" s="133"/>
      <c r="D119" s="175">
        <v>42267.5</v>
      </c>
      <c r="E119" s="171">
        <f>D119/D123</f>
        <v>0.39749470422416</v>
      </c>
      <c r="F119" s="175">
        <f>F123*E119</f>
        <v>41913.264644436545</v>
      </c>
      <c r="G119" s="171">
        <f>H119/F119</f>
        <v>8.9999945859293051E-2</v>
      </c>
      <c r="H119" s="175">
        <f>H123-H117-H121</f>
        <v>3772.1915487855108</v>
      </c>
    </row>
    <row r="120" spans="1:8">
      <c r="A120" s="133">
        <f t="shared" si="3"/>
        <v>111</v>
      </c>
      <c r="B120" s="1"/>
      <c r="C120" s="133"/>
      <c r="D120" s="175"/>
      <c r="E120" s="171"/>
      <c r="F120" s="175"/>
      <c r="G120" s="171"/>
      <c r="H120" s="175"/>
    </row>
    <row r="121" spans="1:8">
      <c r="A121" s="133">
        <f t="shared" si="3"/>
        <v>112</v>
      </c>
      <c r="B121" s="1" t="s">
        <v>422</v>
      </c>
      <c r="C121" s="133" t="s">
        <v>423</v>
      </c>
      <c r="D121" s="174">
        <f>'S8.4 '!P17</f>
        <v>667.25</v>
      </c>
      <c r="E121" s="173">
        <f>D121/D123</f>
        <v>6.2749947688784712E-3</v>
      </c>
      <c r="F121" s="174">
        <f>F123*E121</f>
        <v>661.65791291181847</v>
      </c>
      <c r="G121" s="173">
        <v>0</v>
      </c>
      <c r="H121" s="174">
        <f>ROUND(F121*G121,0)</f>
        <v>0</v>
      </c>
    </row>
    <row r="122" spans="1:8">
      <c r="A122" s="133">
        <f t="shared" si="3"/>
        <v>113</v>
      </c>
      <c r="B122" s="1"/>
      <c r="C122" s="133"/>
      <c r="D122" s="175"/>
      <c r="E122" s="1"/>
      <c r="F122" s="175"/>
      <c r="G122" s="171"/>
      <c r="H122" s="175"/>
    </row>
    <row r="123" spans="1:8" ht="13" thickBot="1">
      <c r="A123" s="133">
        <f t="shared" si="3"/>
        <v>114</v>
      </c>
      <c r="B123" s="1" t="s">
        <v>85</v>
      </c>
      <c r="C123" s="133"/>
      <c r="D123" s="200">
        <f>SUM(D117:D121)</f>
        <v>106334.75</v>
      </c>
      <c r="E123" s="178">
        <f>SUM(E117:E121)</f>
        <v>1</v>
      </c>
      <c r="F123" s="200">
        <f>'S8.5'!R33</f>
        <v>105443.57999999999</v>
      </c>
      <c r="G123" s="177">
        <f>H123/F123</f>
        <v>6.7252837963202694E-2</v>
      </c>
      <c r="H123" s="200">
        <v>7091.38</v>
      </c>
    </row>
    <row r="124" spans="1:8">
      <c r="A124" s="133"/>
      <c r="C124" s="133"/>
    </row>
  </sheetData>
  <mergeCells count="4">
    <mergeCell ref="A5:H5"/>
    <mergeCell ref="A4:H4"/>
    <mergeCell ref="A2:H2"/>
    <mergeCell ref="A1:H1"/>
  </mergeCells>
  <phoneticPr fontId="12" type="noConversion"/>
  <printOptions horizontalCentered="1"/>
  <pageMargins left="0.5" right="0.5" top="0.75" bottom="0.75" header="0.26" footer="0.28999999999999998"/>
  <pageSetup scale="76" orientation="landscape" useFirstPageNumber="1" r:id="rId1"/>
  <headerFooter alignWithMargins="0">
    <oddHeader>&amp;R&amp;"Arial,Bold"Schedule 8.1
Page &amp;P of 3</oddHeader>
  </headerFooter>
  <rowBreaks count="2" manualBreakCount="2">
    <brk id="61" max="7" man="1"/>
    <brk id="102" max="7" man="1"/>
  </rowBreaks>
  <ignoredErrors>
    <ignoredError sqref="A5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Z305"/>
  <sheetViews>
    <sheetView zoomScaleNormal="100" zoomScaleSheetLayoutView="100" workbookViewId="0">
      <selection activeCell="Q16" sqref="Q16"/>
    </sheetView>
  </sheetViews>
  <sheetFormatPr defaultColWidth="9" defaultRowHeight="12.5"/>
  <cols>
    <col min="1" max="1" width="6.1796875" style="11" customWidth="1"/>
    <col min="2" max="2" width="2" style="145" customWidth="1"/>
    <col min="3" max="3" width="14" style="145" customWidth="1"/>
    <col min="4" max="4" width="20.7265625" style="145" customWidth="1"/>
    <col min="5" max="5" width="11.453125" style="145" customWidth="1"/>
    <col min="6" max="6" width="10" style="145" bestFit="1" customWidth="1"/>
    <col min="7" max="7" width="11" style="145" bestFit="1" customWidth="1"/>
    <col min="8" max="8" width="12" style="145" customWidth="1"/>
    <col min="9" max="9" width="9.7265625" style="145" customWidth="1"/>
    <col min="10" max="10" width="12.7265625" style="145" bestFit="1" customWidth="1"/>
    <col min="11" max="12" width="12" style="145" customWidth="1"/>
    <col min="13" max="13" width="8.54296875" style="145" bestFit="1" customWidth="1"/>
    <col min="14" max="14" width="12" style="145" customWidth="1"/>
    <col min="15" max="15" width="2.1796875" style="145" customWidth="1"/>
    <col min="16" max="16" width="12.453125" style="145" customWidth="1"/>
    <col min="17" max="17" width="10" style="145" bestFit="1" customWidth="1"/>
    <col min="18" max="16384" width="9" style="145"/>
  </cols>
  <sheetData>
    <row r="1" spans="1:15" ht="13">
      <c r="A1" s="146" t="str">
        <f>'S1.1'!A1</f>
        <v>ATCO Electric Yukon (AEY)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30"/>
    </row>
    <row r="2" spans="1:15" ht="13">
      <c r="A2" s="146" t="str">
        <f>'S1.1'!A2</f>
        <v>2023 - 2024 General Rate Application (GRA)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30"/>
    </row>
    <row r="3" spans="1:15" ht="13">
      <c r="A3" s="146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30"/>
    </row>
    <row r="4" spans="1:15" ht="13">
      <c r="A4" s="146" t="s">
        <v>444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24"/>
    </row>
    <row r="5" spans="1:15" ht="13">
      <c r="A5" s="26" t="s">
        <v>6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24"/>
    </row>
    <row r="6" spans="1:15">
      <c r="B6" s="11"/>
      <c r="C6" s="105"/>
      <c r="D6" s="11"/>
      <c r="E6" s="12"/>
      <c r="F6" s="12"/>
      <c r="G6" s="103"/>
      <c r="H6" s="12"/>
      <c r="I6" s="10"/>
      <c r="J6" s="104"/>
      <c r="K6" s="103"/>
      <c r="L6" s="10"/>
      <c r="M6" s="10"/>
      <c r="N6" s="10"/>
    </row>
    <row r="7" spans="1:15">
      <c r="B7" s="203" t="s">
        <v>418</v>
      </c>
      <c r="C7" s="105"/>
      <c r="D7" s="105"/>
      <c r="E7" s="105"/>
      <c r="F7" s="105"/>
      <c r="G7" s="105"/>
      <c r="H7" s="105"/>
      <c r="I7" s="261" t="s">
        <v>445</v>
      </c>
      <c r="J7" s="106"/>
      <c r="K7" s="105"/>
      <c r="L7" s="105"/>
      <c r="M7" s="105"/>
    </row>
    <row r="8" spans="1:15">
      <c r="C8" s="101"/>
      <c r="D8" s="101"/>
      <c r="E8" s="101"/>
      <c r="F8" s="101"/>
      <c r="G8" s="101"/>
      <c r="H8" s="101" t="s">
        <v>446</v>
      </c>
      <c r="I8" s="101" t="s">
        <v>156</v>
      </c>
      <c r="J8" s="101" t="s">
        <v>447</v>
      </c>
      <c r="L8" s="101" t="s">
        <v>446</v>
      </c>
      <c r="M8" s="101" t="s">
        <v>156</v>
      </c>
      <c r="N8" s="101" t="s">
        <v>448</v>
      </c>
    </row>
    <row r="9" spans="1:15">
      <c r="A9" s="101" t="s">
        <v>7</v>
      </c>
      <c r="B9" s="101"/>
      <c r="C9" s="101"/>
      <c r="D9" s="101"/>
      <c r="E9" s="101" t="s">
        <v>449</v>
      </c>
      <c r="F9" s="101" t="s">
        <v>450</v>
      </c>
      <c r="G9" s="101" t="s">
        <v>451</v>
      </c>
      <c r="H9" s="101" t="s">
        <v>452</v>
      </c>
      <c r="I9" s="101" t="s">
        <v>85</v>
      </c>
      <c r="J9" s="101" t="s">
        <v>446</v>
      </c>
      <c r="K9" s="101" t="s">
        <v>453</v>
      </c>
      <c r="L9" s="101" t="s">
        <v>454</v>
      </c>
      <c r="M9" s="101" t="s">
        <v>455</v>
      </c>
      <c r="N9" s="101" t="s">
        <v>456</v>
      </c>
    </row>
    <row r="10" spans="1:15">
      <c r="A10" s="107" t="s">
        <v>12</v>
      </c>
      <c r="B10" s="101"/>
      <c r="C10" s="107" t="s">
        <v>13</v>
      </c>
      <c r="D10" s="107" t="s">
        <v>457</v>
      </c>
      <c r="E10" s="107" t="s">
        <v>458</v>
      </c>
      <c r="F10" s="107" t="s">
        <v>413</v>
      </c>
      <c r="G10" s="107" t="s">
        <v>458</v>
      </c>
      <c r="H10" s="107" t="s">
        <v>459</v>
      </c>
      <c r="I10" s="107" t="s">
        <v>452</v>
      </c>
      <c r="J10" s="107" t="s">
        <v>452</v>
      </c>
      <c r="K10" s="107" t="s">
        <v>460</v>
      </c>
      <c r="L10" s="262">
        <v>42735</v>
      </c>
      <c r="M10" s="107" t="s">
        <v>412</v>
      </c>
      <c r="N10" s="107" t="s">
        <v>460</v>
      </c>
    </row>
    <row r="11" spans="1:15">
      <c r="A11" s="11">
        <v>1</v>
      </c>
      <c r="B11" s="11"/>
      <c r="C11" s="105"/>
      <c r="D11" s="11" t="s">
        <v>461</v>
      </c>
      <c r="E11" s="12">
        <v>33205</v>
      </c>
      <c r="F11" s="102">
        <v>0.11849999999999999</v>
      </c>
      <c r="G11" s="204">
        <v>2020</v>
      </c>
      <c r="H11" s="192">
        <v>1500</v>
      </c>
      <c r="I11" s="192">
        <v>1500</v>
      </c>
      <c r="J11" s="195">
        <v>100</v>
      </c>
      <c r="K11" s="108">
        <v>0.1191</v>
      </c>
      <c r="L11" s="192">
        <v>1500</v>
      </c>
      <c r="M11" s="192">
        <f>K11*L11</f>
        <v>178.65</v>
      </c>
    </row>
    <row r="12" spans="1:15">
      <c r="A12" s="11">
        <f t="shared" ref="A12:A27" si="0">A11+1</f>
        <v>2</v>
      </c>
      <c r="B12" s="11"/>
      <c r="D12" s="11" t="s">
        <v>462</v>
      </c>
      <c r="E12" s="12">
        <v>33732</v>
      </c>
      <c r="F12" s="102">
        <v>9.4600000000000004E-2</v>
      </c>
      <c r="G12" s="204">
        <v>2023</v>
      </c>
      <c r="H12" s="192">
        <v>2500</v>
      </c>
      <c r="I12" s="192">
        <v>2500</v>
      </c>
      <c r="J12" s="195">
        <v>100</v>
      </c>
      <c r="K12" s="108">
        <v>9.5100000000000004E-2</v>
      </c>
      <c r="L12" s="192">
        <v>2500</v>
      </c>
      <c r="M12" s="192">
        <f>K12*L12</f>
        <v>237.75</v>
      </c>
    </row>
    <row r="13" spans="1:15">
      <c r="A13" s="11">
        <f t="shared" si="0"/>
        <v>3</v>
      </c>
      <c r="B13" s="11"/>
      <c r="C13" s="105"/>
      <c r="D13" s="11" t="s">
        <v>463</v>
      </c>
      <c r="E13" s="12">
        <v>36385</v>
      </c>
      <c r="F13" s="102">
        <v>6.8000000000000005E-2</v>
      </c>
      <c r="G13" s="11">
        <v>2019</v>
      </c>
      <c r="H13" s="192">
        <v>4500</v>
      </c>
      <c r="I13" s="192">
        <v>4500</v>
      </c>
      <c r="J13" s="195">
        <v>100</v>
      </c>
      <c r="K13" s="102">
        <v>6.8500000000000005E-2</v>
      </c>
      <c r="L13" s="192">
        <v>4500</v>
      </c>
      <c r="M13" s="192">
        <f t="shared" ref="M13:M27" si="1">K13*L13</f>
        <v>308.25</v>
      </c>
    </row>
    <row r="14" spans="1:15">
      <c r="A14" s="11">
        <f t="shared" si="0"/>
        <v>4</v>
      </c>
      <c r="B14" s="11"/>
      <c r="C14" s="105"/>
      <c r="D14" s="11" t="s">
        <v>464</v>
      </c>
      <c r="E14" s="12">
        <v>37582</v>
      </c>
      <c r="F14" s="102">
        <v>6.1600000000000002E-2</v>
      </c>
      <c r="G14" s="11">
        <v>2017</v>
      </c>
      <c r="H14" s="192">
        <v>3900</v>
      </c>
      <c r="I14" s="192">
        <v>3900</v>
      </c>
      <c r="J14" s="195">
        <v>100</v>
      </c>
      <c r="K14" s="102">
        <v>6.2100000000000002E-2</v>
      </c>
      <c r="L14" s="192">
        <v>3900</v>
      </c>
      <c r="M14" s="192">
        <f t="shared" si="1"/>
        <v>242.19</v>
      </c>
    </row>
    <row r="15" spans="1:15">
      <c r="A15" s="11">
        <f t="shared" si="0"/>
        <v>5</v>
      </c>
      <c r="B15" s="11"/>
      <c r="C15" s="105"/>
      <c r="D15" s="11" t="s">
        <v>465</v>
      </c>
      <c r="E15" s="12">
        <v>38009</v>
      </c>
      <c r="F15" s="102">
        <v>5.4199999999999998E-2</v>
      </c>
      <c r="G15" s="11">
        <v>2019</v>
      </c>
      <c r="H15" s="192">
        <v>1000</v>
      </c>
      <c r="I15" s="192">
        <v>1000</v>
      </c>
      <c r="J15" s="195">
        <v>100</v>
      </c>
      <c r="K15" s="102">
        <v>5.4699999999999999E-2</v>
      </c>
      <c r="L15" s="192">
        <v>1000</v>
      </c>
      <c r="M15" s="192">
        <f t="shared" si="1"/>
        <v>54.699999999999996</v>
      </c>
    </row>
    <row r="16" spans="1:15">
      <c r="A16" s="11">
        <f t="shared" si="0"/>
        <v>6</v>
      </c>
      <c r="B16" s="11"/>
      <c r="C16" s="105"/>
      <c r="D16" s="11" t="s">
        <v>466</v>
      </c>
      <c r="E16" s="12">
        <v>38677</v>
      </c>
      <c r="F16" s="102">
        <v>5.1799999999999999E-2</v>
      </c>
      <c r="G16" s="11">
        <v>2035</v>
      </c>
      <c r="H16" s="192">
        <v>4300</v>
      </c>
      <c r="I16" s="192">
        <v>4300</v>
      </c>
      <c r="J16" s="195">
        <v>100</v>
      </c>
      <c r="K16" s="102">
        <v>5.2299999999999999E-2</v>
      </c>
      <c r="L16" s="192">
        <v>4300</v>
      </c>
      <c r="M16" s="192">
        <f t="shared" si="1"/>
        <v>224.89</v>
      </c>
    </row>
    <row r="17" spans="1:14">
      <c r="A17" s="11">
        <f t="shared" si="0"/>
        <v>7</v>
      </c>
      <c r="B17" s="11"/>
      <c r="C17" s="105"/>
      <c r="D17" s="11" t="s">
        <v>467</v>
      </c>
      <c r="E17" s="12">
        <v>39041</v>
      </c>
      <c r="F17" s="102">
        <v>5.0200000000000002E-2</v>
      </c>
      <c r="G17" s="11">
        <v>2036</v>
      </c>
      <c r="H17" s="192">
        <v>3000</v>
      </c>
      <c r="I17" s="192">
        <v>3000</v>
      </c>
      <c r="J17" s="195">
        <v>100</v>
      </c>
      <c r="K17" s="102">
        <v>5.0700000000000002E-2</v>
      </c>
      <c r="L17" s="192">
        <v>3000</v>
      </c>
      <c r="M17" s="192">
        <f t="shared" si="1"/>
        <v>152.1</v>
      </c>
    </row>
    <row r="18" spans="1:14">
      <c r="A18" s="11">
        <f t="shared" si="0"/>
        <v>8</v>
      </c>
      <c r="B18" s="11"/>
      <c r="C18" s="105"/>
      <c r="D18" s="11" t="s">
        <v>468</v>
      </c>
      <c r="E18" s="12">
        <v>39594</v>
      </c>
      <c r="F18" s="102">
        <v>5.5599999999999997E-2</v>
      </c>
      <c r="G18" s="11">
        <v>2028</v>
      </c>
      <c r="H18" s="192">
        <v>860</v>
      </c>
      <c r="I18" s="192">
        <v>860</v>
      </c>
      <c r="J18" s="195">
        <v>100</v>
      </c>
      <c r="K18" s="102">
        <v>5.6099999999999997E-2</v>
      </c>
      <c r="L18" s="192">
        <v>860</v>
      </c>
      <c r="M18" s="192">
        <f t="shared" si="1"/>
        <v>48.245999999999995</v>
      </c>
    </row>
    <row r="19" spans="1:14">
      <c r="A19" s="11">
        <f t="shared" si="0"/>
        <v>9</v>
      </c>
      <c r="B19" s="11"/>
      <c r="C19" s="105"/>
      <c r="D19" s="11" t="s">
        <v>469</v>
      </c>
      <c r="E19" s="12">
        <v>39594</v>
      </c>
      <c r="F19" s="102">
        <v>5.57E-2</v>
      </c>
      <c r="G19" s="11">
        <v>2038</v>
      </c>
      <c r="H19" s="192">
        <v>1290</v>
      </c>
      <c r="I19" s="192">
        <v>1290</v>
      </c>
      <c r="J19" s="195">
        <v>100</v>
      </c>
      <c r="K19" s="102">
        <v>5.62E-2</v>
      </c>
      <c r="L19" s="192">
        <v>1290</v>
      </c>
      <c r="M19" s="192">
        <f t="shared" si="1"/>
        <v>72.498000000000005</v>
      </c>
      <c r="N19" s="105"/>
    </row>
    <row r="20" spans="1:14">
      <c r="A20" s="11">
        <f t="shared" si="0"/>
        <v>10</v>
      </c>
      <c r="B20" s="11"/>
      <c r="C20" s="105"/>
      <c r="D20" s="11" t="s">
        <v>470</v>
      </c>
      <c r="E20" s="12">
        <v>39878</v>
      </c>
      <c r="F20" s="102">
        <v>6.2299999999999994E-2</v>
      </c>
      <c r="G20" s="11">
        <v>2024</v>
      </c>
      <c r="H20" s="192">
        <v>2900</v>
      </c>
      <c r="I20" s="192">
        <v>2900</v>
      </c>
      <c r="J20" s="195">
        <v>100</v>
      </c>
      <c r="K20" s="102">
        <v>6.2799999999999995E-2</v>
      </c>
      <c r="L20" s="192">
        <v>2900</v>
      </c>
      <c r="M20" s="192">
        <f t="shared" si="1"/>
        <v>182.11999999999998</v>
      </c>
      <c r="N20" s="105"/>
    </row>
    <row r="21" spans="1:14">
      <c r="A21" s="11">
        <f t="shared" si="0"/>
        <v>11</v>
      </c>
      <c r="B21" s="11"/>
      <c r="C21" s="105"/>
      <c r="D21" s="11" t="s">
        <v>471</v>
      </c>
      <c r="E21" s="12">
        <v>39878</v>
      </c>
      <c r="F21" s="102">
        <v>6.5000000000000002E-2</v>
      </c>
      <c r="G21" s="11">
        <v>2039</v>
      </c>
      <c r="H21" s="192">
        <v>3700</v>
      </c>
      <c r="I21" s="192">
        <v>3700</v>
      </c>
      <c r="J21" s="195">
        <v>100</v>
      </c>
      <c r="K21" s="102">
        <v>6.5500000000000003E-2</v>
      </c>
      <c r="L21" s="192">
        <v>3700</v>
      </c>
      <c r="M21" s="192">
        <f t="shared" si="1"/>
        <v>242.35000000000002</v>
      </c>
      <c r="N21" s="105"/>
    </row>
    <row r="22" spans="1:14">
      <c r="A22" s="11">
        <f t="shared" si="0"/>
        <v>12</v>
      </c>
      <c r="B22" s="11"/>
      <c r="C22" s="105"/>
      <c r="D22" s="11" t="s">
        <v>472</v>
      </c>
      <c r="E22" s="12">
        <v>40840</v>
      </c>
      <c r="F22" s="102">
        <v>4.53E-2</v>
      </c>
      <c r="G22" s="11">
        <v>2041</v>
      </c>
      <c r="H22" s="192">
        <v>5000</v>
      </c>
      <c r="I22" s="192">
        <v>5000</v>
      </c>
      <c r="J22" s="195">
        <v>100</v>
      </c>
      <c r="K22" s="102">
        <v>4.58E-2</v>
      </c>
      <c r="L22" s="192">
        <v>5000</v>
      </c>
      <c r="M22" s="192">
        <f t="shared" si="1"/>
        <v>229</v>
      </c>
      <c r="N22" s="105"/>
    </row>
    <row r="23" spans="1:14">
      <c r="A23" s="11">
        <f t="shared" si="0"/>
        <v>13</v>
      </c>
      <c r="B23" s="11"/>
      <c r="C23" s="105"/>
      <c r="D23" s="11" t="s">
        <v>473</v>
      </c>
      <c r="E23" s="12">
        <v>41214</v>
      </c>
      <c r="F23" s="102">
        <v>3.8399999999999997E-2</v>
      </c>
      <c r="G23" s="11">
        <v>2052</v>
      </c>
      <c r="H23" s="192">
        <v>4000</v>
      </c>
      <c r="I23" s="192">
        <v>4000</v>
      </c>
      <c r="J23" s="195">
        <v>100</v>
      </c>
      <c r="K23" s="102">
        <v>3.8899999999999997E-2</v>
      </c>
      <c r="L23" s="192">
        <v>4000</v>
      </c>
      <c r="M23" s="192">
        <f t="shared" si="1"/>
        <v>155.6</v>
      </c>
      <c r="N23" s="105"/>
    </row>
    <row r="24" spans="1:14">
      <c r="A24" s="11">
        <f t="shared" si="0"/>
        <v>14</v>
      </c>
      <c r="B24" s="11"/>
      <c r="C24" s="105"/>
      <c r="D24" s="11" t="s">
        <v>474</v>
      </c>
      <c r="E24" s="12">
        <v>41579</v>
      </c>
      <c r="F24" s="102">
        <f t="shared" ref="F24:F25" si="2">+K24-0.0005</f>
        <v>4.7109999999999999E-2</v>
      </c>
      <c r="G24" s="11">
        <v>2043</v>
      </c>
      <c r="H24" s="192">
        <v>9400</v>
      </c>
      <c r="I24" s="192">
        <v>9400</v>
      </c>
      <c r="J24" s="195">
        <v>100</v>
      </c>
      <c r="K24" s="102">
        <v>4.761E-2</v>
      </c>
      <c r="L24" s="192">
        <v>9400</v>
      </c>
      <c r="M24" s="192">
        <f t="shared" si="1"/>
        <v>447.53399999999999</v>
      </c>
    </row>
    <row r="25" spans="1:14">
      <c r="A25" s="11">
        <f t="shared" si="0"/>
        <v>15</v>
      </c>
      <c r="B25" s="11"/>
      <c r="C25" s="105"/>
      <c r="D25" s="11" t="s">
        <v>475</v>
      </c>
      <c r="E25" s="12">
        <v>41944</v>
      </c>
      <c r="F25" s="102">
        <f t="shared" si="2"/>
        <v>4.07E-2</v>
      </c>
      <c r="G25" s="11">
        <v>2044</v>
      </c>
      <c r="H25" s="192">
        <v>7900</v>
      </c>
      <c r="I25" s="192">
        <v>7900</v>
      </c>
      <c r="J25" s="195">
        <v>100</v>
      </c>
      <c r="K25" s="102">
        <v>4.1200000000000001E-2</v>
      </c>
      <c r="L25" s="192">
        <v>7900</v>
      </c>
      <c r="M25" s="192">
        <f t="shared" si="1"/>
        <v>325.48</v>
      </c>
    </row>
    <row r="26" spans="1:14">
      <c r="A26" s="11">
        <f t="shared" si="0"/>
        <v>16</v>
      </c>
      <c r="B26" s="11"/>
      <c r="C26" s="105"/>
      <c r="D26" s="11" t="s">
        <v>476</v>
      </c>
      <c r="E26" s="12">
        <v>42309</v>
      </c>
      <c r="F26" s="102">
        <f>+K26-0.0005</f>
        <v>3.9509999999999997E-2</v>
      </c>
      <c r="G26" s="11">
        <v>2045</v>
      </c>
      <c r="H26" s="192">
        <v>750</v>
      </c>
      <c r="I26" s="192">
        <v>750</v>
      </c>
      <c r="J26" s="195">
        <v>100</v>
      </c>
      <c r="K26" s="102">
        <v>4.0009999999999997E-2</v>
      </c>
      <c r="L26" s="192">
        <v>750</v>
      </c>
      <c r="M26" s="192">
        <f t="shared" si="1"/>
        <v>30.007499999999997</v>
      </c>
    </row>
    <row r="27" spans="1:14">
      <c r="A27" s="11">
        <f t="shared" si="0"/>
        <v>17</v>
      </c>
      <c r="B27" s="11"/>
      <c r="C27" s="105"/>
      <c r="D27" s="11" t="s">
        <v>477</v>
      </c>
      <c r="E27" s="12">
        <v>42691</v>
      </c>
      <c r="F27" s="102">
        <f>K27-0.0005</f>
        <v>3.7490000000000002E-2</v>
      </c>
      <c r="G27" s="11">
        <v>2046</v>
      </c>
      <c r="H27" s="193">
        <v>7400</v>
      </c>
      <c r="I27" s="192">
        <v>7400</v>
      </c>
      <c r="J27" s="195">
        <v>100</v>
      </c>
      <c r="K27" s="102">
        <v>3.7990000000000003E-2</v>
      </c>
      <c r="L27" s="193">
        <v>7400</v>
      </c>
      <c r="M27" s="193">
        <f t="shared" si="1"/>
        <v>281.12600000000003</v>
      </c>
    </row>
    <row r="28" spans="1:14">
      <c r="A28" s="11">
        <f t="shared" ref="A28:A49" si="3">A27+1</f>
        <v>18</v>
      </c>
      <c r="B28" s="11"/>
      <c r="C28" s="105" t="s">
        <v>85</v>
      </c>
      <c r="D28" s="11"/>
      <c r="E28" s="12"/>
      <c r="F28" s="103"/>
      <c r="G28" s="12"/>
      <c r="H28" s="192">
        <f>SUM(H11:H27)</f>
        <v>63900</v>
      </c>
      <c r="I28" s="192"/>
      <c r="J28" s="104"/>
      <c r="K28" s="103"/>
      <c r="L28" s="192">
        <f>SUM(L11:L27)</f>
        <v>63900</v>
      </c>
      <c r="M28" s="192">
        <f>SUM(M11:M27)</f>
        <v>3412.4915000000001</v>
      </c>
      <c r="N28" s="102">
        <f>M28/L28</f>
        <v>5.3403622848200313E-2</v>
      </c>
    </row>
    <row r="29" spans="1:14">
      <c r="A29" s="11">
        <f t="shared" si="3"/>
        <v>19</v>
      </c>
      <c r="B29" s="11"/>
      <c r="C29" s="105" t="s">
        <v>478</v>
      </c>
      <c r="D29" s="11"/>
      <c r="E29" s="12"/>
      <c r="F29" s="103"/>
      <c r="G29" s="12"/>
      <c r="H29" s="10"/>
      <c r="I29" s="10"/>
      <c r="J29" s="104"/>
      <c r="K29" s="103"/>
      <c r="L29" s="193">
        <v>56500</v>
      </c>
      <c r="M29" s="193">
        <v>3131.3654999999999</v>
      </c>
      <c r="N29" s="13">
        <f>M29/L29</f>
        <v>5.5422398230088495E-2</v>
      </c>
    </row>
    <row r="30" spans="1:14">
      <c r="A30" s="11">
        <f t="shared" si="3"/>
        <v>20</v>
      </c>
      <c r="B30" s="11"/>
      <c r="C30" s="105" t="s">
        <v>85</v>
      </c>
      <c r="D30" s="11"/>
      <c r="E30" s="12"/>
      <c r="F30" s="103"/>
      <c r="G30" s="12"/>
      <c r="H30" s="10"/>
      <c r="I30" s="10"/>
      <c r="J30" s="104"/>
      <c r="K30" s="103"/>
      <c r="L30" s="193">
        <f>L28+L29</f>
        <v>120400</v>
      </c>
      <c r="M30" s="193">
        <f>M28+M29</f>
        <v>6543.857</v>
      </c>
      <c r="N30" s="156"/>
    </row>
    <row r="31" spans="1:14" ht="13" thickBot="1">
      <c r="A31" s="11">
        <f t="shared" si="3"/>
        <v>21</v>
      </c>
      <c r="B31" s="11"/>
      <c r="C31" s="105" t="s">
        <v>411</v>
      </c>
      <c r="D31" s="11"/>
      <c r="E31" s="12"/>
      <c r="F31" s="103"/>
      <c r="G31" s="12"/>
      <c r="H31" s="10"/>
      <c r="I31" s="10"/>
      <c r="J31" s="104"/>
      <c r="K31" s="103"/>
      <c r="L31" s="194">
        <f>L30/2</f>
        <v>60200</v>
      </c>
      <c r="M31" s="213">
        <f>M30/2</f>
        <v>3271.9285</v>
      </c>
      <c r="N31" s="260">
        <f>M31/L31</f>
        <v>5.435097176079734E-2</v>
      </c>
    </row>
    <row r="32" spans="1:14" ht="13" thickTop="1">
      <c r="A32" s="11">
        <f t="shared" si="3"/>
        <v>22</v>
      </c>
      <c r="B32" s="11"/>
      <c r="C32" s="105"/>
      <c r="D32" s="11"/>
      <c r="E32" s="12"/>
      <c r="F32" s="12"/>
      <c r="G32" s="103"/>
      <c r="H32" s="12"/>
      <c r="I32" s="10"/>
      <c r="J32" s="104"/>
      <c r="K32" s="103"/>
      <c r="L32" s="10"/>
      <c r="M32" s="10"/>
      <c r="N32" s="10"/>
    </row>
    <row r="33" spans="1:14">
      <c r="A33" s="11">
        <f t="shared" si="3"/>
        <v>23</v>
      </c>
      <c r="B33" s="203" t="s">
        <v>424</v>
      </c>
      <c r="C33" s="105"/>
      <c r="D33" s="105"/>
      <c r="E33" s="105"/>
      <c r="F33" s="105"/>
      <c r="G33" s="105"/>
      <c r="H33" s="105"/>
      <c r="I33" s="261" t="s">
        <v>445</v>
      </c>
      <c r="J33" s="106"/>
      <c r="K33" s="105"/>
      <c r="L33" s="105"/>
      <c r="M33" s="105"/>
    </row>
    <row r="34" spans="1:14">
      <c r="A34" s="11">
        <f t="shared" si="3"/>
        <v>24</v>
      </c>
      <c r="C34" s="101"/>
      <c r="D34" s="101"/>
      <c r="E34" s="101"/>
      <c r="F34" s="101"/>
      <c r="G34" s="101"/>
      <c r="H34" s="101" t="s">
        <v>446</v>
      </c>
      <c r="I34" s="101" t="s">
        <v>156</v>
      </c>
      <c r="J34" s="101" t="s">
        <v>447</v>
      </c>
      <c r="L34" s="101" t="s">
        <v>446</v>
      </c>
      <c r="M34" s="101" t="s">
        <v>156</v>
      </c>
      <c r="N34" s="101" t="s">
        <v>448</v>
      </c>
    </row>
    <row r="35" spans="1:14">
      <c r="A35" s="11">
        <f t="shared" si="3"/>
        <v>25</v>
      </c>
      <c r="B35" s="101"/>
      <c r="C35" s="101"/>
      <c r="D35" s="101"/>
      <c r="E35" s="101" t="s">
        <v>449</v>
      </c>
      <c r="F35" s="101" t="s">
        <v>450</v>
      </c>
      <c r="G35" s="101" t="s">
        <v>451</v>
      </c>
      <c r="H35" s="101" t="s">
        <v>452</v>
      </c>
      <c r="I35" s="101" t="s">
        <v>85</v>
      </c>
      <c r="J35" s="101" t="s">
        <v>446</v>
      </c>
      <c r="K35" s="101" t="s">
        <v>453</v>
      </c>
      <c r="L35" s="101" t="s">
        <v>454</v>
      </c>
      <c r="M35" s="101" t="s">
        <v>455</v>
      </c>
      <c r="N35" s="101" t="s">
        <v>456</v>
      </c>
    </row>
    <row r="36" spans="1:14">
      <c r="A36" s="11">
        <f t="shared" si="3"/>
        <v>26</v>
      </c>
      <c r="B36" s="101"/>
      <c r="C36" s="107" t="s">
        <v>13</v>
      </c>
      <c r="D36" s="107" t="s">
        <v>457</v>
      </c>
      <c r="E36" s="107" t="s">
        <v>458</v>
      </c>
      <c r="F36" s="107" t="s">
        <v>413</v>
      </c>
      <c r="G36" s="107" t="s">
        <v>458</v>
      </c>
      <c r="H36" s="107" t="s">
        <v>459</v>
      </c>
      <c r="I36" s="107" t="s">
        <v>452</v>
      </c>
      <c r="J36" s="107" t="s">
        <v>452</v>
      </c>
      <c r="K36" s="107" t="s">
        <v>460</v>
      </c>
      <c r="L36" s="262">
        <v>43100</v>
      </c>
      <c r="M36" s="107" t="s">
        <v>412</v>
      </c>
      <c r="N36" s="107" t="s">
        <v>460</v>
      </c>
    </row>
    <row r="37" spans="1:14">
      <c r="A37" s="11">
        <f t="shared" si="3"/>
        <v>27</v>
      </c>
      <c r="B37" s="11"/>
      <c r="C37" s="105"/>
      <c r="D37" s="11" t="s">
        <v>461</v>
      </c>
      <c r="E37" s="12">
        <v>33205</v>
      </c>
      <c r="F37" s="102">
        <v>0.11849999999999999</v>
      </c>
      <c r="G37" s="204">
        <v>2020</v>
      </c>
      <c r="H37" s="192">
        <v>1500</v>
      </c>
      <c r="I37" s="192">
        <v>1500</v>
      </c>
      <c r="J37" s="195">
        <v>100</v>
      </c>
      <c r="K37" s="108">
        <v>0.1191</v>
      </c>
      <c r="L37" s="192">
        <v>1500</v>
      </c>
      <c r="M37" s="192">
        <f>K37*L37</f>
        <v>178.65</v>
      </c>
    </row>
    <row r="38" spans="1:14">
      <c r="A38" s="11">
        <f t="shared" si="3"/>
        <v>28</v>
      </c>
      <c r="B38" s="11"/>
      <c r="D38" s="11" t="s">
        <v>462</v>
      </c>
      <c r="E38" s="12">
        <v>33732</v>
      </c>
      <c r="F38" s="102">
        <v>9.4600000000000004E-2</v>
      </c>
      <c r="G38" s="204">
        <v>2023</v>
      </c>
      <c r="H38" s="192">
        <v>2500</v>
      </c>
      <c r="I38" s="192">
        <v>2500</v>
      </c>
      <c r="J38" s="195">
        <v>100</v>
      </c>
      <c r="K38" s="108">
        <v>9.5100000000000004E-2</v>
      </c>
      <c r="L38" s="192">
        <v>2500</v>
      </c>
      <c r="M38" s="192">
        <f t="shared" ref="M38:M53" si="4">K38*L38</f>
        <v>237.75</v>
      </c>
    </row>
    <row r="39" spans="1:14">
      <c r="A39" s="11">
        <f t="shared" si="3"/>
        <v>29</v>
      </c>
      <c r="B39" s="11"/>
      <c r="C39" s="105"/>
      <c r="D39" s="11" t="s">
        <v>463</v>
      </c>
      <c r="E39" s="12">
        <v>36385</v>
      </c>
      <c r="F39" s="102">
        <v>6.8000000000000005E-2</v>
      </c>
      <c r="G39" s="11">
        <v>2019</v>
      </c>
      <c r="H39" s="192">
        <v>4500</v>
      </c>
      <c r="I39" s="192">
        <v>4500</v>
      </c>
      <c r="J39" s="195">
        <v>100</v>
      </c>
      <c r="K39" s="102">
        <v>6.8500000000000005E-2</v>
      </c>
      <c r="L39" s="192">
        <v>4500</v>
      </c>
      <c r="M39" s="192">
        <f t="shared" si="4"/>
        <v>308.25</v>
      </c>
    </row>
    <row r="40" spans="1:14">
      <c r="A40" s="11">
        <f t="shared" si="3"/>
        <v>30</v>
      </c>
      <c r="B40" s="11"/>
      <c r="C40" s="105"/>
      <c r="D40" s="11" t="s">
        <v>465</v>
      </c>
      <c r="E40" s="12">
        <v>38009</v>
      </c>
      <c r="F40" s="102">
        <v>5.4199999999999998E-2</v>
      </c>
      <c r="G40" s="11">
        <v>2019</v>
      </c>
      <c r="H40" s="192">
        <v>1000</v>
      </c>
      <c r="I40" s="192">
        <v>1000</v>
      </c>
      <c r="J40" s="195">
        <v>100</v>
      </c>
      <c r="K40" s="102">
        <v>5.4699999999999999E-2</v>
      </c>
      <c r="L40" s="192">
        <v>1000</v>
      </c>
      <c r="M40" s="192">
        <f t="shared" si="4"/>
        <v>54.699999999999996</v>
      </c>
    </row>
    <row r="41" spans="1:14">
      <c r="A41" s="11">
        <f t="shared" si="3"/>
        <v>31</v>
      </c>
      <c r="B41" s="11"/>
      <c r="C41" s="105"/>
      <c r="D41" s="11" t="s">
        <v>466</v>
      </c>
      <c r="E41" s="12">
        <v>38677</v>
      </c>
      <c r="F41" s="102">
        <v>5.1799999999999999E-2</v>
      </c>
      <c r="G41" s="11">
        <v>2035</v>
      </c>
      <c r="H41" s="192">
        <v>4300</v>
      </c>
      <c r="I41" s="192">
        <v>4300</v>
      </c>
      <c r="J41" s="195">
        <v>100</v>
      </c>
      <c r="K41" s="102">
        <v>5.2299999999999999E-2</v>
      </c>
      <c r="L41" s="192">
        <v>4300</v>
      </c>
      <c r="M41" s="192">
        <f t="shared" si="4"/>
        <v>224.89</v>
      </c>
    </row>
    <row r="42" spans="1:14">
      <c r="A42" s="11">
        <f t="shared" si="3"/>
        <v>32</v>
      </c>
      <c r="B42" s="11"/>
      <c r="C42" s="105"/>
      <c r="D42" s="11" t="s">
        <v>467</v>
      </c>
      <c r="E42" s="12">
        <v>39041</v>
      </c>
      <c r="F42" s="102">
        <v>5.0200000000000002E-2</v>
      </c>
      <c r="G42" s="11">
        <v>2036</v>
      </c>
      <c r="H42" s="192">
        <v>3000</v>
      </c>
      <c r="I42" s="192">
        <v>3000</v>
      </c>
      <c r="J42" s="195">
        <v>100</v>
      </c>
      <c r="K42" s="102">
        <v>5.0700000000000002E-2</v>
      </c>
      <c r="L42" s="192">
        <v>3000</v>
      </c>
      <c r="M42" s="192">
        <f t="shared" si="4"/>
        <v>152.1</v>
      </c>
    </row>
    <row r="43" spans="1:14">
      <c r="A43" s="11">
        <f t="shared" si="3"/>
        <v>33</v>
      </c>
      <c r="B43" s="11"/>
      <c r="C43" s="105"/>
      <c r="D43" s="11" t="s">
        <v>468</v>
      </c>
      <c r="E43" s="12">
        <v>39594</v>
      </c>
      <c r="F43" s="102">
        <v>5.5599999999999997E-2</v>
      </c>
      <c r="G43" s="11">
        <v>2028</v>
      </c>
      <c r="H43" s="192">
        <v>860</v>
      </c>
      <c r="I43" s="192">
        <v>860</v>
      </c>
      <c r="J43" s="195">
        <v>100</v>
      </c>
      <c r="K43" s="102">
        <v>5.6099999999999997E-2</v>
      </c>
      <c r="L43" s="192">
        <v>860</v>
      </c>
      <c r="M43" s="192">
        <f t="shared" si="4"/>
        <v>48.245999999999995</v>
      </c>
    </row>
    <row r="44" spans="1:14">
      <c r="A44" s="11">
        <f t="shared" si="3"/>
        <v>34</v>
      </c>
      <c r="B44" s="11"/>
      <c r="C44" s="105"/>
      <c r="D44" s="11" t="s">
        <v>469</v>
      </c>
      <c r="E44" s="12">
        <v>39594</v>
      </c>
      <c r="F44" s="102">
        <v>5.57E-2</v>
      </c>
      <c r="G44" s="11">
        <v>2038</v>
      </c>
      <c r="H44" s="192">
        <v>1290</v>
      </c>
      <c r="I44" s="192">
        <v>1290</v>
      </c>
      <c r="J44" s="195">
        <v>100</v>
      </c>
      <c r="K44" s="102">
        <v>5.62E-2</v>
      </c>
      <c r="L44" s="192">
        <v>1290</v>
      </c>
      <c r="M44" s="192">
        <f t="shared" si="4"/>
        <v>72.498000000000005</v>
      </c>
      <c r="N44" s="105"/>
    </row>
    <row r="45" spans="1:14">
      <c r="A45" s="11">
        <f t="shared" si="3"/>
        <v>35</v>
      </c>
      <c r="B45" s="11"/>
      <c r="C45" s="105"/>
      <c r="D45" s="11" t="s">
        <v>470</v>
      </c>
      <c r="E45" s="12">
        <v>39878</v>
      </c>
      <c r="F45" s="102">
        <v>6.2299999999999994E-2</v>
      </c>
      <c r="G45" s="11">
        <v>2024</v>
      </c>
      <c r="H45" s="192">
        <v>2900</v>
      </c>
      <c r="I45" s="192">
        <v>2900</v>
      </c>
      <c r="J45" s="195">
        <v>100</v>
      </c>
      <c r="K45" s="102">
        <v>6.2799999999999995E-2</v>
      </c>
      <c r="L45" s="192">
        <v>2900</v>
      </c>
      <c r="M45" s="192">
        <f t="shared" si="4"/>
        <v>182.11999999999998</v>
      </c>
      <c r="N45" s="105"/>
    </row>
    <row r="46" spans="1:14">
      <c r="A46" s="11">
        <f t="shared" si="3"/>
        <v>36</v>
      </c>
      <c r="B46" s="11"/>
      <c r="C46" s="105"/>
      <c r="D46" s="11" t="s">
        <v>471</v>
      </c>
      <c r="E46" s="12">
        <v>39878</v>
      </c>
      <c r="F46" s="102">
        <v>6.5000000000000002E-2</v>
      </c>
      <c r="G46" s="11">
        <v>2039</v>
      </c>
      <c r="H46" s="192">
        <v>3700</v>
      </c>
      <c r="I46" s="192">
        <v>3700</v>
      </c>
      <c r="J46" s="195">
        <v>100</v>
      </c>
      <c r="K46" s="102">
        <v>6.5500000000000003E-2</v>
      </c>
      <c r="L46" s="192">
        <v>3700</v>
      </c>
      <c r="M46" s="192">
        <f t="shared" si="4"/>
        <v>242.35000000000002</v>
      </c>
      <c r="N46" s="105"/>
    </row>
    <row r="47" spans="1:14">
      <c r="A47" s="11">
        <f t="shared" si="3"/>
        <v>37</v>
      </c>
      <c r="B47" s="11"/>
      <c r="C47" s="105"/>
      <c r="D47" s="11" t="s">
        <v>472</v>
      </c>
      <c r="E47" s="12">
        <v>40840</v>
      </c>
      <c r="F47" s="102">
        <v>4.53E-2</v>
      </c>
      <c r="G47" s="11">
        <v>2041</v>
      </c>
      <c r="H47" s="192">
        <v>5000</v>
      </c>
      <c r="I47" s="192">
        <v>5000</v>
      </c>
      <c r="J47" s="195">
        <v>100</v>
      </c>
      <c r="K47" s="102">
        <v>4.58E-2</v>
      </c>
      <c r="L47" s="192">
        <v>5000</v>
      </c>
      <c r="M47" s="192">
        <f t="shared" si="4"/>
        <v>229</v>
      </c>
      <c r="N47" s="105"/>
    </row>
    <row r="48" spans="1:14">
      <c r="A48" s="11">
        <f t="shared" si="3"/>
        <v>38</v>
      </c>
      <c r="B48" s="11"/>
      <c r="C48" s="105"/>
      <c r="D48" s="11" t="s">
        <v>473</v>
      </c>
      <c r="E48" s="12">
        <v>41214</v>
      </c>
      <c r="F48" s="102">
        <v>3.8399999999999997E-2</v>
      </c>
      <c r="G48" s="11">
        <v>2052</v>
      </c>
      <c r="H48" s="192">
        <v>4000</v>
      </c>
      <c r="I48" s="192">
        <v>4000</v>
      </c>
      <c r="J48" s="195">
        <v>100</v>
      </c>
      <c r="K48" s="102">
        <v>3.8899999999999997E-2</v>
      </c>
      <c r="L48" s="192">
        <v>4000</v>
      </c>
      <c r="M48" s="192">
        <f t="shared" si="4"/>
        <v>155.6</v>
      </c>
      <c r="N48" s="105"/>
    </row>
    <row r="49" spans="1:22">
      <c r="A49" s="11">
        <f t="shared" si="3"/>
        <v>39</v>
      </c>
      <c r="B49" s="11"/>
      <c r="C49" s="105"/>
      <c r="D49" s="11" t="s">
        <v>474</v>
      </c>
      <c r="E49" s="12">
        <v>41579</v>
      </c>
      <c r="F49" s="102">
        <f t="shared" ref="F49:F50" si="5">+K49-0.0005</f>
        <v>4.7109999999999999E-2</v>
      </c>
      <c r="G49" s="11">
        <v>2043</v>
      </c>
      <c r="H49" s="192">
        <v>9400</v>
      </c>
      <c r="I49" s="192">
        <v>9400</v>
      </c>
      <c r="J49" s="195">
        <v>100</v>
      </c>
      <c r="K49" s="102">
        <v>4.761E-2</v>
      </c>
      <c r="L49" s="192">
        <v>9400</v>
      </c>
      <c r="M49" s="192">
        <f t="shared" si="4"/>
        <v>447.53399999999999</v>
      </c>
    </row>
    <row r="50" spans="1:22">
      <c r="A50" s="11">
        <f t="shared" ref="A50:A113" si="6">A49+1</f>
        <v>40</v>
      </c>
      <c r="B50" s="11"/>
      <c r="C50" s="105"/>
      <c r="D50" s="11" t="s">
        <v>475</v>
      </c>
      <c r="E50" s="12">
        <v>41944</v>
      </c>
      <c r="F50" s="102">
        <f t="shared" si="5"/>
        <v>4.07E-2</v>
      </c>
      <c r="G50" s="11">
        <v>2044</v>
      </c>
      <c r="H50" s="192">
        <v>7900</v>
      </c>
      <c r="I50" s="192">
        <v>7900</v>
      </c>
      <c r="J50" s="195">
        <v>100</v>
      </c>
      <c r="K50" s="102">
        <v>4.1200000000000001E-2</v>
      </c>
      <c r="L50" s="192">
        <v>7900</v>
      </c>
      <c r="M50" s="192">
        <f t="shared" si="4"/>
        <v>325.48</v>
      </c>
    </row>
    <row r="51" spans="1:22">
      <c r="A51" s="11">
        <f t="shared" si="6"/>
        <v>41</v>
      </c>
      <c r="B51" s="11"/>
      <c r="C51" s="105"/>
      <c r="D51" s="11" t="s">
        <v>476</v>
      </c>
      <c r="E51" s="12">
        <v>42309</v>
      </c>
      <c r="F51" s="102">
        <f>+K51-0.0005</f>
        <v>3.9509999999999997E-2</v>
      </c>
      <c r="G51" s="11">
        <v>2045</v>
      </c>
      <c r="H51" s="192">
        <v>750</v>
      </c>
      <c r="I51" s="192">
        <v>750</v>
      </c>
      <c r="J51" s="195">
        <v>100</v>
      </c>
      <c r="K51" s="102">
        <v>4.0009999999999997E-2</v>
      </c>
      <c r="L51" s="192">
        <v>750</v>
      </c>
      <c r="M51" s="192">
        <f t="shared" si="4"/>
        <v>30.007499999999997</v>
      </c>
    </row>
    <row r="52" spans="1:22">
      <c r="A52" s="11">
        <f t="shared" si="6"/>
        <v>42</v>
      </c>
      <c r="B52" s="11"/>
      <c r="C52" s="105"/>
      <c r="D52" s="11" t="s">
        <v>477</v>
      </c>
      <c r="E52" s="12">
        <v>42691</v>
      </c>
      <c r="F52" s="102">
        <f>K52-0.0005</f>
        <v>3.7490000000000002E-2</v>
      </c>
      <c r="G52" s="11">
        <v>2046</v>
      </c>
      <c r="H52" s="192">
        <v>7400</v>
      </c>
      <c r="I52" s="192">
        <v>7400</v>
      </c>
      <c r="J52" s="195">
        <v>100</v>
      </c>
      <c r="K52" s="102">
        <v>3.7990000000000003E-2</v>
      </c>
      <c r="L52" s="192">
        <v>7400</v>
      </c>
      <c r="M52" s="192">
        <f t="shared" si="4"/>
        <v>281.12600000000003</v>
      </c>
    </row>
    <row r="53" spans="1:22">
      <c r="A53" s="11">
        <f t="shared" si="6"/>
        <v>43</v>
      </c>
      <c r="B53" s="11"/>
      <c r="C53" s="105"/>
      <c r="D53" s="11" t="s">
        <v>479</v>
      </c>
      <c r="E53" s="12">
        <v>43061</v>
      </c>
      <c r="F53" s="102">
        <f>K53-0.0005</f>
        <v>3.4979999999999997E-2</v>
      </c>
      <c r="G53" s="11">
        <v>2047</v>
      </c>
      <c r="H53" s="192">
        <v>6400</v>
      </c>
      <c r="I53" s="192">
        <v>6400</v>
      </c>
      <c r="J53" s="195">
        <v>100</v>
      </c>
      <c r="K53" s="102">
        <v>3.5479999999999998E-2</v>
      </c>
      <c r="L53" s="192">
        <v>6400</v>
      </c>
      <c r="M53" s="192">
        <f t="shared" si="4"/>
        <v>227.07199999999997</v>
      </c>
    </row>
    <row r="54" spans="1:22">
      <c r="A54" s="11">
        <f t="shared" si="6"/>
        <v>44</v>
      </c>
      <c r="B54" s="11"/>
      <c r="C54" s="105"/>
      <c r="E54" s="12"/>
      <c r="F54" s="102"/>
      <c r="G54" s="11"/>
      <c r="P54" s="11"/>
      <c r="Q54" s="192"/>
      <c r="R54" s="192"/>
      <c r="S54" s="195"/>
      <c r="T54" s="102"/>
      <c r="U54" s="192"/>
      <c r="V54" s="192"/>
    </row>
    <row r="55" spans="1:22">
      <c r="A55" s="11">
        <f t="shared" si="6"/>
        <v>45</v>
      </c>
      <c r="B55" s="11"/>
      <c r="C55" s="105" t="s">
        <v>85</v>
      </c>
      <c r="D55" s="11"/>
      <c r="E55" s="12"/>
      <c r="F55" s="103"/>
      <c r="G55" s="12"/>
      <c r="H55" s="192">
        <f>SUM(H37:H54)</f>
        <v>66400</v>
      </c>
      <c r="I55" s="192">
        <f>SUM(I37:I54)</f>
        <v>66400</v>
      </c>
      <c r="J55" s="104"/>
      <c r="K55" s="103"/>
      <c r="L55" s="192">
        <f>SUM(L37:L54)</f>
        <v>66400</v>
      </c>
      <c r="M55" s="192">
        <f>SUM(M37:M54)</f>
        <v>3397.3735000000006</v>
      </c>
      <c r="N55" s="102">
        <f>M55/L55</f>
        <v>5.1165263554216876E-2</v>
      </c>
    </row>
    <row r="56" spans="1:22">
      <c r="A56" s="11">
        <f t="shared" si="6"/>
        <v>46</v>
      </c>
      <c r="B56" s="11"/>
      <c r="C56" s="105" t="s">
        <v>478</v>
      </c>
      <c r="D56" s="11"/>
      <c r="E56" s="12"/>
      <c r="F56" s="103"/>
      <c r="G56" s="12"/>
      <c r="H56" s="10"/>
      <c r="I56" s="10"/>
      <c r="J56" s="104"/>
      <c r="K56" s="103"/>
      <c r="L56" s="193">
        <f>L28</f>
        <v>63900</v>
      </c>
      <c r="M56" s="193">
        <f>M28</f>
        <v>3412.4915000000001</v>
      </c>
      <c r="N56" s="259">
        <f>N28</f>
        <v>5.3403622848200313E-2</v>
      </c>
    </row>
    <row r="57" spans="1:22">
      <c r="A57" s="11">
        <f t="shared" si="6"/>
        <v>47</v>
      </c>
      <c r="B57" s="11"/>
      <c r="C57" s="105" t="s">
        <v>85</v>
      </c>
      <c r="D57" s="11"/>
      <c r="E57" s="12"/>
      <c r="F57" s="103"/>
      <c r="G57" s="12"/>
      <c r="H57" s="10"/>
      <c r="I57" s="10"/>
      <c r="J57" s="104"/>
      <c r="K57" s="103"/>
      <c r="L57" s="193">
        <f>L55+L56</f>
        <v>130300</v>
      </c>
      <c r="M57" s="193">
        <f>M55+M56</f>
        <v>6809.8650000000007</v>
      </c>
      <c r="N57" s="156"/>
    </row>
    <row r="58" spans="1:22" ht="13" thickBot="1">
      <c r="A58" s="11">
        <f t="shared" si="6"/>
        <v>48</v>
      </c>
      <c r="B58" s="11"/>
      <c r="C58" s="105" t="s">
        <v>411</v>
      </c>
      <c r="D58" s="11"/>
      <c r="E58" s="12"/>
      <c r="F58" s="103"/>
      <c r="G58" s="12"/>
      <c r="H58" s="10"/>
      <c r="I58" s="10"/>
      <c r="J58" s="104"/>
      <c r="K58" s="103"/>
      <c r="L58" s="194">
        <f>L57/2</f>
        <v>65150</v>
      </c>
      <c r="M58" s="213">
        <f>M57/2</f>
        <v>3404.9325000000003</v>
      </c>
      <c r="N58" s="260">
        <f>M58/L58</f>
        <v>5.2262970069071379E-2</v>
      </c>
      <c r="P58" s="155"/>
      <c r="Q58" s="155"/>
    </row>
    <row r="59" spans="1:22" ht="13" thickTop="1">
      <c r="A59" s="11">
        <f t="shared" si="6"/>
        <v>49</v>
      </c>
      <c r="B59" s="11"/>
      <c r="C59" s="105"/>
      <c r="D59" s="11"/>
      <c r="E59" s="12"/>
      <c r="F59" s="103"/>
      <c r="G59" s="12"/>
      <c r="H59" s="10"/>
      <c r="I59" s="10"/>
      <c r="J59" s="104"/>
      <c r="K59" s="103"/>
      <c r="L59" s="192"/>
      <c r="M59" s="212"/>
      <c r="N59" s="102"/>
    </row>
    <row r="60" spans="1:22">
      <c r="A60" s="11">
        <f t="shared" si="6"/>
        <v>50</v>
      </c>
      <c r="B60" s="203" t="s">
        <v>426</v>
      </c>
      <c r="C60" s="105"/>
      <c r="D60" s="105"/>
      <c r="E60" s="105"/>
      <c r="F60" s="105"/>
      <c r="G60" s="105"/>
      <c r="H60" s="105"/>
      <c r="I60" s="261" t="s">
        <v>445</v>
      </c>
      <c r="J60" s="106"/>
      <c r="K60" s="105"/>
      <c r="L60" s="105"/>
      <c r="M60" s="105"/>
    </row>
    <row r="61" spans="1:22">
      <c r="A61" s="11">
        <f t="shared" si="6"/>
        <v>51</v>
      </c>
      <c r="C61" s="101"/>
      <c r="D61" s="101"/>
      <c r="E61" s="101"/>
      <c r="F61" s="101"/>
      <c r="G61" s="101"/>
      <c r="H61" s="101" t="s">
        <v>446</v>
      </c>
      <c r="I61" s="101" t="s">
        <v>156</v>
      </c>
      <c r="J61" s="101" t="s">
        <v>447</v>
      </c>
      <c r="L61" s="101" t="s">
        <v>446</v>
      </c>
      <c r="M61" s="101" t="s">
        <v>156</v>
      </c>
      <c r="N61" s="101" t="s">
        <v>448</v>
      </c>
    </row>
    <row r="62" spans="1:22">
      <c r="A62" s="11">
        <f t="shared" si="6"/>
        <v>52</v>
      </c>
      <c r="B62" s="101"/>
      <c r="C62" s="101"/>
      <c r="D62" s="101"/>
      <c r="E62" s="101" t="s">
        <v>449</v>
      </c>
      <c r="F62" s="101" t="s">
        <v>450</v>
      </c>
      <c r="G62" s="101" t="s">
        <v>451</v>
      </c>
      <c r="H62" s="101" t="s">
        <v>452</v>
      </c>
      <c r="I62" s="101" t="s">
        <v>85</v>
      </c>
      <c r="J62" s="101" t="s">
        <v>446</v>
      </c>
      <c r="K62" s="101" t="s">
        <v>453</v>
      </c>
      <c r="L62" s="101" t="s">
        <v>454</v>
      </c>
      <c r="M62" s="101" t="s">
        <v>455</v>
      </c>
      <c r="N62" s="101" t="s">
        <v>456</v>
      </c>
    </row>
    <row r="63" spans="1:22">
      <c r="A63" s="11">
        <f t="shared" si="6"/>
        <v>53</v>
      </c>
      <c r="B63" s="101"/>
      <c r="C63" s="107" t="s">
        <v>13</v>
      </c>
      <c r="D63" s="107" t="s">
        <v>457</v>
      </c>
      <c r="E63" s="107" t="s">
        <v>458</v>
      </c>
      <c r="F63" s="107" t="s">
        <v>413</v>
      </c>
      <c r="G63" s="107" t="s">
        <v>458</v>
      </c>
      <c r="H63" s="107" t="s">
        <v>459</v>
      </c>
      <c r="I63" s="107" t="s">
        <v>452</v>
      </c>
      <c r="J63" s="107" t="s">
        <v>452</v>
      </c>
      <c r="K63" s="107" t="s">
        <v>460</v>
      </c>
      <c r="L63" s="262">
        <v>43465</v>
      </c>
      <c r="M63" s="107" t="s">
        <v>412</v>
      </c>
      <c r="N63" s="107" t="s">
        <v>460</v>
      </c>
    </row>
    <row r="64" spans="1:22">
      <c r="A64" s="11">
        <f t="shared" si="6"/>
        <v>54</v>
      </c>
      <c r="B64" s="11"/>
      <c r="C64" s="105"/>
      <c r="D64" s="11" t="s">
        <v>461</v>
      </c>
      <c r="E64" s="12">
        <v>33205</v>
      </c>
      <c r="F64" s="102">
        <v>0.11849999999999999</v>
      </c>
      <c r="G64" s="204">
        <v>2020</v>
      </c>
      <c r="H64" s="192">
        <v>1500</v>
      </c>
      <c r="I64" s="192">
        <v>1500</v>
      </c>
      <c r="J64" s="195">
        <v>100</v>
      </c>
      <c r="K64" s="108">
        <v>0.1191</v>
      </c>
      <c r="L64" s="192">
        <v>1500</v>
      </c>
      <c r="M64" s="192">
        <f>K64*L64</f>
        <v>178.65</v>
      </c>
    </row>
    <row r="65" spans="1:14">
      <c r="A65" s="11">
        <f t="shared" si="6"/>
        <v>55</v>
      </c>
      <c r="B65" s="11"/>
      <c r="D65" s="11" t="s">
        <v>462</v>
      </c>
      <c r="E65" s="12">
        <v>33732</v>
      </c>
      <c r="F65" s="102">
        <v>9.4600000000000004E-2</v>
      </c>
      <c r="G65" s="204">
        <v>2023</v>
      </c>
      <c r="H65" s="192">
        <v>2500</v>
      </c>
      <c r="I65" s="192">
        <v>2500</v>
      </c>
      <c r="J65" s="195">
        <v>100</v>
      </c>
      <c r="K65" s="108">
        <v>9.5100000000000004E-2</v>
      </c>
      <c r="L65" s="192">
        <v>2500</v>
      </c>
      <c r="M65" s="192">
        <f t="shared" ref="M65:M81" si="7">K65*L65</f>
        <v>237.75</v>
      </c>
    </row>
    <row r="66" spans="1:14">
      <c r="A66" s="11">
        <f t="shared" si="6"/>
        <v>56</v>
      </c>
      <c r="B66" s="11"/>
      <c r="C66" s="105"/>
      <c r="D66" s="11" t="s">
        <v>463</v>
      </c>
      <c r="E66" s="12">
        <v>36385</v>
      </c>
      <c r="F66" s="102">
        <v>6.8000000000000005E-2</v>
      </c>
      <c r="G66" s="11">
        <v>2019</v>
      </c>
      <c r="H66" s="192">
        <v>4500</v>
      </c>
      <c r="I66" s="192">
        <v>4500</v>
      </c>
      <c r="J66" s="195">
        <v>100</v>
      </c>
      <c r="K66" s="102">
        <v>6.8500000000000005E-2</v>
      </c>
      <c r="L66" s="192">
        <v>4500</v>
      </c>
      <c r="M66" s="192">
        <f t="shared" si="7"/>
        <v>308.25</v>
      </c>
    </row>
    <row r="67" spans="1:14">
      <c r="A67" s="11">
        <f t="shared" si="6"/>
        <v>57</v>
      </c>
      <c r="B67" s="11"/>
      <c r="C67" s="105"/>
      <c r="D67" s="11" t="s">
        <v>465</v>
      </c>
      <c r="E67" s="12">
        <v>38009</v>
      </c>
      <c r="F67" s="102">
        <v>5.4199999999999998E-2</v>
      </c>
      <c r="G67" s="11">
        <v>2019</v>
      </c>
      <c r="H67" s="192">
        <v>1000</v>
      </c>
      <c r="I67" s="192">
        <v>1000</v>
      </c>
      <c r="J67" s="195">
        <v>100</v>
      </c>
      <c r="K67" s="102">
        <v>5.4699999999999999E-2</v>
      </c>
      <c r="L67" s="192">
        <v>1000</v>
      </c>
      <c r="M67" s="192">
        <f t="shared" si="7"/>
        <v>54.699999999999996</v>
      </c>
    </row>
    <row r="68" spans="1:14">
      <c r="A68" s="11">
        <f t="shared" si="6"/>
        <v>58</v>
      </c>
      <c r="B68" s="11"/>
      <c r="C68" s="105"/>
      <c r="D68" s="11" t="s">
        <v>466</v>
      </c>
      <c r="E68" s="12">
        <v>38677</v>
      </c>
      <c r="F68" s="102">
        <v>5.1799999999999999E-2</v>
      </c>
      <c r="G68" s="11">
        <v>2035</v>
      </c>
      <c r="H68" s="192">
        <v>4300</v>
      </c>
      <c r="I68" s="192">
        <v>4300</v>
      </c>
      <c r="J68" s="195">
        <v>100</v>
      </c>
      <c r="K68" s="102">
        <v>5.2299999999999999E-2</v>
      </c>
      <c r="L68" s="192">
        <v>4300</v>
      </c>
      <c r="M68" s="192">
        <f t="shared" si="7"/>
        <v>224.89</v>
      </c>
    </row>
    <row r="69" spans="1:14">
      <c r="A69" s="11">
        <f t="shared" si="6"/>
        <v>59</v>
      </c>
      <c r="B69" s="11"/>
      <c r="C69" s="105"/>
      <c r="D69" s="11" t="s">
        <v>467</v>
      </c>
      <c r="E69" s="12">
        <v>39041</v>
      </c>
      <c r="F69" s="102">
        <v>5.0200000000000002E-2</v>
      </c>
      <c r="G69" s="11">
        <v>2036</v>
      </c>
      <c r="H69" s="192">
        <v>3000</v>
      </c>
      <c r="I69" s="192">
        <v>3000</v>
      </c>
      <c r="J69" s="195">
        <v>100</v>
      </c>
      <c r="K69" s="102">
        <v>5.0700000000000002E-2</v>
      </c>
      <c r="L69" s="192">
        <v>3000</v>
      </c>
      <c r="M69" s="192">
        <f t="shared" si="7"/>
        <v>152.1</v>
      </c>
    </row>
    <row r="70" spans="1:14">
      <c r="A70" s="11">
        <f t="shared" si="6"/>
        <v>60</v>
      </c>
      <c r="B70" s="11"/>
      <c r="C70" s="105"/>
      <c r="D70" s="11" t="s">
        <v>468</v>
      </c>
      <c r="E70" s="12">
        <v>39594</v>
      </c>
      <c r="F70" s="102">
        <v>5.5599999999999997E-2</v>
      </c>
      <c r="G70" s="11">
        <v>2028</v>
      </c>
      <c r="H70" s="192">
        <v>860</v>
      </c>
      <c r="I70" s="192">
        <v>860</v>
      </c>
      <c r="J70" s="195">
        <v>100</v>
      </c>
      <c r="K70" s="102">
        <v>5.6099999999999997E-2</v>
      </c>
      <c r="L70" s="192">
        <v>860</v>
      </c>
      <c r="M70" s="192">
        <f t="shared" si="7"/>
        <v>48.245999999999995</v>
      </c>
    </row>
    <row r="71" spans="1:14">
      <c r="A71" s="11">
        <f t="shared" si="6"/>
        <v>61</v>
      </c>
      <c r="B71" s="11"/>
      <c r="C71" s="105"/>
      <c r="D71" s="11" t="s">
        <v>469</v>
      </c>
      <c r="E71" s="12">
        <v>39594</v>
      </c>
      <c r="F71" s="102">
        <v>5.57E-2</v>
      </c>
      <c r="G71" s="11">
        <v>2038</v>
      </c>
      <c r="H71" s="192">
        <v>1290</v>
      </c>
      <c r="I71" s="192">
        <v>1290</v>
      </c>
      <c r="J71" s="195">
        <v>100</v>
      </c>
      <c r="K71" s="102">
        <v>5.62E-2</v>
      </c>
      <c r="L71" s="192">
        <v>1290</v>
      </c>
      <c r="M71" s="192">
        <f t="shared" si="7"/>
        <v>72.498000000000005</v>
      </c>
      <c r="N71" s="105"/>
    </row>
    <row r="72" spans="1:14">
      <c r="A72" s="11">
        <f t="shared" si="6"/>
        <v>62</v>
      </c>
      <c r="B72" s="11"/>
      <c r="C72" s="105"/>
      <c r="D72" s="11" t="s">
        <v>470</v>
      </c>
      <c r="E72" s="12">
        <v>39878</v>
      </c>
      <c r="F72" s="102">
        <v>6.2299999999999994E-2</v>
      </c>
      <c r="G72" s="11">
        <v>2024</v>
      </c>
      <c r="H72" s="192">
        <v>2900</v>
      </c>
      <c r="I72" s="192">
        <v>2900</v>
      </c>
      <c r="J72" s="195">
        <v>100</v>
      </c>
      <c r="K72" s="102">
        <v>6.2799999999999995E-2</v>
      </c>
      <c r="L72" s="192">
        <v>2900</v>
      </c>
      <c r="M72" s="192">
        <f t="shared" si="7"/>
        <v>182.11999999999998</v>
      </c>
      <c r="N72" s="105"/>
    </row>
    <row r="73" spans="1:14">
      <c r="A73" s="11">
        <f t="shared" si="6"/>
        <v>63</v>
      </c>
      <c r="B73" s="11"/>
      <c r="C73" s="105"/>
      <c r="D73" s="11" t="s">
        <v>471</v>
      </c>
      <c r="E73" s="12">
        <v>39878</v>
      </c>
      <c r="F73" s="102">
        <v>6.5000000000000002E-2</v>
      </c>
      <c r="G73" s="11">
        <v>2039</v>
      </c>
      <c r="H73" s="192">
        <v>3700</v>
      </c>
      <c r="I73" s="192">
        <v>3700</v>
      </c>
      <c r="J73" s="195">
        <v>100</v>
      </c>
      <c r="K73" s="102">
        <v>6.5500000000000003E-2</v>
      </c>
      <c r="L73" s="192">
        <v>3700</v>
      </c>
      <c r="M73" s="192">
        <f t="shared" si="7"/>
        <v>242.35000000000002</v>
      </c>
      <c r="N73" s="105"/>
    </row>
    <row r="74" spans="1:14">
      <c r="A74" s="11">
        <f t="shared" si="6"/>
        <v>64</v>
      </c>
      <c r="B74" s="11"/>
      <c r="C74" s="105"/>
      <c r="D74" s="11" t="s">
        <v>472</v>
      </c>
      <c r="E74" s="12">
        <v>40840</v>
      </c>
      <c r="F74" s="102">
        <v>4.53E-2</v>
      </c>
      <c r="G74" s="11">
        <v>2041</v>
      </c>
      <c r="H74" s="192">
        <v>5000</v>
      </c>
      <c r="I74" s="192">
        <v>5000</v>
      </c>
      <c r="J74" s="195">
        <v>100</v>
      </c>
      <c r="K74" s="102">
        <v>4.58E-2</v>
      </c>
      <c r="L74" s="192">
        <v>5000</v>
      </c>
      <c r="M74" s="192">
        <f t="shared" si="7"/>
        <v>229</v>
      </c>
      <c r="N74" s="105"/>
    </row>
    <row r="75" spans="1:14">
      <c r="A75" s="11">
        <f t="shared" si="6"/>
        <v>65</v>
      </c>
      <c r="B75" s="11"/>
      <c r="C75" s="105"/>
      <c r="D75" s="11" t="s">
        <v>473</v>
      </c>
      <c r="E75" s="12">
        <v>41214</v>
      </c>
      <c r="F75" s="102">
        <v>3.8399999999999997E-2</v>
      </c>
      <c r="G75" s="11">
        <v>2052</v>
      </c>
      <c r="H75" s="192">
        <v>4000</v>
      </c>
      <c r="I75" s="192">
        <v>4000</v>
      </c>
      <c r="J75" s="195">
        <v>100</v>
      </c>
      <c r="K75" s="102">
        <v>3.8899999999999997E-2</v>
      </c>
      <c r="L75" s="192">
        <v>4000</v>
      </c>
      <c r="M75" s="192">
        <f t="shared" si="7"/>
        <v>155.6</v>
      </c>
      <c r="N75" s="105"/>
    </row>
    <row r="76" spans="1:14">
      <c r="A76" s="11">
        <f t="shared" si="6"/>
        <v>66</v>
      </c>
      <c r="B76" s="11"/>
      <c r="C76" s="105"/>
      <c r="D76" s="11" t="s">
        <v>474</v>
      </c>
      <c r="E76" s="12">
        <v>41579</v>
      </c>
      <c r="F76" s="102">
        <f t="shared" ref="F76:F77" si="8">+K76-0.0005</f>
        <v>4.7109999999999999E-2</v>
      </c>
      <c r="G76" s="11">
        <v>2043</v>
      </c>
      <c r="H76" s="192">
        <v>9400</v>
      </c>
      <c r="I76" s="192">
        <v>9400</v>
      </c>
      <c r="J76" s="195">
        <v>100</v>
      </c>
      <c r="K76" s="102">
        <v>4.761E-2</v>
      </c>
      <c r="L76" s="192">
        <v>9400</v>
      </c>
      <c r="M76" s="192">
        <f t="shared" si="7"/>
        <v>447.53399999999999</v>
      </c>
    </row>
    <row r="77" spans="1:14">
      <c r="A77" s="11">
        <f t="shared" si="6"/>
        <v>67</v>
      </c>
      <c r="B77" s="11"/>
      <c r="C77" s="105"/>
      <c r="D77" s="11" t="s">
        <v>475</v>
      </c>
      <c r="E77" s="12">
        <v>41944</v>
      </c>
      <c r="F77" s="102">
        <f t="shared" si="8"/>
        <v>4.07E-2</v>
      </c>
      <c r="G77" s="11">
        <v>2044</v>
      </c>
      <c r="H77" s="192">
        <v>7900</v>
      </c>
      <c r="I77" s="192">
        <v>7900</v>
      </c>
      <c r="J77" s="195">
        <v>100</v>
      </c>
      <c r="K77" s="102">
        <v>4.1200000000000001E-2</v>
      </c>
      <c r="L77" s="192">
        <v>7900</v>
      </c>
      <c r="M77" s="192">
        <f t="shared" si="7"/>
        <v>325.48</v>
      </c>
    </row>
    <row r="78" spans="1:14">
      <c r="A78" s="11">
        <f t="shared" si="6"/>
        <v>68</v>
      </c>
      <c r="B78" s="11"/>
      <c r="C78" s="105"/>
      <c r="D78" s="11" t="s">
        <v>476</v>
      </c>
      <c r="E78" s="12">
        <v>42309</v>
      </c>
      <c r="F78" s="102">
        <f>+K78-0.0005</f>
        <v>3.9509999999999997E-2</v>
      </c>
      <c r="G78" s="11">
        <v>2045</v>
      </c>
      <c r="H78" s="192">
        <v>750</v>
      </c>
      <c r="I78" s="192">
        <v>750</v>
      </c>
      <c r="J78" s="195">
        <v>100</v>
      </c>
      <c r="K78" s="102">
        <v>4.0009999999999997E-2</v>
      </c>
      <c r="L78" s="192">
        <v>750</v>
      </c>
      <c r="M78" s="192">
        <f t="shared" si="7"/>
        <v>30.007499999999997</v>
      </c>
    </row>
    <row r="79" spans="1:14">
      <c r="A79" s="11">
        <f t="shared" si="6"/>
        <v>69</v>
      </c>
      <c r="B79" s="11"/>
      <c r="C79" s="105"/>
      <c r="D79" s="11" t="s">
        <v>477</v>
      </c>
      <c r="E79" s="12">
        <v>42691</v>
      </c>
      <c r="F79" s="102">
        <f>K79-0.0005</f>
        <v>3.7490000000000002E-2</v>
      </c>
      <c r="G79" s="11">
        <v>2046</v>
      </c>
      <c r="H79" s="192">
        <v>7400</v>
      </c>
      <c r="I79" s="192">
        <v>7400</v>
      </c>
      <c r="J79" s="195">
        <v>100</v>
      </c>
      <c r="K79" s="102">
        <v>3.7990000000000003E-2</v>
      </c>
      <c r="L79" s="192">
        <v>7400</v>
      </c>
      <c r="M79" s="192">
        <f t="shared" si="7"/>
        <v>281.12600000000003</v>
      </c>
    </row>
    <row r="80" spans="1:14">
      <c r="A80" s="11">
        <f t="shared" si="6"/>
        <v>70</v>
      </c>
      <c r="B80" s="11"/>
      <c r="C80" s="105"/>
      <c r="D80" s="11" t="s">
        <v>479</v>
      </c>
      <c r="E80" s="12">
        <v>43061</v>
      </c>
      <c r="F80" s="102">
        <f>K80-0.0005</f>
        <v>3.4979999999999997E-2</v>
      </c>
      <c r="G80" s="11">
        <v>2047</v>
      </c>
      <c r="H80" s="192">
        <v>6400</v>
      </c>
      <c r="I80" s="192">
        <v>6400</v>
      </c>
      <c r="J80" s="195">
        <v>100</v>
      </c>
      <c r="K80" s="102">
        <v>3.5479999999999998E-2</v>
      </c>
      <c r="L80" s="192">
        <v>6400</v>
      </c>
      <c r="M80" s="192">
        <f t="shared" si="7"/>
        <v>227.07199999999997</v>
      </c>
    </row>
    <row r="81" spans="1:14">
      <c r="A81" s="11">
        <f t="shared" si="6"/>
        <v>71</v>
      </c>
      <c r="B81" s="11"/>
      <c r="C81" s="105"/>
      <c r="D81" s="11" t="s">
        <v>480</v>
      </c>
      <c r="E81" s="12">
        <v>43425</v>
      </c>
      <c r="F81" s="102">
        <f>K81-0.0005</f>
        <v>3.9379999999999998E-2</v>
      </c>
      <c r="G81" s="11">
        <v>2048</v>
      </c>
      <c r="H81" s="193">
        <v>2600</v>
      </c>
      <c r="I81" s="192">
        <v>2600</v>
      </c>
      <c r="J81" s="195">
        <v>100</v>
      </c>
      <c r="K81" s="102">
        <v>3.9879999999999999E-2</v>
      </c>
      <c r="L81" s="192">
        <v>2600</v>
      </c>
      <c r="M81" s="192">
        <f t="shared" si="7"/>
        <v>103.688</v>
      </c>
    </row>
    <row r="82" spans="1:14">
      <c r="A82" s="11">
        <f t="shared" si="6"/>
        <v>72</v>
      </c>
      <c r="B82" s="11"/>
      <c r="C82" s="105" t="s">
        <v>85</v>
      </c>
      <c r="D82" s="11"/>
      <c r="E82" s="12"/>
      <c r="F82" s="103"/>
      <c r="G82" s="12"/>
      <c r="H82" s="192">
        <f>SUM(H64:H81)</f>
        <v>69000</v>
      </c>
      <c r="I82" s="192"/>
      <c r="J82" s="104"/>
      <c r="K82" s="103"/>
      <c r="L82" s="225">
        <f>SUM(L64:L81)</f>
        <v>69000</v>
      </c>
      <c r="M82" s="225">
        <f>SUM(M64:M81)</f>
        <v>3501.0615000000007</v>
      </c>
      <c r="N82" s="102">
        <f>M82/L82</f>
        <v>5.0740021739130448E-2</v>
      </c>
    </row>
    <row r="83" spans="1:14">
      <c r="A83" s="11">
        <f t="shared" si="6"/>
        <v>73</v>
      </c>
      <c r="B83" s="11"/>
      <c r="C83" s="105" t="s">
        <v>478</v>
      </c>
      <c r="D83" s="11"/>
      <c r="E83" s="12"/>
      <c r="F83" s="103"/>
      <c r="G83" s="12"/>
      <c r="H83" s="10"/>
      <c r="I83" s="10"/>
      <c r="J83" s="104"/>
      <c r="K83" s="103"/>
      <c r="L83" s="193">
        <f>L55</f>
        <v>66400</v>
      </c>
      <c r="M83" s="193">
        <f>M55</f>
        <v>3397.3735000000006</v>
      </c>
      <c r="N83" s="263">
        <f>N55</f>
        <v>5.1165263554216876E-2</v>
      </c>
    </row>
    <row r="84" spans="1:14">
      <c r="A84" s="11">
        <f t="shared" si="6"/>
        <v>74</v>
      </c>
      <c r="B84" s="11"/>
      <c r="C84" s="105" t="s">
        <v>85</v>
      </c>
      <c r="D84" s="11"/>
      <c r="E84" s="12"/>
      <c r="F84" s="103"/>
      <c r="G84" s="12"/>
      <c r="H84" s="10"/>
      <c r="I84" s="10"/>
      <c r="J84" s="104"/>
      <c r="K84" s="103"/>
      <c r="L84" s="193">
        <f>L82+L83</f>
        <v>135400</v>
      </c>
      <c r="M84" s="193">
        <f>M82+M83</f>
        <v>6898.4350000000013</v>
      </c>
      <c r="N84" s="156"/>
    </row>
    <row r="85" spans="1:14" ht="13" thickBot="1">
      <c r="A85" s="11">
        <f t="shared" si="6"/>
        <v>75</v>
      </c>
      <c r="B85" s="11"/>
      <c r="C85" s="105" t="s">
        <v>411</v>
      </c>
      <c r="D85" s="11"/>
      <c r="E85" s="12"/>
      <c r="F85" s="103"/>
      <c r="G85" s="12"/>
      <c r="H85" s="10"/>
      <c r="I85" s="10"/>
      <c r="J85" s="104"/>
      <c r="K85" s="103"/>
      <c r="L85" s="194">
        <f>L84/2</f>
        <v>67700</v>
      </c>
      <c r="M85" s="213">
        <f>M84/2</f>
        <v>3449.2175000000007</v>
      </c>
      <c r="N85" s="260">
        <f>M85/L85</f>
        <v>5.0948559822747423E-2</v>
      </c>
    </row>
    <row r="86" spans="1:14" ht="13" thickTop="1">
      <c r="A86" s="11">
        <f t="shared" si="6"/>
        <v>76</v>
      </c>
      <c r="B86" s="11"/>
      <c r="C86" s="105"/>
      <c r="D86" s="11"/>
      <c r="E86" s="12"/>
      <c r="F86" s="12"/>
      <c r="G86" s="103"/>
      <c r="H86" s="12"/>
      <c r="I86" s="10"/>
      <c r="J86" s="104"/>
      <c r="K86" s="103"/>
      <c r="L86" s="10"/>
      <c r="M86" s="10"/>
      <c r="N86" s="10"/>
    </row>
    <row r="87" spans="1:14">
      <c r="A87" s="11">
        <f t="shared" si="6"/>
        <v>77</v>
      </c>
      <c r="B87" s="203" t="s">
        <v>428</v>
      </c>
      <c r="C87" s="105"/>
      <c r="D87" s="105"/>
      <c r="E87" s="105"/>
      <c r="F87" s="105"/>
      <c r="G87" s="105"/>
      <c r="H87" s="105"/>
      <c r="I87" s="261" t="s">
        <v>445</v>
      </c>
      <c r="J87" s="106"/>
      <c r="K87" s="105"/>
      <c r="L87" s="105"/>
      <c r="M87" s="105"/>
    </row>
    <row r="88" spans="1:14">
      <c r="A88" s="11">
        <f t="shared" si="6"/>
        <v>78</v>
      </c>
      <c r="C88" s="101"/>
      <c r="D88" s="101"/>
      <c r="E88" s="101"/>
      <c r="F88" s="101"/>
      <c r="G88" s="101"/>
      <c r="H88" s="101" t="s">
        <v>446</v>
      </c>
      <c r="I88" s="101" t="s">
        <v>156</v>
      </c>
      <c r="J88" s="101" t="s">
        <v>447</v>
      </c>
      <c r="L88" s="101" t="s">
        <v>446</v>
      </c>
      <c r="M88" s="101" t="s">
        <v>156</v>
      </c>
      <c r="N88" s="101" t="s">
        <v>448</v>
      </c>
    </row>
    <row r="89" spans="1:14">
      <c r="A89" s="11">
        <f t="shared" si="6"/>
        <v>79</v>
      </c>
      <c r="B89" s="101"/>
      <c r="C89" s="101"/>
      <c r="D89" s="101"/>
      <c r="E89" s="101" t="s">
        <v>449</v>
      </c>
      <c r="F89" s="101" t="s">
        <v>450</v>
      </c>
      <c r="G89" s="101" t="s">
        <v>451</v>
      </c>
      <c r="H89" s="101" t="s">
        <v>452</v>
      </c>
      <c r="I89" s="101" t="s">
        <v>85</v>
      </c>
      <c r="J89" s="101" t="s">
        <v>446</v>
      </c>
      <c r="K89" s="101" t="s">
        <v>453</v>
      </c>
      <c r="L89" s="101" t="s">
        <v>454</v>
      </c>
      <c r="M89" s="101" t="s">
        <v>455</v>
      </c>
      <c r="N89" s="101" t="s">
        <v>456</v>
      </c>
    </row>
    <row r="90" spans="1:14">
      <c r="A90" s="11">
        <f t="shared" si="6"/>
        <v>80</v>
      </c>
      <c r="B90" s="101"/>
      <c r="C90" s="107" t="s">
        <v>13</v>
      </c>
      <c r="D90" s="107" t="s">
        <v>457</v>
      </c>
      <c r="E90" s="107" t="s">
        <v>458</v>
      </c>
      <c r="F90" s="107" t="s">
        <v>413</v>
      </c>
      <c r="G90" s="107" t="s">
        <v>458</v>
      </c>
      <c r="H90" s="107" t="s">
        <v>459</v>
      </c>
      <c r="I90" s="107" t="s">
        <v>452</v>
      </c>
      <c r="J90" s="107" t="s">
        <v>452</v>
      </c>
      <c r="K90" s="107" t="s">
        <v>460</v>
      </c>
      <c r="L90" s="262">
        <v>43830</v>
      </c>
      <c r="M90" s="107" t="s">
        <v>412</v>
      </c>
      <c r="N90" s="107" t="s">
        <v>460</v>
      </c>
    </row>
    <row r="91" spans="1:14">
      <c r="A91" s="11">
        <f t="shared" si="6"/>
        <v>81</v>
      </c>
      <c r="B91" s="11"/>
      <c r="C91" s="105"/>
      <c r="D91" s="11" t="s">
        <v>461</v>
      </c>
      <c r="E91" s="12">
        <v>33205</v>
      </c>
      <c r="F91" s="102">
        <v>0.11849999999999999</v>
      </c>
      <c r="G91" s="204">
        <v>2020</v>
      </c>
      <c r="H91" s="192">
        <v>1500</v>
      </c>
      <c r="I91" s="192">
        <v>1500</v>
      </c>
      <c r="J91" s="195">
        <v>100</v>
      </c>
      <c r="K91" s="265">
        <v>0.1191</v>
      </c>
      <c r="L91" s="192">
        <v>1500</v>
      </c>
      <c r="M91" s="192">
        <f>K91*L91</f>
        <v>178.65</v>
      </c>
    </row>
    <row r="92" spans="1:14">
      <c r="A92" s="11">
        <f t="shared" si="6"/>
        <v>82</v>
      </c>
      <c r="B92" s="11"/>
      <c r="D92" s="11" t="s">
        <v>462</v>
      </c>
      <c r="E92" s="12">
        <v>33732</v>
      </c>
      <c r="F92" s="102">
        <v>9.4600000000000004E-2</v>
      </c>
      <c r="G92" s="204">
        <v>2023</v>
      </c>
      <c r="H92" s="192">
        <v>2500</v>
      </c>
      <c r="I92" s="192">
        <v>2500</v>
      </c>
      <c r="J92" s="195">
        <v>100</v>
      </c>
      <c r="K92" s="265">
        <v>9.5100000000000004E-2</v>
      </c>
      <c r="L92" s="192">
        <v>2500</v>
      </c>
      <c r="M92" s="192">
        <f t="shared" ref="M92:M107" si="9">K92*L92</f>
        <v>237.75</v>
      </c>
    </row>
    <row r="93" spans="1:14">
      <c r="A93" s="11">
        <f t="shared" si="6"/>
        <v>83</v>
      </c>
      <c r="B93" s="11"/>
      <c r="C93" s="105"/>
      <c r="D93" s="11" t="s">
        <v>466</v>
      </c>
      <c r="E93" s="12">
        <v>38677</v>
      </c>
      <c r="F93" s="102">
        <v>5.1799999999999999E-2</v>
      </c>
      <c r="G93" s="11">
        <v>2035</v>
      </c>
      <c r="H93" s="192">
        <v>4300</v>
      </c>
      <c r="I93" s="192">
        <v>4300</v>
      </c>
      <c r="J93" s="195">
        <v>100</v>
      </c>
      <c r="K93" s="103">
        <v>5.2299999999999999E-2</v>
      </c>
      <c r="L93" s="192">
        <v>4300</v>
      </c>
      <c r="M93" s="192">
        <f t="shared" si="9"/>
        <v>224.89</v>
      </c>
    </row>
    <row r="94" spans="1:14">
      <c r="A94" s="11">
        <f t="shared" si="6"/>
        <v>84</v>
      </c>
      <c r="B94" s="11"/>
      <c r="C94" s="105"/>
      <c r="D94" s="11" t="s">
        <v>467</v>
      </c>
      <c r="E94" s="12">
        <v>39041</v>
      </c>
      <c r="F94" s="102">
        <v>5.0200000000000002E-2</v>
      </c>
      <c r="G94" s="11">
        <v>2036</v>
      </c>
      <c r="H94" s="192">
        <v>3000</v>
      </c>
      <c r="I94" s="192">
        <v>3000</v>
      </c>
      <c r="J94" s="195">
        <v>100</v>
      </c>
      <c r="K94" s="103">
        <v>5.0700000000000002E-2</v>
      </c>
      <c r="L94" s="192">
        <v>3000</v>
      </c>
      <c r="M94" s="192">
        <f t="shared" si="9"/>
        <v>152.1</v>
      </c>
    </row>
    <row r="95" spans="1:14">
      <c r="A95" s="11">
        <f t="shared" si="6"/>
        <v>85</v>
      </c>
      <c r="B95" s="11"/>
      <c r="C95" s="105"/>
      <c r="D95" s="11" t="s">
        <v>468</v>
      </c>
      <c r="E95" s="12">
        <v>39594</v>
      </c>
      <c r="F95" s="102">
        <v>5.5599999999999997E-2</v>
      </c>
      <c r="G95" s="11">
        <v>2028</v>
      </c>
      <c r="H95" s="192">
        <v>860</v>
      </c>
      <c r="I95" s="192">
        <v>860</v>
      </c>
      <c r="J95" s="195">
        <v>100</v>
      </c>
      <c r="K95" s="103">
        <v>5.6099999999999997E-2</v>
      </c>
      <c r="L95" s="192">
        <v>860</v>
      </c>
      <c r="M95" s="192">
        <f t="shared" si="9"/>
        <v>48.245999999999995</v>
      </c>
    </row>
    <row r="96" spans="1:14">
      <c r="A96" s="11">
        <f t="shared" si="6"/>
        <v>86</v>
      </c>
      <c r="B96" s="11"/>
      <c r="C96" s="105"/>
      <c r="D96" s="11" t="s">
        <v>469</v>
      </c>
      <c r="E96" s="12">
        <v>39594</v>
      </c>
      <c r="F96" s="102">
        <v>5.57E-2</v>
      </c>
      <c r="G96" s="11">
        <v>2038</v>
      </c>
      <c r="H96" s="192">
        <v>1290</v>
      </c>
      <c r="I96" s="192">
        <v>1290</v>
      </c>
      <c r="J96" s="195">
        <v>100</v>
      </c>
      <c r="K96" s="103">
        <v>5.62E-2</v>
      </c>
      <c r="L96" s="192">
        <v>1290</v>
      </c>
      <c r="M96" s="192">
        <f t="shared" si="9"/>
        <v>72.498000000000005</v>
      </c>
      <c r="N96" s="105"/>
    </row>
    <row r="97" spans="1:15">
      <c r="A97" s="11">
        <f t="shared" si="6"/>
        <v>87</v>
      </c>
      <c r="B97" s="11"/>
      <c r="C97" s="105"/>
      <c r="D97" s="11" t="s">
        <v>470</v>
      </c>
      <c r="E97" s="12">
        <v>39878</v>
      </c>
      <c r="F97" s="102">
        <v>6.2299999999999994E-2</v>
      </c>
      <c r="G97" s="11">
        <v>2024</v>
      </c>
      <c r="H97" s="192">
        <v>2900</v>
      </c>
      <c r="I97" s="192">
        <v>2900</v>
      </c>
      <c r="J97" s="195">
        <v>100</v>
      </c>
      <c r="K97" s="103">
        <v>6.2799999999999995E-2</v>
      </c>
      <c r="L97" s="192">
        <v>2900</v>
      </c>
      <c r="M97" s="192">
        <f t="shared" si="9"/>
        <v>182.11999999999998</v>
      </c>
      <c r="N97" s="105"/>
    </row>
    <row r="98" spans="1:15">
      <c r="A98" s="11">
        <f t="shared" si="6"/>
        <v>88</v>
      </c>
      <c r="B98" s="11"/>
      <c r="C98" s="105"/>
      <c r="D98" s="11" t="s">
        <v>471</v>
      </c>
      <c r="E98" s="12">
        <v>39878</v>
      </c>
      <c r="F98" s="102">
        <v>6.5000000000000002E-2</v>
      </c>
      <c r="G98" s="11">
        <v>2039</v>
      </c>
      <c r="H98" s="192">
        <v>3700</v>
      </c>
      <c r="I98" s="192">
        <v>3700</v>
      </c>
      <c r="J98" s="195">
        <v>100</v>
      </c>
      <c r="K98" s="103">
        <v>6.5500000000000003E-2</v>
      </c>
      <c r="L98" s="192">
        <v>3700</v>
      </c>
      <c r="M98" s="192">
        <f t="shared" si="9"/>
        <v>242.35000000000002</v>
      </c>
      <c r="N98" s="105"/>
    </row>
    <row r="99" spans="1:15">
      <c r="A99" s="11">
        <f t="shared" si="6"/>
        <v>89</v>
      </c>
      <c r="B99" s="11"/>
      <c r="C99" s="105"/>
      <c r="D99" s="11" t="s">
        <v>472</v>
      </c>
      <c r="E99" s="12">
        <v>40840</v>
      </c>
      <c r="F99" s="102">
        <v>4.53E-2</v>
      </c>
      <c r="G99" s="11">
        <v>2041</v>
      </c>
      <c r="H99" s="192">
        <v>5000</v>
      </c>
      <c r="I99" s="192">
        <v>5000</v>
      </c>
      <c r="J99" s="195">
        <v>100</v>
      </c>
      <c r="K99" s="103">
        <v>4.58E-2</v>
      </c>
      <c r="L99" s="192">
        <v>5000</v>
      </c>
      <c r="M99" s="192">
        <f t="shared" si="9"/>
        <v>229</v>
      </c>
      <c r="N99" s="105"/>
    </row>
    <row r="100" spans="1:15">
      <c r="A100" s="11">
        <f t="shared" si="6"/>
        <v>90</v>
      </c>
      <c r="B100" s="11"/>
      <c r="C100" s="105"/>
      <c r="D100" s="11" t="s">
        <v>473</v>
      </c>
      <c r="E100" s="12">
        <v>41214</v>
      </c>
      <c r="F100" s="102">
        <v>3.8399999999999997E-2</v>
      </c>
      <c r="G100" s="11">
        <v>2052</v>
      </c>
      <c r="H100" s="192">
        <v>4000</v>
      </c>
      <c r="I100" s="192">
        <v>4000</v>
      </c>
      <c r="J100" s="195">
        <v>100</v>
      </c>
      <c r="K100" s="103">
        <v>3.8899999999999997E-2</v>
      </c>
      <c r="L100" s="192">
        <v>4000</v>
      </c>
      <c r="M100" s="192">
        <f t="shared" si="9"/>
        <v>155.6</v>
      </c>
      <c r="N100" s="105"/>
    </row>
    <row r="101" spans="1:15">
      <c r="A101" s="11">
        <f t="shared" si="6"/>
        <v>91</v>
      </c>
      <c r="B101" s="11"/>
      <c r="C101" s="105"/>
      <c r="D101" s="11" t="s">
        <v>474</v>
      </c>
      <c r="E101" s="12">
        <v>41579</v>
      </c>
      <c r="F101" s="102">
        <f t="shared" ref="F101:F102" si="10">+K101-0.0005</f>
        <v>4.7109999999999999E-2</v>
      </c>
      <c r="G101" s="11">
        <v>2043</v>
      </c>
      <c r="H101" s="192">
        <v>9400</v>
      </c>
      <c r="I101" s="192">
        <v>9400</v>
      </c>
      <c r="J101" s="195">
        <v>100</v>
      </c>
      <c r="K101" s="103">
        <v>4.761E-2</v>
      </c>
      <c r="L101" s="192">
        <v>9400</v>
      </c>
      <c r="M101" s="192">
        <f t="shared" si="9"/>
        <v>447.53399999999999</v>
      </c>
    </row>
    <row r="102" spans="1:15">
      <c r="A102" s="11">
        <f t="shared" si="6"/>
        <v>92</v>
      </c>
      <c r="B102" s="11"/>
      <c r="C102" s="105"/>
      <c r="D102" s="11" t="s">
        <v>475</v>
      </c>
      <c r="E102" s="12">
        <v>41944</v>
      </c>
      <c r="F102" s="102">
        <f t="shared" si="10"/>
        <v>4.07E-2</v>
      </c>
      <c r="G102" s="11">
        <v>2044</v>
      </c>
      <c r="H102" s="192">
        <v>7900</v>
      </c>
      <c r="I102" s="192">
        <v>7900</v>
      </c>
      <c r="J102" s="195">
        <v>100</v>
      </c>
      <c r="K102" s="103">
        <v>4.1200000000000001E-2</v>
      </c>
      <c r="L102" s="192">
        <v>7900</v>
      </c>
      <c r="M102" s="192">
        <f t="shared" si="9"/>
        <v>325.48</v>
      </c>
    </row>
    <row r="103" spans="1:15">
      <c r="A103" s="11">
        <f t="shared" si="6"/>
        <v>93</v>
      </c>
      <c r="B103" s="11"/>
      <c r="C103" s="105"/>
      <c r="D103" s="11" t="s">
        <v>476</v>
      </c>
      <c r="E103" s="12">
        <v>42309</v>
      </c>
      <c r="F103" s="102">
        <f>+K103-0.0005</f>
        <v>3.9509999999999997E-2</v>
      </c>
      <c r="G103" s="11">
        <v>2045</v>
      </c>
      <c r="H103" s="192">
        <v>750</v>
      </c>
      <c r="I103" s="192">
        <v>750</v>
      </c>
      <c r="J103" s="195">
        <v>100</v>
      </c>
      <c r="K103" s="103">
        <v>4.0009999999999997E-2</v>
      </c>
      <c r="L103" s="192">
        <v>750</v>
      </c>
      <c r="M103" s="192">
        <f t="shared" si="9"/>
        <v>30.007499999999997</v>
      </c>
    </row>
    <row r="104" spans="1:15">
      <c r="A104" s="11">
        <f t="shared" si="6"/>
        <v>94</v>
      </c>
      <c r="B104" s="11"/>
      <c r="C104" s="105"/>
      <c r="D104" s="11" t="s">
        <v>477</v>
      </c>
      <c r="E104" s="12">
        <v>42691</v>
      </c>
      <c r="F104" s="102">
        <f>K104-0.0005</f>
        <v>3.7490000000000002E-2</v>
      </c>
      <c r="G104" s="11">
        <v>2046</v>
      </c>
      <c r="H104" s="192">
        <v>7400</v>
      </c>
      <c r="I104" s="192">
        <v>7400</v>
      </c>
      <c r="J104" s="195">
        <v>100</v>
      </c>
      <c r="K104" s="103">
        <v>3.7990000000000003E-2</v>
      </c>
      <c r="L104" s="192">
        <v>7400</v>
      </c>
      <c r="M104" s="192">
        <f t="shared" si="9"/>
        <v>281.12600000000003</v>
      </c>
    </row>
    <row r="105" spans="1:15">
      <c r="A105" s="11">
        <f t="shared" si="6"/>
        <v>95</v>
      </c>
      <c r="B105" s="11"/>
      <c r="C105" s="105"/>
      <c r="D105" s="11" t="s">
        <v>479</v>
      </c>
      <c r="E105" s="12">
        <v>43061</v>
      </c>
      <c r="F105" s="102">
        <f>K105-0.0005</f>
        <v>3.533E-2</v>
      </c>
      <c r="G105" s="11">
        <v>2047</v>
      </c>
      <c r="H105" s="192">
        <v>6400</v>
      </c>
      <c r="I105" s="192">
        <v>6400</v>
      </c>
      <c r="J105" s="195">
        <v>100</v>
      </c>
      <c r="K105" s="103">
        <v>3.5830000000000001E-2</v>
      </c>
      <c r="L105" s="192">
        <v>6400</v>
      </c>
      <c r="M105" s="192">
        <f t="shared" si="9"/>
        <v>229.31200000000001</v>
      </c>
    </row>
    <row r="106" spans="1:15">
      <c r="A106" s="11">
        <f t="shared" si="6"/>
        <v>96</v>
      </c>
      <c r="B106" s="11"/>
      <c r="C106" s="105"/>
      <c r="D106" s="11" t="s">
        <v>480</v>
      </c>
      <c r="E106" s="12">
        <v>43425</v>
      </c>
      <c r="F106" s="102">
        <f>K106-0.0005</f>
        <v>3.9379999999999998E-2</v>
      </c>
      <c r="G106" s="11">
        <v>2048</v>
      </c>
      <c r="H106" s="192">
        <v>2600</v>
      </c>
      <c r="I106" s="192">
        <v>2600</v>
      </c>
      <c r="J106" s="195">
        <v>100</v>
      </c>
      <c r="K106" s="103">
        <v>3.9879999999999999E-2</v>
      </c>
      <c r="L106" s="192">
        <v>2600</v>
      </c>
      <c r="M106" s="192">
        <f t="shared" si="9"/>
        <v>103.688</v>
      </c>
    </row>
    <row r="107" spans="1:15">
      <c r="A107" s="11">
        <f t="shared" si="6"/>
        <v>97</v>
      </c>
      <c r="B107" s="11"/>
      <c r="C107" s="105"/>
      <c r="D107" s="11" t="s">
        <v>481</v>
      </c>
      <c r="E107" s="12">
        <v>43715</v>
      </c>
      <c r="F107" s="102">
        <f>K107-0.0005</f>
        <v>2.946E-2</v>
      </c>
      <c r="G107" s="11">
        <v>2049</v>
      </c>
      <c r="H107" s="193">
        <v>4600</v>
      </c>
      <c r="I107" s="193">
        <v>4600</v>
      </c>
      <c r="J107" s="195">
        <v>100</v>
      </c>
      <c r="K107" s="103">
        <v>2.9960000000000001E-2</v>
      </c>
      <c r="L107" s="192">
        <v>4600</v>
      </c>
      <c r="M107" s="192">
        <f t="shared" si="9"/>
        <v>137.816</v>
      </c>
    </row>
    <row r="108" spans="1:15">
      <c r="A108" s="11">
        <f t="shared" si="6"/>
        <v>98</v>
      </c>
      <c r="B108" s="11"/>
      <c r="C108" s="105" t="s">
        <v>85</v>
      </c>
      <c r="D108" s="11"/>
      <c r="E108" s="12"/>
      <c r="F108" s="103"/>
      <c r="G108" s="12"/>
      <c r="H108" s="192">
        <f>SUM(H91:H107)</f>
        <v>68100</v>
      </c>
      <c r="I108" s="192"/>
      <c r="J108" s="104"/>
      <c r="K108" s="103"/>
      <c r="L108" s="225">
        <f>SUM(L91:L107)</f>
        <v>68100</v>
      </c>
      <c r="M108" s="225">
        <f>SUM(M91:M107)</f>
        <v>3278.1675</v>
      </c>
      <c r="N108" s="102">
        <f>M108/L108</f>
        <v>4.8137555066079293E-2</v>
      </c>
    </row>
    <row r="109" spans="1:15">
      <c r="A109" s="11">
        <f t="shared" si="6"/>
        <v>99</v>
      </c>
      <c r="B109" s="11"/>
      <c r="C109" s="105" t="s">
        <v>478</v>
      </c>
      <c r="D109" s="11"/>
      <c r="E109" s="12"/>
      <c r="F109" s="103"/>
      <c r="G109" s="12"/>
      <c r="H109" s="10"/>
      <c r="I109" s="10"/>
      <c r="J109" s="104"/>
      <c r="K109" s="103"/>
      <c r="L109" s="193">
        <f>L82</f>
        <v>69000</v>
      </c>
      <c r="M109" s="193">
        <f t="shared" ref="M109:N109" si="11">M82</f>
        <v>3501.0615000000007</v>
      </c>
      <c r="N109" s="263">
        <f t="shared" si="11"/>
        <v>5.0740021739130448E-2</v>
      </c>
    </row>
    <row r="110" spans="1:15">
      <c r="A110" s="11">
        <f t="shared" si="6"/>
        <v>100</v>
      </c>
      <c r="B110" s="11"/>
      <c r="C110" s="105" t="s">
        <v>85</v>
      </c>
      <c r="D110" s="11"/>
      <c r="E110" s="12"/>
      <c r="F110" s="103"/>
      <c r="G110" s="12"/>
      <c r="H110" s="10"/>
      <c r="I110" s="10"/>
      <c r="J110" s="104"/>
      <c r="K110" s="103"/>
      <c r="L110" s="193">
        <f>L108+L109</f>
        <v>137100</v>
      </c>
      <c r="M110" s="193">
        <f>M108+M109</f>
        <v>6779.2290000000012</v>
      </c>
      <c r="N110" s="156"/>
    </row>
    <row r="111" spans="1:15" ht="13" thickBot="1">
      <c r="A111" s="11">
        <f t="shared" si="6"/>
        <v>101</v>
      </c>
      <c r="B111" s="11"/>
      <c r="C111" s="105" t="s">
        <v>411</v>
      </c>
      <c r="D111" s="11"/>
      <c r="E111" s="12"/>
      <c r="F111" s="103"/>
      <c r="G111" s="12"/>
      <c r="H111" s="10"/>
      <c r="I111" s="10"/>
      <c r="J111" s="104"/>
      <c r="K111" s="103"/>
      <c r="L111" s="194">
        <f>L110/2</f>
        <v>68550</v>
      </c>
      <c r="M111" s="213">
        <f>M110/2</f>
        <v>3389.6145000000006</v>
      </c>
      <c r="N111" s="260">
        <f>M111/L111</f>
        <v>4.9447330415754935E-2</v>
      </c>
    </row>
    <row r="112" spans="1:15" ht="13.5" thickTop="1">
      <c r="A112" s="11">
        <f t="shared" si="6"/>
        <v>102</v>
      </c>
      <c r="B112" s="146"/>
      <c r="C112" s="146"/>
      <c r="D112" s="146"/>
      <c r="E112" s="146"/>
      <c r="F112" s="146"/>
      <c r="G112" s="146"/>
      <c r="H112" s="146"/>
      <c r="I112" s="146"/>
      <c r="J112" s="146"/>
      <c r="K112" s="146"/>
      <c r="L112" s="146"/>
      <c r="M112" s="146"/>
      <c r="N112" s="146"/>
      <c r="O112" s="30"/>
    </row>
    <row r="113" spans="1:14">
      <c r="A113" s="11">
        <f t="shared" si="6"/>
        <v>103</v>
      </c>
      <c r="B113" s="203" t="s">
        <v>430</v>
      </c>
      <c r="C113" s="105"/>
      <c r="D113" s="105"/>
      <c r="E113" s="105"/>
      <c r="F113" s="105"/>
      <c r="G113" s="105"/>
      <c r="H113" s="105"/>
      <c r="I113" s="261" t="s">
        <v>445</v>
      </c>
      <c r="J113" s="106"/>
      <c r="K113" s="105"/>
      <c r="L113" s="105"/>
      <c r="M113" s="105"/>
    </row>
    <row r="114" spans="1:14">
      <c r="A114" s="11">
        <f t="shared" ref="A114:A177" si="12">A113+1</f>
        <v>104</v>
      </c>
      <c r="C114" s="101"/>
      <c r="D114" s="101"/>
      <c r="E114" s="101"/>
      <c r="F114" s="101"/>
      <c r="G114" s="101"/>
      <c r="H114" s="101" t="s">
        <v>446</v>
      </c>
      <c r="I114" s="101" t="s">
        <v>156</v>
      </c>
      <c r="J114" s="101" t="s">
        <v>447</v>
      </c>
      <c r="L114" s="101" t="s">
        <v>446</v>
      </c>
      <c r="M114" s="101" t="s">
        <v>156</v>
      </c>
      <c r="N114" s="101" t="s">
        <v>448</v>
      </c>
    </row>
    <row r="115" spans="1:14">
      <c r="A115" s="11">
        <f t="shared" si="12"/>
        <v>105</v>
      </c>
      <c r="B115" s="101"/>
      <c r="C115" s="101"/>
      <c r="D115" s="101"/>
      <c r="E115" s="101" t="s">
        <v>449</v>
      </c>
      <c r="F115" s="101" t="s">
        <v>450</v>
      </c>
      <c r="G115" s="101" t="s">
        <v>451</v>
      </c>
      <c r="H115" s="101" t="s">
        <v>452</v>
      </c>
      <c r="I115" s="101" t="s">
        <v>85</v>
      </c>
      <c r="J115" s="101" t="s">
        <v>446</v>
      </c>
      <c r="K115" s="101" t="s">
        <v>453</v>
      </c>
      <c r="L115" s="101" t="s">
        <v>454</v>
      </c>
      <c r="M115" s="101" t="s">
        <v>455</v>
      </c>
      <c r="N115" s="101" t="s">
        <v>456</v>
      </c>
    </row>
    <row r="116" spans="1:14">
      <c r="A116" s="11">
        <f t="shared" si="12"/>
        <v>106</v>
      </c>
      <c r="B116" s="101"/>
      <c r="C116" s="107" t="s">
        <v>13</v>
      </c>
      <c r="D116" s="107" t="s">
        <v>457</v>
      </c>
      <c r="E116" s="107" t="s">
        <v>458</v>
      </c>
      <c r="F116" s="107" t="s">
        <v>413</v>
      </c>
      <c r="G116" s="107" t="s">
        <v>458</v>
      </c>
      <c r="H116" s="107" t="s">
        <v>459</v>
      </c>
      <c r="I116" s="107" t="s">
        <v>452</v>
      </c>
      <c r="J116" s="107" t="s">
        <v>452</v>
      </c>
      <c r="K116" s="107" t="s">
        <v>460</v>
      </c>
      <c r="L116" s="262">
        <v>44196</v>
      </c>
      <c r="M116" s="107" t="s">
        <v>412</v>
      </c>
      <c r="N116" s="107" t="s">
        <v>460</v>
      </c>
    </row>
    <row r="117" spans="1:14">
      <c r="A117" s="11">
        <f t="shared" si="12"/>
        <v>107</v>
      </c>
      <c r="B117" s="11"/>
      <c r="C117" s="266"/>
      <c r="D117" s="11" t="s">
        <v>462</v>
      </c>
      <c r="E117" s="12">
        <v>33732</v>
      </c>
      <c r="F117" s="102">
        <v>9.4E-2</v>
      </c>
      <c r="G117" s="204">
        <v>2023</v>
      </c>
      <c r="H117" s="192">
        <v>2500</v>
      </c>
      <c r="I117" s="192">
        <v>2500</v>
      </c>
      <c r="J117" s="195">
        <v>100</v>
      </c>
      <c r="K117" s="265">
        <v>9.5100000000000004E-2</v>
      </c>
      <c r="L117" s="192">
        <v>2500</v>
      </c>
      <c r="M117" s="192">
        <f>K117*L117</f>
        <v>237.75</v>
      </c>
    </row>
    <row r="118" spans="1:14">
      <c r="A118" s="11">
        <f t="shared" si="12"/>
        <v>108</v>
      </c>
      <c r="B118" s="11"/>
      <c r="C118" s="266"/>
      <c r="D118" s="11" t="s">
        <v>466</v>
      </c>
      <c r="E118" s="12">
        <v>38677</v>
      </c>
      <c r="F118" s="102">
        <v>5.1830000000000001E-2</v>
      </c>
      <c r="G118" s="11">
        <v>2035</v>
      </c>
      <c r="H118" s="192">
        <v>4300</v>
      </c>
      <c r="I118" s="192">
        <v>4300</v>
      </c>
      <c r="J118" s="195">
        <v>100</v>
      </c>
      <c r="K118" s="103">
        <v>5.2299999999999999E-2</v>
      </c>
      <c r="L118" s="192">
        <v>4300</v>
      </c>
      <c r="M118" s="192">
        <f t="shared" ref="M118:M133" si="13">K118*L118</f>
        <v>224.89</v>
      </c>
    </row>
    <row r="119" spans="1:14">
      <c r="A119" s="11">
        <f t="shared" si="12"/>
        <v>109</v>
      </c>
      <c r="B119" s="11"/>
      <c r="C119" s="266"/>
      <c r="D119" s="11" t="s">
        <v>467</v>
      </c>
      <c r="E119" s="12">
        <v>39041</v>
      </c>
      <c r="F119" s="102">
        <v>5.0319999999999997E-2</v>
      </c>
      <c r="G119" s="11">
        <v>2036</v>
      </c>
      <c r="H119" s="192">
        <v>3000</v>
      </c>
      <c r="I119" s="192">
        <v>3000</v>
      </c>
      <c r="J119" s="195">
        <v>100</v>
      </c>
      <c r="K119" s="103">
        <v>5.0700000000000002E-2</v>
      </c>
      <c r="L119" s="192">
        <v>3000</v>
      </c>
      <c r="M119" s="192">
        <f t="shared" si="13"/>
        <v>152.1</v>
      </c>
    </row>
    <row r="120" spans="1:14">
      <c r="A120" s="11">
        <f t="shared" si="12"/>
        <v>110</v>
      </c>
      <c r="B120" s="11"/>
      <c r="C120" s="266"/>
      <c r="D120" s="11" t="s">
        <v>468</v>
      </c>
      <c r="E120" s="12">
        <v>39594</v>
      </c>
      <c r="F120" s="102">
        <v>5.5629999999999999E-2</v>
      </c>
      <c r="G120" s="11">
        <v>2028</v>
      </c>
      <c r="H120" s="192">
        <v>860</v>
      </c>
      <c r="I120" s="192">
        <v>860</v>
      </c>
      <c r="J120" s="195">
        <v>100</v>
      </c>
      <c r="K120" s="103">
        <v>5.6099999999999997E-2</v>
      </c>
      <c r="L120" s="192">
        <v>860</v>
      </c>
      <c r="M120" s="192">
        <f t="shared" si="13"/>
        <v>48.245999999999995</v>
      </c>
    </row>
    <row r="121" spans="1:14">
      <c r="A121" s="11">
        <f t="shared" si="12"/>
        <v>111</v>
      </c>
      <c r="B121" s="11"/>
      <c r="C121" s="266"/>
      <c r="D121" s="11" t="s">
        <v>469</v>
      </c>
      <c r="E121" s="12">
        <v>39594</v>
      </c>
      <c r="F121" s="102">
        <v>5.5800000000000002E-2</v>
      </c>
      <c r="G121" s="11">
        <v>2038</v>
      </c>
      <c r="H121" s="192">
        <v>1290</v>
      </c>
      <c r="I121" s="192">
        <v>1290</v>
      </c>
      <c r="J121" s="195">
        <v>100</v>
      </c>
      <c r="K121" s="103">
        <v>5.62E-2</v>
      </c>
      <c r="L121" s="192">
        <v>1290</v>
      </c>
      <c r="M121" s="192">
        <f t="shared" si="13"/>
        <v>72.498000000000005</v>
      </c>
      <c r="N121" s="105"/>
    </row>
    <row r="122" spans="1:14">
      <c r="A122" s="11">
        <f t="shared" si="12"/>
        <v>112</v>
      </c>
      <c r="B122" s="11"/>
      <c r="C122" s="266"/>
      <c r="D122" s="11" t="s">
        <v>470</v>
      </c>
      <c r="E122" s="12">
        <v>39878</v>
      </c>
      <c r="F122" s="102">
        <v>6.2149999999999997E-2</v>
      </c>
      <c r="G122" s="11">
        <v>2024</v>
      </c>
      <c r="H122" s="192">
        <v>2900</v>
      </c>
      <c r="I122" s="192">
        <v>2900</v>
      </c>
      <c r="J122" s="195">
        <v>100</v>
      </c>
      <c r="K122" s="103">
        <v>6.2799999999999995E-2</v>
      </c>
      <c r="L122" s="192">
        <v>2900</v>
      </c>
      <c r="M122" s="192">
        <f t="shared" si="13"/>
        <v>182.11999999999998</v>
      </c>
      <c r="N122" s="105"/>
    </row>
    <row r="123" spans="1:14">
      <c r="A123" s="11">
        <f t="shared" si="12"/>
        <v>113</v>
      </c>
      <c r="B123" s="11"/>
      <c r="C123" s="266"/>
      <c r="D123" s="11" t="s">
        <v>471</v>
      </c>
      <c r="E123" s="12">
        <v>39878</v>
      </c>
      <c r="F123" s="102">
        <v>6.5000000000000002E-2</v>
      </c>
      <c r="G123" s="11">
        <v>2039</v>
      </c>
      <c r="H123" s="192">
        <v>3700</v>
      </c>
      <c r="I123" s="192">
        <v>3700</v>
      </c>
      <c r="J123" s="195">
        <v>100</v>
      </c>
      <c r="K123" s="103">
        <v>6.5500000000000003E-2</v>
      </c>
      <c r="L123" s="192">
        <v>3700</v>
      </c>
      <c r="M123" s="192">
        <f t="shared" si="13"/>
        <v>242.35000000000002</v>
      </c>
      <c r="N123" s="105"/>
    </row>
    <row r="124" spans="1:14">
      <c r="A124" s="11">
        <f t="shared" si="12"/>
        <v>114</v>
      </c>
      <c r="B124" s="11"/>
      <c r="C124" s="266"/>
      <c r="D124" s="11" t="s">
        <v>472</v>
      </c>
      <c r="E124" s="12">
        <v>40840</v>
      </c>
      <c r="F124" s="102">
        <v>4.5429999999999998E-2</v>
      </c>
      <c r="G124" s="11">
        <v>2041</v>
      </c>
      <c r="H124" s="192">
        <v>5000</v>
      </c>
      <c r="I124" s="192">
        <v>5000</v>
      </c>
      <c r="J124" s="195">
        <v>100</v>
      </c>
      <c r="K124" s="103">
        <v>4.58E-2</v>
      </c>
      <c r="L124" s="192">
        <v>5000</v>
      </c>
      <c r="M124" s="192">
        <f t="shared" si="13"/>
        <v>229</v>
      </c>
      <c r="N124" s="105"/>
    </row>
    <row r="125" spans="1:14">
      <c r="A125" s="11">
        <f t="shared" si="12"/>
        <v>115</v>
      </c>
      <c r="B125" s="11"/>
      <c r="C125" s="266"/>
      <c r="D125" s="11" t="s">
        <v>473</v>
      </c>
      <c r="E125" s="12">
        <v>41214</v>
      </c>
      <c r="F125" s="102">
        <v>3.857E-2</v>
      </c>
      <c r="G125" s="11">
        <v>2052</v>
      </c>
      <c r="H125" s="192">
        <v>4000</v>
      </c>
      <c r="I125" s="192">
        <v>4000</v>
      </c>
      <c r="J125" s="195">
        <v>100</v>
      </c>
      <c r="K125" s="103">
        <v>3.8899999999999997E-2</v>
      </c>
      <c r="L125" s="192">
        <v>4000</v>
      </c>
      <c r="M125" s="192">
        <f t="shared" si="13"/>
        <v>155.6</v>
      </c>
      <c r="N125" s="105"/>
    </row>
    <row r="126" spans="1:14">
      <c r="A126" s="11">
        <f t="shared" si="12"/>
        <v>116</v>
      </c>
      <c r="B126" s="11"/>
      <c r="C126" s="266"/>
      <c r="D126" s="11" t="s">
        <v>474</v>
      </c>
      <c r="E126" s="12">
        <v>41579</v>
      </c>
      <c r="F126" s="102">
        <v>4.7219999999999998E-2</v>
      </c>
      <c r="G126" s="11">
        <v>2043</v>
      </c>
      <c r="H126" s="192">
        <v>9400</v>
      </c>
      <c r="I126" s="192">
        <v>9400</v>
      </c>
      <c r="J126" s="195">
        <v>100</v>
      </c>
      <c r="K126" s="103">
        <v>4.761E-2</v>
      </c>
      <c r="L126" s="192">
        <v>9400</v>
      </c>
      <c r="M126" s="192">
        <f t="shared" si="13"/>
        <v>447.53399999999999</v>
      </c>
    </row>
    <row r="127" spans="1:14">
      <c r="A127" s="11">
        <f t="shared" si="12"/>
        <v>117</v>
      </c>
      <c r="B127" s="11"/>
      <c r="C127" s="266"/>
      <c r="D127" s="11" t="s">
        <v>475</v>
      </c>
      <c r="E127" s="12">
        <v>41944</v>
      </c>
      <c r="F127" s="102">
        <v>4.0849999999999997E-2</v>
      </c>
      <c r="G127" s="11">
        <v>2044</v>
      </c>
      <c r="H127" s="192">
        <v>7900</v>
      </c>
      <c r="I127" s="192">
        <v>7900</v>
      </c>
      <c r="J127" s="195">
        <v>100</v>
      </c>
      <c r="K127" s="103">
        <v>4.1200000000000001E-2</v>
      </c>
      <c r="L127" s="192">
        <v>7900</v>
      </c>
      <c r="M127" s="192">
        <f t="shared" si="13"/>
        <v>325.48</v>
      </c>
    </row>
    <row r="128" spans="1:14">
      <c r="A128" s="11">
        <f t="shared" si="12"/>
        <v>118</v>
      </c>
      <c r="B128" s="11"/>
      <c r="C128" s="266"/>
      <c r="D128" s="11" t="s">
        <v>476</v>
      </c>
      <c r="E128" s="12">
        <v>42309</v>
      </c>
      <c r="F128" s="102">
        <v>3.9640000000000002E-2</v>
      </c>
      <c r="G128" s="11">
        <v>2045</v>
      </c>
      <c r="H128" s="192">
        <v>750</v>
      </c>
      <c r="I128" s="192">
        <v>750</v>
      </c>
      <c r="J128" s="195">
        <v>100</v>
      </c>
      <c r="K128" s="103">
        <v>4.0009999999999997E-2</v>
      </c>
      <c r="L128" s="192">
        <v>750</v>
      </c>
      <c r="M128" s="192">
        <f t="shared" si="13"/>
        <v>30.007499999999997</v>
      </c>
    </row>
    <row r="129" spans="1:21">
      <c r="A129" s="11">
        <f t="shared" si="12"/>
        <v>119</v>
      </c>
      <c r="B129" s="11"/>
      <c r="C129" s="266"/>
      <c r="D129" s="11" t="s">
        <v>477</v>
      </c>
      <c r="E129" s="12">
        <v>42691</v>
      </c>
      <c r="F129" s="102">
        <v>3.7629999999999997E-2</v>
      </c>
      <c r="G129" s="11">
        <v>2046</v>
      </c>
      <c r="H129" s="192">
        <v>7400</v>
      </c>
      <c r="I129" s="192">
        <v>7400</v>
      </c>
      <c r="J129" s="195">
        <v>100</v>
      </c>
      <c r="K129" s="103">
        <v>3.7990000000000003E-2</v>
      </c>
      <c r="L129" s="192">
        <v>7400</v>
      </c>
      <c r="M129" s="192">
        <f t="shared" si="13"/>
        <v>281.12600000000003</v>
      </c>
    </row>
    <row r="130" spans="1:21">
      <c r="A130" s="11">
        <f t="shared" si="12"/>
        <v>120</v>
      </c>
      <c r="B130" s="11"/>
      <c r="C130" s="266"/>
      <c r="D130" s="11" t="s">
        <v>479</v>
      </c>
      <c r="E130" s="12">
        <v>43061</v>
      </c>
      <c r="F130" s="102">
        <v>3.5479999999999998E-2</v>
      </c>
      <c r="G130" s="11">
        <v>2047</v>
      </c>
      <c r="H130" s="192">
        <v>6400</v>
      </c>
      <c r="I130" s="192">
        <v>6400</v>
      </c>
      <c r="J130" s="195">
        <v>100</v>
      </c>
      <c r="K130" s="103">
        <v>3.5830000000000001E-2</v>
      </c>
      <c r="L130" s="192">
        <v>6400</v>
      </c>
      <c r="M130" s="192">
        <f t="shared" si="13"/>
        <v>229.31200000000001</v>
      </c>
    </row>
    <row r="131" spans="1:21">
      <c r="A131" s="11">
        <f t="shared" si="12"/>
        <v>121</v>
      </c>
      <c r="B131" s="11"/>
      <c r="C131" s="266"/>
      <c r="D131" s="11" t="s">
        <v>480</v>
      </c>
      <c r="E131" s="12">
        <v>43425</v>
      </c>
      <c r="F131" s="102">
        <v>3.95E-2</v>
      </c>
      <c r="G131" s="11">
        <v>2048</v>
      </c>
      <c r="H131" s="192">
        <v>2600</v>
      </c>
      <c r="I131" s="192">
        <v>2600</v>
      </c>
      <c r="J131" s="195">
        <v>100</v>
      </c>
      <c r="K131" s="103">
        <v>3.9879999999999999E-2</v>
      </c>
      <c r="L131" s="192">
        <v>2600</v>
      </c>
      <c r="M131" s="192">
        <f t="shared" si="13"/>
        <v>103.688</v>
      </c>
    </row>
    <row r="132" spans="1:21">
      <c r="A132" s="11">
        <f t="shared" si="12"/>
        <v>122</v>
      </c>
      <c r="B132" s="11"/>
      <c r="C132" s="266"/>
      <c r="D132" s="11" t="s">
        <v>481</v>
      </c>
      <c r="E132" s="12">
        <v>43715</v>
      </c>
      <c r="F132" s="102">
        <v>2.963E-2</v>
      </c>
      <c r="G132" s="11">
        <v>2049</v>
      </c>
      <c r="H132" s="192">
        <v>4600</v>
      </c>
      <c r="I132" s="192">
        <v>4600</v>
      </c>
      <c r="J132" s="195">
        <v>100</v>
      </c>
      <c r="K132" s="103">
        <v>2.9960000000000001E-2</v>
      </c>
      <c r="L132" s="192">
        <v>4600</v>
      </c>
      <c r="M132" s="192">
        <f t="shared" si="13"/>
        <v>137.816</v>
      </c>
    </row>
    <row r="133" spans="1:21">
      <c r="A133" s="11">
        <f t="shared" si="12"/>
        <v>123</v>
      </c>
      <c r="B133" s="11"/>
      <c r="C133" s="266"/>
      <c r="D133" s="11" t="s">
        <v>482</v>
      </c>
      <c r="E133" s="12">
        <v>44102</v>
      </c>
      <c r="F133" s="102">
        <v>2.6089999999999999E-2</v>
      </c>
      <c r="G133" s="11">
        <v>2050</v>
      </c>
      <c r="H133" s="192">
        <v>4200</v>
      </c>
      <c r="I133" s="192">
        <v>4200</v>
      </c>
      <c r="J133" s="195">
        <v>100</v>
      </c>
      <c r="K133" s="103">
        <v>2.6440000000000002E-2</v>
      </c>
      <c r="L133" s="192">
        <v>4200</v>
      </c>
      <c r="M133" s="192">
        <f t="shared" si="13"/>
        <v>111.048</v>
      </c>
      <c r="N133"/>
    </row>
    <row r="134" spans="1:21">
      <c r="A134" s="11">
        <f t="shared" si="12"/>
        <v>124</v>
      </c>
      <c r="B134" s="11"/>
      <c r="C134" s="266"/>
      <c r="E134" s="12"/>
      <c r="F134" s="102"/>
      <c r="G134" s="11"/>
      <c r="M134" s="192"/>
      <c r="N134"/>
      <c r="P134" s="11"/>
      <c r="Q134" s="192"/>
      <c r="R134" s="192"/>
      <c r="S134" s="195"/>
      <c r="T134" s="103"/>
      <c r="U134" s="192"/>
    </row>
    <row r="135" spans="1:21">
      <c r="A135" s="11">
        <f t="shared" si="12"/>
        <v>125</v>
      </c>
      <c r="B135" s="11"/>
      <c r="C135" s="105" t="s">
        <v>85</v>
      </c>
      <c r="D135" s="11"/>
      <c r="E135" s="12"/>
      <c r="F135" s="103"/>
      <c r="G135" s="12"/>
      <c r="H135" s="192">
        <f>SUM(H117:H134)</f>
        <v>70800</v>
      </c>
      <c r="I135" s="192">
        <f>SUM(I117:I134)</f>
        <v>70800</v>
      </c>
      <c r="J135" s="104"/>
      <c r="K135" s="103"/>
      <c r="L135" s="192">
        <f>SUM(L117:L134)</f>
        <v>70800</v>
      </c>
      <c r="M135" s="192">
        <f>SUM(M117:M133)</f>
        <v>3210.5655000000006</v>
      </c>
      <c r="N135" s="103">
        <f>M135/L135</f>
        <v>4.5346970338983057E-2</v>
      </c>
    </row>
    <row r="136" spans="1:21">
      <c r="A136" s="11">
        <f t="shared" si="12"/>
        <v>126</v>
      </c>
      <c r="B136" s="11"/>
      <c r="C136" s="105" t="s">
        <v>478</v>
      </c>
      <c r="D136" s="11"/>
      <c r="E136" s="12"/>
      <c r="F136" s="103"/>
      <c r="G136" s="12"/>
      <c r="H136" s="10"/>
      <c r="I136" s="10"/>
      <c r="J136" s="104"/>
      <c r="K136" s="103"/>
      <c r="L136" s="193">
        <f>L108</f>
        <v>68100</v>
      </c>
      <c r="M136" s="193">
        <f>M108</f>
        <v>3278.1675</v>
      </c>
      <c r="N136" s="259">
        <f>N111</f>
        <v>4.9447330415754935E-2</v>
      </c>
    </row>
    <row r="137" spans="1:21">
      <c r="A137" s="11">
        <f t="shared" si="12"/>
        <v>127</v>
      </c>
      <c r="B137" s="11"/>
      <c r="C137" s="105" t="s">
        <v>85</v>
      </c>
      <c r="D137" s="11"/>
      <c r="E137" s="12"/>
      <c r="F137" s="103"/>
      <c r="G137" s="12"/>
      <c r="H137" s="10"/>
      <c r="I137" s="10"/>
      <c r="J137" s="104"/>
      <c r="K137" s="103"/>
      <c r="L137" s="193">
        <f>L135+L136</f>
        <v>138900</v>
      </c>
      <c r="M137" s="193">
        <f>M135+M136</f>
        <v>6488.7330000000002</v>
      </c>
      <c r="N137" s="156"/>
    </row>
    <row r="138" spans="1:21" ht="13" thickBot="1">
      <c r="A138" s="11">
        <f t="shared" si="12"/>
        <v>128</v>
      </c>
      <c r="B138" s="11"/>
      <c r="C138" s="105" t="s">
        <v>411</v>
      </c>
      <c r="D138"/>
      <c r="E138"/>
      <c r="F138"/>
      <c r="G138"/>
      <c r="H138" s="10"/>
      <c r="I138" s="10"/>
      <c r="J138" s="104"/>
      <c r="K138" s="103"/>
      <c r="L138" s="194">
        <f>L137/2</f>
        <v>69450</v>
      </c>
      <c r="M138" s="213">
        <f>M137/2</f>
        <v>3244.3665000000001</v>
      </c>
      <c r="N138" s="260">
        <f>M138/L138</f>
        <v>4.6715140388768901E-2</v>
      </c>
    </row>
    <row r="139" spans="1:21" ht="13.5" thickTop="1">
      <c r="A139" s="11">
        <f t="shared" si="12"/>
        <v>129</v>
      </c>
      <c r="B139" s="202"/>
      <c r="C139" s="106"/>
      <c r="D139" s="106"/>
      <c r="E139" s="106"/>
      <c r="F139" s="106"/>
      <c r="G139" s="106"/>
      <c r="H139" s="106"/>
      <c r="I139" s="106"/>
      <c r="J139" s="106"/>
      <c r="K139" s="106"/>
      <c r="L139" s="106"/>
      <c r="M139" s="106"/>
      <c r="N139" s="106"/>
      <c r="O139" s="3"/>
    </row>
    <row r="140" spans="1:21">
      <c r="A140" s="11">
        <f t="shared" si="12"/>
        <v>130</v>
      </c>
      <c r="B140" s="203" t="s">
        <v>432</v>
      </c>
      <c r="C140" s="105"/>
      <c r="D140" s="105"/>
      <c r="E140" s="105"/>
      <c r="F140" s="105"/>
      <c r="G140" s="105"/>
      <c r="H140" s="105"/>
      <c r="I140" s="261" t="s">
        <v>445</v>
      </c>
      <c r="J140" s="106"/>
      <c r="K140" s="105"/>
      <c r="L140" s="105"/>
      <c r="M140" s="105"/>
    </row>
    <row r="141" spans="1:21">
      <c r="A141" s="11">
        <f t="shared" si="12"/>
        <v>131</v>
      </c>
      <c r="C141" s="101"/>
      <c r="D141" s="101"/>
      <c r="E141" s="101"/>
      <c r="F141" s="101"/>
      <c r="G141" s="101"/>
      <c r="H141" s="101" t="s">
        <v>446</v>
      </c>
      <c r="I141" s="101" t="s">
        <v>156</v>
      </c>
      <c r="J141" s="101" t="s">
        <v>447</v>
      </c>
      <c r="L141" s="101" t="s">
        <v>446</v>
      </c>
      <c r="M141" s="101" t="s">
        <v>156</v>
      </c>
      <c r="N141" s="101" t="s">
        <v>448</v>
      </c>
    </row>
    <row r="142" spans="1:21">
      <c r="A142" s="11">
        <f t="shared" si="12"/>
        <v>132</v>
      </c>
      <c r="B142" s="101"/>
      <c r="C142" s="101"/>
      <c r="D142" s="101"/>
      <c r="E142" s="101" t="s">
        <v>449</v>
      </c>
      <c r="F142" s="101" t="s">
        <v>450</v>
      </c>
      <c r="G142" s="101" t="s">
        <v>451</v>
      </c>
      <c r="H142" s="101" t="s">
        <v>452</v>
      </c>
      <c r="I142" s="101" t="s">
        <v>85</v>
      </c>
      <c r="J142" s="101" t="s">
        <v>446</v>
      </c>
      <c r="K142" s="101" t="s">
        <v>453</v>
      </c>
      <c r="L142" s="101" t="s">
        <v>454</v>
      </c>
      <c r="M142" s="101" t="s">
        <v>455</v>
      </c>
      <c r="N142" s="101" t="s">
        <v>456</v>
      </c>
    </row>
    <row r="143" spans="1:21">
      <c r="A143" s="11">
        <f t="shared" si="12"/>
        <v>133</v>
      </c>
      <c r="B143" s="101"/>
      <c r="C143" s="107" t="s">
        <v>13</v>
      </c>
      <c r="D143" s="107" t="s">
        <v>457</v>
      </c>
      <c r="E143" s="107" t="s">
        <v>458</v>
      </c>
      <c r="F143" s="107" t="s">
        <v>413</v>
      </c>
      <c r="G143" s="107" t="s">
        <v>458</v>
      </c>
      <c r="H143" s="107" t="s">
        <v>459</v>
      </c>
      <c r="I143" s="107" t="s">
        <v>452</v>
      </c>
      <c r="J143" s="107" t="s">
        <v>452</v>
      </c>
      <c r="K143" s="107" t="s">
        <v>460</v>
      </c>
      <c r="L143" s="262">
        <v>44561</v>
      </c>
      <c r="M143" s="107" t="s">
        <v>412</v>
      </c>
      <c r="N143" s="107" t="s">
        <v>460</v>
      </c>
    </row>
    <row r="144" spans="1:21">
      <c r="A144" s="11">
        <f t="shared" si="12"/>
        <v>134</v>
      </c>
      <c r="B144" s="11"/>
      <c r="C144" s="266"/>
      <c r="D144" s="11" t="s">
        <v>462</v>
      </c>
      <c r="E144" s="12">
        <v>33732</v>
      </c>
      <c r="F144" s="102">
        <v>9.4E-2</v>
      </c>
      <c r="G144" s="204">
        <v>2023</v>
      </c>
      <c r="H144" s="192">
        <v>2500</v>
      </c>
      <c r="I144" s="192">
        <v>2500</v>
      </c>
      <c r="J144" s="195">
        <v>100</v>
      </c>
      <c r="K144" s="265">
        <v>9.5100000000000004E-2</v>
      </c>
      <c r="L144" s="192">
        <v>2500</v>
      </c>
      <c r="M144" s="192">
        <f>K144*L144</f>
        <v>237.75</v>
      </c>
    </row>
    <row r="145" spans="1:14">
      <c r="A145" s="11">
        <f t="shared" si="12"/>
        <v>135</v>
      </c>
      <c r="B145" s="11"/>
      <c r="C145" s="266"/>
      <c r="D145" s="11" t="s">
        <v>466</v>
      </c>
      <c r="E145" s="12">
        <v>38677</v>
      </c>
      <c r="F145" s="102">
        <v>5.1830000000000001E-2</v>
      </c>
      <c r="G145" s="11">
        <v>2035</v>
      </c>
      <c r="H145" s="192">
        <v>4300</v>
      </c>
      <c r="I145" s="192">
        <v>4300</v>
      </c>
      <c r="J145" s="195">
        <v>100</v>
      </c>
      <c r="K145" s="103">
        <v>5.2299999999999999E-2</v>
      </c>
      <c r="L145" s="192">
        <v>4300</v>
      </c>
      <c r="M145" s="192">
        <f t="shared" ref="M145:M160" si="14">K145*L145</f>
        <v>224.89</v>
      </c>
    </row>
    <row r="146" spans="1:14">
      <c r="A146" s="11">
        <f t="shared" si="12"/>
        <v>136</v>
      </c>
      <c r="B146" s="11"/>
      <c r="C146" s="266"/>
      <c r="D146" s="11" t="s">
        <v>467</v>
      </c>
      <c r="E146" s="12">
        <v>39041</v>
      </c>
      <c r="F146" s="102">
        <v>5.0319999999999997E-2</v>
      </c>
      <c r="G146" s="11">
        <v>2036</v>
      </c>
      <c r="H146" s="192">
        <v>3000</v>
      </c>
      <c r="I146" s="192">
        <v>3000</v>
      </c>
      <c r="J146" s="195">
        <v>100</v>
      </c>
      <c r="K146" s="103">
        <v>5.0700000000000002E-2</v>
      </c>
      <c r="L146" s="192">
        <v>3000</v>
      </c>
      <c r="M146" s="192">
        <f t="shared" si="14"/>
        <v>152.1</v>
      </c>
    </row>
    <row r="147" spans="1:14">
      <c r="A147" s="11">
        <f t="shared" si="12"/>
        <v>137</v>
      </c>
      <c r="B147" s="11"/>
      <c r="C147" s="266"/>
      <c r="D147" s="11" t="s">
        <v>468</v>
      </c>
      <c r="E147" s="12">
        <v>39594</v>
      </c>
      <c r="F147" s="102">
        <v>5.5629999999999999E-2</v>
      </c>
      <c r="G147" s="11">
        <v>2028</v>
      </c>
      <c r="H147" s="192">
        <v>860</v>
      </c>
      <c r="I147" s="192">
        <v>860</v>
      </c>
      <c r="J147" s="195">
        <v>100</v>
      </c>
      <c r="K147" s="103">
        <v>5.6099999999999997E-2</v>
      </c>
      <c r="L147" s="192">
        <v>860</v>
      </c>
      <c r="M147" s="192">
        <f>K147*L147</f>
        <v>48.245999999999995</v>
      </c>
    </row>
    <row r="148" spans="1:14">
      <c r="A148" s="11">
        <f t="shared" si="12"/>
        <v>138</v>
      </c>
      <c r="B148" s="11"/>
      <c r="C148" s="266"/>
      <c r="D148" s="11" t="s">
        <v>469</v>
      </c>
      <c r="E148" s="12">
        <v>39594</v>
      </c>
      <c r="F148" s="102">
        <v>5.5800000000000002E-2</v>
      </c>
      <c r="G148" s="11">
        <v>2038</v>
      </c>
      <c r="H148" s="192">
        <v>1290</v>
      </c>
      <c r="I148" s="192">
        <v>1290</v>
      </c>
      <c r="J148" s="195">
        <v>100</v>
      </c>
      <c r="K148" s="103">
        <v>5.62E-2</v>
      </c>
      <c r="L148" s="192">
        <v>1290</v>
      </c>
      <c r="M148" s="192">
        <f t="shared" si="14"/>
        <v>72.498000000000005</v>
      </c>
      <c r="N148" s="105"/>
    </row>
    <row r="149" spans="1:14">
      <c r="A149" s="11">
        <f t="shared" si="12"/>
        <v>139</v>
      </c>
      <c r="B149" s="11"/>
      <c r="C149" s="266"/>
      <c r="D149" s="11" t="s">
        <v>470</v>
      </c>
      <c r="E149" s="12">
        <v>39878</v>
      </c>
      <c r="F149" s="102">
        <v>6.2149999999999997E-2</v>
      </c>
      <c r="G149" s="11">
        <v>2024</v>
      </c>
      <c r="H149" s="192">
        <v>2900</v>
      </c>
      <c r="I149" s="192">
        <v>2900</v>
      </c>
      <c r="J149" s="195">
        <v>100</v>
      </c>
      <c r="K149" s="103">
        <v>6.2799999999999995E-2</v>
      </c>
      <c r="L149" s="192">
        <v>2900</v>
      </c>
      <c r="M149" s="192">
        <f t="shared" si="14"/>
        <v>182.11999999999998</v>
      </c>
      <c r="N149" s="105"/>
    </row>
    <row r="150" spans="1:14">
      <c r="A150" s="11">
        <f t="shared" si="12"/>
        <v>140</v>
      </c>
      <c r="B150" s="11"/>
      <c r="C150" s="266"/>
      <c r="D150" s="11" t="s">
        <v>471</v>
      </c>
      <c r="E150" s="12">
        <v>39878</v>
      </c>
      <c r="F150" s="102">
        <v>6.5000000000000002E-2</v>
      </c>
      <c r="G150" s="11">
        <v>2039</v>
      </c>
      <c r="H150" s="192">
        <v>3700</v>
      </c>
      <c r="I150" s="192">
        <v>3700</v>
      </c>
      <c r="J150" s="195">
        <v>100</v>
      </c>
      <c r="K150" s="103">
        <v>6.5500000000000003E-2</v>
      </c>
      <c r="L150" s="192">
        <v>3700</v>
      </c>
      <c r="M150" s="192">
        <f t="shared" si="14"/>
        <v>242.35000000000002</v>
      </c>
      <c r="N150" s="105"/>
    </row>
    <row r="151" spans="1:14">
      <c r="A151" s="11">
        <f t="shared" si="12"/>
        <v>141</v>
      </c>
      <c r="B151" s="11"/>
      <c r="C151" s="266"/>
      <c r="D151" s="11" t="s">
        <v>472</v>
      </c>
      <c r="E151" s="12">
        <v>40840</v>
      </c>
      <c r="F151" s="102">
        <v>4.5429999999999998E-2</v>
      </c>
      <c r="G151" s="11">
        <v>2041</v>
      </c>
      <c r="H151" s="192">
        <v>5000</v>
      </c>
      <c r="I151" s="192">
        <v>5000</v>
      </c>
      <c r="J151" s="195">
        <v>100</v>
      </c>
      <c r="K151" s="103">
        <v>4.58E-2</v>
      </c>
      <c r="L151" s="192">
        <v>5000</v>
      </c>
      <c r="M151" s="192">
        <f t="shared" si="14"/>
        <v>229</v>
      </c>
      <c r="N151" s="105"/>
    </row>
    <row r="152" spans="1:14">
      <c r="A152" s="11">
        <f t="shared" si="12"/>
        <v>142</v>
      </c>
      <c r="B152" s="11"/>
      <c r="C152" s="266"/>
      <c r="D152" s="11" t="s">
        <v>473</v>
      </c>
      <c r="E152" s="12">
        <v>41214</v>
      </c>
      <c r="F152" s="102">
        <v>3.857E-2</v>
      </c>
      <c r="G152" s="11">
        <v>2052</v>
      </c>
      <c r="H152" s="192">
        <v>4000</v>
      </c>
      <c r="I152" s="192">
        <v>4000</v>
      </c>
      <c r="J152" s="195">
        <v>100</v>
      </c>
      <c r="K152" s="103">
        <v>3.8899999999999997E-2</v>
      </c>
      <c r="L152" s="192">
        <v>4000</v>
      </c>
      <c r="M152" s="192">
        <f t="shared" si="14"/>
        <v>155.6</v>
      </c>
      <c r="N152" s="105"/>
    </row>
    <row r="153" spans="1:14">
      <c r="A153" s="11">
        <f t="shared" si="12"/>
        <v>143</v>
      </c>
      <c r="B153" s="11"/>
      <c r="C153" s="266"/>
      <c r="D153" s="11" t="s">
        <v>474</v>
      </c>
      <c r="E153" s="12">
        <v>41579</v>
      </c>
      <c r="F153" s="102">
        <v>4.7219999999999998E-2</v>
      </c>
      <c r="G153" s="11">
        <v>2043</v>
      </c>
      <c r="H153" s="192">
        <v>9400</v>
      </c>
      <c r="I153" s="192">
        <v>9400</v>
      </c>
      <c r="J153" s="195">
        <v>100</v>
      </c>
      <c r="K153" s="103">
        <v>4.761E-2</v>
      </c>
      <c r="L153" s="192">
        <v>9400</v>
      </c>
      <c r="M153" s="192">
        <f t="shared" si="14"/>
        <v>447.53399999999999</v>
      </c>
    </row>
    <row r="154" spans="1:14">
      <c r="A154" s="11">
        <f t="shared" si="12"/>
        <v>144</v>
      </c>
      <c r="B154" s="11"/>
      <c r="C154" s="266"/>
      <c r="D154" s="11" t="s">
        <v>475</v>
      </c>
      <c r="E154" s="12">
        <v>41944</v>
      </c>
      <c r="F154" s="102">
        <v>4.0849999999999997E-2</v>
      </c>
      <c r="G154" s="11">
        <v>2044</v>
      </c>
      <c r="H154" s="192">
        <v>7900</v>
      </c>
      <c r="I154" s="192">
        <v>7900</v>
      </c>
      <c r="J154" s="195">
        <v>100</v>
      </c>
      <c r="K154" s="103">
        <v>4.1200000000000001E-2</v>
      </c>
      <c r="L154" s="192">
        <v>7900</v>
      </c>
      <c r="M154" s="192">
        <f t="shared" si="14"/>
        <v>325.48</v>
      </c>
    </row>
    <row r="155" spans="1:14">
      <c r="A155" s="11">
        <f t="shared" si="12"/>
        <v>145</v>
      </c>
      <c r="B155" s="11"/>
      <c r="C155" s="266"/>
      <c r="D155" s="11" t="s">
        <v>476</v>
      </c>
      <c r="E155" s="12">
        <v>42309</v>
      </c>
      <c r="F155" s="102">
        <v>3.9640000000000002E-2</v>
      </c>
      <c r="G155" s="11">
        <v>2045</v>
      </c>
      <c r="H155" s="192">
        <v>750</v>
      </c>
      <c r="I155" s="192">
        <v>750</v>
      </c>
      <c r="J155" s="195">
        <v>100</v>
      </c>
      <c r="K155" s="103">
        <v>4.0009999999999997E-2</v>
      </c>
      <c r="L155" s="192">
        <v>750</v>
      </c>
      <c r="M155" s="192">
        <f t="shared" si="14"/>
        <v>30.007499999999997</v>
      </c>
    </row>
    <row r="156" spans="1:14">
      <c r="A156" s="11">
        <f t="shared" si="12"/>
        <v>146</v>
      </c>
      <c r="B156" s="11"/>
      <c r="C156" s="266"/>
      <c r="D156" s="11" t="s">
        <v>477</v>
      </c>
      <c r="E156" s="12">
        <v>42691</v>
      </c>
      <c r="F156" s="102">
        <v>3.7629999999999997E-2</v>
      </c>
      <c r="G156" s="11">
        <v>2046</v>
      </c>
      <c r="H156" s="192">
        <v>7400</v>
      </c>
      <c r="I156" s="192">
        <v>7400</v>
      </c>
      <c r="J156" s="195">
        <v>100</v>
      </c>
      <c r="K156" s="103">
        <v>3.7990000000000003E-2</v>
      </c>
      <c r="L156" s="192">
        <v>7400</v>
      </c>
      <c r="M156" s="192">
        <f t="shared" si="14"/>
        <v>281.12600000000003</v>
      </c>
    </row>
    <row r="157" spans="1:14">
      <c r="A157" s="11">
        <f t="shared" si="12"/>
        <v>147</v>
      </c>
      <c r="B157" s="11"/>
      <c r="C157" s="266"/>
      <c r="D157" s="11" t="s">
        <v>479</v>
      </c>
      <c r="E157" s="12">
        <v>43061</v>
      </c>
      <c r="F157" s="102">
        <v>3.5479999999999998E-2</v>
      </c>
      <c r="G157" s="11">
        <v>2047</v>
      </c>
      <c r="H157" s="192">
        <v>6400</v>
      </c>
      <c r="I157" s="192">
        <v>6400</v>
      </c>
      <c r="J157" s="195">
        <v>100</v>
      </c>
      <c r="K157" s="103">
        <v>3.5830000000000001E-2</v>
      </c>
      <c r="L157" s="192">
        <v>6400</v>
      </c>
      <c r="M157" s="192">
        <f t="shared" si="14"/>
        <v>229.31200000000001</v>
      </c>
    </row>
    <row r="158" spans="1:14">
      <c r="A158" s="11">
        <f t="shared" si="12"/>
        <v>148</v>
      </c>
      <c r="B158" s="11"/>
      <c r="C158" s="266"/>
      <c r="D158" s="11" t="s">
        <v>480</v>
      </c>
      <c r="E158" s="12">
        <v>43425</v>
      </c>
      <c r="F158" s="102">
        <v>3.95E-2</v>
      </c>
      <c r="G158" s="11">
        <v>2048</v>
      </c>
      <c r="H158" s="192">
        <v>2600</v>
      </c>
      <c r="I158" s="192">
        <v>2600</v>
      </c>
      <c r="J158" s="195">
        <v>100</v>
      </c>
      <c r="K158" s="103">
        <v>3.9879999999999999E-2</v>
      </c>
      <c r="L158" s="192">
        <v>2600</v>
      </c>
      <c r="M158" s="192">
        <f t="shared" si="14"/>
        <v>103.688</v>
      </c>
    </row>
    <row r="159" spans="1:14">
      <c r="A159" s="11">
        <f t="shared" si="12"/>
        <v>149</v>
      </c>
      <c r="B159" s="11"/>
      <c r="C159" s="266"/>
      <c r="D159" s="11" t="s">
        <v>481</v>
      </c>
      <c r="E159" s="12">
        <v>43715</v>
      </c>
      <c r="F159" s="102">
        <v>2.963E-2</v>
      </c>
      <c r="G159" s="11">
        <v>2049</v>
      </c>
      <c r="H159" s="192">
        <v>4600</v>
      </c>
      <c r="I159" s="192">
        <v>4600</v>
      </c>
      <c r="J159" s="195">
        <v>100</v>
      </c>
      <c r="K159" s="103">
        <v>2.9960000000000001E-2</v>
      </c>
      <c r="L159" s="192">
        <v>4600</v>
      </c>
      <c r="M159" s="192">
        <f>K159*L159</f>
        <v>137.816</v>
      </c>
    </row>
    <row r="160" spans="1:14">
      <c r="A160" s="11">
        <f t="shared" si="12"/>
        <v>150</v>
      </c>
      <c r="B160" s="11"/>
      <c r="C160" s="266"/>
      <c r="D160" s="11" t="s">
        <v>482</v>
      </c>
      <c r="E160" s="12">
        <v>44102</v>
      </c>
      <c r="F160" s="102">
        <v>2.6089999999999999E-2</v>
      </c>
      <c r="G160" s="11">
        <v>2050</v>
      </c>
      <c r="H160" s="192">
        <v>4200</v>
      </c>
      <c r="I160" s="192">
        <v>4200</v>
      </c>
      <c r="J160" s="195">
        <v>100</v>
      </c>
      <c r="K160" s="103">
        <v>2.6440000000000002E-2</v>
      </c>
      <c r="L160" s="192">
        <v>4200</v>
      </c>
      <c r="M160" s="192">
        <f t="shared" si="14"/>
        <v>111.048</v>
      </c>
      <c r="N160"/>
    </row>
    <row r="161" spans="1:18">
      <c r="A161" s="11">
        <f t="shared" si="12"/>
        <v>151</v>
      </c>
      <c r="B161" s="11"/>
      <c r="C161" s="266"/>
      <c r="E161" s="12"/>
      <c r="F161" s="102"/>
      <c r="G161" s="11"/>
      <c r="H161" s="158"/>
      <c r="J161" s="195"/>
      <c r="K161" s="103">
        <v>0</v>
      </c>
      <c r="L161" s="193"/>
      <c r="M161" s="192">
        <f t="shared" ref="M161" si="15">K161*L161</f>
        <v>0</v>
      </c>
      <c r="N161"/>
      <c r="P161" s="11"/>
      <c r="Q161" s="192"/>
      <c r="R161" s="192"/>
    </row>
    <row r="162" spans="1:18">
      <c r="A162" s="11">
        <f t="shared" si="12"/>
        <v>152</v>
      </c>
      <c r="B162" s="11"/>
      <c r="C162" s="105" t="s">
        <v>85</v>
      </c>
      <c r="D162" s="11"/>
      <c r="E162" s="12"/>
      <c r="F162" s="103"/>
      <c r="G162" s="12"/>
      <c r="H162" s="192">
        <f>SUM(H144:H161)</f>
        <v>70800</v>
      </c>
      <c r="I162" s="192"/>
      <c r="J162" s="104"/>
      <c r="K162" s="103"/>
      <c r="L162" s="192">
        <f>SUM(L144:L161)</f>
        <v>70800</v>
      </c>
      <c r="M162" s="192">
        <f>SUM(M144:M160)</f>
        <v>3210.5655000000006</v>
      </c>
      <c r="N162" s="103">
        <f>M162/L162</f>
        <v>4.5346970338983057E-2</v>
      </c>
    </row>
    <row r="163" spans="1:18">
      <c r="A163" s="11">
        <f t="shared" si="12"/>
        <v>153</v>
      </c>
      <c r="B163" s="11"/>
      <c r="C163" s="105" t="s">
        <v>478</v>
      </c>
      <c r="D163" s="11"/>
      <c r="E163" s="12"/>
      <c r="F163" s="103"/>
      <c r="G163" s="12"/>
      <c r="H163" s="10"/>
      <c r="I163" s="10"/>
      <c r="J163" s="104"/>
      <c r="K163" s="103"/>
      <c r="L163" s="193">
        <f>L135</f>
        <v>70800</v>
      </c>
      <c r="M163" s="193">
        <f t="shared" ref="M163:N163" si="16">M135</f>
        <v>3210.5655000000006</v>
      </c>
      <c r="N163" s="264">
        <f t="shared" si="16"/>
        <v>4.5346970338983057E-2</v>
      </c>
    </row>
    <row r="164" spans="1:18">
      <c r="A164" s="11">
        <f t="shared" si="12"/>
        <v>154</v>
      </c>
      <c r="B164" s="11"/>
      <c r="C164" s="105" t="s">
        <v>85</v>
      </c>
      <c r="D164" s="11"/>
      <c r="E164" s="12"/>
      <c r="F164" s="103"/>
      <c r="G164" s="12"/>
      <c r="H164" s="10"/>
      <c r="I164" s="10"/>
      <c r="J164" s="104"/>
      <c r="K164" s="103"/>
      <c r="L164" s="193">
        <f>L162+L163</f>
        <v>141600</v>
      </c>
      <c r="M164" s="193">
        <f>M162+M163</f>
        <v>6421.1310000000012</v>
      </c>
      <c r="N164" s="156"/>
    </row>
    <row r="165" spans="1:18" ht="13" thickBot="1">
      <c r="A165" s="11">
        <f t="shared" si="12"/>
        <v>155</v>
      </c>
      <c r="B165" s="11"/>
      <c r="C165" s="105" t="s">
        <v>411</v>
      </c>
      <c r="D165"/>
      <c r="E165"/>
      <c r="F165"/>
      <c r="G165"/>
      <c r="H165" s="10"/>
      <c r="I165" s="10"/>
      <c r="J165" s="104"/>
      <c r="K165" s="103"/>
      <c r="L165" s="194">
        <f>L164/2</f>
        <v>70800</v>
      </c>
      <c r="M165" s="213">
        <f>M164/2</f>
        <v>3210.5655000000006</v>
      </c>
      <c r="N165" s="260">
        <f>M165/L165</f>
        <v>4.5346970338983057E-2</v>
      </c>
    </row>
    <row r="166" spans="1:18" ht="13" thickTop="1">
      <c r="A166" s="11">
        <f t="shared" si="12"/>
        <v>156</v>
      </c>
    </row>
    <row r="167" spans="1:18">
      <c r="A167" s="11">
        <f t="shared" si="12"/>
        <v>157</v>
      </c>
      <c r="B167" s="203" t="s">
        <v>434</v>
      </c>
      <c r="C167" s="105"/>
      <c r="D167" s="105"/>
      <c r="E167" s="105"/>
      <c r="F167" s="105"/>
      <c r="G167" s="105"/>
      <c r="H167" s="105"/>
      <c r="I167" s="105"/>
      <c r="J167" s="261" t="s">
        <v>445</v>
      </c>
      <c r="K167" s="106"/>
      <c r="L167" s="105"/>
      <c r="M167" s="105"/>
      <c r="N167" s="105"/>
    </row>
    <row r="168" spans="1:18">
      <c r="A168" s="11">
        <f t="shared" si="12"/>
        <v>158</v>
      </c>
      <c r="C168" s="101"/>
      <c r="D168" s="101"/>
      <c r="E168" s="101"/>
      <c r="F168" s="101"/>
      <c r="G168" s="101"/>
      <c r="H168" s="101" t="s">
        <v>446</v>
      </c>
      <c r="I168" s="101" t="s">
        <v>156</v>
      </c>
      <c r="J168" s="101" t="s">
        <v>447</v>
      </c>
      <c r="L168" s="101" t="s">
        <v>446</v>
      </c>
      <c r="M168" s="101" t="s">
        <v>156</v>
      </c>
      <c r="N168" s="101" t="s">
        <v>448</v>
      </c>
    </row>
    <row r="169" spans="1:18">
      <c r="A169" s="11">
        <f t="shared" si="12"/>
        <v>159</v>
      </c>
      <c r="B169" s="101"/>
      <c r="C169" s="101"/>
      <c r="D169" s="101"/>
      <c r="E169" s="101" t="s">
        <v>449</v>
      </c>
      <c r="F169" s="101" t="s">
        <v>450</v>
      </c>
      <c r="G169" s="101" t="s">
        <v>451</v>
      </c>
      <c r="H169" s="101" t="s">
        <v>452</v>
      </c>
      <c r="I169" s="101" t="s">
        <v>85</v>
      </c>
      <c r="J169" s="101" t="s">
        <v>446</v>
      </c>
      <c r="K169" s="101" t="s">
        <v>453</v>
      </c>
      <c r="L169" s="101" t="s">
        <v>454</v>
      </c>
      <c r="M169" s="101" t="s">
        <v>455</v>
      </c>
      <c r="N169" s="101" t="s">
        <v>456</v>
      </c>
    </row>
    <row r="170" spans="1:18">
      <c r="A170" s="11">
        <f t="shared" si="12"/>
        <v>160</v>
      </c>
      <c r="B170" s="101"/>
      <c r="C170" s="107" t="s">
        <v>13</v>
      </c>
      <c r="D170" s="107" t="s">
        <v>457</v>
      </c>
      <c r="E170" s="107" t="s">
        <v>458</v>
      </c>
      <c r="F170" s="107" t="s">
        <v>413</v>
      </c>
      <c r="G170" s="107" t="s">
        <v>458</v>
      </c>
      <c r="H170" s="107" t="s">
        <v>459</v>
      </c>
      <c r="I170" s="107" t="s">
        <v>452</v>
      </c>
      <c r="J170" s="107" t="s">
        <v>452</v>
      </c>
      <c r="K170" s="107" t="s">
        <v>460</v>
      </c>
      <c r="L170" s="262">
        <v>44926</v>
      </c>
      <c r="M170" s="107" t="s">
        <v>412</v>
      </c>
      <c r="N170" s="107" t="s">
        <v>460</v>
      </c>
    </row>
    <row r="171" spans="1:18">
      <c r="A171" s="11">
        <f t="shared" si="12"/>
        <v>161</v>
      </c>
      <c r="B171" s="11"/>
      <c r="C171" s="105"/>
      <c r="D171" s="11" t="s">
        <v>462</v>
      </c>
      <c r="E171" s="12">
        <v>33732</v>
      </c>
      <c r="F171" s="102">
        <v>9.4E-2</v>
      </c>
      <c r="G171" s="204">
        <v>2023</v>
      </c>
      <c r="H171" s="192">
        <v>2500</v>
      </c>
      <c r="I171" s="192">
        <v>2500</v>
      </c>
      <c r="J171" s="195">
        <v>100</v>
      </c>
      <c r="K171" s="267">
        <v>9.5100000000000004E-2</v>
      </c>
      <c r="L171" s="192">
        <v>2500</v>
      </c>
      <c r="M171" s="192">
        <f>K171*L171</f>
        <v>237.75</v>
      </c>
      <c r="N171" s="192"/>
      <c r="O171" s="156"/>
    </row>
    <row r="172" spans="1:18">
      <c r="A172" s="11">
        <f t="shared" si="12"/>
        <v>162</v>
      </c>
      <c r="B172" s="11"/>
      <c r="D172" s="11" t="s">
        <v>466</v>
      </c>
      <c r="E172" s="12">
        <v>38677</v>
      </c>
      <c r="F172" s="102">
        <v>5.1830000000000001E-2</v>
      </c>
      <c r="G172" s="11">
        <v>2035</v>
      </c>
      <c r="H172" s="192">
        <v>4300</v>
      </c>
      <c r="I172" s="192">
        <v>4300</v>
      </c>
      <c r="J172" s="195">
        <v>100</v>
      </c>
      <c r="K172" s="103">
        <v>5.2299999999999999E-2</v>
      </c>
      <c r="L172" s="192">
        <v>4300</v>
      </c>
      <c r="M172" s="192">
        <f t="shared" ref="M172:M187" si="17">K172*L172</f>
        <v>224.89</v>
      </c>
      <c r="N172" s="192"/>
      <c r="O172" s="156"/>
    </row>
    <row r="173" spans="1:18">
      <c r="A173" s="11">
        <f t="shared" si="12"/>
        <v>163</v>
      </c>
      <c r="B173" s="11"/>
      <c r="C173" s="105"/>
      <c r="D173" s="11" t="s">
        <v>467</v>
      </c>
      <c r="E173" s="12">
        <v>39041</v>
      </c>
      <c r="F173" s="102">
        <v>5.0319999999999997E-2</v>
      </c>
      <c r="G173" s="11">
        <v>2036</v>
      </c>
      <c r="H173" s="192">
        <v>3000</v>
      </c>
      <c r="I173" s="192">
        <v>3000</v>
      </c>
      <c r="J173" s="195">
        <v>100</v>
      </c>
      <c r="K173" s="103">
        <v>5.0700000000000002E-2</v>
      </c>
      <c r="L173" s="192">
        <v>3000</v>
      </c>
      <c r="M173" s="192">
        <f t="shared" si="17"/>
        <v>152.1</v>
      </c>
      <c r="N173" s="192"/>
      <c r="O173" s="156"/>
    </row>
    <row r="174" spans="1:18">
      <c r="A174" s="11">
        <f t="shared" si="12"/>
        <v>164</v>
      </c>
      <c r="B174" s="11"/>
      <c r="C174" s="105"/>
      <c r="D174" s="11" t="s">
        <v>468</v>
      </c>
      <c r="E174" s="12">
        <v>39594</v>
      </c>
      <c r="F174" s="102">
        <v>5.5629999999999999E-2</v>
      </c>
      <c r="G174" s="11">
        <v>2028</v>
      </c>
      <c r="H174" s="192">
        <v>860</v>
      </c>
      <c r="I174" s="192">
        <v>860</v>
      </c>
      <c r="J174" s="195">
        <v>100</v>
      </c>
      <c r="K174" s="103">
        <v>5.6099999999999997E-2</v>
      </c>
      <c r="L174" s="192">
        <v>860</v>
      </c>
      <c r="M174" s="192">
        <f t="shared" si="17"/>
        <v>48.245999999999995</v>
      </c>
      <c r="N174" s="192"/>
      <c r="O174" s="156"/>
    </row>
    <row r="175" spans="1:18">
      <c r="A175" s="11">
        <f t="shared" si="12"/>
        <v>165</v>
      </c>
      <c r="B175" s="11"/>
      <c r="C175" s="105"/>
      <c r="D175" s="11" t="s">
        <v>469</v>
      </c>
      <c r="E175" s="12">
        <v>39594</v>
      </c>
      <c r="F175" s="102">
        <v>5.5800000000000002E-2</v>
      </c>
      <c r="G175" s="11">
        <v>2038</v>
      </c>
      <c r="H175" s="192">
        <v>1290</v>
      </c>
      <c r="I175" s="192">
        <v>1290</v>
      </c>
      <c r="J175" s="195">
        <v>100</v>
      </c>
      <c r="K175" s="103">
        <v>5.62E-2</v>
      </c>
      <c r="L175" s="192">
        <v>1290</v>
      </c>
      <c r="M175" s="192">
        <f t="shared" si="17"/>
        <v>72.498000000000005</v>
      </c>
      <c r="N175" s="192"/>
      <c r="O175" s="156"/>
    </row>
    <row r="176" spans="1:18">
      <c r="A176" s="11">
        <f t="shared" si="12"/>
        <v>166</v>
      </c>
      <c r="B176" s="11"/>
      <c r="C176" s="105"/>
      <c r="D176" s="11" t="s">
        <v>470</v>
      </c>
      <c r="E176" s="12">
        <v>39878</v>
      </c>
      <c r="F176" s="102">
        <v>6.2149999999999997E-2</v>
      </c>
      <c r="G176" s="11">
        <v>2024</v>
      </c>
      <c r="H176" s="192">
        <v>2900</v>
      </c>
      <c r="I176" s="192">
        <v>2900</v>
      </c>
      <c r="J176" s="195">
        <v>100</v>
      </c>
      <c r="K176" s="103">
        <v>6.2799999999999995E-2</v>
      </c>
      <c r="L176" s="192">
        <v>2900</v>
      </c>
      <c r="M176" s="192">
        <f t="shared" si="17"/>
        <v>182.11999999999998</v>
      </c>
      <c r="N176" s="192"/>
      <c r="O176" s="156"/>
    </row>
    <row r="177" spans="1:25">
      <c r="A177" s="11">
        <f t="shared" si="12"/>
        <v>167</v>
      </c>
      <c r="B177" s="11"/>
      <c r="C177" s="105"/>
      <c r="D177" s="11" t="s">
        <v>471</v>
      </c>
      <c r="E177" s="12">
        <v>39878</v>
      </c>
      <c r="F177" s="102">
        <v>6.5000000000000002E-2</v>
      </c>
      <c r="G177" s="11">
        <v>2039</v>
      </c>
      <c r="H177" s="192">
        <v>3700</v>
      </c>
      <c r="I177" s="192">
        <v>3700</v>
      </c>
      <c r="J177" s="195">
        <v>100</v>
      </c>
      <c r="K177" s="103">
        <v>6.5500000000000003E-2</v>
      </c>
      <c r="L177" s="192">
        <v>3700</v>
      </c>
      <c r="M177" s="192">
        <f t="shared" si="17"/>
        <v>242.35000000000002</v>
      </c>
      <c r="N177" s="192"/>
      <c r="O177" s="156"/>
    </row>
    <row r="178" spans="1:25">
      <c r="A178" s="11">
        <f t="shared" ref="A178:A241" si="18">A177+1</f>
        <v>168</v>
      </c>
      <c r="B178" s="11"/>
      <c r="C178" s="105"/>
      <c r="D178" s="11" t="s">
        <v>472</v>
      </c>
      <c r="E178" s="12">
        <v>40840</v>
      </c>
      <c r="F178" s="102">
        <v>4.5429999999999998E-2</v>
      </c>
      <c r="G178" s="11">
        <v>2041</v>
      </c>
      <c r="H178" s="192">
        <v>5000</v>
      </c>
      <c r="I178" s="192">
        <v>5000</v>
      </c>
      <c r="J178" s="195">
        <v>100</v>
      </c>
      <c r="K178" s="103">
        <v>4.58E-2</v>
      </c>
      <c r="L178" s="192">
        <v>5000</v>
      </c>
      <c r="M178" s="192">
        <f t="shared" si="17"/>
        <v>229</v>
      </c>
      <c r="N178" s="192"/>
      <c r="O178" s="156"/>
    </row>
    <row r="179" spans="1:25">
      <c r="A179" s="11">
        <f t="shared" si="18"/>
        <v>169</v>
      </c>
      <c r="B179" s="11"/>
      <c r="C179" s="105"/>
      <c r="D179" s="11" t="s">
        <v>473</v>
      </c>
      <c r="E179" s="12">
        <v>41214</v>
      </c>
      <c r="F179" s="102">
        <v>3.857E-2</v>
      </c>
      <c r="G179" s="11">
        <v>2052</v>
      </c>
      <c r="H179" s="192">
        <v>4000</v>
      </c>
      <c r="I179" s="192">
        <v>4000</v>
      </c>
      <c r="J179" s="195">
        <v>100</v>
      </c>
      <c r="K179" s="103">
        <v>3.8899999999999997E-2</v>
      </c>
      <c r="L179" s="192">
        <v>4000</v>
      </c>
      <c r="M179" s="192">
        <f t="shared" si="17"/>
        <v>155.6</v>
      </c>
      <c r="N179" s="192"/>
      <c r="O179" s="156"/>
    </row>
    <row r="180" spans="1:25">
      <c r="A180" s="11">
        <f t="shared" si="18"/>
        <v>170</v>
      </c>
      <c r="B180" s="11"/>
      <c r="C180" s="105"/>
      <c r="D180" s="11" t="s">
        <v>474</v>
      </c>
      <c r="E180" s="12">
        <v>41579</v>
      </c>
      <c r="F180" s="102">
        <v>4.7219999999999998E-2</v>
      </c>
      <c r="G180" s="11">
        <v>2043</v>
      </c>
      <c r="H180" s="192">
        <v>9400</v>
      </c>
      <c r="I180" s="192">
        <v>9400</v>
      </c>
      <c r="J180" s="195">
        <v>100</v>
      </c>
      <c r="K180" s="103">
        <v>4.761E-2</v>
      </c>
      <c r="L180" s="192">
        <v>9400</v>
      </c>
      <c r="M180" s="192">
        <f t="shared" si="17"/>
        <v>447.53399999999999</v>
      </c>
      <c r="N180" s="192"/>
      <c r="O180" s="156"/>
    </row>
    <row r="181" spans="1:25">
      <c r="A181" s="11">
        <f t="shared" si="18"/>
        <v>171</v>
      </c>
      <c r="B181" s="11"/>
      <c r="C181" s="105"/>
      <c r="D181" s="11" t="s">
        <v>475</v>
      </c>
      <c r="E181" s="12">
        <v>41944</v>
      </c>
      <c r="F181" s="102">
        <v>4.0849999999999997E-2</v>
      </c>
      <c r="G181" s="11">
        <v>2044</v>
      </c>
      <c r="H181" s="192">
        <v>7900</v>
      </c>
      <c r="I181" s="192">
        <v>7900</v>
      </c>
      <c r="J181" s="195">
        <v>100</v>
      </c>
      <c r="K181" s="103">
        <v>4.1200000000000001E-2</v>
      </c>
      <c r="L181" s="192">
        <v>7900</v>
      </c>
      <c r="M181" s="192">
        <f t="shared" si="17"/>
        <v>325.48</v>
      </c>
      <c r="N181" s="192"/>
      <c r="O181" s="156"/>
    </row>
    <row r="182" spans="1:25">
      <c r="A182" s="11">
        <f t="shared" si="18"/>
        <v>172</v>
      </c>
      <c r="B182" s="11"/>
      <c r="C182" s="105"/>
      <c r="D182" s="11" t="s">
        <v>476</v>
      </c>
      <c r="E182" s="12">
        <v>42309</v>
      </c>
      <c r="F182" s="102">
        <v>3.9640000000000002E-2</v>
      </c>
      <c r="G182" s="11">
        <v>2045</v>
      </c>
      <c r="H182" s="192">
        <v>750</v>
      </c>
      <c r="I182" s="192">
        <v>750</v>
      </c>
      <c r="J182" s="195">
        <v>100</v>
      </c>
      <c r="K182" s="103">
        <v>4.0009999999999997E-2</v>
      </c>
      <c r="L182" s="192">
        <v>750</v>
      </c>
      <c r="M182" s="192">
        <f t="shared" si="17"/>
        <v>30.007499999999997</v>
      </c>
      <c r="N182" s="192"/>
      <c r="O182" s="156"/>
    </row>
    <row r="183" spans="1:25">
      <c r="A183" s="11">
        <f t="shared" si="18"/>
        <v>173</v>
      </c>
      <c r="B183" s="11"/>
      <c r="C183" s="105"/>
      <c r="D183" s="11" t="s">
        <v>477</v>
      </c>
      <c r="E183" s="12">
        <v>42691</v>
      </c>
      <c r="F183" s="102">
        <v>3.7629999999999997E-2</v>
      </c>
      <c r="G183" s="11">
        <v>2046</v>
      </c>
      <c r="H183" s="192">
        <v>7400</v>
      </c>
      <c r="I183" s="192">
        <v>7400</v>
      </c>
      <c r="J183" s="195">
        <v>100</v>
      </c>
      <c r="K183" s="103">
        <v>3.7990000000000003E-2</v>
      </c>
      <c r="L183" s="192">
        <v>7400</v>
      </c>
      <c r="M183" s="192">
        <f t="shared" si="17"/>
        <v>281.12600000000003</v>
      </c>
      <c r="N183" s="192"/>
      <c r="O183" s="156"/>
    </row>
    <row r="184" spans="1:25">
      <c r="A184" s="11">
        <f t="shared" si="18"/>
        <v>174</v>
      </c>
      <c r="B184" s="11"/>
      <c r="C184" s="105"/>
      <c r="D184" s="11" t="s">
        <v>479</v>
      </c>
      <c r="E184" s="12">
        <v>43061</v>
      </c>
      <c r="F184" s="102">
        <v>3.5479999999999998E-2</v>
      </c>
      <c r="G184" s="11">
        <v>2047</v>
      </c>
      <c r="H184" s="192">
        <v>6400</v>
      </c>
      <c r="I184" s="192">
        <v>6400</v>
      </c>
      <c r="J184" s="195">
        <v>100</v>
      </c>
      <c r="K184" s="103">
        <v>3.5830000000000001E-2</v>
      </c>
      <c r="L184" s="192">
        <v>6400</v>
      </c>
      <c r="M184" s="192">
        <f t="shared" si="17"/>
        <v>229.31200000000001</v>
      </c>
      <c r="N184" s="192"/>
      <c r="O184" s="156"/>
    </row>
    <row r="185" spans="1:25">
      <c r="A185" s="11">
        <f t="shared" si="18"/>
        <v>175</v>
      </c>
      <c r="B185" s="11"/>
      <c r="C185" s="105"/>
      <c r="D185" s="11" t="s">
        <v>480</v>
      </c>
      <c r="E185" s="12">
        <v>43425</v>
      </c>
      <c r="F185" s="102">
        <v>3.95E-2</v>
      </c>
      <c r="G185" s="11">
        <v>2048</v>
      </c>
      <c r="H185" s="192">
        <v>2600</v>
      </c>
      <c r="I185" s="192">
        <v>2600</v>
      </c>
      <c r="J185" s="195">
        <v>100</v>
      </c>
      <c r="K185" s="103">
        <v>3.9879999999999999E-2</v>
      </c>
      <c r="L185" s="192">
        <v>2600</v>
      </c>
      <c r="M185" s="192">
        <f t="shared" si="17"/>
        <v>103.688</v>
      </c>
      <c r="N185" s="192"/>
      <c r="O185" s="156"/>
    </row>
    <row r="186" spans="1:25">
      <c r="A186" s="11">
        <f t="shared" si="18"/>
        <v>176</v>
      </c>
      <c r="B186" s="11"/>
      <c r="C186" s="105"/>
      <c r="D186" s="11" t="s">
        <v>481</v>
      </c>
      <c r="E186" s="12">
        <v>43715</v>
      </c>
      <c r="F186" s="102">
        <v>2.963E-2</v>
      </c>
      <c r="G186" s="11">
        <v>2049</v>
      </c>
      <c r="H186" s="192">
        <v>4600</v>
      </c>
      <c r="I186" s="192">
        <v>4600</v>
      </c>
      <c r="J186" s="195">
        <v>100</v>
      </c>
      <c r="K186" s="103">
        <v>2.9960000000000001E-2</v>
      </c>
      <c r="L186" s="192">
        <v>4600</v>
      </c>
      <c r="M186" s="192">
        <f t="shared" si="17"/>
        <v>137.816</v>
      </c>
      <c r="N186" s="192"/>
      <c r="O186" s="156"/>
    </row>
    <row r="187" spans="1:25">
      <c r="A187" s="11">
        <f t="shared" si="18"/>
        <v>177</v>
      </c>
      <c r="B187" s="11"/>
      <c r="C187" s="105"/>
      <c r="D187" s="11" t="s">
        <v>482</v>
      </c>
      <c r="E187" s="12">
        <v>44102</v>
      </c>
      <c r="F187" s="102">
        <v>2.6089999999999999E-2</v>
      </c>
      <c r="G187" s="11">
        <v>2050</v>
      </c>
      <c r="H187" s="192">
        <v>4200</v>
      </c>
      <c r="I187" s="192">
        <v>4200</v>
      </c>
      <c r="J187" s="195">
        <v>100</v>
      </c>
      <c r="K187" s="103">
        <v>2.6440000000000002E-2</v>
      </c>
      <c r="L187" s="192">
        <v>4200</v>
      </c>
      <c r="M187" s="192">
        <f t="shared" si="17"/>
        <v>111.048</v>
      </c>
      <c r="N187" s="192"/>
      <c r="O187" s="156"/>
    </row>
    <row r="188" spans="1:25">
      <c r="A188" s="11">
        <f t="shared" si="18"/>
        <v>178</v>
      </c>
      <c r="B188" s="11"/>
      <c r="C188" s="105"/>
      <c r="D188" s="11" t="s">
        <v>483</v>
      </c>
      <c r="E188" s="12">
        <v>44818</v>
      </c>
      <c r="F188" s="102">
        <v>4.7730000000000002E-2</v>
      </c>
      <c r="G188" s="11">
        <v>2052</v>
      </c>
      <c r="H188" s="192">
        <v>3000</v>
      </c>
      <c r="I188" s="192">
        <v>3000</v>
      </c>
      <c r="J188" s="195">
        <v>100</v>
      </c>
      <c r="K188" s="103">
        <v>4.8248239999999998E-2</v>
      </c>
      <c r="L188" s="192">
        <v>3000</v>
      </c>
      <c r="M188" s="192">
        <f>K188*L188</f>
        <v>144.74472</v>
      </c>
      <c r="N188" s="192"/>
      <c r="O188" s="156"/>
    </row>
    <row r="189" spans="1:25">
      <c r="A189" s="11">
        <f t="shared" si="18"/>
        <v>179</v>
      </c>
      <c r="B189" s="11"/>
      <c r="C189" s="105"/>
      <c r="O189" s="156"/>
      <c r="P189" s="11"/>
      <c r="Q189" s="12"/>
      <c r="R189" s="102"/>
      <c r="S189" s="11"/>
      <c r="T189" s="192"/>
      <c r="U189" s="192"/>
      <c r="V189" s="195"/>
      <c r="W189" s="103"/>
      <c r="X189" s="192"/>
      <c r="Y189" s="192"/>
    </row>
    <row r="190" spans="1:25">
      <c r="A190" s="11">
        <f t="shared" si="18"/>
        <v>180</v>
      </c>
      <c r="B190" s="11"/>
      <c r="C190" s="105"/>
      <c r="D190" s="11"/>
      <c r="E190" s="12"/>
      <c r="F190" s="12"/>
      <c r="G190" s="102"/>
      <c r="H190" s="11"/>
      <c r="I190" s="192"/>
      <c r="J190" s="195"/>
      <c r="K190" s="102"/>
      <c r="L190" s="212"/>
      <c r="M190" s="192"/>
      <c r="N190" s="192"/>
      <c r="O190" s="156"/>
    </row>
    <row r="191" spans="1:25">
      <c r="A191" s="11">
        <f t="shared" si="18"/>
        <v>181</v>
      </c>
      <c r="B191" s="11"/>
      <c r="C191" s="105" t="s">
        <v>85</v>
      </c>
      <c r="D191" s="11"/>
      <c r="E191" s="12"/>
      <c r="F191" s="12"/>
      <c r="G191" s="103"/>
      <c r="H191" s="192">
        <f>SUM(H171:H189)</f>
        <v>73800</v>
      </c>
      <c r="I191" s="192">
        <f>SUM(I171:I190)</f>
        <v>73800</v>
      </c>
      <c r="J191" s="104"/>
      <c r="K191" s="103"/>
      <c r="L191" s="192">
        <f>SUM(L171:L189)</f>
        <v>73800</v>
      </c>
      <c r="M191" s="192">
        <f>SUM(M171:M189)</f>
        <v>3355.3102200000008</v>
      </c>
      <c r="N191" s="103">
        <f>M191/L191</f>
        <v>4.5464908130081312E-2</v>
      </c>
    </row>
    <row r="192" spans="1:25">
      <c r="A192" s="11">
        <f t="shared" si="18"/>
        <v>182</v>
      </c>
      <c r="B192" s="11"/>
      <c r="C192" s="105" t="s">
        <v>478</v>
      </c>
      <c r="D192" s="11"/>
      <c r="E192" s="12"/>
      <c r="F192" s="12"/>
      <c r="G192" s="103"/>
      <c r="H192" s="12"/>
      <c r="I192" s="10"/>
      <c r="J192" s="104"/>
      <c r="K192" s="103"/>
      <c r="L192" s="193">
        <f>L162</f>
        <v>70800</v>
      </c>
      <c r="M192" s="193">
        <f>M162</f>
        <v>3210.5655000000006</v>
      </c>
      <c r="N192" s="268">
        <f>M192/L192</f>
        <v>4.5346970338983057E-2</v>
      </c>
    </row>
    <row r="193" spans="1:26">
      <c r="A193" s="11">
        <f t="shared" si="18"/>
        <v>183</v>
      </c>
      <c r="B193" s="11"/>
      <c r="C193" s="105" t="s">
        <v>85</v>
      </c>
      <c r="D193" s="11"/>
      <c r="E193" s="12"/>
      <c r="F193" s="12"/>
      <c r="G193" s="103"/>
      <c r="H193" s="12"/>
      <c r="I193" s="10"/>
      <c r="J193" s="104"/>
      <c r="K193" s="103"/>
      <c r="L193" s="193">
        <f>L191+L192</f>
        <v>144600</v>
      </c>
      <c r="M193" s="193">
        <f>M191+M192</f>
        <v>6565.8757200000018</v>
      </c>
      <c r="N193" s="156"/>
    </row>
    <row r="194" spans="1:26" ht="13" thickBot="1">
      <c r="A194" s="11">
        <f t="shared" si="18"/>
        <v>184</v>
      </c>
      <c r="B194" s="11"/>
      <c r="C194" s="105" t="s">
        <v>411</v>
      </c>
      <c r="D194" s="11"/>
      <c r="E194" s="12"/>
      <c r="F194" s="12"/>
      <c r="G194" s="103"/>
      <c r="H194" s="12"/>
      <c r="I194" s="10"/>
      <c r="J194" s="104"/>
      <c r="K194" s="103"/>
      <c r="L194" s="194">
        <f>L193/2</f>
        <v>72300</v>
      </c>
      <c r="M194" s="213">
        <f>M193/2</f>
        <v>3282.9378600000009</v>
      </c>
      <c r="N194" s="260">
        <f>M194/L194</f>
        <v>4.5407162655601671E-2</v>
      </c>
    </row>
    <row r="195" spans="1:26" ht="13" thickTop="1">
      <c r="A195" s="11">
        <f t="shared" si="18"/>
        <v>185</v>
      </c>
      <c r="B195" s="11"/>
      <c r="C195" s="105"/>
      <c r="D195" s="11"/>
      <c r="E195" s="12"/>
      <c r="F195" s="12"/>
      <c r="G195" s="103"/>
      <c r="H195" s="12"/>
      <c r="I195" s="10"/>
      <c r="J195" s="104"/>
      <c r="K195" s="103"/>
      <c r="L195" s="10"/>
      <c r="M195" s="10"/>
      <c r="N195" s="10"/>
    </row>
    <row r="196" spans="1:26">
      <c r="A196" s="11">
        <f t="shared" si="18"/>
        <v>186</v>
      </c>
      <c r="B196" s="203" t="s">
        <v>436</v>
      </c>
      <c r="C196" s="105"/>
      <c r="D196" s="105"/>
      <c r="E196" s="105"/>
      <c r="F196" s="105"/>
      <c r="G196" s="105"/>
      <c r="H196" s="105"/>
      <c r="I196" s="105"/>
      <c r="J196" s="261" t="s">
        <v>445</v>
      </c>
      <c r="K196" s="106"/>
      <c r="L196" s="105"/>
      <c r="M196" s="105"/>
      <c r="N196" s="105"/>
    </row>
    <row r="197" spans="1:26">
      <c r="A197" s="11">
        <f t="shared" si="18"/>
        <v>187</v>
      </c>
      <c r="C197" s="101"/>
      <c r="D197" s="101"/>
      <c r="E197" s="101"/>
      <c r="F197" s="101"/>
      <c r="G197" s="101"/>
      <c r="H197" s="101" t="s">
        <v>446</v>
      </c>
      <c r="I197" s="101" t="s">
        <v>156</v>
      </c>
      <c r="J197" s="101" t="s">
        <v>447</v>
      </c>
      <c r="L197" s="101" t="s">
        <v>446</v>
      </c>
      <c r="M197" s="101" t="s">
        <v>156</v>
      </c>
      <c r="N197" s="101" t="s">
        <v>448</v>
      </c>
      <c r="P197" s="511"/>
    </row>
    <row r="198" spans="1:26">
      <c r="A198" s="11">
        <f t="shared" si="18"/>
        <v>188</v>
      </c>
      <c r="B198" s="101"/>
      <c r="C198" s="101"/>
      <c r="D198" s="101"/>
      <c r="E198" s="101" t="s">
        <v>449</v>
      </c>
      <c r="F198" s="101" t="s">
        <v>450</v>
      </c>
      <c r="G198" s="101" t="s">
        <v>451</v>
      </c>
      <c r="H198" s="101" t="s">
        <v>452</v>
      </c>
      <c r="I198" s="101" t="s">
        <v>85</v>
      </c>
      <c r="J198" s="101" t="s">
        <v>446</v>
      </c>
      <c r="K198" s="101" t="s">
        <v>453</v>
      </c>
      <c r="L198" s="101" t="s">
        <v>454</v>
      </c>
      <c r="M198" s="101" t="s">
        <v>455</v>
      </c>
      <c r="N198" s="101" t="s">
        <v>456</v>
      </c>
      <c r="P198" s="101"/>
      <c r="Q198" s="101"/>
      <c r="R198" s="101"/>
      <c r="S198" s="101"/>
      <c r="T198" s="101"/>
      <c r="U198" s="101"/>
      <c r="V198" s="101"/>
      <c r="X198" s="101"/>
      <c r="Y198" s="101"/>
      <c r="Z198" s="101"/>
    </row>
    <row r="199" spans="1:26">
      <c r="A199" s="11">
        <f t="shared" si="18"/>
        <v>189</v>
      </c>
      <c r="B199" s="101"/>
      <c r="C199" s="107" t="s">
        <v>13</v>
      </c>
      <c r="D199" s="107" t="s">
        <v>457</v>
      </c>
      <c r="E199" s="107" t="s">
        <v>458</v>
      </c>
      <c r="F199" s="107" t="s">
        <v>413</v>
      </c>
      <c r="G199" s="107" t="s">
        <v>458</v>
      </c>
      <c r="H199" s="107" t="s">
        <v>459</v>
      </c>
      <c r="I199" s="107" t="s">
        <v>452</v>
      </c>
      <c r="J199" s="107" t="s">
        <v>452</v>
      </c>
      <c r="K199" s="107" t="s">
        <v>460</v>
      </c>
      <c r="L199" s="262">
        <v>45291</v>
      </c>
      <c r="M199" s="107" t="s">
        <v>412</v>
      </c>
      <c r="N199" s="107" t="s">
        <v>460</v>
      </c>
      <c r="P199" s="101"/>
      <c r="Q199" s="101"/>
      <c r="R199" s="101"/>
      <c r="S199" s="101"/>
      <c r="T199" s="101"/>
      <c r="U199" s="101"/>
      <c r="V199" s="101"/>
      <c r="W199" s="101"/>
      <c r="X199" s="101"/>
      <c r="Y199" s="101"/>
      <c r="Z199" s="101"/>
    </row>
    <row r="200" spans="1:26">
      <c r="A200" s="11">
        <f t="shared" si="18"/>
        <v>190</v>
      </c>
      <c r="B200" s="11"/>
      <c r="C200" s="105"/>
      <c r="D200" s="11"/>
      <c r="E200" s="12"/>
      <c r="F200" s="102"/>
      <c r="G200" s="204"/>
      <c r="H200" s="192"/>
      <c r="I200" s="192"/>
      <c r="J200" s="195"/>
      <c r="K200" s="267"/>
      <c r="L200" s="192"/>
      <c r="M200" s="192"/>
      <c r="N200" s="192"/>
      <c r="P200" s="101"/>
      <c r="Q200" s="101"/>
      <c r="R200" s="101"/>
      <c r="S200" s="101"/>
      <c r="T200" s="101"/>
      <c r="U200" s="101"/>
      <c r="V200" s="101"/>
      <c r="W200" s="101"/>
      <c r="X200" s="512"/>
      <c r="Y200" s="101"/>
      <c r="Z200" s="101"/>
    </row>
    <row r="201" spans="1:26">
      <c r="A201" s="11">
        <f t="shared" si="18"/>
        <v>191</v>
      </c>
      <c r="B201" s="11"/>
      <c r="D201" s="11" t="s">
        <v>466</v>
      </c>
      <c r="E201" s="12">
        <v>38677</v>
      </c>
      <c r="F201" s="102">
        <v>5.1830000000000001E-2</v>
      </c>
      <c r="G201" s="11">
        <v>2035</v>
      </c>
      <c r="H201" s="192">
        <v>4300</v>
      </c>
      <c r="I201" s="192">
        <v>4300</v>
      </c>
      <c r="J201" s="195">
        <v>100</v>
      </c>
      <c r="K201" s="103">
        <v>5.2299999999999999E-2</v>
      </c>
      <c r="L201" s="192">
        <v>4300</v>
      </c>
      <c r="M201" s="192">
        <f t="shared" ref="M201:M216" si="19">K201*L201</f>
        <v>224.89</v>
      </c>
      <c r="N201" s="192"/>
      <c r="P201" s="11"/>
      <c r="Q201" s="12"/>
      <c r="R201" s="102"/>
      <c r="S201" s="204"/>
      <c r="T201" s="192"/>
      <c r="U201" s="192"/>
      <c r="V201" s="195"/>
      <c r="W201" s="267"/>
      <c r="X201" s="192"/>
      <c r="Y201" s="192"/>
      <c r="Z201" s="192"/>
    </row>
    <row r="202" spans="1:26">
      <c r="A202" s="11">
        <f t="shared" si="18"/>
        <v>192</v>
      </c>
      <c r="B202" s="11"/>
      <c r="C202" s="105"/>
      <c r="D202" s="11" t="s">
        <v>467</v>
      </c>
      <c r="E202" s="12">
        <v>39041</v>
      </c>
      <c r="F202" s="102">
        <v>5.0319999999999997E-2</v>
      </c>
      <c r="G202" s="11">
        <v>2036</v>
      </c>
      <c r="H202" s="192">
        <v>3000</v>
      </c>
      <c r="I202" s="192">
        <v>3000</v>
      </c>
      <c r="J202" s="195">
        <v>100</v>
      </c>
      <c r="K202" s="103">
        <v>5.0700000000000002E-2</v>
      </c>
      <c r="L202" s="192">
        <v>3000</v>
      </c>
      <c r="M202" s="192">
        <f t="shared" si="19"/>
        <v>152.1</v>
      </c>
      <c r="N202" s="192"/>
    </row>
    <row r="203" spans="1:26">
      <c r="A203" s="11">
        <f t="shared" si="18"/>
        <v>193</v>
      </c>
      <c r="B203" s="11"/>
      <c r="C203" s="105"/>
      <c r="D203" s="11" t="s">
        <v>468</v>
      </c>
      <c r="E203" s="12">
        <v>39594</v>
      </c>
      <c r="F203" s="102">
        <v>5.5629999999999999E-2</v>
      </c>
      <c r="G203" s="11">
        <v>2028</v>
      </c>
      <c r="H203" s="192">
        <v>860</v>
      </c>
      <c r="I203" s="192">
        <v>860</v>
      </c>
      <c r="J203" s="195">
        <v>100</v>
      </c>
      <c r="K203" s="103">
        <v>5.6099999999999997E-2</v>
      </c>
      <c r="L203" s="192">
        <v>860</v>
      </c>
      <c r="M203" s="192">
        <f t="shared" si="19"/>
        <v>48.245999999999995</v>
      </c>
      <c r="N203" s="192"/>
    </row>
    <row r="204" spans="1:26">
      <c r="A204" s="11">
        <f t="shared" si="18"/>
        <v>194</v>
      </c>
      <c r="B204" s="11"/>
      <c r="C204" s="105"/>
      <c r="D204" s="11" t="s">
        <v>469</v>
      </c>
      <c r="E204" s="12">
        <v>39594</v>
      </c>
      <c r="F204" s="102">
        <v>5.5800000000000002E-2</v>
      </c>
      <c r="G204" s="11">
        <v>2038</v>
      </c>
      <c r="H204" s="192">
        <v>1290</v>
      </c>
      <c r="I204" s="192">
        <v>1290</v>
      </c>
      <c r="J204" s="195">
        <v>100</v>
      </c>
      <c r="K204" s="103">
        <v>5.62E-2</v>
      </c>
      <c r="L204" s="192">
        <v>1290</v>
      </c>
      <c r="M204" s="192">
        <f t="shared" si="19"/>
        <v>72.498000000000005</v>
      </c>
      <c r="N204" s="192"/>
    </row>
    <row r="205" spans="1:26">
      <c r="A205" s="11">
        <f t="shared" si="18"/>
        <v>195</v>
      </c>
      <c r="B205" s="11"/>
      <c r="C205" s="105"/>
      <c r="D205" s="11" t="s">
        <v>470</v>
      </c>
      <c r="E205" s="12">
        <v>39878</v>
      </c>
      <c r="F205" s="102">
        <v>6.2149999999999997E-2</v>
      </c>
      <c r="G205" s="11">
        <v>2024</v>
      </c>
      <c r="H205" s="192">
        <v>2900</v>
      </c>
      <c r="I205" s="192">
        <v>2900</v>
      </c>
      <c r="J205" s="195">
        <v>100</v>
      </c>
      <c r="K205" s="103">
        <v>6.2799999999999995E-2</v>
      </c>
      <c r="L205" s="192">
        <v>2900</v>
      </c>
      <c r="M205" s="192">
        <f t="shared" si="19"/>
        <v>182.11999999999998</v>
      </c>
      <c r="N205" s="192"/>
    </row>
    <row r="206" spans="1:26">
      <c r="A206" s="11">
        <f t="shared" si="18"/>
        <v>196</v>
      </c>
      <c r="B206" s="11"/>
      <c r="C206" s="105"/>
      <c r="D206" s="11" t="s">
        <v>471</v>
      </c>
      <c r="E206" s="12">
        <v>39878</v>
      </c>
      <c r="F206" s="102">
        <v>6.5000000000000002E-2</v>
      </c>
      <c r="G206" s="11">
        <v>2039</v>
      </c>
      <c r="H206" s="192">
        <v>3700</v>
      </c>
      <c r="I206" s="192">
        <v>3700</v>
      </c>
      <c r="J206" s="195">
        <v>100</v>
      </c>
      <c r="K206" s="103">
        <v>6.5500000000000003E-2</v>
      </c>
      <c r="L206" s="192">
        <v>3700</v>
      </c>
      <c r="M206" s="192">
        <f t="shared" si="19"/>
        <v>242.35000000000002</v>
      </c>
      <c r="N206" s="192"/>
    </row>
    <row r="207" spans="1:26">
      <c r="A207" s="11">
        <f t="shared" si="18"/>
        <v>197</v>
      </c>
      <c r="B207" s="11"/>
      <c r="C207" s="105"/>
      <c r="D207" s="11" t="s">
        <v>472</v>
      </c>
      <c r="E207" s="12">
        <v>40840</v>
      </c>
      <c r="F207" s="102">
        <v>4.5429999999999998E-2</v>
      </c>
      <c r="G207" s="11">
        <v>2041</v>
      </c>
      <c r="H207" s="192">
        <v>5000</v>
      </c>
      <c r="I207" s="192">
        <v>5000</v>
      </c>
      <c r="J207" s="195">
        <v>100</v>
      </c>
      <c r="K207" s="103">
        <v>4.58E-2</v>
      </c>
      <c r="L207" s="192">
        <v>5000</v>
      </c>
      <c r="M207" s="192">
        <f t="shared" si="19"/>
        <v>229</v>
      </c>
      <c r="N207" s="192"/>
    </row>
    <row r="208" spans="1:26">
      <c r="A208" s="11">
        <f t="shared" si="18"/>
        <v>198</v>
      </c>
      <c r="B208" s="11"/>
      <c r="C208" s="105"/>
      <c r="D208" s="11" t="s">
        <v>473</v>
      </c>
      <c r="E208" s="12">
        <v>41214</v>
      </c>
      <c r="F208" s="102">
        <v>3.857E-2</v>
      </c>
      <c r="G208" s="11">
        <v>2052</v>
      </c>
      <c r="H208" s="192">
        <v>4000</v>
      </c>
      <c r="I208" s="192">
        <v>4000</v>
      </c>
      <c r="J208" s="195">
        <v>100</v>
      </c>
      <c r="K208" s="103">
        <v>3.8899999999999997E-2</v>
      </c>
      <c r="L208" s="192">
        <v>4000</v>
      </c>
      <c r="M208" s="192">
        <f t="shared" si="19"/>
        <v>155.6</v>
      </c>
      <c r="N208" s="192"/>
    </row>
    <row r="209" spans="1:14">
      <c r="A209" s="11">
        <f t="shared" si="18"/>
        <v>199</v>
      </c>
      <c r="B209" s="11"/>
      <c r="C209" s="105"/>
      <c r="D209" s="11" t="s">
        <v>474</v>
      </c>
      <c r="E209" s="12">
        <v>41579</v>
      </c>
      <c r="F209" s="102">
        <v>4.7219999999999998E-2</v>
      </c>
      <c r="G209" s="11">
        <v>2043</v>
      </c>
      <c r="H209" s="192">
        <v>9400</v>
      </c>
      <c r="I209" s="192">
        <v>9400</v>
      </c>
      <c r="J209" s="195">
        <v>100</v>
      </c>
      <c r="K209" s="103">
        <v>4.761E-2</v>
      </c>
      <c r="L209" s="192">
        <v>9400</v>
      </c>
      <c r="M209" s="192">
        <f t="shared" si="19"/>
        <v>447.53399999999999</v>
      </c>
      <c r="N209" s="192"/>
    </row>
    <row r="210" spans="1:14">
      <c r="A210" s="11">
        <f t="shared" si="18"/>
        <v>200</v>
      </c>
      <c r="B210" s="11"/>
      <c r="C210" s="105"/>
      <c r="D210" s="11" t="s">
        <v>475</v>
      </c>
      <c r="E210" s="12">
        <v>41944</v>
      </c>
      <c r="F210" s="102">
        <v>4.0849999999999997E-2</v>
      </c>
      <c r="G210" s="11">
        <v>2044</v>
      </c>
      <c r="H210" s="192">
        <v>7900</v>
      </c>
      <c r="I210" s="192">
        <v>7900</v>
      </c>
      <c r="J210" s="195">
        <v>100</v>
      </c>
      <c r="K210" s="103">
        <v>4.1200000000000001E-2</v>
      </c>
      <c r="L210" s="192">
        <v>7900</v>
      </c>
      <c r="M210" s="192">
        <f t="shared" si="19"/>
        <v>325.48</v>
      </c>
      <c r="N210" s="192"/>
    </row>
    <row r="211" spans="1:14">
      <c r="A211" s="11">
        <f t="shared" si="18"/>
        <v>201</v>
      </c>
      <c r="B211" s="11"/>
      <c r="C211" s="105"/>
      <c r="D211" s="11" t="s">
        <v>476</v>
      </c>
      <c r="E211" s="12">
        <v>42309</v>
      </c>
      <c r="F211" s="102">
        <v>3.9640000000000002E-2</v>
      </c>
      <c r="G211" s="11">
        <v>2045</v>
      </c>
      <c r="H211" s="192">
        <v>750</v>
      </c>
      <c r="I211" s="192">
        <v>750</v>
      </c>
      <c r="J211" s="195">
        <v>100</v>
      </c>
      <c r="K211" s="103">
        <v>4.0009999999999997E-2</v>
      </c>
      <c r="L211" s="192">
        <v>750</v>
      </c>
      <c r="M211" s="192">
        <f t="shared" si="19"/>
        <v>30.007499999999997</v>
      </c>
      <c r="N211" s="192"/>
    </row>
    <row r="212" spans="1:14">
      <c r="A212" s="11">
        <f t="shared" si="18"/>
        <v>202</v>
      </c>
      <c r="B212" s="11"/>
      <c r="C212" s="105"/>
      <c r="D212" s="11" t="s">
        <v>477</v>
      </c>
      <c r="E212" s="12">
        <v>42691</v>
      </c>
      <c r="F212" s="102">
        <v>3.7629999999999997E-2</v>
      </c>
      <c r="G212" s="11">
        <v>2046</v>
      </c>
      <c r="H212" s="192">
        <v>7400</v>
      </c>
      <c r="I212" s="192">
        <v>7400</v>
      </c>
      <c r="J212" s="195">
        <v>100</v>
      </c>
      <c r="K212" s="103">
        <v>3.7990000000000003E-2</v>
      </c>
      <c r="L212" s="192">
        <v>7400</v>
      </c>
      <c r="M212" s="192">
        <f t="shared" si="19"/>
        <v>281.12600000000003</v>
      </c>
      <c r="N212" s="192"/>
    </row>
    <row r="213" spans="1:14">
      <c r="A213" s="11">
        <f t="shared" si="18"/>
        <v>203</v>
      </c>
      <c r="B213" s="11"/>
      <c r="C213" s="105"/>
      <c r="D213" s="11" t="s">
        <v>479</v>
      </c>
      <c r="E213" s="12">
        <v>43061</v>
      </c>
      <c r="F213" s="102">
        <v>3.5479999999999998E-2</v>
      </c>
      <c r="G213" s="11">
        <v>2047</v>
      </c>
      <c r="H213" s="192">
        <v>6400</v>
      </c>
      <c r="I213" s="192">
        <v>6400</v>
      </c>
      <c r="J213" s="195">
        <v>100</v>
      </c>
      <c r="K213" s="103">
        <v>3.5830000000000001E-2</v>
      </c>
      <c r="L213" s="192">
        <v>6400</v>
      </c>
      <c r="M213" s="192">
        <f t="shared" si="19"/>
        <v>229.31200000000001</v>
      </c>
      <c r="N213" s="192"/>
    </row>
    <row r="214" spans="1:14">
      <c r="A214" s="11">
        <f t="shared" si="18"/>
        <v>204</v>
      </c>
      <c r="B214" s="11"/>
      <c r="C214" s="105"/>
      <c r="D214" s="11" t="s">
        <v>480</v>
      </c>
      <c r="E214" s="12">
        <v>43425</v>
      </c>
      <c r="F214" s="102">
        <v>3.95E-2</v>
      </c>
      <c r="G214" s="11">
        <v>2048</v>
      </c>
      <c r="H214" s="192">
        <v>2600</v>
      </c>
      <c r="I214" s="192">
        <v>2600</v>
      </c>
      <c r="J214" s="195">
        <v>100</v>
      </c>
      <c r="K214" s="103">
        <v>3.9879999999999999E-2</v>
      </c>
      <c r="L214" s="192">
        <v>2600</v>
      </c>
      <c r="M214" s="192">
        <f t="shared" si="19"/>
        <v>103.688</v>
      </c>
      <c r="N214" s="192"/>
    </row>
    <row r="215" spans="1:14">
      <c r="A215" s="11">
        <f t="shared" si="18"/>
        <v>205</v>
      </c>
      <c r="B215" s="11"/>
      <c r="C215" s="105"/>
      <c r="D215" s="11" t="s">
        <v>481</v>
      </c>
      <c r="E215" s="12">
        <v>43715</v>
      </c>
      <c r="F215" s="102">
        <v>2.963E-2</v>
      </c>
      <c r="G215" s="11">
        <v>2049</v>
      </c>
      <c r="H215" s="192">
        <v>4600</v>
      </c>
      <c r="I215" s="192">
        <v>4600</v>
      </c>
      <c r="J215" s="195">
        <v>100</v>
      </c>
      <c r="K215" s="103">
        <v>2.9960000000000001E-2</v>
      </c>
      <c r="L215" s="192">
        <v>4600</v>
      </c>
      <c r="M215" s="192">
        <f t="shared" si="19"/>
        <v>137.816</v>
      </c>
      <c r="N215" s="192"/>
    </row>
    <row r="216" spans="1:14">
      <c r="A216" s="11">
        <f t="shared" si="18"/>
        <v>206</v>
      </c>
      <c r="B216" s="11"/>
      <c r="C216" s="105"/>
      <c r="D216" s="11" t="s">
        <v>482</v>
      </c>
      <c r="E216" s="12">
        <v>44102</v>
      </c>
      <c r="F216" s="102">
        <v>2.6089999999999999E-2</v>
      </c>
      <c r="G216" s="11">
        <v>2050</v>
      </c>
      <c r="H216" s="192">
        <v>4200</v>
      </c>
      <c r="I216" s="192">
        <v>4200</v>
      </c>
      <c r="J216" s="195">
        <v>100</v>
      </c>
      <c r="K216" s="103">
        <v>2.6440000000000002E-2</v>
      </c>
      <c r="L216" s="192">
        <v>4200</v>
      </c>
      <c r="M216" s="192">
        <f t="shared" si="19"/>
        <v>111.048</v>
      </c>
      <c r="N216" s="192"/>
    </row>
    <row r="217" spans="1:14">
      <c r="A217" s="11">
        <f t="shared" si="18"/>
        <v>207</v>
      </c>
      <c r="B217" s="11"/>
      <c r="C217" s="105"/>
      <c r="D217" s="11" t="s">
        <v>483</v>
      </c>
      <c r="E217" s="12">
        <v>44818</v>
      </c>
      <c r="F217" s="102">
        <v>4.7730000000000002E-2</v>
      </c>
      <c r="G217" s="11">
        <v>2052</v>
      </c>
      <c r="H217" s="192">
        <v>3000</v>
      </c>
      <c r="I217" s="192">
        <v>3000</v>
      </c>
      <c r="J217" s="195">
        <v>100</v>
      </c>
      <c r="K217" s="103">
        <v>4.8248239999999998E-2</v>
      </c>
      <c r="L217" s="192">
        <f>H217</f>
        <v>3000</v>
      </c>
      <c r="M217" s="192">
        <f>K217*L217</f>
        <v>144.74472</v>
      </c>
      <c r="N217" s="192"/>
    </row>
    <row r="218" spans="1:14">
      <c r="A218" s="11">
        <f t="shared" si="18"/>
        <v>208</v>
      </c>
      <c r="B218" s="11"/>
      <c r="C218" s="105"/>
      <c r="D218" s="11" t="s">
        <v>484</v>
      </c>
      <c r="E218" s="12">
        <v>45054</v>
      </c>
      <c r="F218" s="293">
        <v>4.5600000000000002E-2</v>
      </c>
      <c r="G218" s="294">
        <v>2053</v>
      </c>
      <c r="H218" s="309">
        <v>7000</v>
      </c>
      <c r="I218" s="310">
        <f>H218</f>
        <v>7000</v>
      </c>
      <c r="J218" s="195">
        <v>100</v>
      </c>
      <c r="K218" s="102">
        <f>F218</f>
        <v>4.5600000000000002E-2</v>
      </c>
      <c r="L218" s="212">
        <f>I218</f>
        <v>7000</v>
      </c>
      <c r="M218" s="192">
        <f>K218*L218</f>
        <v>319.2</v>
      </c>
      <c r="N218" s="192"/>
    </row>
    <row r="219" spans="1:14">
      <c r="A219" s="11">
        <f t="shared" si="18"/>
        <v>209</v>
      </c>
      <c r="B219" s="11"/>
      <c r="C219" s="105" t="s">
        <v>85</v>
      </c>
      <c r="D219" s="11"/>
      <c r="E219" s="12"/>
      <c r="F219" s="12"/>
      <c r="G219" s="103"/>
      <c r="H219" s="192">
        <f>SUM(H200:H218)</f>
        <v>78300</v>
      </c>
      <c r="I219" s="192">
        <f>SUM(I200:I218)</f>
        <v>78300</v>
      </c>
      <c r="J219" s="104"/>
      <c r="K219" s="103"/>
      <c r="L219" s="192">
        <f>SUM(L200:L218)</f>
        <v>78300</v>
      </c>
      <c r="M219" s="192">
        <f>SUM(M200:M218)</f>
        <v>3436.7602199999997</v>
      </c>
      <c r="N219" s="103">
        <f>M219/L219</f>
        <v>4.3892212260536391E-2</v>
      </c>
    </row>
    <row r="220" spans="1:14">
      <c r="A220" s="11">
        <f t="shared" si="18"/>
        <v>210</v>
      </c>
      <c r="B220" s="11"/>
      <c r="C220" s="105" t="s">
        <v>478</v>
      </c>
      <c r="D220" s="11"/>
      <c r="E220" s="12"/>
      <c r="F220" s="12"/>
      <c r="G220" s="103"/>
      <c r="H220" s="12"/>
      <c r="I220" s="10"/>
      <c r="J220" s="104"/>
      <c r="K220" s="103"/>
      <c r="L220" s="193">
        <f>L191</f>
        <v>73800</v>
      </c>
      <c r="M220" s="193">
        <f>M191</f>
        <v>3355.3102200000008</v>
      </c>
      <c r="N220" s="268">
        <f>M220/L220</f>
        <v>4.5464908130081312E-2</v>
      </c>
    </row>
    <row r="221" spans="1:14">
      <c r="A221" s="11">
        <f t="shared" si="18"/>
        <v>211</v>
      </c>
      <c r="C221" s="105" t="s">
        <v>85</v>
      </c>
      <c r="D221" s="11"/>
      <c r="E221" s="12"/>
      <c r="F221" s="12"/>
      <c r="G221" s="103"/>
      <c r="H221" s="12"/>
      <c r="I221" s="10"/>
      <c r="J221" s="104"/>
      <c r="K221" s="103"/>
      <c r="L221" s="193">
        <f>L219+L220</f>
        <v>152100</v>
      </c>
      <c r="M221" s="193">
        <f>M219+M220</f>
        <v>6792.0704400000004</v>
      </c>
      <c r="N221" s="156"/>
    </row>
    <row r="222" spans="1:14" ht="13" thickBot="1">
      <c r="A222" s="11">
        <f t="shared" si="18"/>
        <v>212</v>
      </c>
      <c r="C222" s="105" t="s">
        <v>411</v>
      </c>
      <c r="D222" s="11"/>
      <c r="E222" s="12"/>
      <c r="F222" s="12"/>
      <c r="G222" s="103"/>
      <c r="H222" s="12"/>
      <c r="I222" s="10"/>
      <c r="J222" s="104"/>
      <c r="K222" s="103"/>
      <c r="L222" s="194">
        <f>L221/2</f>
        <v>76050</v>
      </c>
      <c r="M222" s="213">
        <f>M221/2</f>
        <v>3396.0352200000002</v>
      </c>
      <c r="N222" s="260">
        <f>M222/L222</f>
        <v>4.4655295463510852E-2</v>
      </c>
    </row>
    <row r="223" spans="1:14" ht="13" thickTop="1">
      <c r="A223" s="11">
        <f t="shared" si="18"/>
        <v>213</v>
      </c>
    </row>
    <row r="224" spans="1:14">
      <c r="A224" s="11">
        <f t="shared" si="18"/>
        <v>214</v>
      </c>
      <c r="B224" s="203" t="s">
        <v>438</v>
      </c>
      <c r="C224" s="105"/>
      <c r="D224" s="105"/>
      <c r="E224" s="105"/>
      <c r="F224" s="105"/>
      <c r="G224" s="105"/>
      <c r="H224" s="105"/>
      <c r="I224" s="105"/>
      <c r="J224" s="261" t="s">
        <v>445</v>
      </c>
      <c r="K224" s="106"/>
      <c r="L224" s="105"/>
      <c r="M224" s="105"/>
      <c r="N224" s="105"/>
    </row>
    <row r="225" spans="1:26">
      <c r="A225" s="11">
        <f t="shared" si="18"/>
        <v>215</v>
      </c>
      <c r="C225" s="101"/>
      <c r="D225" s="101"/>
      <c r="E225" s="101"/>
      <c r="F225" s="101"/>
      <c r="G225" s="101"/>
      <c r="H225" s="101" t="s">
        <v>446</v>
      </c>
      <c r="I225" s="101" t="s">
        <v>156</v>
      </c>
      <c r="J225" s="101" t="s">
        <v>447</v>
      </c>
      <c r="L225" s="101" t="s">
        <v>446</v>
      </c>
      <c r="M225" s="101" t="s">
        <v>156</v>
      </c>
      <c r="N225" s="101" t="s">
        <v>448</v>
      </c>
    </row>
    <row r="226" spans="1:26">
      <c r="A226" s="11">
        <f t="shared" si="18"/>
        <v>216</v>
      </c>
      <c r="B226" s="101"/>
      <c r="C226" s="101"/>
      <c r="D226" s="101"/>
      <c r="E226" s="101" t="s">
        <v>449</v>
      </c>
      <c r="F226" s="101" t="s">
        <v>450</v>
      </c>
      <c r="G226" s="101" t="s">
        <v>451</v>
      </c>
      <c r="H226" s="101" t="s">
        <v>452</v>
      </c>
      <c r="I226" s="101" t="s">
        <v>85</v>
      </c>
      <c r="J226" s="101" t="s">
        <v>446</v>
      </c>
      <c r="K226" s="101" t="s">
        <v>453</v>
      </c>
      <c r="L226" s="101" t="s">
        <v>454</v>
      </c>
      <c r="M226" s="101" t="s">
        <v>455</v>
      </c>
      <c r="N226" s="101" t="s">
        <v>456</v>
      </c>
    </row>
    <row r="227" spans="1:26">
      <c r="A227" s="11">
        <f t="shared" si="18"/>
        <v>217</v>
      </c>
      <c r="B227" s="101"/>
      <c r="C227" s="107" t="s">
        <v>13</v>
      </c>
      <c r="D227" s="107" t="s">
        <v>457</v>
      </c>
      <c r="E227" s="107" t="s">
        <v>458</v>
      </c>
      <c r="F227" s="107" t="s">
        <v>413</v>
      </c>
      <c r="G227" s="107" t="s">
        <v>458</v>
      </c>
      <c r="H227" s="107" t="s">
        <v>459</v>
      </c>
      <c r="I227" s="107" t="s">
        <v>452</v>
      </c>
      <c r="J227" s="107" t="s">
        <v>452</v>
      </c>
      <c r="K227" s="107" t="s">
        <v>460</v>
      </c>
      <c r="L227" s="262">
        <v>44926</v>
      </c>
      <c r="M227" s="107" t="s">
        <v>412</v>
      </c>
      <c r="N227" s="107" t="s">
        <v>460</v>
      </c>
      <c r="P227" s="511"/>
    </row>
    <row r="228" spans="1:26">
      <c r="A228" s="11">
        <f t="shared" si="18"/>
        <v>218</v>
      </c>
      <c r="B228" s="11"/>
      <c r="C228" s="105"/>
      <c r="D228" s="11"/>
      <c r="E228" s="12"/>
      <c r="F228" s="102"/>
      <c r="G228" s="204"/>
      <c r="H228" s="192"/>
      <c r="I228" s="192"/>
      <c r="J228" s="195"/>
      <c r="K228" s="267"/>
      <c r="L228" s="192"/>
      <c r="M228" s="192"/>
      <c r="N228" s="192"/>
      <c r="P228" s="101"/>
      <c r="Q228" s="101"/>
      <c r="R228" s="101"/>
      <c r="S228" s="101"/>
      <c r="T228" s="101"/>
      <c r="U228" s="101"/>
      <c r="V228" s="101"/>
      <c r="X228" s="101"/>
      <c r="Y228" s="101"/>
      <c r="Z228" s="101"/>
    </row>
    <row r="229" spans="1:26">
      <c r="A229" s="11">
        <f t="shared" si="18"/>
        <v>219</v>
      </c>
      <c r="B229" s="11"/>
      <c r="D229" s="11" t="s">
        <v>466</v>
      </c>
      <c r="E229" s="12">
        <v>38677</v>
      </c>
      <c r="F229" s="102">
        <v>5.1830000000000001E-2</v>
      </c>
      <c r="G229" s="11">
        <v>2035</v>
      </c>
      <c r="H229" s="192">
        <v>4300</v>
      </c>
      <c r="I229" s="192">
        <v>4300</v>
      </c>
      <c r="J229" s="195">
        <v>100</v>
      </c>
      <c r="K229" s="103">
        <v>5.2299999999999999E-2</v>
      </c>
      <c r="L229" s="192">
        <v>4300</v>
      </c>
      <c r="M229" s="192">
        <f>K229*L229</f>
        <v>224.89</v>
      </c>
      <c r="N229" s="192"/>
      <c r="P229" s="101"/>
      <c r="Q229" s="101"/>
      <c r="R229" s="101"/>
      <c r="S229" s="101"/>
      <c r="T229" s="101"/>
      <c r="U229" s="101"/>
      <c r="V229" s="101"/>
      <c r="W229" s="101"/>
      <c r="X229" s="101"/>
      <c r="Y229" s="101"/>
      <c r="Z229" s="101"/>
    </row>
    <row r="230" spans="1:26">
      <c r="A230" s="11">
        <f t="shared" si="18"/>
        <v>220</v>
      </c>
      <c r="B230" s="11"/>
      <c r="C230" s="105"/>
      <c r="D230" s="11" t="s">
        <v>467</v>
      </c>
      <c r="E230" s="12">
        <v>39041</v>
      </c>
      <c r="F230" s="102">
        <v>5.0319999999999997E-2</v>
      </c>
      <c r="G230" s="11">
        <v>2036</v>
      </c>
      <c r="H230" s="192">
        <v>3000</v>
      </c>
      <c r="I230" s="192">
        <v>3000</v>
      </c>
      <c r="J230" s="195">
        <v>100</v>
      </c>
      <c r="K230" s="103">
        <v>5.0700000000000002E-2</v>
      </c>
      <c r="L230" s="192">
        <v>3000</v>
      </c>
      <c r="M230" s="192">
        <f t="shared" ref="M230:M232" si="20">K230*L230</f>
        <v>152.1</v>
      </c>
      <c r="N230" s="192"/>
      <c r="P230" s="101"/>
      <c r="Q230" s="101"/>
      <c r="R230" s="101"/>
      <c r="S230" s="101"/>
      <c r="T230" s="101"/>
      <c r="U230" s="101"/>
      <c r="V230" s="101"/>
      <c r="W230" s="101"/>
      <c r="X230" s="512"/>
      <c r="Y230" s="101"/>
      <c r="Z230" s="101"/>
    </row>
    <row r="231" spans="1:26">
      <c r="A231" s="11">
        <f t="shared" si="18"/>
        <v>221</v>
      </c>
      <c r="B231" s="11"/>
      <c r="C231" s="105"/>
      <c r="D231" s="11" t="s">
        <v>468</v>
      </c>
      <c r="E231" s="12">
        <v>39594</v>
      </c>
      <c r="F231" s="102">
        <v>5.5629999999999999E-2</v>
      </c>
      <c r="G231" s="11">
        <v>2028</v>
      </c>
      <c r="H231" s="192">
        <v>860</v>
      </c>
      <c r="I231" s="192">
        <v>860</v>
      </c>
      <c r="J231" s="195">
        <v>100</v>
      </c>
      <c r="K231" s="103">
        <v>5.6099999999999997E-2</v>
      </c>
      <c r="L231" s="192">
        <v>860</v>
      </c>
      <c r="M231" s="192">
        <f t="shared" si="20"/>
        <v>48.245999999999995</v>
      </c>
      <c r="N231" s="192"/>
      <c r="P231" s="11"/>
      <c r="Q231" s="12"/>
      <c r="R231" s="102"/>
      <c r="S231" s="11"/>
      <c r="T231" s="192"/>
      <c r="U231" s="192"/>
      <c r="V231" s="195"/>
      <c r="W231" s="103"/>
      <c r="X231" s="192"/>
      <c r="Y231" s="192"/>
      <c r="Z231" s="192"/>
    </row>
    <row r="232" spans="1:26">
      <c r="A232" s="11">
        <f t="shared" si="18"/>
        <v>222</v>
      </c>
      <c r="B232" s="11"/>
      <c r="C232" s="105"/>
      <c r="D232" s="11" t="s">
        <v>469</v>
      </c>
      <c r="E232" s="12">
        <v>39594</v>
      </c>
      <c r="F232" s="102">
        <v>5.5800000000000002E-2</v>
      </c>
      <c r="G232" s="11">
        <v>2038</v>
      </c>
      <c r="H232" s="192">
        <v>1290</v>
      </c>
      <c r="I232" s="192">
        <v>1290</v>
      </c>
      <c r="J232" s="195">
        <v>100</v>
      </c>
      <c r="K232" s="103">
        <v>5.62E-2</v>
      </c>
      <c r="L232" s="192">
        <v>1290</v>
      </c>
      <c r="M232" s="192">
        <f t="shared" si="20"/>
        <v>72.498000000000005</v>
      </c>
      <c r="N232" s="192"/>
    </row>
    <row r="233" spans="1:26">
      <c r="A233" s="11">
        <f t="shared" si="18"/>
        <v>223</v>
      </c>
      <c r="B233" s="11"/>
      <c r="C233" s="105"/>
      <c r="D233" s="11" t="s">
        <v>471</v>
      </c>
      <c r="E233" s="12">
        <v>39878</v>
      </c>
      <c r="F233" s="102">
        <v>6.5000000000000002E-2</v>
      </c>
      <c r="G233" s="11">
        <v>2039</v>
      </c>
      <c r="H233" s="192">
        <v>3700</v>
      </c>
      <c r="I233" s="192">
        <v>3700</v>
      </c>
      <c r="J233" s="195">
        <v>100</v>
      </c>
      <c r="K233" s="103">
        <v>6.5500000000000003E-2</v>
      </c>
      <c r="L233" s="192">
        <v>3700</v>
      </c>
      <c r="M233" s="192">
        <f t="shared" ref="M233:M246" si="21">K233*L233</f>
        <v>242.35000000000002</v>
      </c>
      <c r="N233" s="192"/>
    </row>
    <row r="234" spans="1:26">
      <c r="A234" s="11">
        <f t="shared" si="18"/>
        <v>224</v>
      </c>
      <c r="B234" s="11"/>
      <c r="C234" s="105"/>
      <c r="D234" s="11" t="s">
        <v>472</v>
      </c>
      <c r="E234" s="12">
        <v>40840</v>
      </c>
      <c r="F234" s="102">
        <v>4.5429999999999998E-2</v>
      </c>
      <c r="G234" s="11">
        <v>2041</v>
      </c>
      <c r="H234" s="192">
        <v>5000</v>
      </c>
      <c r="I234" s="192">
        <v>5000</v>
      </c>
      <c r="J234" s="195">
        <v>100</v>
      </c>
      <c r="K234" s="103">
        <v>4.58E-2</v>
      </c>
      <c r="L234" s="192">
        <v>5000</v>
      </c>
      <c r="M234" s="192">
        <f t="shared" si="21"/>
        <v>229</v>
      </c>
      <c r="N234" s="192"/>
    </row>
    <row r="235" spans="1:26">
      <c r="A235" s="11">
        <f t="shared" si="18"/>
        <v>225</v>
      </c>
      <c r="B235" s="11"/>
      <c r="C235" s="105"/>
      <c r="D235" s="11" t="s">
        <v>473</v>
      </c>
      <c r="E235" s="12">
        <v>41214</v>
      </c>
      <c r="F235" s="102">
        <v>3.857E-2</v>
      </c>
      <c r="G235" s="11">
        <v>2052</v>
      </c>
      <c r="H235" s="192">
        <v>4000</v>
      </c>
      <c r="I235" s="192">
        <v>4000</v>
      </c>
      <c r="J235" s="195">
        <v>100</v>
      </c>
      <c r="K235" s="103">
        <v>3.8899999999999997E-2</v>
      </c>
      <c r="L235" s="192">
        <v>4000</v>
      </c>
      <c r="M235" s="192">
        <f t="shared" si="21"/>
        <v>155.6</v>
      </c>
      <c r="N235" s="192"/>
    </row>
    <row r="236" spans="1:26">
      <c r="A236" s="11">
        <f t="shared" si="18"/>
        <v>226</v>
      </c>
      <c r="B236" s="11"/>
      <c r="C236" s="105"/>
      <c r="D236" s="11" t="s">
        <v>474</v>
      </c>
      <c r="E236" s="12">
        <v>41579</v>
      </c>
      <c r="F236" s="102">
        <v>4.7219999999999998E-2</v>
      </c>
      <c r="G236" s="11">
        <v>2043</v>
      </c>
      <c r="H236" s="192">
        <v>9400</v>
      </c>
      <c r="I236" s="192">
        <v>9400</v>
      </c>
      <c r="J236" s="195">
        <v>100</v>
      </c>
      <c r="K236" s="103">
        <v>4.761E-2</v>
      </c>
      <c r="L236" s="192">
        <v>9400</v>
      </c>
      <c r="M236" s="192">
        <f>K236*L236</f>
        <v>447.53399999999999</v>
      </c>
      <c r="N236" s="192"/>
    </row>
    <row r="237" spans="1:26">
      <c r="A237" s="11">
        <f t="shared" si="18"/>
        <v>227</v>
      </c>
      <c r="B237" s="11"/>
      <c r="C237" s="105"/>
      <c r="D237" s="11" t="s">
        <v>475</v>
      </c>
      <c r="E237" s="12">
        <v>41944</v>
      </c>
      <c r="F237" s="102">
        <v>4.0849999999999997E-2</v>
      </c>
      <c r="G237" s="11">
        <v>2044</v>
      </c>
      <c r="H237" s="192">
        <v>7900</v>
      </c>
      <c r="I237" s="192">
        <v>7900</v>
      </c>
      <c r="J237" s="195">
        <v>100</v>
      </c>
      <c r="K237" s="103">
        <v>4.1200000000000001E-2</v>
      </c>
      <c r="L237" s="192">
        <v>7900</v>
      </c>
      <c r="M237" s="192">
        <f t="shared" si="21"/>
        <v>325.48</v>
      </c>
      <c r="N237" s="192"/>
    </row>
    <row r="238" spans="1:26">
      <c r="A238" s="11">
        <f t="shared" si="18"/>
        <v>228</v>
      </c>
      <c r="B238" s="11"/>
      <c r="C238" s="105"/>
      <c r="D238" s="11" t="s">
        <v>476</v>
      </c>
      <c r="E238" s="12">
        <v>42309</v>
      </c>
      <c r="F238" s="102">
        <v>3.9640000000000002E-2</v>
      </c>
      <c r="G238" s="11">
        <v>2045</v>
      </c>
      <c r="H238" s="192">
        <v>750</v>
      </c>
      <c r="I238" s="192">
        <v>750</v>
      </c>
      <c r="J238" s="195">
        <v>100</v>
      </c>
      <c r="K238" s="103">
        <v>4.0009999999999997E-2</v>
      </c>
      <c r="L238" s="192">
        <v>750</v>
      </c>
      <c r="M238" s="192">
        <f t="shared" si="21"/>
        <v>30.007499999999997</v>
      </c>
      <c r="N238" s="192"/>
    </row>
    <row r="239" spans="1:26">
      <c r="A239" s="11">
        <f t="shared" si="18"/>
        <v>229</v>
      </c>
      <c r="B239" s="11"/>
      <c r="C239" s="105"/>
      <c r="D239" s="11" t="s">
        <v>477</v>
      </c>
      <c r="E239" s="12">
        <v>42691</v>
      </c>
      <c r="F239" s="102">
        <v>3.7629999999999997E-2</v>
      </c>
      <c r="G239" s="11">
        <v>2046</v>
      </c>
      <c r="H239" s="192">
        <v>7400</v>
      </c>
      <c r="I239" s="192">
        <v>7400</v>
      </c>
      <c r="J239" s="195">
        <v>100</v>
      </c>
      <c r="K239" s="103">
        <v>3.7990000000000003E-2</v>
      </c>
      <c r="L239" s="192">
        <v>7400</v>
      </c>
      <c r="M239" s="192">
        <f t="shared" si="21"/>
        <v>281.12600000000003</v>
      </c>
      <c r="N239" s="192"/>
    </row>
    <row r="240" spans="1:26">
      <c r="A240" s="11">
        <f t="shared" si="18"/>
        <v>230</v>
      </c>
      <c r="B240" s="11"/>
      <c r="C240" s="105"/>
      <c r="D240" s="11" t="s">
        <v>479</v>
      </c>
      <c r="E240" s="12">
        <v>43061</v>
      </c>
      <c r="F240" s="102">
        <v>3.5479999999999998E-2</v>
      </c>
      <c r="G240" s="11">
        <v>2047</v>
      </c>
      <c r="H240" s="192">
        <v>6400</v>
      </c>
      <c r="I240" s="192">
        <v>6400</v>
      </c>
      <c r="J240" s="195">
        <v>100</v>
      </c>
      <c r="K240" s="103">
        <v>3.5830000000000001E-2</v>
      </c>
      <c r="L240" s="192">
        <v>6400</v>
      </c>
      <c r="M240" s="192">
        <f t="shared" si="21"/>
        <v>229.31200000000001</v>
      </c>
      <c r="N240" s="192"/>
    </row>
    <row r="241" spans="1:14">
      <c r="A241" s="11">
        <f t="shared" si="18"/>
        <v>231</v>
      </c>
      <c r="B241" s="11"/>
      <c r="C241" s="105"/>
      <c r="D241" s="11" t="s">
        <v>480</v>
      </c>
      <c r="E241" s="12">
        <v>43425</v>
      </c>
      <c r="F241" s="102">
        <v>3.95E-2</v>
      </c>
      <c r="G241" s="11">
        <v>2048</v>
      </c>
      <c r="H241" s="192">
        <v>2600</v>
      </c>
      <c r="I241" s="192">
        <v>2600</v>
      </c>
      <c r="J241" s="195">
        <v>100</v>
      </c>
      <c r="K241" s="103">
        <v>3.9879999999999999E-2</v>
      </c>
      <c r="L241" s="192">
        <v>2600</v>
      </c>
      <c r="M241" s="192">
        <f t="shared" si="21"/>
        <v>103.688</v>
      </c>
      <c r="N241" s="192"/>
    </row>
    <row r="242" spans="1:14">
      <c r="A242" s="11">
        <f t="shared" ref="A242:A304" si="22">A241+1</f>
        <v>232</v>
      </c>
      <c r="B242" s="11"/>
      <c r="C242" s="105"/>
      <c r="D242" s="11" t="s">
        <v>481</v>
      </c>
      <c r="E242" s="12">
        <v>43715</v>
      </c>
      <c r="F242" s="102">
        <v>2.963E-2</v>
      </c>
      <c r="G242" s="11">
        <v>2049</v>
      </c>
      <c r="H242" s="192">
        <v>4600</v>
      </c>
      <c r="I242" s="192">
        <v>4600</v>
      </c>
      <c r="J242" s="195">
        <v>100</v>
      </c>
      <c r="K242" s="103">
        <v>2.9960000000000001E-2</v>
      </c>
      <c r="L242" s="192">
        <v>4600</v>
      </c>
      <c r="M242" s="192">
        <f t="shared" si="21"/>
        <v>137.816</v>
      </c>
      <c r="N242" s="192"/>
    </row>
    <row r="243" spans="1:14">
      <c r="A243" s="11">
        <f t="shared" si="22"/>
        <v>233</v>
      </c>
      <c r="B243" s="11"/>
      <c r="C243" s="105"/>
      <c r="D243" s="11" t="s">
        <v>482</v>
      </c>
      <c r="E243" s="12">
        <v>44102</v>
      </c>
      <c r="F243" s="102">
        <v>2.6089999999999999E-2</v>
      </c>
      <c r="G243" s="11">
        <v>2050</v>
      </c>
      <c r="H243" s="192">
        <v>4200</v>
      </c>
      <c r="I243" s="192">
        <v>4200</v>
      </c>
      <c r="J243" s="195">
        <v>100</v>
      </c>
      <c r="K243" s="103">
        <v>2.6440000000000002E-2</v>
      </c>
      <c r="L243" s="192">
        <v>4200</v>
      </c>
      <c r="M243" s="192">
        <f t="shared" si="21"/>
        <v>111.048</v>
      </c>
      <c r="N243" s="192"/>
    </row>
    <row r="244" spans="1:14">
      <c r="A244" s="11">
        <f t="shared" si="22"/>
        <v>234</v>
      </c>
      <c r="B244" s="11"/>
      <c r="C244" s="105"/>
      <c r="D244" s="11" t="s">
        <v>483</v>
      </c>
      <c r="E244" s="12">
        <v>44818</v>
      </c>
      <c r="F244" s="102">
        <v>4.7730000000000002E-2</v>
      </c>
      <c r="G244" s="11">
        <v>2052</v>
      </c>
      <c r="H244" s="192">
        <v>3000</v>
      </c>
      <c r="I244" s="192">
        <v>3000</v>
      </c>
      <c r="J244" s="195">
        <v>100</v>
      </c>
      <c r="K244" s="103">
        <v>4.8248239999999998E-2</v>
      </c>
      <c r="L244" s="192">
        <f>H244</f>
        <v>3000</v>
      </c>
      <c r="M244" s="192">
        <f t="shared" si="21"/>
        <v>144.74472</v>
      </c>
      <c r="N244" s="192"/>
    </row>
    <row r="245" spans="1:14">
      <c r="A245" s="11">
        <f t="shared" si="22"/>
        <v>235</v>
      </c>
      <c r="B245" s="11"/>
      <c r="C245" s="105"/>
      <c r="D245" s="11" t="s">
        <v>484</v>
      </c>
      <c r="E245" s="12">
        <v>45054</v>
      </c>
      <c r="F245" s="293">
        <v>4.5600000000000002E-2</v>
      </c>
      <c r="G245" s="294">
        <v>2053</v>
      </c>
      <c r="H245" s="295">
        <f>H218</f>
        <v>7000</v>
      </c>
      <c r="I245" s="192">
        <f>H245</f>
        <v>7000</v>
      </c>
      <c r="J245" s="195">
        <v>100</v>
      </c>
      <c r="K245" s="102">
        <f>F245</f>
        <v>4.5600000000000002E-2</v>
      </c>
      <c r="L245" s="212">
        <f>I245</f>
        <v>7000</v>
      </c>
      <c r="M245" s="192">
        <f t="shared" si="21"/>
        <v>319.2</v>
      </c>
      <c r="N245" s="192"/>
    </row>
    <row r="246" spans="1:14">
      <c r="A246" s="11">
        <f t="shared" si="22"/>
        <v>236</v>
      </c>
      <c r="B246" s="11"/>
      <c r="C246" s="105"/>
      <c r="D246" s="11" t="s">
        <v>485</v>
      </c>
      <c r="E246" s="12">
        <v>45357</v>
      </c>
      <c r="F246" s="293">
        <v>4.5600000000000002E-2</v>
      </c>
      <c r="G246" s="294">
        <v>2054</v>
      </c>
      <c r="H246" s="309">
        <v>9000</v>
      </c>
      <c r="I246" s="193">
        <f>H246</f>
        <v>9000</v>
      </c>
      <c r="J246" s="195">
        <v>100</v>
      </c>
      <c r="K246" s="102">
        <f>F246</f>
        <v>4.5600000000000002E-2</v>
      </c>
      <c r="L246" s="212">
        <f>I246</f>
        <v>9000</v>
      </c>
      <c r="M246" s="192">
        <f t="shared" si="21"/>
        <v>410.40000000000003</v>
      </c>
      <c r="N246" s="192"/>
    </row>
    <row r="247" spans="1:14">
      <c r="A247" s="11">
        <f t="shared" si="22"/>
        <v>237</v>
      </c>
      <c r="B247" s="11"/>
      <c r="C247" s="105"/>
      <c r="D247" s="11"/>
      <c r="E247" s="12"/>
      <c r="F247" s="12"/>
      <c r="G247" s="102"/>
      <c r="H247" s="11"/>
      <c r="I247" s="192"/>
      <c r="J247" s="195"/>
      <c r="K247" s="102"/>
      <c r="L247" s="212"/>
      <c r="M247" s="192"/>
      <c r="N247" s="192"/>
    </row>
    <row r="248" spans="1:14">
      <c r="A248" s="11">
        <f t="shared" si="22"/>
        <v>238</v>
      </c>
      <c r="B248" s="11"/>
      <c r="C248" s="105" t="s">
        <v>85</v>
      </c>
      <c r="D248" s="11"/>
      <c r="E248" s="12"/>
      <c r="F248" s="12"/>
      <c r="G248" s="103"/>
      <c r="H248" s="192">
        <f>SUM(H229:H246)</f>
        <v>84400</v>
      </c>
      <c r="I248" s="192">
        <f>SUM(I229:I246)</f>
        <v>84400</v>
      </c>
      <c r="J248" s="104"/>
      <c r="K248" s="103"/>
      <c r="L248" s="192">
        <f>SUM(L229:L246)</f>
        <v>84400</v>
      </c>
      <c r="M248" s="192">
        <f>SUM(M229:M246)</f>
        <v>3665.0402199999999</v>
      </c>
      <c r="N248" s="103">
        <f>M248/L248</f>
        <v>4.34246471563981E-2</v>
      </c>
    </row>
    <row r="249" spans="1:14">
      <c r="A249" s="11">
        <f t="shared" si="22"/>
        <v>239</v>
      </c>
      <c r="B249" s="11"/>
      <c r="C249" s="105" t="s">
        <v>478</v>
      </c>
      <c r="D249" s="11"/>
      <c r="E249" s="12"/>
      <c r="F249" s="12"/>
      <c r="G249" s="103"/>
      <c r="H249" s="12"/>
      <c r="I249" s="10"/>
      <c r="J249" s="104"/>
      <c r="K249" s="103"/>
      <c r="L249" s="193">
        <f>L219</f>
        <v>78300</v>
      </c>
      <c r="M249" s="193">
        <f>M219</f>
        <v>3436.7602199999997</v>
      </c>
      <c r="N249" s="268">
        <f>M249/L249</f>
        <v>4.3892212260536391E-2</v>
      </c>
    </row>
    <row r="250" spans="1:14">
      <c r="A250" s="11">
        <f t="shared" si="22"/>
        <v>240</v>
      </c>
      <c r="C250" s="105" t="s">
        <v>85</v>
      </c>
      <c r="D250" s="11"/>
      <c r="E250" s="12"/>
      <c r="F250" s="12"/>
      <c r="G250" s="103"/>
      <c r="H250" s="12"/>
      <c r="I250" s="10"/>
      <c r="J250" s="104"/>
      <c r="K250" s="103"/>
      <c r="L250" s="193">
        <f>L248+L249</f>
        <v>162700</v>
      </c>
      <c r="M250" s="193">
        <f>M248+M249</f>
        <v>7101.8004399999991</v>
      </c>
      <c r="N250" s="156"/>
    </row>
    <row r="251" spans="1:14" ht="13" thickBot="1">
      <c r="A251" s="11">
        <f t="shared" si="22"/>
        <v>241</v>
      </c>
      <c r="C251" s="105" t="s">
        <v>411</v>
      </c>
      <c r="D251" s="11"/>
      <c r="E251" s="12"/>
      <c r="F251" s="12"/>
      <c r="G251" s="103"/>
      <c r="H251" s="12"/>
      <c r="I251" s="10"/>
      <c r="J251" s="104"/>
      <c r="K251" s="103"/>
      <c r="L251" s="194">
        <f>L250/2</f>
        <v>81350</v>
      </c>
      <c r="M251" s="213">
        <f>M250/2</f>
        <v>3550.9002199999995</v>
      </c>
      <c r="N251" s="260">
        <f>M251/L251</f>
        <v>4.3649664658881371E-2</v>
      </c>
    </row>
    <row r="252" spans="1:14" ht="13" thickTop="1">
      <c r="A252" s="11">
        <f t="shared" si="22"/>
        <v>242</v>
      </c>
    </row>
    <row r="253" spans="1:14">
      <c r="A253" s="11">
        <f t="shared" si="22"/>
        <v>243</v>
      </c>
      <c r="B253" s="203" t="s">
        <v>440</v>
      </c>
      <c r="C253" s="105"/>
      <c r="D253" s="105"/>
      <c r="E253" s="105"/>
      <c r="F253" s="105"/>
      <c r="G253" s="105"/>
      <c r="H253" s="105"/>
      <c r="I253" s="261" t="s">
        <v>445</v>
      </c>
      <c r="J253" s="106"/>
      <c r="K253" s="105"/>
      <c r="L253" s="105"/>
      <c r="M253" s="105"/>
    </row>
    <row r="254" spans="1:14">
      <c r="A254" s="11">
        <f t="shared" si="22"/>
        <v>244</v>
      </c>
      <c r="C254" s="101"/>
      <c r="D254" s="101"/>
      <c r="E254" s="101"/>
      <c r="F254" s="101"/>
      <c r="G254" s="101"/>
      <c r="H254" s="101" t="s">
        <v>446</v>
      </c>
      <c r="I254" s="101" t="s">
        <v>156</v>
      </c>
      <c r="J254" s="101" t="s">
        <v>447</v>
      </c>
      <c r="L254" s="101" t="s">
        <v>446</v>
      </c>
      <c r="M254" s="101" t="s">
        <v>156</v>
      </c>
      <c r="N254" s="101" t="s">
        <v>448</v>
      </c>
    </row>
    <row r="255" spans="1:14">
      <c r="A255" s="11">
        <f t="shared" si="22"/>
        <v>245</v>
      </c>
      <c r="B255" s="101"/>
      <c r="C255" s="101"/>
      <c r="D255" s="101"/>
      <c r="E255" s="101" t="s">
        <v>449</v>
      </c>
      <c r="F255" s="101" t="s">
        <v>450</v>
      </c>
      <c r="G255" s="101" t="s">
        <v>451</v>
      </c>
      <c r="H255" s="101" t="s">
        <v>452</v>
      </c>
      <c r="I255" s="101" t="s">
        <v>85</v>
      </c>
      <c r="J255" s="101" t="s">
        <v>446</v>
      </c>
      <c r="K255" s="101" t="s">
        <v>453</v>
      </c>
      <c r="L255" s="101" t="s">
        <v>454</v>
      </c>
      <c r="M255" s="101" t="s">
        <v>455</v>
      </c>
      <c r="N255" s="101" t="s">
        <v>456</v>
      </c>
    </row>
    <row r="256" spans="1:14">
      <c r="A256" s="11">
        <f t="shared" si="22"/>
        <v>246</v>
      </c>
      <c r="B256" s="101"/>
      <c r="C256" s="107" t="s">
        <v>13</v>
      </c>
      <c r="D256" s="107" t="s">
        <v>457</v>
      </c>
      <c r="E256" s="107" t="s">
        <v>458</v>
      </c>
      <c r="F256" s="107" t="s">
        <v>413</v>
      </c>
      <c r="G256" s="107" t="s">
        <v>458</v>
      </c>
      <c r="H256" s="107" t="s">
        <v>459</v>
      </c>
      <c r="I256" s="107" t="s">
        <v>452</v>
      </c>
      <c r="J256" s="107" t="s">
        <v>452</v>
      </c>
      <c r="K256" s="107" t="s">
        <v>460</v>
      </c>
      <c r="L256" s="262">
        <v>42735</v>
      </c>
      <c r="M256" s="107" t="s">
        <v>412</v>
      </c>
      <c r="N256" s="107" t="s">
        <v>460</v>
      </c>
    </row>
    <row r="257" spans="1:14">
      <c r="A257" s="11">
        <f t="shared" si="22"/>
        <v>247</v>
      </c>
      <c r="B257" s="11"/>
      <c r="C257" s="105"/>
      <c r="D257" s="11" t="s">
        <v>461</v>
      </c>
      <c r="E257" s="12">
        <v>33205</v>
      </c>
      <c r="F257" s="102">
        <v>0.11849999999999999</v>
      </c>
      <c r="G257" s="204">
        <v>2020</v>
      </c>
      <c r="H257" s="192">
        <v>1500</v>
      </c>
      <c r="I257" s="192">
        <v>1500</v>
      </c>
      <c r="J257" s="195">
        <v>100</v>
      </c>
      <c r="K257" s="108">
        <v>0.1191</v>
      </c>
      <c r="L257" s="192">
        <v>1500</v>
      </c>
      <c r="M257" s="192">
        <f>K257*L257</f>
        <v>178.65</v>
      </c>
    </row>
    <row r="258" spans="1:14">
      <c r="A258" s="11">
        <f t="shared" si="22"/>
        <v>248</v>
      </c>
      <c r="B258" s="11"/>
      <c r="D258" s="11" t="s">
        <v>462</v>
      </c>
      <c r="E258" s="12">
        <v>33732</v>
      </c>
      <c r="F258" s="102">
        <v>9.4600000000000004E-2</v>
      </c>
      <c r="G258" s="204">
        <v>2023</v>
      </c>
      <c r="H258" s="192">
        <v>2500</v>
      </c>
      <c r="I258" s="192">
        <v>2500</v>
      </c>
      <c r="J258" s="195">
        <v>100</v>
      </c>
      <c r="K258" s="108">
        <v>9.5100000000000004E-2</v>
      </c>
      <c r="L258" s="192">
        <v>2500</v>
      </c>
      <c r="M258" s="192">
        <f t="shared" ref="M258:M272" si="23">K258*L258</f>
        <v>237.75</v>
      </c>
    </row>
    <row r="259" spans="1:14">
      <c r="A259" s="11">
        <f t="shared" si="22"/>
        <v>249</v>
      </c>
      <c r="B259" s="11"/>
      <c r="C259" s="105"/>
      <c r="D259" s="11" t="s">
        <v>463</v>
      </c>
      <c r="E259" s="12">
        <v>36385</v>
      </c>
      <c r="F259" s="102">
        <v>6.8000000000000005E-2</v>
      </c>
      <c r="G259" s="11">
        <v>2019</v>
      </c>
      <c r="H259" s="192">
        <v>4500</v>
      </c>
      <c r="I259" s="192">
        <v>4500</v>
      </c>
      <c r="J259" s="195">
        <v>100</v>
      </c>
      <c r="K259" s="102">
        <v>6.8500000000000005E-2</v>
      </c>
      <c r="L259" s="192">
        <v>4500</v>
      </c>
      <c r="M259" s="192">
        <f t="shared" si="23"/>
        <v>308.25</v>
      </c>
    </row>
    <row r="260" spans="1:14">
      <c r="A260" s="11">
        <f t="shared" si="22"/>
        <v>250</v>
      </c>
      <c r="B260" s="11"/>
      <c r="C260" s="105"/>
      <c r="D260" s="11" t="s">
        <v>464</v>
      </c>
      <c r="E260" s="12">
        <v>37582</v>
      </c>
      <c r="F260" s="102">
        <v>6.1600000000000002E-2</v>
      </c>
      <c r="G260" s="11">
        <v>2017</v>
      </c>
      <c r="H260" s="192">
        <v>3900</v>
      </c>
      <c r="I260" s="192">
        <v>3900</v>
      </c>
      <c r="J260" s="195">
        <v>100</v>
      </c>
      <c r="K260" s="102">
        <v>6.2100000000000002E-2</v>
      </c>
      <c r="L260" s="192">
        <v>3900</v>
      </c>
      <c r="M260" s="192">
        <f t="shared" si="23"/>
        <v>242.19</v>
      </c>
    </row>
    <row r="261" spans="1:14">
      <c r="A261" s="11">
        <f t="shared" si="22"/>
        <v>251</v>
      </c>
      <c r="B261" s="11"/>
      <c r="C261" s="105"/>
      <c r="D261" s="11" t="s">
        <v>465</v>
      </c>
      <c r="E261" s="12">
        <v>38009</v>
      </c>
      <c r="F261" s="102">
        <v>5.4199999999999998E-2</v>
      </c>
      <c r="G261" s="11">
        <v>2019</v>
      </c>
      <c r="H261" s="192">
        <v>1000</v>
      </c>
      <c r="I261" s="192">
        <v>1000</v>
      </c>
      <c r="J261" s="195">
        <v>100</v>
      </c>
      <c r="K261" s="102">
        <v>5.4699999999999999E-2</v>
      </c>
      <c r="L261" s="192">
        <v>1000</v>
      </c>
      <c r="M261" s="192">
        <f t="shared" si="23"/>
        <v>54.699999999999996</v>
      </c>
    </row>
    <row r="262" spans="1:14">
      <c r="A262" s="11">
        <f t="shared" si="22"/>
        <v>252</v>
      </c>
      <c r="B262" s="11"/>
      <c r="C262" s="105"/>
      <c r="D262" s="11" t="s">
        <v>466</v>
      </c>
      <c r="E262" s="12">
        <v>38677</v>
      </c>
      <c r="F262" s="102">
        <v>5.1799999999999999E-2</v>
      </c>
      <c r="G262" s="11">
        <v>2035</v>
      </c>
      <c r="H262" s="192">
        <v>4300</v>
      </c>
      <c r="I262" s="192">
        <v>4300</v>
      </c>
      <c r="J262" s="195">
        <v>100</v>
      </c>
      <c r="K262" s="102">
        <v>5.2299999999999999E-2</v>
      </c>
      <c r="L262" s="192">
        <v>4300</v>
      </c>
      <c r="M262" s="192">
        <f t="shared" si="23"/>
        <v>224.89</v>
      </c>
    </row>
    <row r="263" spans="1:14">
      <c r="A263" s="11">
        <f t="shared" si="22"/>
        <v>253</v>
      </c>
      <c r="B263" s="11"/>
      <c r="C263" s="105"/>
      <c r="D263" s="11" t="s">
        <v>467</v>
      </c>
      <c r="E263" s="12">
        <v>39041</v>
      </c>
      <c r="F263" s="102">
        <v>5.0200000000000002E-2</v>
      </c>
      <c r="G263" s="11">
        <v>2036</v>
      </c>
      <c r="H263" s="192">
        <v>3000</v>
      </c>
      <c r="I263" s="192">
        <v>3000</v>
      </c>
      <c r="J263" s="195">
        <v>100</v>
      </c>
      <c r="K263" s="102">
        <v>5.0700000000000002E-2</v>
      </c>
      <c r="L263" s="192">
        <v>3000</v>
      </c>
      <c r="M263" s="192">
        <f t="shared" si="23"/>
        <v>152.1</v>
      </c>
    </row>
    <row r="264" spans="1:14">
      <c r="A264" s="11">
        <f t="shared" si="22"/>
        <v>254</v>
      </c>
      <c r="B264" s="11"/>
      <c r="C264" s="105"/>
      <c r="D264" s="11" t="s">
        <v>468</v>
      </c>
      <c r="E264" s="12">
        <v>39594</v>
      </c>
      <c r="F264" s="102">
        <v>5.5599999999999997E-2</v>
      </c>
      <c r="G264" s="11">
        <v>2028</v>
      </c>
      <c r="H264" s="192">
        <v>860</v>
      </c>
      <c r="I264" s="192">
        <v>860</v>
      </c>
      <c r="J264" s="195">
        <v>100</v>
      </c>
      <c r="K264" s="102">
        <v>5.6099999999999997E-2</v>
      </c>
      <c r="L264" s="192">
        <v>860</v>
      </c>
      <c r="M264" s="192">
        <f t="shared" si="23"/>
        <v>48.245999999999995</v>
      </c>
    </row>
    <row r="265" spans="1:14">
      <c r="A265" s="11">
        <f t="shared" si="22"/>
        <v>255</v>
      </c>
      <c r="B265" s="11"/>
      <c r="C265" s="105"/>
      <c r="D265" s="11" t="s">
        <v>469</v>
      </c>
      <c r="E265" s="12">
        <v>39594</v>
      </c>
      <c r="F265" s="102">
        <v>5.57E-2</v>
      </c>
      <c r="G265" s="11">
        <v>2038</v>
      </c>
      <c r="H265" s="192">
        <v>1290</v>
      </c>
      <c r="I265" s="192">
        <v>1290</v>
      </c>
      <c r="J265" s="195">
        <v>100</v>
      </c>
      <c r="K265" s="102">
        <v>5.62E-2</v>
      </c>
      <c r="L265" s="192">
        <v>1290</v>
      </c>
      <c r="M265" s="192">
        <f t="shared" si="23"/>
        <v>72.498000000000005</v>
      </c>
    </row>
    <row r="266" spans="1:14">
      <c r="A266" s="11">
        <f t="shared" si="22"/>
        <v>256</v>
      </c>
      <c r="B266" s="11"/>
      <c r="C266" s="105"/>
      <c r="D266" s="11" t="s">
        <v>470</v>
      </c>
      <c r="E266" s="12">
        <v>39878</v>
      </c>
      <c r="F266" s="102">
        <v>6.2299999999999994E-2</v>
      </c>
      <c r="G266" s="11">
        <v>2024</v>
      </c>
      <c r="H266" s="192">
        <v>2900</v>
      </c>
      <c r="I266" s="192">
        <v>2900</v>
      </c>
      <c r="J266" s="195">
        <v>100</v>
      </c>
      <c r="K266" s="102">
        <v>6.2799999999999995E-2</v>
      </c>
      <c r="L266" s="192">
        <v>2900</v>
      </c>
      <c r="M266" s="192">
        <f t="shared" si="23"/>
        <v>182.11999999999998</v>
      </c>
    </row>
    <row r="267" spans="1:14">
      <c r="A267" s="11">
        <f t="shared" si="22"/>
        <v>257</v>
      </c>
      <c r="B267" s="11"/>
      <c r="C267" s="105"/>
      <c r="D267" s="11" t="s">
        <v>471</v>
      </c>
      <c r="E267" s="12">
        <v>39878</v>
      </c>
      <c r="F267" s="102">
        <v>6.5000000000000002E-2</v>
      </c>
      <c r="G267" s="11">
        <v>2039</v>
      </c>
      <c r="H267" s="192">
        <v>3700</v>
      </c>
      <c r="I267" s="192">
        <v>3700</v>
      </c>
      <c r="J267" s="195">
        <v>100</v>
      </c>
      <c r="K267" s="102">
        <v>6.5500000000000003E-2</v>
      </c>
      <c r="L267" s="192">
        <v>3700</v>
      </c>
      <c r="M267" s="192">
        <f>K267*L267</f>
        <v>242.35000000000002</v>
      </c>
      <c r="N267" s="105"/>
    </row>
    <row r="268" spans="1:14">
      <c r="A268" s="11">
        <f t="shared" si="22"/>
        <v>258</v>
      </c>
      <c r="B268" s="11"/>
      <c r="C268" s="105"/>
      <c r="D268" s="11" t="s">
        <v>472</v>
      </c>
      <c r="E268" s="12">
        <v>40840</v>
      </c>
      <c r="F268" s="102">
        <v>4.53E-2</v>
      </c>
      <c r="G268" s="11">
        <v>2041</v>
      </c>
      <c r="H268" s="192">
        <v>5000</v>
      </c>
      <c r="I268" s="192">
        <v>5000</v>
      </c>
      <c r="J268" s="195">
        <v>100</v>
      </c>
      <c r="K268" s="102">
        <v>4.58E-2</v>
      </c>
      <c r="L268" s="192">
        <v>5000</v>
      </c>
      <c r="M268" s="192">
        <f t="shared" si="23"/>
        <v>229</v>
      </c>
      <c r="N268" s="105"/>
    </row>
    <row r="269" spans="1:14">
      <c r="A269" s="11">
        <f t="shared" si="22"/>
        <v>259</v>
      </c>
      <c r="B269" s="11"/>
      <c r="C269" s="105"/>
      <c r="D269" s="11" t="s">
        <v>473</v>
      </c>
      <c r="E269" s="12">
        <v>41214</v>
      </c>
      <c r="F269" s="102">
        <v>3.8399999999999997E-2</v>
      </c>
      <c r="G269" s="11">
        <v>2052</v>
      </c>
      <c r="H269" s="192">
        <v>4000</v>
      </c>
      <c r="I269" s="192">
        <v>4000</v>
      </c>
      <c r="J269" s="195">
        <v>100</v>
      </c>
      <c r="K269" s="102">
        <v>3.8899999999999997E-2</v>
      </c>
      <c r="L269" s="192">
        <v>4000</v>
      </c>
      <c r="M269" s="192">
        <f t="shared" si="23"/>
        <v>155.6</v>
      </c>
    </row>
    <row r="270" spans="1:14">
      <c r="A270" s="11">
        <f t="shared" si="22"/>
        <v>260</v>
      </c>
      <c r="B270" s="11"/>
      <c r="C270" s="105"/>
      <c r="D270" s="11" t="s">
        <v>474</v>
      </c>
      <c r="E270" s="12">
        <v>41579</v>
      </c>
      <c r="F270" s="102">
        <f t="shared" ref="F270:F273" si="24">+K270-0.0005</f>
        <v>4.7109999999999999E-2</v>
      </c>
      <c r="G270" s="11">
        <v>2043</v>
      </c>
      <c r="H270" s="192">
        <v>9400</v>
      </c>
      <c r="I270" s="192">
        <v>9400</v>
      </c>
      <c r="J270" s="195">
        <v>100</v>
      </c>
      <c r="K270" s="102">
        <v>4.761E-2</v>
      </c>
      <c r="L270" s="192">
        <v>9400</v>
      </c>
      <c r="M270" s="192">
        <f t="shared" si="23"/>
        <v>447.53399999999999</v>
      </c>
    </row>
    <row r="271" spans="1:14">
      <c r="A271" s="11">
        <f t="shared" si="22"/>
        <v>261</v>
      </c>
      <c r="B271" s="11"/>
      <c r="C271" s="105"/>
      <c r="D271" s="11" t="s">
        <v>475</v>
      </c>
      <c r="E271" s="12">
        <v>41944</v>
      </c>
      <c r="F271" s="102">
        <f t="shared" si="24"/>
        <v>4.07E-2</v>
      </c>
      <c r="G271" s="11">
        <v>2044</v>
      </c>
      <c r="H271" s="192">
        <v>7900</v>
      </c>
      <c r="I271" s="192">
        <v>7900</v>
      </c>
      <c r="J271" s="195">
        <v>100</v>
      </c>
      <c r="K271" s="102">
        <v>4.1200000000000001E-2</v>
      </c>
      <c r="L271" s="192">
        <v>7900</v>
      </c>
      <c r="M271" s="192">
        <f t="shared" si="23"/>
        <v>325.48</v>
      </c>
    </row>
    <row r="272" spans="1:14">
      <c r="A272" s="11">
        <f t="shared" si="22"/>
        <v>262</v>
      </c>
      <c r="B272" s="11"/>
      <c r="C272" s="105"/>
      <c r="D272" s="11" t="s">
        <v>476</v>
      </c>
      <c r="E272" s="12">
        <v>42309</v>
      </c>
      <c r="F272" s="102">
        <f t="shared" si="24"/>
        <v>3.9509999999999997E-2</v>
      </c>
      <c r="G272" s="11">
        <v>2045</v>
      </c>
      <c r="H272" s="192">
        <v>750</v>
      </c>
      <c r="I272" s="192">
        <v>750</v>
      </c>
      <c r="J272" s="195">
        <v>100</v>
      </c>
      <c r="K272" s="102">
        <v>4.0009999999999997E-2</v>
      </c>
      <c r="L272" s="192">
        <v>750</v>
      </c>
      <c r="M272" s="192">
        <f t="shared" si="23"/>
        <v>30.007499999999997</v>
      </c>
    </row>
    <row r="273" spans="1:14">
      <c r="A273" s="11">
        <f t="shared" si="22"/>
        <v>263</v>
      </c>
      <c r="B273" s="11"/>
      <c r="C273" s="105"/>
      <c r="D273" s="11" t="s">
        <v>477</v>
      </c>
      <c r="E273" s="12">
        <v>42691</v>
      </c>
      <c r="F273" s="102">
        <f t="shared" si="24"/>
        <v>3.7490000000000002E-2</v>
      </c>
      <c r="G273" s="11">
        <v>2046</v>
      </c>
      <c r="H273" s="193">
        <v>5400</v>
      </c>
      <c r="I273" s="192">
        <f>+H273</f>
        <v>5400</v>
      </c>
      <c r="J273" s="195">
        <v>100</v>
      </c>
      <c r="K273" s="102">
        <v>3.7990000000000003E-2</v>
      </c>
      <c r="L273" s="193">
        <f>+H273</f>
        <v>5400</v>
      </c>
      <c r="M273" s="193">
        <f>K273*L273</f>
        <v>205.14600000000002</v>
      </c>
    </row>
    <row r="274" spans="1:14">
      <c r="A274" s="11">
        <f t="shared" si="22"/>
        <v>264</v>
      </c>
      <c r="B274" s="11"/>
      <c r="C274" s="105" t="s">
        <v>85</v>
      </c>
      <c r="D274" s="11"/>
      <c r="E274" s="12"/>
      <c r="F274" s="103"/>
      <c r="G274" s="12"/>
      <c r="H274" s="192">
        <f>SUM(H257:H273)</f>
        <v>61900</v>
      </c>
      <c r="I274" s="192"/>
      <c r="J274" s="104"/>
      <c r="K274" s="103"/>
      <c r="L274" s="192">
        <f>SUM(L257:L273)</f>
        <v>61900</v>
      </c>
      <c r="M274" s="192">
        <f>SUM(M257:M273)</f>
        <v>3336.5115000000001</v>
      </c>
      <c r="N274" s="102">
        <f>M274/L274</f>
        <v>5.3901639741518577E-2</v>
      </c>
    </row>
    <row r="275" spans="1:14">
      <c r="A275" s="11">
        <f t="shared" si="22"/>
        <v>265</v>
      </c>
      <c r="B275" s="11"/>
      <c r="C275" s="105" t="s">
        <v>478</v>
      </c>
      <c r="D275" s="11"/>
      <c r="E275" s="12"/>
      <c r="F275" s="103"/>
      <c r="G275" s="12"/>
      <c r="H275" s="10"/>
      <c r="I275" s="10"/>
      <c r="J275" s="104"/>
      <c r="K275" s="103"/>
      <c r="L275" s="193">
        <v>56500</v>
      </c>
      <c r="M275" s="193">
        <v>3131.3654999999999</v>
      </c>
      <c r="N275" s="13">
        <v>5.5422398230088495E-2</v>
      </c>
    </row>
    <row r="276" spans="1:14">
      <c r="A276" s="11">
        <f t="shared" si="22"/>
        <v>266</v>
      </c>
      <c r="B276" s="11"/>
      <c r="C276" s="105" t="s">
        <v>85</v>
      </c>
      <c r="D276" s="11"/>
      <c r="E276" s="12"/>
      <c r="F276" s="103"/>
      <c r="G276" s="12"/>
      <c r="H276" s="10"/>
      <c r="I276" s="10"/>
      <c r="J276" s="104"/>
      <c r="K276" s="103"/>
      <c r="L276" s="193">
        <f>L274+L275</f>
        <v>118400</v>
      </c>
      <c r="M276" s="193">
        <f>M274+M275</f>
        <v>6467.8770000000004</v>
      </c>
      <c r="N276" s="156"/>
    </row>
    <row r="277" spans="1:14" ht="13" thickBot="1">
      <c r="A277" s="11">
        <f t="shared" si="22"/>
        <v>267</v>
      </c>
      <c r="B277" s="11"/>
      <c r="C277" s="105" t="s">
        <v>411</v>
      </c>
      <c r="D277" s="11"/>
      <c r="E277" s="12"/>
      <c r="F277" s="103"/>
      <c r="G277" s="12"/>
      <c r="H277" s="10"/>
      <c r="I277" s="10"/>
      <c r="J277" s="104"/>
      <c r="K277" s="103"/>
      <c r="L277" s="194">
        <f>L276/2</f>
        <v>59200</v>
      </c>
      <c r="M277" s="194">
        <f>M276/2</f>
        <v>3233.9385000000002</v>
      </c>
      <c r="N277" s="260">
        <f>M277/L277</f>
        <v>5.462733952702703E-2</v>
      </c>
    </row>
    <row r="278" spans="1:14" ht="13" thickTop="1">
      <c r="A278" s="11">
        <f t="shared" si="22"/>
        <v>268</v>
      </c>
    </row>
    <row r="279" spans="1:14">
      <c r="A279" s="11">
        <f t="shared" si="22"/>
        <v>269</v>
      </c>
      <c r="B279" s="203" t="s">
        <v>442</v>
      </c>
      <c r="C279" s="105"/>
      <c r="D279" s="105"/>
      <c r="E279" s="105"/>
      <c r="F279" s="105"/>
      <c r="G279" s="105"/>
      <c r="H279" s="105"/>
      <c r="I279" s="261" t="s">
        <v>445</v>
      </c>
      <c r="J279" s="106"/>
      <c r="K279" s="105"/>
      <c r="L279" s="105"/>
      <c r="M279" s="105"/>
    </row>
    <row r="280" spans="1:14">
      <c r="A280" s="11">
        <f t="shared" si="22"/>
        <v>270</v>
      </c>
      <c r="C280" s="101"/>
      <c r="D280" s="101"/>
      <c r="E280" s="101"/>
      <c r="F280" s="101"/>
      <c r="G280" s="101"/>
      <c r="H280" s="101" t="s">
        <v>446</v>
      </c>
      <c r="I280" s="101" t="s">
        <v>156</v>
      </c>
      <c r="J280" s="101" t="s">
        <v>447</v>
      </c>
      <c r="L280" s="101" t="s">
        <v>446</v>
      </c>
      <c r="M280" s="101" t="s">
        <v>156</v>
      </c>
      <c r="N280" s="101" t="s">
        <v>448</v>
      </c>
    </row>
    <row r="281" spans="1:14">
      <c r="A281" s="11">
        <f t="shared" si="22"/>
        <v>271</v>
      </c>
      <c r="B281" s="101"/>
      <c r="C281" s="101"/>
      <c r="D281" s="101"/>
      <c r="E281" s="101" t="s">
        <v>449</v>
      </c>
      <c r="F281" s="101" t="s">
        <v>450</v>
      </c>
      <c r="G281" s="101" t="s">
        <v>451</v>
      </c>
      <c r="H281" s="101" t="s">
        <v>452</v>
      </c>
      <c r="I281" s="101" t="s">
        <v>85</v>
      </c>
      <c r="J281" s="101" t="s">
        <v>446</v>
      </c>
      <c r="K281" s="101" t="s">
        <v>453</v>
      </c>
      <c r="L281" s="101" t="s">
        <v>454</v>
      </c>
      <c r="M281" s="101" t="s">
        <v>455</v>
      </c>
      <c r="N281" s="101" t="s">
        <v>456</v>
      </c>
    </row>
    <row r="282" spans="1:14">
      <c r="A282" s="11">
        <f t="shared" si="22"/>
        <v>272</v>
      </c>
      <c r="B282" s="101"/>
      <c r="C282" s="107" t="s">
        <v>13</v>
      </c>
      <c r="D282" s="107" t="s">
        <v>457</v>
      </c>
      <c r="E282" s="107" t="s">
        <v>458</v>
      </c>
      <c r="F282" s="107" t="s">
        <v>413</v>
      </c>
      <c r="G282" s="107" t="s">
        <v>458</v>
      </c>
      <c r="H282" s="107" t="s">
        <v>459</v>
      </c>
      <c r="I282" s="107" t="s">
        <v>452</v>
      </c>
      <c r="J282" s="107" t="s">
        <v>452</v>
      </c>
      <c r="K282" s="107" t="s">
        <v>460</v>
      </c>
      <c r="L282" s="262">
        <v>43100</v>
      </c>
      <c r="M282" s="107" t="s">
        <v>412</v>
      </c>
      <c r="N282" s="107" t="s">
        <v>460</v>
      </c>
    </row>
    <row r="283" spans="1:14">
      <c r="A283" s="11">
        <f t="shared" si="22"/>
        <v>273</v>
      </c>
      <c r="B283" s="11"/>
      <c r="C283" s="105"/>
      <c r="D283" s="11" t="s">
        <v>461</v>
      </c>
      <c r="E283" s="12">
        <v>33205</v>
      </c>
      <c r="F283" s="102">
        <v>0.11849999999999999</v>
      </c>
      <c r="G283" s="204">
        <v>2020</v>
      </c>
      <c r="H283" s="192">
        <v>1500</v>
      </c>
      <c r="I283" s="192">
        <v>1500</v>
      </c>
      <c r="J283" s="195">
        <v>100</v>
      </c>
      <c r="K283" s="108">
        <v>0.1191</v>
      </c>
      <c r="L283" s="192">
        <v>1500</v>
      </c>
      <c r="M283" s="192">
        <f t="shared" ref="M283:M300" si="25">+L283*K283</f>
        <v>178.65</v>
      </c>
    </row>
    <row r="284" spans="1:14">
      <c r="A284" s="11">
        <f t="shared" si="22"/>
        <v>274</v>
      </c>
      <c r="B284" s="11"/>
      <c r="D284" s="11" t="s">
        <v>462</v>
      </c>
      <c r="E284" s="12">
        <v>33732</v>
      </c>
      <c r="F284" s="102">
        <v>9.4600000000000004E-2</v>
      </c>
      <c r="G284" s="204">
        <v>2023</v>
      </c>
      <c r="H284" s="192">
        <v>2500</v>
      </c>
      <c r="I284" s="192">
        <v>2500</v>
      </c>
      <c r="J284" s="195">
        <v>100</v>
      </c>
      <c r="K284" s="108">
        <v>9.5100000000000004E-2</v>
      </c>
      <c r="L284" s="192">
        <v>2500</v>
      </c>
      <c r="M284" s="192">
        <f t="shared" si="25"/>
        <v>237.75</v>
      </c>
    </row>
    <row r="285" spans="1:14">
      <c r="A285" s="11">
        <f t="shared" si="22"/>
        <v>275</v>
      </c>
      <c r="B285" s="11"/>
      <c r="C285" s="105"/>
      <c r="D285" s="11" t="s">
        <v>463</v>
      </c>
      <c r="E285" s="12">
        <v>36385</v>
      </c>
      <c r="F285" s="102">
        <v>6.8000000000000005E-2</v>
      </c>
      <c r="G285" s="11">
        <v>2019</v>
      </c>
      <c r="H285" s="192">
        <v>4500</v>
      </c>
      <c r="I285" s="192">
        <v>4500</v>
      </c>
      <c r="J285" s="195">
        <v>100</v>
      </c>
      <c r="K285" s="102">
        <v>6.8500000000000005E-2</v>
      </c>
      <c r="L285" s="192">
        <v>4500</v>
      </c>
      <c r="M285" s="192">
        <f t="shared" si="25"/>
        <v>308.25</v>
      </c>
    </row>
    <row r="286" spans="1:14">
      <c r="A286" s="11">
        <f t="shared" si="22"/>
        <v>276</v>
      </c>
      <c r="B286" s="11"/>
      <c r="C286" s="105"/>
      <c r="D286" s="11" t="s">
        <v>464</v>
      </c>
      <c r="E286" s="12">
        <v>37582</v>
      </c>
      <c r="F286" s="102">
        <v>6.1600000000000002E-2</v>
      </c>
      <c r="G286" s="11">
        <v>2017</v>
      </c>
      <c r="H286" s="192">
        <v>0</v>
      </c>
      <c r="I286" s="192">
        <v>0</v>
      </c>
      <c r="J286" s="195">
        <v>100</v>
      </c>
      <c r="K286" s="102">
        <v>6.2100000000000002E-2</v>
      </c>
      <c r="L286" s="192">
        <v>0</v>
      </c>
      <c r="M286" s="212">
        <v>0</v>
      </c>
    </row>
    <row r="287" spans="1:14">
      <c r="A287" s="11">
        <f t="shared" si="22"/>
        <v>277</v>
      </c>
      <c r="B287" s="11"/>
      <c r="C287" s="105"/>
      <c r="D287" s="11" t="s">
        <v>465</v>
      </c>
      <c r="E287" s="12">
        <v>38009</v>
      </c>
      <c r="F287" s="102">
        <v>5.4199999999999998E-2</v>
      </c>
      <c r="G287" s="11">
        <v>2019</v>
      </c>
      <c r="H287" s="192">
        <v>1000</v>
      </c>
      <c r="I287" s="192">
        <v>1000</v>
      </c>
      <c r="J287" s="195">
        <v>100</v>
      </c>
      <c r="K287" s="102">
        <v>5.4699999999999999E-2</v>
      </c>
      <c r="L287" s="192">
        <v>1000</v>
      </c>
      <c r="M287" s="192">
        <f t="shared" si="25"/>
        <v>54.699999999999996</v>
      </c>
    </row>
    <row r="288" spans="1:14">
      <c r="A288" s="11">
        <f t="shared" si="22"/>
        <v>278</v>
      </c>
      <c r="B288" s="11"/>
      <c r="C288" s="105"/>
      <c r="D288" s="11" t="s">
        <v>466</v>
      </c>
      <c r="E288" s="12">
        <v>38677</v>
      </c>
      <c r="F288" s="102">
        <v>5.1799999999999999E-2</v>
      </c>
      <c r="G288" s="11">
        <v>2035</v>
      </c>
      <c r="H288" s="192">
        <v>4300</v>
      </c>
      <c r="I288" s="192">
        <v>4300</v>
      </c>
      <c r="J288" s="195">
        <v>100</v>
      </c>
      <c r="K288" s="102">
        <v>5.2299999999999999E-2</v>
      </c>
      <c r="L288" s="192">
        <v>4300</v>
      </c>
      <c r="M288" s="192">
        <f t="shared" si="25"/>
        <v>224.89</v>
      </c>
    </row>
    <row r="289" spans="1:14">
      <c r="A289" s="11">
        <f t="shared" si="22"/>
        <v>279</v>
      </c>
      <c r="B289" s="11"/>
      <c r="C289" s="105"/>
      <c r="D289" s="11" t="s">
        <v>467</v>
      </c>
      <c r="E289" s="12">
        <v>39041</v>
      </c>
      <c r="F289" s="102">
        <v>5.0200000000000002E-2</v>
      </c>
      <c r="G289" s="11">
        <v>2036</v>
      </c>
      <c r="H289" s="192">
        <v>3000</v>
      </c>
      <c r="I289" s="192">
        <v>3000</v>
      </c>
      <c r="J289" s="195">
        <v>100</v>
      </c>
      <c r="K289" s="102">
        <v>5.0700000000000002E-2</v>
      </c>
      <c r="L289" s="192">
        <v>3000</v>
      </c>
      <c r="M289" s="192">
        <f t="shared" si="25"/>
        <v>152.1</v>
      </c>
    </row>
    <row r="290" spans="1:14">
      <c r="A290" s="11">
        <f t="shared" si="22"/>
        <v>280</v>
      </c>
      <c r="B290" s="11"/>
      <c r="C290" s="105"/>
      <c r="D290" s="11" t="s">
        <v>468</v>
      </c>
      <c r="E290" s="12">
        <v>39594</v>
      </c>
      <c r="F290" s="102">
        <v>5.5599999999999997E-2</v>
      </c>
      <c r="G290" s="11">
        <v>2028</v>
      </c>
      <c r="H290" s="192">
        <v>860</v>
      </c>
      <c r="I290" s="192">
        <v>860</v>
      </c>
      <c r="J290" s="195">
        <v>100</v>
      </c>
      <c r="K290" s="102">
        <v>5.6099999999999997E-2</v>
      </c>
      <c r="L290" s="192">
        <v>860</v>
      </c>
      <c r="M290" s="192">
        <f t="shared" si="25"/>
        <v>48.245999999999995</v>
      </c>
    </row>
    <row r="291" spans="1:14">
      <c r="A291" s="11">
        <f t="shared" si="22"/>
        <v>281</v>
      </c>
      <c r="B291" s="11"/>
      <c r="C291" s="105"/>
      <c r="D291" s="11" t="s">
        <v>469</v>
      </c>
      <c r="E291" s="12">
        <v>39594</v>
      </c>
      <c r="F291" s="102">
        <v>5.57E-2</v>
      </c>
      <c r="G291" s="11">
        <v>2038</v>
      </c>
      <c r="H291" s="192">
        <v>1290</v>
      </c>
      <c r="I291" s="192">
        <v>1290</v>
      </c>
      <c r="J291" s="195">
        <v>100</v>
      </c>
      <c r="K291" s="102">
        <v>5.62E-2</v>
      </c>
      <c r="L291" s="192">
        <v>1290</v>
      </c>
      <c r="M291" s="192">
        <f t="shared" si="25"/>
        <v>72.498000000000005</v>
      </c>
    </row>
    <row r="292" spans="1:14">
      <c r="A292" s="11">
        <f t="shared" si="22"/>
        <v>282</v>
      </c>
      <c r="B292" s="11"/>
      <c r="C292" s="105"/>
      <c r="D292" s="11" t="s">
        <v>470</v>
      </c>
      <c r="E292" s="12">
        <v>39878</v>
      </c>
      <c r="F292" s="102">
        <v>6.2299999999999994E-2</v>
      </c>
      <c r="G292" s="11">
        <v>2024</v>
      </c>
      <c r="H292" s="192">
        <v>2900</v>
      </c>
      <c r="I292" s="192">
        <v>2900</v>
      </c>
      <c r="J292" s="195">
        <v>100</v>
      </c>
      <c r="K292" s="102">
        <v>6.2799999999999995E-2</v>
      </c>
      <c r="L292" s="192">
        <v>2900</v>
      </c>
      <c r="M292" s="192">
        <f t="shared" si="25"/>
        <v>182.11999999999998</v>
      </c>
      <c r="N292" s="105"/>
    </row>
    <row r="293" spans="1:14">
      <c r="A293" s="11">
        <f t="shared" si="22"/>
        <v>283</v>
      </c>
      <c r="B293" s="11"/>
      <c r="C293" s="105"/>
      <c r="D293" s="11" t="s">
        <v>471</v>
      </c>
      <c r="E293" s="12">
        <v>39878</v>
      </c>
      <c r="F293" s="102">
        <v>6.5000000000000002E-2</v>
      </c>
      <c r="G293" s="11">
        <v>2039</v>
      </c>
      <c r="H293" s="192">
        <v>3700</v>
      </c>
      <c r="I293" s="192">
        <v>3700</v>
      </c>
      <c r="J293" s="195">
        <v>100</v>
      </c>
      <c r="K293" s="102">
        <v>6.5500000000000003E-2</v>
      </c>
      <c r="L293" s="192">
        <v>3700</v>
      </c>
      <c r="M293" s="192">
        <f t="shared" si="25"/>
        <v>242.35000000000002</v>
      </c>
      <c r="N293" s="105"/>
    </row>
    <row r="294" spans="1:14">
      <c r="A294" s="11">
        <f t="shared" si="22"/>
        <v>284</v>
      </c>
      <c r="B294" s="11"/>
      <c r="C294" s="105"/>
      <c r="D294" s="11" t="s">
        <v>472</v>
      </c>
      <c r="E294" s="12">
        <v>40840</v>
      </c>
      <c r="F294" s="102">
        <v>4.53E-2</v>
      </c>
      <c r="G294" s="11">
        <v>2041</v>
      </c>
      <c r="H294" s="192">
        <v>5000</v>
      </c>
      <c r="I294" s="192">
        <v>5000</v>
      </c>
      <c r="J294" s="195">
        <v>100</v>
      </c>
      <c r="K294" s="102">
        <v>4.58E-2</v>
      </c>
      <c r="L294" s="192">
        <v>5000</v>
      </c>
      <c r="M294" s="192">
        <f t="shared" si="25"/>
        <v>229</v>
      </c>
    </row>
    <row r="295" spans="1:14">
      <c r="A295" s="11">
        <f t="shared" si="22"/>
        <v>285</v>
      </c>
      <c r="B295" s="11"/>
      <c r="C295" s="105"/>
      <c r="D295" s="11" t="s">
        <v>473</v>
      </c>
      <c r="E295" s="12">
        <v>41214</v>
      </c>
      <c r="F295" s="102">
        <v>3.8399999999999997E-2</v>
      </c>
      <c r="G295" s="11">
        <v>2052</v>
      </c>
      <c r="H295" s="192">
        <v>4000</v>
      </c>
      <c r="I295" s="192">
        <v>4000</v>
      </c>
      <c r="J295" s="195">
        <v>100</v>
      </c>
      <c r="K295" s="102">
        <v>3.8899999999999997E-2</v>
      </c>
      <c r="L295" s="192">
        <v>4000</v>
      </c>
      <c r="M295" s="192">
        <f t="shared" si="25"/>
        <v>155.6</v>
      </c>
    </row>
    <row r="296" spans="1:14">
      <c r="A296" s="11">
        <f t="shared" si="22"/>
        <v>286</v>
      </c>
      <c r="B296" s="11"/>
      <c r="C296" s="105"/>
      <c r="D296" s="11" t="s">
        <v>474</v>
      </c>
      <c r="E296" s="12">
        <v>41579</v>
      </c>
      <c r="F296" s="102">
        <v>4.7109999999999999E-2</v>
      </c>
      <c r="G296" s="11">
        <v>2043</v>
      </c>
      <c r="H296" s="192">
        <v>9400</v>
      </c>
      <c r="I296" s="192">
        <v>9400</v>
      </c>
      <c r="J296" s="195">
        <v>100</v>
      </c>
      <c r="K296" s="102">
        <v>4.761E-2</v>
      </c>
      <c r="L296" s="192">
        <v>9400</v>
      </c>
      <c r="M296" s="192">
        <f t="shared" si="25"/>
        <v>447.53399999999999</v>
      </c>
    </row>
    <row r="297" spans="1:14">
      <c r="A297" s="11">
        <f t="shared" si="22"/>
        <v>287</v>
      </c>
      <c r="B297" s="11"/>
      <c r="C297" s="105"/>
      <c r="D297" s="11" t="s">
        <v>475</v>
      </c>
      <c r="E297" s="12">
        <v>41944</v>
      </c>
      <c r="F297" s="102">
        <v>4.07E-2</v>
      </c>
      <c r="G297" s="11">
        <v>2044</v>
      </c>
      <c r="H297" s="192">
        <v>7900</v>
      </c>
      <c r="I297" s="192">
        <v>7900</v>
      </c>
      <c r="J297" s="195">
        <v>100</v>
      </c>
      <c r="K297" s="102">
        <v>4.1200000000000001E-2</v>
      </c>
      <c r="L297" s="192">
        <v>7900</v>
      </c>
      <c r="M297" s="192">
        <f t="shared" si="25"/>
        <v>325.48</v>
      </c>
    </row>
    <row r="298" spans="1:14">
      <c r="A298" s="11">
        <f t="shared" si="22"/>
        <v>288</v>
      </c>
      <c r="B298" s="11"/>
      <c r="C298" s="105"/>
      <c r="D298" s="11" t="s">
        <v>476</v>
      </c>
      <c r="E298" s="12">
        <v>42309</v>
      </c>
      <c r="F298" s="102">
        <f>+K298-0.05%</f>
        <v>3.9509999999999997E-2</v>
      </c>
      <c r="G298" s="11">
        <v>2045</v>
      </c>
      <c r="H298" s="192">
        <v>750</v>
      </c>
      <c r="I298" s="192">
        <v>750</v>
      </c>
      <c r="J298" s="195">
        <v>100</v>
      </c>
      <c r="K298" s="102">
        <v>4.0009999999999997E-2</v>
      </c>
      <c r="L298" s="192">
        <v>750</v>
      </c>
      <c r="M298" s="192">
        <f t="shared" si="25"/>
        <v>30.007499999999997</v>
      </c>
    </row>
    <row r="299" spans="1:14">
      <c r="A299" s="11">
        <f t="shared" si="22"/>
        <v>289</v>
      </c>
      <c r="B299" s="11"/>
      <c r="C299" s="105"/>
      <c r="D299" s="11" t="s">
        <v>477</v>
      </c>
      <c r="E299" s="12">
        <f>E273</f>
        <v>42691</v>
      </c>
      <c r="F299" s="102">
        <f>F273</f>
        <v>3.7490000000000002E-2</v>
      </c>
      <c r="G299" s="11">
        <f>G273</f>
        <v>2046</v>
      </c>
      <c r="H299" s="192">
        <f>+H273</f>
        <v>5400</v>
      </c>
      <c r="I299" s="192">
        <f>+H299</f>
        <v>5400</v>
      </c>
      <c r="J299" s="195">
        <v>100</v>
      </c>
      <c r="K299" s="102">
        <f>K273</f>
        <v>3.7990000000000003E-2</v>
      </c>
      <c r="L299" s="192">
        <f>+I299</f>
        <v>5400</v>
      </c>
      <c r="M299" s="192">
        <f t="shared" si="25"/>
        <v>205.14600000000002</v>
      </c>
    </row>
    <row r="300" spans="1:14">
      <c r="A300" s="11">
        <f t="shared" si="22"/>
        <v>290</v>
      </c>
      <c r="B300" s="11"/>
      <c r="C300" s="105"/>
      <c r="D300" s="11" t="s">
        <v>479</v>
      </c>
      <c r="E300" s="12">
        <v>43040</v>
      </c>
      <c r="F300" s="102">
        <f>+K300-0.05%</f>
        <v>3.771E-2</v>
      </c>
      <c r="G300" s="11">
        <v>2057</v>
      </c>
      <c r="H300" s="193">
        <v>6900</v>
      </c>
      <c r="I300" s="192">
        <f>H300</f>
        <v>6900</v>
      </c>
      <c r="J300" s="195">
        <v>100</v>
      </c>
      <c r="K300" s="102">
        <v>3.8210000000000001E-2</v>
      </c>
      <c r="L300" s="193">
        <f>H300</f>
        <v>6900</v>
      </c>
      <c r="M300" s="192">
        <f t="shared" si="25"/>
        <v>263.649</v>
      </c>
    </row>
    <row r="301" spans="1:14">
      <c r="A301" s="11">
        <f t="shared" si="22"/>
        <v>291</v>
      </c>
      <c r="B301" s="11"/>
      <c r="C301" s="105" t="s">
        <v>85</v>
      </c>
      <c r="D301" s="11"/>
      <c r="E301" s="12"/>
      <c r="F301" s="103"/>
      <c r="G301" s="12"/>
      <c r="H301" s="192">
        <f>SUM(H283:H300)</f>
        <v>64900</v>
      </c>
      <c r="I301" s="192"/>
      <c r="J301" s="104"/>
      <c r="K301" s="103"/>
      <c r="L301" s="192">
        <f>SUM(L283:L300)</f>
        <v>64900</v>
      </c>
      <c r="M301" s="225">
        <f>SUM(M283:M300)</f>
        <v>3357.9705000000004</v>
      </c>
      <c r="N301" s="102">
        <f>M301/L301</f>
        <v>5.1740685670261945E-2</v>
      </c>
    </row>
    <row r="302" spans="1:14">
      <c r="A302" s="11">
        <f t="shared" si="22"/>
        <v>292</v>
      </c>
      <c r="B302" s="11"/>
      <c r="C302" s="105" t="s">
        <v>478</v>
      </c>
      <c r="D302" s="11"/>
      <c r="E302" s="12"/>
      <c r="F302" s="103"/>
      <c r="G302" s="12"/>
      <c r="H302" s="10"/>
      <c r="I302" s="10"/>
      <c r="J302" s="104"/>
      <c r="K302" s="103"/>
      <c r="L302" s="193">
        <f>+L274</f>
        <v>61900</v>
      </c>
      <c r="M302" s="193">
        <f>+M274</f>
        <v>3336.5115000000001</v>
      </c>
      <c r="N302" s="13">
        <f>+N274</f>
        <v>5.3901639741518577E-2</v>
      </c>
    </row>
    <row r="303" spans="1:14">
      <c r="A303" s="11">
        <f t="shared" si="22"/>
        <v>293</v>
      </c>
      <c r="B303" s="11"/>
      <c r="C303" s="105" t="s">
        <v>85</v>
      </c>
      <c r="D303" s="11"/>
      <c r="E303" s="12"/>
      <c r="F303" s="103"/>
      <c r="G303" s="12"/>
      <c r="H303" s="10"/>
      <c r="I303" s="10"/>
      <c r="J303" s="104"/>
      <c r="K303" s="103"/>
      <c r="L303" s="193">
        <f>L301+L302</f>
        <v>126800</v>
      </c>
      <c r="M303" s="193">
        <f>M301+M302</f>
        <v>6694.482</v>
      </c>
      <c r="N303" s="156"/>
    </row>
    <row r="304" spans="1:14" ht="13" thickBot="1">
      <c r="A304" s="11">
        <f t="shared" si="22"/>
        <v>294</v>
      </c>
      <c r="B304" s="11"/>
      <c r="C304" s="105" t="s">
        <v>411</v>
      </c>
      <c r="D304" s="11"/>
      <c r="E304" s="12"/>
      <c r="F304" s="103"/>
      <c r="G304" s="12"/>
      <c r="H304" s="10"/>
      <c r="I304" s="10"/>
      <c r="J304" s="104"/>
      <c r="K304" s="103"/>
      <c r="L304" s="194">
        <f>L303/2</f>
        <v>63400</v>
      </c>
      <c r="M304" s="194">
        <f>M303/2</f>
        <v>3347.241</v>
      </c>
      <c r="N304" s="260">
        <f>M304/L304</f>
        <v>5.2795599369085171E-2</v>
      </c>
    </row>
    <row r="305" ht="13" thickTop="1"/>
  </sheetData>
  <phoneticPr fontId="0" type="noConversion"/>
  <printOptions horizontalCentered="1"/>
  <pageMargins left="0.5" right="0.5" top="0.75" bottom="0.75" header="0.71" footer="0.5"/>
  <pageSetup scale="60" fitToHeight="6" orientation="landscape" useFirstPageNumber="1" r:id="rId1"/>
  <headerFooter alignWithMargins="0">
    <oddHeader>&amp;R&amp;"Arial,Bold"Schedules 8.2 &amp; 8.3
Page &amp;P of 6</oddHeader>
  </headerFooter>
  <rowBreaks count="6" manualBreakCount="6">
    <brk id="58" max="13" man="1"/>
    <brk id="111" max="13" man="1"/>
    <brk id="165" max="13" man="1"/>
    <brk id="222" max="13" man="1"/>
    <brk id="277" max="13" man="1"/>
    <brk id="305" max="14" man="1"/>
  </rowBreaks>
  <ignoredErrors>
    <ignoredError sqref="F299" formula="1"/>
    <ignoredError sqref="L162 L191 L135 L108 L82 L55 L28" formulaRange="1"/>
    <ignoredError sqref="A5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>
    <pageSetUpPr fitToPage="1"/>
  </sheetPr>
  <dimension ref="A1:R47"/>
  <sheetViews>
    <sheetView zoomScale="80" zoomScaleNormal="80" zoomScaleSheetLayoutView="100" workbookViewId="0">
      <selection activeCell="C14" sqref="C14"/>
    </sheetView>
  </sheetViews>
  <sheetFormatPr defaultColWidth="7.54296875" defaultRowHeight="15.5"/>
  <cols>
    <col min="1" max="1" width="7.453125" style="16" bestFit="1" customWidth="1"/>
    <col min="2" max="2" width="51.7265625" style="16" customWidth="1"/>
    <col min="3" max="3" width="34.54296875" style="17" bestFit="1" customWidth="1"/>
    <col min="4" max="4" width="9.7265625" style="17" bestFit="1" customWidth="1"/>
    <col min="5" max="5" width="9.7265625" style="16" bestFit="1" customWidth="1"/>
    <col min="6" max="9" width="12.7265625" style="16" customWidth="1"/>
    <col min="10" max="10" width="15.54296875" style="16" customWidth="1"/>
    <col min="11" max="11" width="2" style="16" customWidth="1"/>
    <col min="12" max="13" width="12.7265625" style="16" customWidth="1"/>
    <col min="14" max="14" width="2.1796875" style="16" customWidth="1"/>
    <col min="15" max="16" width="12.7265625" style="16" customWidth="1"/>
    <col min="17" max="17" width="2.1796875" style="16" customWidth="1"/>
    <col min="18" max="16384" width="7.54296875" style="16"/>
  </cols>
  <sheetData>
    <row r="1" spans="1:17">
      <c r="A1" s="14" t="str">
        <f>'S1.1'!A1</f>
        <v>ATCO Electric Yukon (AEY)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31"/>
    </row>
    <row r="2" spans="1:17">
      <c r="A2" s="14" t="str">
        <f>'S1.1'!A2</f>
        <v>2023 - 2024 General Rate Application (GRA)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31"/>
    </row>
    <row r="3" spans="1:17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31"/>
    </row>
    <row r="4" spans="1:17">
      <c r="A4" s="520" t="s">
        <v>486</v>
      </c>
      <c r="B4" s="520"/>
      <c r="C4" s="520"/>
      <c r="D4" s="520"/>
      <c r="E4" s="520"/>
      <c r="F4" s="520"/>
      <c r="G4" s="520"/>
      <c r="H4" s="520"/>
      <c r="I4" s="520"/>
      <c r="J4" s="520"/>
      <c r="K4" s="520"/>
      <c r="L4" s="520"/>
      <c r="M4" s="520"/>
      <c r="N4" s="520"/>
      <c r="O4" s="520"/>
      <c r="P4" s="520"/>
      <c r="Q4" s="6"/>
    </row>
    <row r="5" spans="1:17">
      <c r="A5" s="344" t="s">
        <v>6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5"/>
    </row>
    <row r="6" spans="1:17">
      <c r="A6" s="14"/>
      <c r="B6" s="15"/>
      <c r="D6" s="291"/>
      <c r="E6" s="291"/>
      <c r="N6" s="8"/>
      <c r="O6" s="8"/>
      <c r="P6" s="8"/>
    </row>
    <row r="7" spans="1:17">
      <c r="A7" s="6" t="s">
        <v>7</v>
      </c>
      <c r="B7" s="6"/>
      <c r="C7" s="6" t="s">
        <v>8</v>
      </c>
      <c r="D7" s="519" t="s">
        <v>9</v>
      </c>
      <c r="E7" s="519"/>
      <c r="F7" s="519"/>
      <c r="G7" s="519"/>
      <c r="H7" s="519"/>
      <c r="I7" s="519"/>
      <c r="J7" s="519"/>
      <c r="K7" s="6"/>
      <c r="L7" s="520" t="s">
        <v>10</v>
      </c>
      <c r="M7" s="520"/>
      <c r="N7" s="18"/>
      <c r="O7" s="519" t="s">
        <v>11</v>
      </c>
      <c r="P7" s="519"/>
      <c r="Q7" s="6"/>
    </row>
    <row r="8" spans="1:17">
      <c r="A8" s="7" t="s">
        <v>12</v>
      </c>
      <c r="B8" s="7" t="s">
        <v>13</v>
      </c>
      <c r="C8" s="7" t="s">
        <v>14</v>
      </c>
      <c r="D8" s="7">
        <v>2016</v>
      </c>
      <c r="E8" s="7">
        <v>2017</v>
      </c>
      <c r="F8" s="7">
        <v>2018</v>
      </c>
      <c r="G8" s="7">
        <v>2019</v>
      </c>
      <c r="H8" s="7">
        <v>2020</v>
      </c>
      <c r="I8" s="7">
        <v>2021</v>
      </c>
      <c r="J8" s="7">
        <v>2022</v>
      </c>
      <c r="K8" s="6"/>
      <c r="L8" s="240">
        <v>2023</v>
      </c>
      <c r="M8" s="240">
        <v>2024</v>
      </c>
      <c r="N8" s="6"/>
      <c r="O8" s="7">
        <v>2016</v>
      </c>
      <c r="P8" s="7">
        <v>2017</v>
      </c>
      <c r="Q8" s="6"/>
    </row>
    <row r="10" spans="1:17">
      <c r="A10" s="17">
        <v>1</v>
      </c>
      <c r="B10" s="18" t="s">
        <v>422</v>
      </c>
    </row>
    <row r="11" spans="1:17" ht="15" customHeight="1">
      <c r="A11" s="17">
        <f t="shared" ref="A11:A16" si="0">A10+1</f>
        <v>2</v>
      </c>
      <c r="B11" s="18" t="s">
        <v>487</v>
      </c>
      <c r="H11" s="29"/>
    </row>
    <row r="12" spans="1:17" ht="15" customHeight="1">
      <c r="A12" s="17">
        <f t="shared" si="0"/>
        <v>3</v>
      </c>
      <c r="B12" s="50"/>
      <c r="F12" s="43"/>
      <c r="G12" s="126"/>
      <c r="H12" s="126"/>
      <c r="I12" s="43"/>
      <c r="J12" s="43"/>
      <c r="K12" s="43"/>
      <c r="L12" s="43"/>
      <c r="M12" s="43"/>
      <c r="N12" s="43"/>
      <c r="O12" s="43"/>
      <c r="P12" s="43"/>
    </row>
    <row r="13" spans="1:17" ht="15" customHeight="1">
      <c r="A13" s="17">
        <f t="shared" si="0"/>
        <v>4</v>
      </c>
      <c r="B13" s="97" t="s">
        <v>488</v>
      </c>
    </row>
    <row r="14" spans="1:17" ht="15" customHeight="1">
      <c r="A14" s="17">
        <f t="shared" si="0"/>
        <v>5</v>
      </c>
      <c r="B14" s="16" t="s">
        <v>489</v>
      </c>
      <c r="D14" s="43">
        <v>537</v>
      </c>
      <c r="E14" s="43">
        <v>537</v>
      </c>
      <c r="F14" s="43">
        <v>536.99999999999989</v>
      </c>
      <c r="G14" s="43">
        <v>536.99999999999989</v>
      </c>
      <c r="H14" s="43">
        <v>536.99999999999966</v>
      </c>
      <c r="I14" s="43">
        <v>536.99999999999966</v>
      </c>
      <c r="J14" s="43">
        <v>536.99999999999989</v>
      </c>
      <c r="K14" s="43"/>
      <c r="L14" s="43">
        <f>L25</f>
        <v>536.99999999999989</v>
      </c>
      <c r="M14" s="43">
        <f>M25</f>
        <v>536.99999999999989</v>
      </c>
      <c r="N14" s="43"/>
      <c r="O14" s="43">
        <f>O25</f>
        <v>537</v>
      </c>
      <c r="P14" s="43">
        <f>P25</f>
        <v>537</v>
      </c>
    </row>
    <row r="15" spans="1:17" ht="15" customHeight="1">
      <c r="A15" s="17">
        <f t="shared" si="0"/>
        <v>6</v>
      </c>
      <c r="B15" s="16" t="s">
        <v>490</v>
      </c>
      <c r="D15" s="43">
        <v>133</v>
      </c>
      <c r="E15" s="43">
        <v>128</v>
      </c>
      <c r="F15" s="43">
        <v>122.5</v>
      </c>
      <c r="G15" s="43">
        <v>118.5</v>
      </c>
      <c r="H15" s="43">
        <v>114.5</v>
      </c>
      <c r="I15" s="43">
        <v>110.60000000000001</v>
      </c>
      <c r="J15" s="43">
        <v>105.76000000000002</v>
      </c>
      <c r="K15" s="43"/>
      <c r="L15" s="43">
        <f>L33</f>
        <v>103.32000000000002</v>
      </c>
      <c r="M15" s="43">
        <f>M33</f>
        <v>103.32000000000002</v>
      </c>
      <c r="N15" s="43"/>
      <c r="O15" s="43">
        <f>O33</f>
        <v>140</v>
      </c>
      <c r="P15" s="43">
        <f>P33</f>
        <v>136</v>
      </c>
    </row>
    <row r="16" spans="1:17" ht="15" customHeight="1">
      <c r="A16" s="17">
        <f t="shared" si="0"/>
        <v>7</v>
      </c>
      <c r="B16" s="16" t="s">
        <v>491</v>
      </c>
      <c r="D16" s="43">
        <v>32.75</v>
      </c>
      <c r="E16" s="43">
        <v>144.25</v>
      </c>
      <c r="F16" s="43">
        <v>255.75</v>
      </c>
      <c r="G16" s="43">
        <v>367.25</v>
      </c>
      <c r="H16" s="43">
        <v>478.75</v>
      </c>
      <c r="I16" s="43">
        <v>590.25</v>
      </c>
      <c r="J16" s="43">
        <v>701.40145000000007</v>
      </c>
      <c r="K16" s="43"/>
      <c r="L16" s="43">
        <f>+L41</f>
        <v>518.125</v>
      </c>
      <c r="M16" s="43">
        <f>+M41</f>
        <v>239.25</v>
      </c>
      <c r="N16" s="43"/>
      <c r="O16" s="43">
        <f>+O41</f>
        <v>-17.25</v>
      </c>
      <c r="P16" s="43">
        <f>+P41</f>
        <v>-5.75</v>
      </c>
    </row>
    <row r="17" spans="1:16" ht="20.25" customHeight="1" thickBot="1">
      <c r="A17" s="17">
        <f t="shared" ref="A17:A41" si="1">A16+1</f>
        <v>8</v>
      </c>
      <c r="B17" s="98" t="s">
        <v>492</v>
      </c>
      <c r="D17" s="52">
        <f>SUM(D14:D16)</f>
        <v>702.75</v>
      </c>
      <c r="E17" s="52">
        <f t="shared" ref="E17:J17" si="2">SUM(E14:E16)</f>
        <v>809.25</v>
      </c>
      <c r="F17" s="52">
        <f t="shared" si="2"/>
        <v>915.24999999999989</v>
      </c>
      <c r="G17" s="52">
        <f t="shared" si="2"/>
        <v>1022.7499999999999</v>
      </c>
      <c r="H17" s="52">
        <f t="shared" si="2"/>
        <v>1130.2499999999995</v>
      </c>
      <c r="I17" s="52">
        <f t="shared" si="2"/>
        <v>1237.8499999999997</v>
      </c>
      <c r="J17" s="52">
        <f t="shared" si="2"/>
        <v>1344.1614500000001</v>
      </c>
      <c r="K17" s="43"/>
      <c r="L17" s="52">
        <f>SUM(L14:L16)</f>
        <v>1158.4449999999999</v>
      </c>
      <c r="M17" s="52">
        <f>SUM(M14:M16)</f>
        <v>879.56999999999994</v>
      </c>
      <c r="N17" s="43"/>
      <c r="O17" s="52">
        <f>SUM(O14:O16)</f>
        <v>659.75</v>
      </c>
      <c r="P17" s="52">
        <f>SUM(P14:P16)</f>
        <v>667.25</v>
      </c>
    </row>
    <row r="18" spans="1:16" ht="15" customHeight="1" thickTop="1">
      <c r="A18" s="17">
        <f t="shared" si="1"/>
        <v>9</v>
      </c>
      <c r="B18" s="58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</row>
    <row r="19" spans="1:16">
      <c r="A19" s="17">
        <f t="shared" si="1"/>
        <v>10</v>
      </c>
      <c r="B19" s="18" t="s">
        <v>489</v>
      </c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</row>
    <row r="20" spans="1:16">
      <c r="A20" s="17">
        <f t="shared" si="1"/>
        <v>11</v>
      </c>
      <c r="B20" s="16" t="s">
        <v>493</v>
      </c>
      <c r="D20" s="43">
        <v>537</v>
      </c>
      <c r="E20" s="43">
        <v>537</v>
      </c>
      <c r="F20" s="43">
        <v>536.99999999999989</v>
      </c>
      <c r="G20" s="43">
        <v>536.99999999999989</v>
      </c>
      <c r="H20" s="43">
        <v>536.99999999999989</v>
      </c>
      <c r="I20" s="43">
        <v>536.99999999999943</v>
      </c>
      <c r="J20" s="43">
        <v>536.99999999999989</v>
      </c>
      <c r="K20" s="43"/>
      <c r="L20" s="43">
        <f>+J23</f>
        <v>536.99999999999989</v>
      </c>
      <c r="M20" s="43">
        <f>+L23</f>
        <v>536.99999999999989</v>
      </c>
      <c r="N20" s="43"/>
      <c r="O20" s="43">
        <v>537</v>
      </c>
      <c r="P20" s="43">
        <f>+O23</f>
        <v>537</v>
      </c>
    </row>
    <row r="21" spans="1:16">
      <c r="A21" s="17">
        <f t="shared" si="1"/>
        <v>12</v>
      </c>
      <c r="B21" s="84" t="s">
        <v>494</v>
      </c>
      <c r="D21" s="43">
        <v>35.64378</v>
      </c>
      <c r="E21" s="43">
        <v>24.020179999999876</v>
      </c>
      <c r="F21" s="43">
        <v>29</v>
      </c>
      <c r="G21" s="43">
        <v>25</v>
      </c>
      <c r="H21" s="43">
        <v>68.567149999999558</v>
      </c>
      <c r="I21" s="43">
        <v>141.00000000000045</v>
      </c>
      <c r="J21" s="43">
        <v>73</v>
      </c>
      <c r="K21" s="43"/>
      <c r="L21" s="43">
        <f>J21</f>
        <v>73</v>
      </c>
      <c r="M21" s="43">
        <f>L21</f>
        <v>73</v>
      </c>
      <c r="N21" s="43"/>
      <c r="O21" s="43">
        <f>-O22</f>
        <v>37</v>
      </c>
      <c r="P21" s="43">
        <f>-P22</f>
        <v>37</v>
      </c>
    </row>
    <row r="22" spans="1:16">
      <c r="A22" s="17">
        <f t="shared" si="1"/>
        <v>13</v>
      </c>
      <c r="B22" s="84" t="s">
        <v>495</v>
      </c>
      <c r="D22" s="410">
        <v>-35.64378</v>
      </c>
      <c r="E22" s="410">
        <v>-24.020180000000003</v>
      </c>
      <c r="F22" s="410">
        <v>-29</v>
      </c>
      <c r="G22" s="410">
        <v>-25</v>
      </c>
      <c r="H22" s="410">
        <v>-68.567149999999998</v>
      </c>
      <c r="I22" s="410">
        <v>-141</v>
      </c>
      <c r="J22" s="410">
        <v>-73</v>
      </c>
      <c r="K22" s="38"/>
      <c r="L22" s="411">
        <f>J22</f>
        <v>-73</v>
      </c>
      <c r="M22" s="411">
        <f>L22</f>
        <v>-73</v>
      </c>
      <c r="N22" s="38"/>
      <c r="O22" s="42">
        <v>-37</v>
      </c>
      <c r="P22" s="42">
        <v>-37</v>
      </c>
    </row>
    <row r="23" spans="1:16">
      <c r="A23" s="17">
        <f t="shared" si="1"/>
        <v>14</v>
      </c>
      <c r="B23" s="16" t="s">
        <v>496</v>
      </c>
      <c r="D23" s="56">
        <f t="shared" ref="D23:J23" si="3">SUM(D20:D22)</f>
        <v>537</v>
      </c>
      <c r="E23" s="56">
        <f t="shared" si="3"/>
        <v>536.99999999999989</v>
      </c>
      <c r="F23" s="56">
        <f t="shared" si="3"/>
        <v>536.99999999999989</v>
      </c>
      <c r="G23" s="56">
        <f t="shared" si="3"/>
        <v>536.99999999999989</v>
      </c>
      <c r="H23" s="56">
        <f t="shared" si="3"/>
        <v>536.99999999999943</v>
      </c>
      <c r="I23" s="56">
        <f t="shared" si="3"/>
        <v>536.99999999999989</v>
      </c>
      <c r="J23" s="56">
        <f t="shared" si="3"/>
        <v>536.99999999999989</v>
      </c>
      <c r="K23" s="43"/>
      <c r="L23" s="56">
        <f>SUM(L20:L22)</f>
        <v>536.99999999999989</v>
      </c>
      <c r="M23" s="56">
        <f>SUM(M20:M22)</f>
        <v>536.99999999999989</v>
      </c>
      <c r="N23" s="43"/>
      <c r="O23" s="56">
        <f>SUM(O20:O22)</f>
        <v>537</v>
      </c>
      <c r="P23" s="56">
        <f>SUM(P20:P22)</f>
        <v>537</v>
      </c>
    </row>
    <row r="24" spans="1:16">
      <c r="A24" s="17">
        <f t="shared" si="1"/>
        <v>15</v>
      </c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</row>
    <row r="25" spans="1:16" ht="16" thickBot="1">
      <c r="A25" s="17">
        <f t="shared" si="1"/>
        <v>16</v>
      </c>
      <c r="B25" s="16" t="s">
        <v>497</v>
      </c>
      <c r="C25" s="17" t="s">
        <v>498</v>
      </c>
      <c r="D25" s="59">
        <f>(D20+D23)/2</f>
        <v>537</v>
      </c>
      <c r="E25" s="59">
        <f t="shared" ref="E25:J25" si="4">(E20+E23)/2</f>
        <v>537</v>
      </c>
      <c r="F25" s="59">
        <f t="shared" si="4"/>
        <v>536.99999999999989</v>
      </c>
      <c r="G25" s="59">
        <f t="shared" si="4"/>
        <v>536.99999999999989</v>
      </c>
      <c r="H25" s="59">
        <f t="shared" si="4"/>
        <v>536.99999999999966</v>
      </c>
      <c r="I25" s="59">
        <f t="shared" si="4"/>
        <v>536.99999999999966</v>
      </c>
      <c r="J25" s="59">
        <f t="shared" si="4"/>
        <v>536.99999999999989</v>
      </c>
      <c r="K25" s="43"/>
      <c r="L25" s="59">
        <f>(L20+L23)/2</f>
        <v>536.99999999999989</v>
      </c>
      <c r="M25" s="59">
        <f>(M20+M23)/2</f>
        <v>536.99999999999989</v>
      </c>
      <c r="N25" s="43"/>
      <c r="O25" s="59">
        <f>(O20+O23)/2</f>
        <v>537</v>
      </c>
      <c r="P25" s="59">
        <f>(P20+P23)/2</f>
        <v>537</v>
      </c>
    </row>
    <row r="26" spans="1:16" ht="16" thickTop="1">
      <c r="A26" s="17">
        <f t="shared" si="1"/>
        <v>17</v>
      </c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</row>
    <row r="27" spans="1:16" ht="15" customHeight="1">
      <c r="A27" s="17">
        <f t="shared" si="1"/>
        <v>18</v>
      </c>
      <c r="B27" s="18" t="s">
        <v>490</v>
      </c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</row>
    <row r="28" spans="1:16" ht="15" customHeight="1">
      <c r="A28" s="17">
        <f t="shared" si="1"/>
        <v>19</v>
      </c>
      <c r="B28" s="16" t="s">
        <v>493</v>
      </c>
      <c r="D28" s="43">
        <v>134</v>
      </c>
      <c r="E28" s="43">
        <v>132</v>
      </c>
      <c r="F28" s="43">
        <v>124</v>
      </c>
      <c r="G28" s="43">
        <v>121</v>
      </c>
      <c r="H28" s="43">
        <v>116</v>
      </c>
      <c r="I28" s="43">
        <v>113</v>
      </c>
      <c r="J28" s="43">
        <v>108.20000000000002</v>
      </c>
      <c r="K28" s="43"/>
      <c r="L28" s="43">
        <f>+J31</f>
        <v>103.32000000000002</v>
      </c>
      <c r="M28" s="43">
        <f>+L31</f>
        <v>103.32000000000002</v>
      </c>
      <c r="N28" s="43"/>
      <c r="O28" s="43">
        <v>142</v>
      </c>
      <c r="P28" s="43">
        <f>+O31</f>
        <v>138</v>
      </c>
    </row>
    <row r="29" spans="1:16" ht="15" customHeight="1">
      <c r="A29" s="17">
        <f t="shared" si="1"/>
        <v>20</v>
      </c>
      <c r="B29" s="84" t="s">
        <v>494</v>
      </c>
      <c r="D29" s="43">
        <v>509</v>
      </c>
      <c r="E29" s="43">
        <v>505</v>
      </c>
      <c r="F29" s="43">
        <v>244</v>
      </c>
      <c r="G29" s="43">
        <v>244</v>
      </c>
      <c r="H29" s="43">
        <v>276</v>
      </c>
      <c r="I29" s="43">
        <v>251.9</v>
      </c>
      <c r="J29" s="43">
        <v>204</v>
      </c>
      <c r="K29" s="43"/>
      <c r="L29" s="43">
        <f>J29</f>
        <v>204</v>
      </c>
      <c r="M29" s="43">
        <f>L29</f>
        <v>204</v>
      </c>
      <c r="N29" s="43"/>
      <c r="O29" s="43">
        <v>505</v>
      </c>
      <c r="P29" s="43">
        <f>O29</f>
        <v>505</v>
      </c>
    </row>
    <row r="30" spans="1:16">
      <c r="A30" s="17">
        <f t="shared" si="1"/>
        <v>21</v>
      </c>
      <c r="B30" s="84" t="s">
        <v>495</v>
      </c>
      <c r="D30" s="56">
        <v>-511</v>
      </c>
      <c r="E30" s="56">
        <v>-513</v>
      </c>
      <c r="F30" s="56">
        <v>-247</v>
      </c>
      <c r="G30" s="56">
        <v>-249</v>
      </c>
      <c r="H30" s="56">
        <v>-279</v>
      </c>
      <c r="I30" s="56">
        <v>-256.7</v>
      </c>
      <c r="J30" s="56">
        <v>-208.88</v>
      </c>
      <c r="K30" s="38"/>
      <c r="L30" s="42">
        <f>-L29</f>
        <v>-204</v>
      </c>
      <c r="M30" s="42">
        <f>L30</f>
        <v>-204</v>
      </c>
      <c r="N30" s="38"/>
      <c r="O30" s="42">
        <v>-509</v>
      </c>
      <c r="P30" s="42">
        <f>O30</f>
        <v>-509</v>
      </c>
    </row>
    <row r="31" spans="1:16">
      <c r="A31" s="17">
        <f t="shared" si="1"/>
        <v>22</v>
      </c>
      <c r="B31" s="16" t="s">
        <v>496</v>
      </c>
      <c r="D31" s="56">
        <f t="shared" ref="D31:J31" si="5">D30+D29+D28</f>
        <v>132</v>
      </c>
      <c r="E31" s="56">
        <f t="shared" si="5"/>
        <v>124</v>
      </c>
      <c r="F31" s="56">
        <f t="shared" si="5"/>
        <v>121</v>
      </c>
      <c r="G31" s="56">
        <f t="shared" si="5"/>
        <v>116</v>
      </c>
      <c r="H31" s="56">
        <f t="shared" si="5"/>
        <v>113</v>
      </c>
      <c r="I31" s="56">
        <f t="shared" si="5"/>
        <v>108.20000000000002</v>
      </c>
      <c r="J31" s="56">
        <f t="shared" si="5"/>
        <v>103.32000000000002</v>
      </c>
      <c r="K31" s="43"/>
      <c r="L31" s="56">
        <f>L30+L29+L28</f>
        <v>103.32000000000002</v>
      </c>
      <c r="M31" s="56">
        <f>M30+M29+M28</f>
        <v>103.32000000000002</v>
      </c>
      <c r="N31" s="43"/>
      <c r="O31" s="56">
        <f>O30+O29+O28</f>
        <v>138</v>
      </c>
      <c r="P31" s="56">
        <f>P30+P29+P28</f>
        <v>134</v>
      </c>
    </row>
    <row r="32" spans="1:16">
      <c r="A32" s="17">
        <f t="shared" si="1"/>
        <v>23</v>
      </c>
      <c r="B32" s="36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</row>
    <row r="33" spans="1:18" ht="16" thickBot="1">
      <c r="A33" s="17">
        <f t="shared" si="1"/>
        <v>24</v>
      </c>
      <c r="B33" s="16" t="s">
        <v>497</v>
      </c>
      <c r="C33" s="17" t="s">
        <v>499</v>
      </c>
      <c r="D33" s="59">
        <f>(D31+D28)/2</f>
        <v>133</v>
      </c>
      <c r="E33" s="59">
        <f t="shared" ref="E33:I33" si="6">(E31+E28)/2</f>
        <v>128</v>
      </c>
      <c r="F33" s="59">
        <f t="shared" si="6"/>
        <v>122.5</v>
      </c>
      <c r="G33" s="59">
        <f t="shared" si="6"/>
        <v>118.5</v>
      </c>
      <c r="H33" s="59">
        <f t="shared" si="6"/>
        <v>114.5</v>
      </c>
      <c r="I33" s="59">
        <f t="shared" si="6"/>
        <v>110.60000000000001</v>
      </c>
      <c r="J33" s="59">
        <f>(J31+J28)/2</f>
        <v>105.76000000000002</v>
      </c>
      <c r="K33" s="43"/>
      <c r="L33" s="59">
        <f>(L31+L28)/2</f>
        <v>103.32000000000002</v>
      </c>
      <c r="M33" s="59">
        <f>(M31+M28)/2</f>
        <v>103.32000000000002</v>
      </c>
      <c r="N33" s="43"/>
      <c r="O33" s="59">
        <f>(O31+O28)/2</f>
        <v>140</v>
      </c>
      <c r="P33" s="59">
        <f>(P31+P28)/2</f>
        <v>136</v>
      </c>
    </row>
    <row r="34" spans="1:18" ht="16" thickTop="1">
      <c r="A34" s="17">
        <f t="shared" si="1"/>
        <v>25</v>
      </c>
      <c r="B34" s="36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</row>
    <row r="35" spans="1:18">
      <c r="A35" s="17">
        <f t="shared" si="1"/>
        <v>26</v>
      </c>
      <c r="B35" s="18" t="s">
        <v>491</v>
      </c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</row>
    <row r="36" spans="1:18">
      <c r="A36" s="17">
        <f t="shared" si="1"/>
        <v>27</v>
      </c>
      <c r="B36" s="16" t="s">
        <v>493</v>
      </c>
      <c r="D36" s="43">
        <v>-23</v>
      </c>
      <c r="E36" s="43">
        <f t="shared" ref="E36:J36" si="7">D39</f>
        <v>88.5</v>
      </c>
      <c r="F36" s="43">
        <f t="shared" si="7"/>
        <v>100</v>
      </c>
      <c r="G36" s="43">
        <f t="shared" si="7"/>
        <v>211.5</v>
      </c>
      <c r="H36" s="43">
        <f t="shared" si="7"/>
        <v>323</v>
      </c>
      <c r="I36" s="43">
        <f t="shared" si="7"/>
        <v>434.5</v>
      </c>
      <c r="J36" s="43">
        <f t="shared" si="7"/>
        <v>546</v>
      </c>
      <c r="K36" s="43"/>
      <c r="L36" s="43">
        <f>+J39</f>
        <v>657.5</v>
      </c>
      <c r="M36" s="43">
        <f>+L39</f>
        <v>378.75</v>
      </c>
      <c r="N36" s="43"/>
      <c r="O36" s="43">
        <v>-23</v>
      </c>
      <c r="P36" s="43">
        <f>+O39</f>
        <v>-11.5</v>
      </c>
    </row>
    <row r="37" spans="1:18">
      <c r="A37" s="17">
        <f t="shared" si="1"/>
        <v>28</v>
      </c>
      <c r="B37" s="84" t="s">
        <v>500</v>
      </c>
      <c r="D37" s="43">
        <v>111.5</v>
      </c>
      <c r="E37" s="43">
        <v>111.5</v>
      </c>
      <c r="F37" s="43">
        <v>111.5</v>
      </c>
      <c r="G37" s="43">
        <v>111.5</v>
      </c>
      <c r="H37" s="43">
        <v>111.5</v>
      </c>
      <c r="I37" s="43">
        <v>111.5</v>
      </c>
      <c r="J37" s="43">
        <v>111.5</v>
      </c>
      <c r="K37" s="43"/>
      <c r="L37" s="43">
        <v>-278.75</v>
      </c>
      <c r="M37" s="43">
        <v>-279</v>
      </c>
      <c r="N37" s="43"/>
      <c r="O37" s="43">
        <v>111.5</v>
      </c>
      <c r="P37" s="43">
        <v>111.5</v>
      </c>
      <c r="R37" s="306"/>
    </row>
    <row r="38" spans="1:18">
      <c r="A38" s="17">
        <f t="shared" si="1"/>
        <v>29</v>
      </c>
      <c r="B38" s="84" t="s">
        <v>501</v>
      </c>
      <c r="D38" s="56">
        <v>0</v>
      </c>
      <c r="E38" s="56">
        <v>-100</v>
      </c>
      <c r="F38" s="56">
        <v>0</v>
      </c>
      <c r="G38" s="56">
        <v>0</v>
      </c>
      <c r="H38" s="56">
        <v>0</v>
      </c>
      <c r="I38" s="56">
        <v>0</v>
      </c>
      <c r="J38" s="56">
        <v>0</v>
      </c>
      <c r="K38" s="43"/>
      <c r="L38" s="56">
        <v>0</v>
      </c>
      <c r="M38" s="56">
        <v>0</v>
      </c>
      <c r="N38" s="43"/>
      <c r="O38" s="56">
        <v>-100</v>
      </c>
      <c r="P38" s="56">
        <v>-100</v>
      </c>
    </row>
    <row r="39" spans="1:18">
      <c r="A39" s="17">
        <f t="shared" si="1"/>
        <v>30</v>
      </c>
      <c r="B39" s="16" t="s">
        <v>496</v>
      </c>
      <c r="D39" s="56">
        <f t="shared" ref="D39:J39" si="8">D36+D37+D38:D38</f>
        <v>88.5</v>
      </c>
      <c r="E39" s="56">
        <f>E36+E37+E38:E38</f>
        <v>100</v>
      </c>
      <c r="F39" s="56">
        <f t="shared" si="8"/>
        <v>211.5</v>
      </c>
      <c r="G39" s="56">
        <f t="shared" si="8"/>
        <v>323</v>
      </c>
      <c r="H39" s="56">
        <f t="shared" si="8"/>
        <v>434.5</v>
      </c>
      <c r="I39" s="56">
        <f t="shared" si="8"/>
        <v>546</v>
      </c>
      <c r="J39" s="56">
        <f t="shared" si="8"/>
        <v>657.5</v>
      </c>
      <c r="K39" s="43"/>
      <c r="L39" s="56">
        <f>L36+L37+L38:L38</f>
        <v>378.75</v>
      </c>
      <c r="M39" s="56">
        <f>M36+M37+M38:M38</f>
        <v>99.75</v>
      </c>
      <c r="N39" s="43"/>
      <c r="O39" s="56">
        <f>O36+O37+O38:O38</f>
        <v>-11.5</v>
      </c>
      <c r="P39" s="56">
        <f>P36+P37+P38:P38</f>
        <v>0</v>
      </c>
    </row>
    <row r="40" spans="1:18">
      <c r="A40" s="17">
        <f t="shared" si="1"/>
        <v>31</v>
      </c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1:18" ht="16" thickBot="1">
      <c r="A41" s="17">
        <f t="shared" si="1"/>
        <v>32</v>
      </c>
      <c r="B41" s="16" t="s">
        <v>497</v>
      </c>
      <c r="C41" s="17" t="s">
        <v>502</v>
      </c>
      <c r="D41" s="59">
        <f>(D39+D36)/2</f>
        <v>32.75</v>
      </c>
      <c r="E41" s="59">
        <f t="shared" ref="E41:J41" si="9">(E39+E36)/2</f>
        <v>94.25</v>
      </c>
      <c r="F41" s="59">
        <f t="shared" si="9"/>
        <v>155.75</v>
      </c>
      <c r="G41" s="59">
        <f t="shared" si="9"/>
        <v>267.25</v>
      </c>
      <c r="H41" s="59">
        <f t="shared" si="9"/>
        <v>378.75</v>
      </c>
      <c r="I41" s="59">
        <f t="shared" si="9"/>
        <v>490.25</v>
      </c>
      <c r="J41" s="59">
        <f t="shared" si="9"/>
        <v>601.75</v>
      </c>
      <c r="K41" s="43"/>
      <c r="L41" s="59">
        <f>(L39+L36)/2</f>
        <v>518.125</v>
      </c>
      <c r="M41" s="59">
        <f>(M39+M36)/2</f>
        <v>239.25</v>
      </c>
      <c r="N41" s="43"/>
      <c r="O41" s="59">
        <f>(O39+O36)/2</f>
        <v>-17.25</v>
      </c>
      <c r="P41" s="59">
        <f>(P39+P36)/2</f>
        <v>-5.75</v>
      </c>
    </row>
    <row r="42" spans="1:18" ht="16" thickTop="1">
      <c r="A42" s="17"/>
      <c r="B42" s="28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</row>
    <row r="43" spans="1:18">
      <c r="J43" s="43"/>
    </row>
    <row r="46" spans="1:18">
      <c r="J46" s="43"/>
      <c r="L46" s="152"/>
    </row>
    <row r="47" spans="1:18">
      <c r="L47" s="152"/>
    </row>
  </sheetData>
  <mergeCells count="4">
    <mergeCell ref="O7:P7"/>
    <mergeCell ref="L7:M7"/>
    <mergeCell ref="D7:J7"/>
    <mergeCell ref="A4:P4"/>
  </mergeCells>
  <phoneticPr fontId="10" type="noConversion"/>
  <printOptions horizontalCentered="1"/>
  <pageMargins left="0.5" right="0.5" top="0.75" bottom="0.75" header="0.5" footer="0.5"/>
  <pageSetup scale="54" orientation="landscape" useFirstPageNumber="1" r:id="rId1"/>
  <headerFooter alignWithMargins="0">
    <oddHeader>&amp;R&amp;"Arial,Bold"Schedule 8.4
Page &amp;P of 1</oddHeader>
  </headerFooter>
  <ignoredErrors>
    <ignoredError sqref="A5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>
    <pageSetUpPr fitToPage="1"/>
  </sheetPr>
  <dimension ref="A1:AL62"/>
  <sheetViews>
    <sheetView zoomScale="90" zoomScaleNormal="90" zoomScaleSheetLayoutView="100" workbookViewId="0">
      <selection activeCell="W14" sqref="W14"/>
    </sheetView>
  </sheetViews>
  <sheetFormatPr defaultColWidth="7.54296875" defaultRowHeight="15.5"/>
  <cols>
    <col min="1" max="1" width="6" style="16" bestFit="1" customWidth="1"/>
    <col min="2" max="2" width="42" style="16" customWidth="1"/>
    <col min="3" max="3" width="19.81640625" style="17" customWidth="1"/>
    <col min="4" max="4" width="11.54296875" style="17" bestFit="1" customWidth="1"/>
    <col min="5" max="7" width="11.54296875" style="16" bestFit="1" customWidth="1"/>
    <col min="8" max="8" width="12.81640625" style="16" bestFit="1" customWidth="1"/>
    <col min="9" max="10" width="11.54296875" style="16" bestFit="1" customWidth="1"/>
    <col min="11" max="11" width="2" style="16" customWidth="1"/>
    <col min="12" max="12" width="12.7265625" style="16" customWidth="1"/>
    <col min="13" max="13" width="2.453125" style="16" customWidth="1"/>
    <col min="14" max="14" width="12.7265625" style="16" customWidth="1"/>
    <col min="15" max="15" width="2.1796875" style="16" customWidth="1"/>
    <col min="16" max="16" width="12.7265625" style="16" customWidth="1"/>
    <col min="17" max="17" width="2.1796875" style="16" customWidth="1"/>
    <col min="18" max="18" width="12.7265625" style="16" customWidth="1"/>
    <col min="19" max="19" width="2.1796875" style="16" customWidth="1"/>
    <col min="20" max="20" width="7.54296875" style="16"/>
    <col min="21" max="21" width="9.453125" style="16" bestFit="1" customWidth="1"/>
    <col min="22" max="23" width="7.54296875" style="16"/>
    <col min="24" max="28" width="16.1796875" style="16" bestFit="1" customWidth="1"/>
    <col min="29" max="29" width="14.7265625" style="16" bestFit="1" customWidth="1"/>
    <col min="30" max="30" width="16.1796875" style="16" bestFit="1" customWidth="1"/>
    <col min="31" max="31" width="7.54296875" style="16"/>
    <col min="32" max="32" width="16.1796875" style="16" bestFit="1" customWidth="1"/>
    <col min="33" max="33" width="7.54296875" style="16"/>
    <col min="34" max="34" width="14.7265625" style="16" bestFit="1" customWidth="1"/>
    <col min="35" max="35" width="7.54296875" style="16"/>
    <col min="36" max="36" width="13.453125" style="16" bestFit="1" customWidth="1"/>
    <col min="37" max="37" width="7.54296875" style="16"/>
    <col min="38" max="38" width="13.453125" style="16" bestFit="1" customWidth="1"/>
    <col min="39" max="16384" width="7.54296875" style="16"/>
  </cols>
  <sheetData>
    <row r="1" spans="1:21">
      <c r="A1" s="520" t="str">
        <f>'S1.1'!A1</f>
        <v>ATCO Electric Yukon (AEY)</v>
      </c>
      <c r="B1" s="520"/>
      <c r="C1" s="520"/>
      <c r="D1" s="520"/>
      <c r="E1" s="520"/>
      <c r="F1" s="520"/>
      <c r="G1" s="520"/>
      <c r="H1" s="520"/>
      <c r="I1" s="520"/>
      <c r="J1" s="520"/>
      <c r="K1" s="520"/>
      <c r="L1" s="520"/>
      <c r="M1" s="520"/>
      <c r="N1" s="520"/>
      <c r="O1" s="520"/>
      <c r="P1" s="520"/>
      <c r="Q1" s="520"/>
      <c r="R1" s="520"/>
      <c r="S1" s="31"/>
    </row>
    <row r="2" spans="1:21">
      <c r="A2" s="520" t="str">
        <f>'S1.1'!A2</f>
        <v>2023 - 2024 General Rate Application (GRA)</v>
      </c>
      <c r="B2" s="520"/>
      <c r="C2" s="520"/>
      <c r="D2" s="520"/>
      <c r="E2" s="520"/>
      <c r="F2" s="520"/>
      <c r="G2" s="520"/>
      <c r="H2" s="520"/>
      <c r="I2" s="520"/>
      <c r="J2" s="520"/>
      <c r="K2" s="520"/>
      <c r="L2" s="520"/>
      <c r="M2" s="520"/>
      <c r="N2" s="520"/>
      <c r="O2" s="520"/>
      <c r="P2" s="520"/>
      <c r="Q2" s="520"/>
      <c r="R2" s="520"/>
      <c r="S2" s="31"/>
    </row>
    <row r="3" spans="1:2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31"/>
    </row>
    <row r="4" spans="1:21">
      <c r="A4" s="520" t="s">
        <v>503</v>
      </c>
      <c r="B4" s="520"/>
      <c r="C4" s="520"/>
      <c r="D4" s="520"/>
      <c r="E4" s="520"/>
      <c r="F4" s="520"/>
      <c r="G4" s="520"/>
      <c r="H4" s="520"/>
      <c r="I4" s="520"/>
      <c r="J4" s="520"/>
      <c r="K4" s="520"/>
      <c r="L4" s="520"/>
      <c r="M4" s="520"/>
      <c r="N4" s="520"/>
      <c r="O4" s="520"/>
      <c r="P4" s="520"/>
      <c r="Q4" s="520"/>
      <c r="R4" s="520"/>
      <c r="S4" s="6"/>
    </row>
    <row r="5" spans="1:21">
      <c r="A5" s="518" t="s">
        <v>6</v>
      </c>
      <c r="B5" s="518"/>
      <c r="C5" s="518"/>
      <c r="D5" s="518"/>
      <c r="E5" s="518"/>
      <c r="F5" s="518"/>
      <c r="G5" s="518"/>
      <c r="H5" s="518"/>
      <c r="I5" s="518"/>
      <c r="J5" s="518"/>
      <c r="K5" s="518"/>
      <c r="L5" s="518"/>
      <c r="M5" s="518"/>
      <c r="N5" s="518"/>
      <c r="O5" s="518"/>
      <c r="P5" s="518"/>
      <c r="Q5" s="518"/>
      <c r="R5" s="518"/>
      <c r="S5" s="6"/>
    </row>
    <row r="6" spans="1:21">
      <c r="A6" s="14"/>
      <c r="B6" s="15"/>
    </row>
    <row r="7" spans="1:21">
      <c r="A7" s="6" t="s">
        <v>7</v>
      </c>
      <c r="B7" s="6"/>
      <c r="C7" s="6" t="s">
        <v>8</v>
      </c>
      <c r="D7" s="519" t="s">
        <v>9</v>
      </c>
      <c r="E7" s="519"/>
      <c r="F7" s="519"/>
      <c r="G7" s="519"/>
      <c r="H7" s="519"/>
      <c r="I7" s="519"/>
      <c r="J7" s="519"/>
      <c r="K7" s="6"/>
      <c r="L7" s="520" t="s">
        <v>10</v>
      </c>
      <c r="M7" s="520"/>
      <c r="N7" s="520"/>
      <c r="O7" s="18"/>
      <c r="P7" s="519" t="s">
        <v>11</v>
      </c>
      <c r="Q7" s="519"/>
      <c r="R7" s="519"/>
      <c r="S7" s="6"/>
    </row>
    <row r="8" spans="1:21">
      <c r="A8" s="7" t="s">
        <v>12</v>
      </c>
      <c r="B8" s="7" t="s">
        <v>13</v>
      </c>
      <c r="C8" s="7" t="s">
        <v>14</v>
      </c>
      <c r="D8" s="7">
        <v>2016</v>
      </c>
      <c r="E8" s="7">
        <v>2017</v>
      </c>
      <c r="F8" s="7">
        <v>2018</v>
      </c>
      <c r="G8" s="7">
        <v>2019</v>
      </c>
      <c r="H8" s="7">
        <v>2020</v>
      </c>
      <c r="I8" s="7">
        <v>2021</v>
      </c>
      <c r="J8" s="7">
        <v>2022</v>
      </c>
      <c r="K8" s="6"/>
      <c r="L8" s="240">
        <v>2023</v>
      </c>
      <c r="M8" s="240"/>
      <c r="N8" s="240">
        <v>2024</v>
      </c>
      <c r="O8" s="6"/>
      <c r="P8" s="7">
        <v>2016</v>
      </c>
      <c r="Q8" s="6"/>
      <c r="R8" s="7">
        <v>2017</v>
      </c>
      <c r="S8" s="6"/>
    </row>
    <row r="10" spans="1:21">
      <c r="A10" s="17">
        <v>1</v>
      </c>
      <c r="B10" s="18" t="s">
        <v>504</v>
      </c>
      <c r="H10" s="29"/>
      <c r="I10" s="29"/>
      <c r="O10" s="29"/>
      <c r="P10" s="29"/>
      <c r="Q10" s="29"/>
      <c r="R10" s="29"/>
    </row>
    <row r="11" spans="1:21">
      <c r="A11" s="17">
        <f t="shared" ref="A11:A33" si="0">A10+1</f>
        <v>2</v>
      </c>
      <c r="B11" s="16" t="s">
        <v>505</v>
      </c>
      <c r="C11" s="17" t="s">
        <v>506</v>
      </c>
      <c r="D11" s="29">
        <f>'S8.6 '!D23</f>
        <v>220250.61741000001</v>
      </c>
      <c r="E11" s="29">
        <f>'S8.6 '!E23</f>
        <v>229950.6378519529</v>
      </c>
      <c r="F11" s="29">
        <f>'S8.6 '!F23</f>
        <v>238617.50858178455</v>
      </c>
      <c r="G11" s="29">
        <f>'S8.6 '!G23</f>
        <v>248650.91927683979</v>
      </c>
      <c r="H11" s="29">
        <f>'S8.6 '!H23</f>
        <v>259364.85853566974</v>
      </c>
      <c r="I11" s="29">
        <f>'S8.6 '!I23</f>
        <v>273797.9351476173</v>
      </c>
      <c r="J11" s="29">
        <f>'S8.6 '!J23</f>
        <v>290957.57140903757</v>
      </c>
      <c r="K11" s="29"/>
      <c r="L11" s="29">
        <f>'S8.6 '!L23</f>
        <v>319684.02644191822</v>
      </c>
      <c r="M11" s="29"/>
      <c r="N11" s="29">
        <f>'S8.6 '!N23</f>
        <v>343172.55423789402</v>
      </c>
      <c r="O11" s="29"/>
      <c r="P11" s="29">
        <v>220326.39376971955</v>
      </c>
      <c r="Q11" s="29"/>
      <c r="R11" s="29">
        <v>232056.08162500983</v>
      </c>
      <c r="U11" s="29"/>
    </row>
    <row r="12" spans="1:21">
      <c r="A12" s="17">
        <f t="shared" si="0"/>
        <v>3</v>
      </c>
      <c r="B12" s="16" t="s">
        <v>507</v>
      </c>
      <c r="D12" s="16"/>
    </row>
    <row r="13" spans="1:21">
      <c r="A13" s="17">
        <f t="shared" si="0"/>
        <v>4</v>
      </c>
      <c r="B13" s="16" t="s">
        <v>508</v>
      </c>
      <c r="C13" s="17" t="s">
        <v>509</v>
      </c>
      <c r="D13" s="29">
        <f>'S8.6 '!D34</f>
        <v>82737.687190000011</v>
      </c>
      <c r="E13" s="29">
        <f>'S8.6 '!E34</f>
        <v>87515.668390000006</v>
      </c>
      <c r="F13" s="29">
        <f>'S8.6 '!F34</f>
        <v>92688.542809999999</v>
      </c>
      <c r="G13" s="29">
        <f>'S8.6 '!G34</f>
        <v>95014.087350000002</v>
      </c>
      <c r="H13" s="29">
        <f>'S8.6 '!H34</f>
        <v>99074.480750000002</v>
      </c>
      <c r="I13" s="29">
        <f>'S8.6 '!I34</f>
        <v>105178.84291000001</v>
      </c>
      <c r="J13" s="29">
        <f>'S8.6 '!J34</f>
        <v>110104.12124000001</v>
      </c>
      <c r="K13" s="29"/>
      <c r="L13" s="29">
        <f>'S8.6 '!L34</f>
        <v>116196.68357037941</v>
      </c>
      <c r="M13" s="29"/>
      <c r="N13" s="29">
        <f>'S8.6 '!N34</f>
        <v>124781.67839843879</v>
      </c>
      <c r="O13" s="29"/>
      <c r="P13" s="29">
        <v>82558.706912000009</v>
      </c>
      <c r="Q13" s="29"/>
      <c r="R13" s="29">
        <v>88088.997894000015</v>
      </c>
      <c r="U13" s="29"/>
    </row>
    <row r="14" spans="1:21">
      <c r="A14" s="17">
        <f t="shared" si="0"/>
        <v>5</v>
      </c>
      <c r="B14" s="16" t="s">
        <v>510</v>
      </c>
      <c r="C14" s="17" t="s">
        <v>511</v>
      </c>
      <c r="D14" s="143">
        <f>'S8.6 '!D21</f>
        <v>4266.0120562000011</v>
      </c>
      <c r="E14" s="143">
        <f>'S8.6 '!E21</f>
        <v>6348.5811519529161</v>
      </c>
      <c r="F14" s="143">
        <f>'S8.6 '!F21</f>
        <v>4680.795471784566</v>
      </c>
      <c r="G14" s="143">
        <f>'S8.6 '!G21</f>
        <v>8227.0216817845703</v>
      </c>
      <c r="H14" s="143">
        <f>'S8.6 '!H21</f>
        <v>9334.7018217845725</v>
      </c>
      <c r="I14" s="143">
        <f>'S8.6 '!I21</f>
        <v>13467.09460059481</v>
      </c>
      <c r="J14" s="143">
        <f>'S8.6 '!J21</f>
        <v>16524.198081180999</v>
      </c>
      <c r="K14" s="143"/>
      <c r="L14" s="143">
        <f>'S8.6 '!L21</f>
        <v>13024.977039546837</v>
      </c>
      <c r="M14" s="143"/>
      <c r="N14" s="143">
        <f>'S8.6 '!N21</f>
        <v>6318.326552589162</v>
      </c>
      <c r="O14" s="143"/>
      <c r="P14" s="143">
        <v>2374.6566969883784</v>
      </c>
      <c r="Q14" s="143"/>
      <c r="R14" s="143">
        <v>2785.8320327982547</v>
      </c>
      <c r="S14" s="35"/>
      <c r="U14" s="29"/>
    </row>
    <row r="15" spans="1:21">
      <c r="A15" s="17">
        <f t="shared" si="0"/>
        <v>6</v>
      </c>
      <c r="B15" s="16" t="s">
        <v>512</v>
      </c>
      <c r="D15" s="127">
        <f>SUM(D13:D14)</f>
        <v>87003.699246200005</v>
      </c>
      <c r="E15" s="127">
        <f t="shared" ref="E15:N15" si="1">SUM(E13:E14)</f>
        <v>93864.249541952915</v>
      </c>
      <c r="F15" s="127">
        <f t="shared" si="1"/>
        <v>97369.33828178457</v>
      </c>
      <c r="G15" s="127">
        <f t="shared" si="1"/>
        <v>103241.10903178457</v>
      </c>
      <c r="H15" s="127">
        <f t="shared" si="1"/>
        <v>108409.18257178458</v>
      </c>
      <c r="I15" s="127">
        <f t="shared" si="1"/>
        <v>118645.93751059481</v>
      </c>
      <c r="J15" s="127">
        <f t="shared" si="1"/>
        <v>126628.31932118101</v>
      </c>
      <c r="K15" s="29"/>
      <c r="L15" s="127">
        <f t="shared" si="1"/>
        <v>129221.66060992624</v>
      </c>
      <c r="M15" s="29"/>
      <c r="N15" s="127">
        <f t="shared" si="1"/>
        <v>131100.00495102795</v>
      </c>
      <c r="O15" s="29"/>
      <c r="P15" s="127">
        <v>84933.36360898838</v>
      </c>
      <c r="Q15" s="29"/>
      <c r="R15" s="127">
        <v>90874.829926798266</v>
      </c>
    </row>
    <row r="16" spans="1:21">
      <c r="A16" s="17">
        <f t="shared" si="0"/>
        <v>7</v>
      </c>
      <c r="B16" s="18" t="s">
        <v>513</v>
      </c>
      <c r="D16" s="16"/>
    </row>
    <row r="17" spans="1:24">
      <c r="A17" s="17">
        <f t="shared" si="0"/>
        <v>8</v>
      </c>
      <c r="B17" s="16" t="s">
        <v>514</v>
      </c>
      <c r="D17" s="29">
        <f>D11-D15</f>
        <v>133246.9181638</v>
      </c>
      <c r="E17" s="29">
        <f t="shared" ref="E17:J17" si="2">E11-E15</f>
        <v>136086.38830999998</v>
      </c>
      <c r="F17" s="29">
        <f t="shared" si="2"/>
        <v>141248.1703</v>
      </c>
      <c r="G17" s="29">
        <f t="shared" si="2"/>
        <v>145409.81024505524</v>
      </c>
      <c r="H17" s="29">
        <f t="shared" si="2"/>
        <v>150955.67596388515</v>
      </c>
      <c r="I17" s="29">
        <f>I11-I15</f>
        <v>155151.99763702249</v>
      </c>
      <c r="J17" s="29">
        <f t="shared" si="2"/>
        <v>164329.25208785656</v>
      </c>
      <c r="K17" s="29"/>
      <c r="L17" s="29">
        <f>L11-L15</f>
        <v>190462.36583199198</v>
      </c>
      <c r="M17" s="29"/>
      <c r="N17" s="29">
        <f>N11-N15</f>
        <v>212072.54928686607</v>
      </c>
      <c r="O17" s="29"/>
      <c r="P17" s="29">
        <v>135393.03016073117</v>
      </c>
      <c r="Q17" s="29"/>
      <c r="R17" s="29">
        <v>141181.25169821156</v>
      </c>
      <c r="U17" s="29"/>
    </row>
    <row r="18" spans="1:24">
      <c r="A18" s="17">
        <f t="shared" si="0"/>
        <v>9</v>
      </c>
      <c r="B18" s="16" t="s">
        <v>515</v>
      </c>
      <c r="D18" s="29">
        <v>126922.76595</v>
      </c>
      <c r="E18" s="29">
        <f t="shared" ref="E18:J18" si="3">+D17</f>
        <v>133246.9181638</v>
      </c>
      <c r="F18" s="29">
        <f t="shared" si="3"/>
        <v>136086.38830999998</v>
      </c>
      <c r="G18" s="29">
        <f t="shared" si="3"/>
        <v>141248.1703</v>
      </c>
      <c r="H18" s="29">
        <f t="shared" si="3"/>
        <v>145409.81024505524</v>
      </c>
      <c r="I18" s="29">
        <f t="shared" si="3"/>
        <v>150955.67596388515</v>
      </c>
      <c r="J18" s="29">
        <f t="shared" si="3"/>
        <v>155151.99763702249</v>
      </c>
      <c r="K18" s="29"/>
      <c r="L18" s="29">
        <f>J17</f>
        <v>164329.25208785656</v>
      </c>
      <c r="M18" s="29"/>
      <c r="N18" s="29">
        <f>L17</f>
        <v>190462.36583199198</v>
      </c>
      <c r="O18" s="29"/>
      <c r="P18" s="29">
        <v>126920.85138000001</v>
      </c>
      <c r="Q18" s="29"/>
      <c r="R18" s="29">
        <v>135393.03016073117</v>
      </c>
      <c r="U18" s="29"/>
    </row>
    <row r="19" spans="1:24">
      <c r="A19" s="17">
        <f t="shared" si="0"/>
        <v>10</v>
      </c>
      <c r="B19" s="16" t="s">
        <v>85</v>
      </c>
      <c r="D19" s="127">
        <f t="shared" ref="D19:J19" si="4">SUM(D17:D18)</f>
        <v>260169.6841138</v>
      </c>
      <c r="E19" s="127">
        <f t="shared" si="4"/>
        <v>269333.30647379998</v>
      </c>
      <c r="F19" s="127">
        <f t="shared" si="4"/>
        <v>277334.55860999995</v>
      </c>
      <c r="G19" s="127">
        <f t="shared" si="4"/>
        <v>286657.98054505524</v>
      </c>
      <c r="H19" s="127">
        <f t="shared" si="4"/>
        <v>296365.48620894039</v>
      </c>
      <c r="I19" s="127">
        <f t="shared" si="4"/>
        <v>306107.67360090767</v>
      </c>
      <c r="J19" s="127">
        <f t="shared" si="4"/>
        <v>319481.24972487905</v>
      </c>
      <c r="K19" s="29"/>
      <c r="L19" s="127">
        <f t="shared" ref="L19" si="5">SUM(L17:L18)</f>
        <v>354791.61791984853</v>
      </c>
      <c r="M19" s="29"/>
      <c r="N19" s="127">
        <f t="shared" ref="N19" si="6">SUM(N17:N18)</f>
        <v>402534.91511885804</v>
      </c>
      <c r="O19" s="29"/>
      <c r="P19" s="127">
        <v>262313.88154073118</v>
      </c>
      <c r="Q19" s="29"/>
      <c r="R19" s="127">
        <v>276574.2818589427</v>
      </c>
    </row>
    <row r="20" spans="1:24">
      <c r="A20" s="17">
        <f t="shared" si="0"/>
        <v>11</v>
      </c>
      <c r="D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</row>
    <row r="21" spans="1:24">
      <c r="A21" s="17">
        <f t="shared" si="0"/>
        <v>12</v>
      </c>
      <c r="B21" s="16" t="s">
        <v>497</v>
      </c>
      <c r="D21" s="29">
        <f>ROUND(D19/2,0)</f>
        <v>130085</v>
      </c>
      <c r="E21" s="29">
        <f t="shared" ref="E21:J21" si="7">ROUND(E19/2,0)</f>
        <v>134667</v>
      </c>
      <c r="F21" s="29">
        <f t="shared" si="7"/>
        <v>138667</v>
      </c>
      <c r="G21" s="29">
        <f t="shared" si="7"/>
        <v>143329</v>
      </c>
      <c r="H21" s="29">
        <f t="shared" si="7"/>
        <v>148183</v>
      </c>
      <c r="I21" s="29">
        <f t="shared" si="7"/>
        <v>153054</v>
      </c>
      <c r="J21" s="29">
        <f t="shared" si="7"/>
        <v>159741</v>
      </c>
      <c r="K21" s="29"/>
      <c r="L21" s="29">
        <f>ROUND(L19/2,0)</f>
        <v>177396</v>
      </c>
      <c r="M21" s="29"/>
      <c r="N21" s="29">
        <f>ROUND(N19/2,0)</f>
        <v>201267</v>
      </c>
      <c r="O21" s="29"/>
      <c r="P21" s="29">
        <v>131157</v>
      </c>
      <c r="Q21" s="29"/>
      <c r="R21" s="29">
        <v>138287</v>
      </c>
      <c r="U21" s="29"/>
    </row>
    <row r="22" spans="1:24">
      <c r="A22" s="17">
        <f t="shared" si="0"/>
        <v>13</v>
      </c>
      <c r="D22" s="16"/>
      <c r="U22" s="29"/>
    </row>
    <row r="23" spans="1:24">
      <c r="A23" s="17">
        <f t="shared" si="0"/>
        <v>14</v>
      </c>
      <c r="B23" s="120" t="s">
        <v>516</v>
      </c>
      <c r="C23" s="17" t="s">
        <v>517</v>
      </c>
      <c r="D23" s="29">
        <f>'S8.8 '!D26</f>
        <v>424.48</v>
      </c>
      <c r="E23" s="29">
        <f>'S8.8 '!E26</f>
        <v>261.26</v>
      </c>
      <c r="F23" s="29">
        <f>'S8.8 '!F26</f>
        <v>1.2062999999999704</v>
      </c>
      <c r="G23" s="29">
        <f>'S8.8 '!G26</f>
        <v>-486.86013999999994</v>
      </c>
      <c r="H23" s="29">
        <f>'S8.8 '!H26</f>
        <v>-900.94637999999986</v>
      </c>
      <c r="I23" s="29">
        <f>'S8.8 '!I26</f>
        <v>-1263.41887</v>
      </c>
      <c r="J23" s="29">
        <f>'S8.8 '!J26</f>
        <v>-1651.2472549999995</v>
      </c>
      <c r="K23" s="29"/>
      <c r="L23" s="29">
        <f>'S8.8 '!L26</f>
        <v>-1100.2459057933872</v>
      </c>
      <c r="M23" s="29"/>
      <c r="N23" s="29">
        <f>'S8.8 '!N26</f>
        <v>-225.26944329338727</v>
      </c>
      <c r="O23" s="29"/>
      <c r="P23" s="29">
        <v>599.50499999999988</v>
      </c>
      <c r="Q23" s="29"/>
      <c r="R23" s="29">
        <v>463.07999999999993</v>
      </c>
      <c r="U23" s="29"/>
    </row>
    <row r="24" spans="1:24">
      <c r="A24" s="17">
        <f t="shared" si="0"/>
        <v>15</v>
      </c>
      <c r="B24" s="16" t="s">
        <v>518</v>
      </c>
      <c r="C24" s="17" t="s">
        <v>519</v>
      </c>
      <c r="D24" s="130">
        <f>+'S8.10'!D46</f>
        <v>3061.567707658729</v>
      </c>
      <c r="E24" s="130">
        <f>+'S8.10'!E46</f>
        <v>3205.7742935700699</v>
      </c>
      <c r="F24" s="130">
        <f>+'S8.10'!F46</f>
        <v>3383.0834615306294</v>
      </c>
      <c r="G24" s="130">
        <f>+'S8.10'!G46</f>
        <v>3329.6479679929907</v>
      </c>
      <c r="H24" s="130">
        <f>+'S8.10'!H46</f>
        <v>3240.4465406827358</v>
      </c>
      <c r="I24" s="130">
        <f>'S8.10'!I46</f>
        <v>3661.7945369229824</v>
      </c>
      <c r="J24" s="130">
        <f>+'S8.10'!J46</f>
        <v>4655.1022714760738</v>
      </c>
      <c r="K24" s="29"/>
      <c r="L24" s="130">
        <f>'S8.10'!L46</f>
        <v>5235.1152152816439</v>
      </c>
      <c r="M24" s="29"/>
      <c r="N24" s="130">
        <f>'S8.10'!N46</f>
        <v>4314.6949601509123</v>
      </c>
      <c r="O24" s="29"/>
      <c r="P24" s="130">
        <v>2964</v>
      </c>
      <c r="Q24" s="29"/>
      <c r="R24" s="130">
        <v>3010</v>
      </c>
      <c r="U24" s="29"/>
      <c r="V24" s="29"/>
    </row>
    <row r="25" spans="1:24">
      <c r="A25" s="17">
        <f t="shared" si="0"/>
        <v>16</v>
      </c>
      <c r="B25" s="18" t="s">
        <v>520</v>
      </c>
      <c r="D25" s="29">
        <f t="shared" ref="D25:J25" si="8">D21+D23+D24</f>
        <v>133571.04770765873</v>
      </c>
      <c r="E25" s="29">
        <f t="shared" si="8"/>
        <v>138134.03429357009</v>
      </c>
      <c r="F25" s="29">
        <f t="shared" si="8"/>
        <v>142051.28976153061</v>
      </c>
      <c r="G25" s="29">
        <f t="shared" si="8"/>
        <v>146171.78782799299</v>
      </c>
      <c r="H25" s="29">
        <f t="shared" si="8"/>
        <v>150522.50016068271</v>
      </c>
      <c r="I25" s="29">
        <f t="shared" si="8"/>
        <v>155452.37566692298</v>
      </c>
      <c r="J25" s="29">
        <f t="shared" si="8"/>
        <v>162744.85501647607</v>
      </c>
      <c r="K25" s="29"/>
      <c r="L25" s="29">
        <f>L21+L23+L24</f>
        <v>181530.86930948825</v>
      </c>
      <c r="M25" s="29"/>
      <c r="N25" s="29">
        <f>N21+N23+N24</f>
        <v>205356.42551685753</v>
      </c>
      <c r="O25" s="29"/>
      <c r="P25" s="29">
        <v>134720.505</v>
      </c>
      <c r="Q25" s="29"/>
      <c r="R25" s="29">
        <v>141760.07999999999</v>
      </c>
    </row>
    <row r="26" spans="1:24">
      <c r="A26" s="17">
        <f t="shared" si="0"/>
        <v>17</v>
      </c>
      <c r="B26" s="16" t="s">
        <v>507</v>
      </c>
      <c r="D26" s="16"/>
    </row>
    <row r="27" spans="1:24">
      <c r="A27" s="17">
        <f t="shared" si="0"/>
        <v>18</v>
      </c>
      <c r="B27" s="18" t="s">
        <v>521</v>
      </c>
      <c r="D27" s="16"/>
      <c r="L27" s="29"/>
    </row>
    <row r="28" spans="1:24">
      <c r="A28" s="17">
        <f t="shared" si="0"/>
        <v>19</v>
      </c>
      <c r="B28" s="16" t="s">
        <v>514</v>
      </c>
      <c r="C28" s="17" t="s">
        <v>522</v>
      </c>
      <c r="D28" s="29">
        <f>'S8.12'!D20</f>
        <v>34971.850729999998</v>
      </c>
      <c r="E28" s="29">
        <f>'S8.12'!E20</f>
        <v>35650.850729999998</v>
      </c>
      <c r="F28" s="29">
        <f>'S8.12'!F20</f>
        <v>37324.850729999998</v>
      </c>
      <c r="G28" s="29">
        <f>'S8.12'!G20</f>
        <v>41658.850729999998</v>
      </c>
      <c r="H28" s="29">
        <f>'S8.12'!H20</f>
        <v>44124.850730000006</v>
      </c>
      <c r="I28" s="29">
        <f>'S8.12'!I20</f>
        <v>47497.910730000003</v>
      </c>
      <c r="J28" s="29">
        <f>'S8.12'!J20</f>
        <v>47993.530729999999</v>
      </c>
      <c r="K28" s="29"/>
      <c r="L28" s="29">
        <f>'S8.12'!L20</f>
        <v>55954.190307003279</v>
      </c>
      <c r="M28" s="29"/>
      <c r="N28" s="29">
        <f>'S8.12'!N20</f>
        <v>69856.530856861064</v>
      </c>
      <c r="O28" s="29"/>
      <c r="P28" s="29">
        <v>35525.915308786876</v>
      </c>
      <c r="Q28" s="29"/>
      <c r="R28" s="29">
        <v>37106.369081469806</v>
      </c>
      <c r="U28" s="29"/>
    </row>
    <row r="29" spans="1:24">
      <c r="A29" s="17">
        <f t="shared" si="0"/>
        <v>20</v>
      </c>
      <c r="B29" s="16" t="s">
        <v>515</v>
      </c>
      <c r="C29" s="17" t="s">
        <v>156</v>
      </c>
      <c r="D29" s="29">
        <v>35229.850729999998</v>
      </c>
      <c r="E29" s="29">
        <f t="shared" ref="E29:J29" si="9">D28</f>
        <v>34971.850729999998</v>
      </c>
      <c r="F29" s="29">
        <f t="shared" si="9"/>
        <v>35650.850729999998</v>
      </c>
      <c r="G29" s="29">
        <f t="shared" si="9"/>
        <v>37324.850729999998</v>
      </c>
      <c r="H29" s="29">
        <f t="shared" si="9"/>
        <v>41658.850729999998</v>
      </c>
      <c r="I29" s="29">
        <f t="shared" si="9"/>
        <v>44124.850730000006</v>
      </c>
      <c r="J29" s="29">
        <f t="shared" si="9"/>
        <v>47497.910730000003</v>
      </c>
      <c r="K29" s="29"/>
      <c r="L29" s="29">
        <f>J28</f>
        <v>47993.530729999999</v>
      </c>
      <c r="M29" s="29"/>
      <c r="N29" s="29">
        <f>L28</f>
        <v>55954.190307003279</v>
      </c>
      <c r="O29" s="29"/>
      <c r="P29" s="29">
        <v>35229.850729999998</v>
      </c>
      <c r="Q29" s="29"/>
      <c r="R29" s="29">
        <v>35525.915308786876</v>
      </c>
      <c r="U29" s="29"/>
    </row>
    <row r="30" spans="1:24">
      <c r="A30" s="17">
        <f t="shared" si="0"/>
        <v>21</v>
      </c>
      <c r="B30" s="16" t="s">
        <v>85</v>
      </c>
      <c r="D30" s="127">
        <f>SUM(D28:D29)</f>
        <v>70201.701459999997</v>
      </c>
      <c r="E30" s="127">
        <f t="shared" ref="E30:J30" si="10">SUM(E28:E29)</f>
        <v>70622.701459999997</v>
      </c>
      <c r="F30" s="127">
        <f t="shared" si="10"/>
        <v>72975.701459999997</v>
      </c>
      <c r="G30" s="127">
        <f t="shared" si="10"/>
        <v>78983.701459999997</v>
      </c>
      <c r="H30" s="127">
        <f t="shared" si="10"/>
        <v>85783.701460000011</v>
      </c>
      <c r="I30" s="127">
        <f t="shared" si="10"/>
        <v>91622.761460000009</v>
      </c>
      <c r="J30" s="127">
        <f t="shared" si="10"/>
        <v>95491.441460000002</v>
      </c>
      <c r="K30" s="29"/>
      <c r="L30" s="127">
        <f t="shared" ref="L30" si="11">SUM(L28:L29)</f>
        <v>103947.72103700327</v>
      </c>
      <c r="M30" s="29"/>
      <c r="N30" s="127">
        <f t="shared" ref="N30" si="12">SUM(N28:N29)</f>
        <v>125810.72116386433</v>
      </c>
      <c r="O30" s="29"/>
      <c r="P30" s="127">
        <v>70755.766038786882</v>
      </c>
      <c r="Q30" s="29"/>
      <c r="R30" s="127">
        <v>72632.284390256682</v>
      </c>
      <c r="U30" s="29"/>
    </row>
    <row r="31" spans="1:24">
      <c r="A31" s="17">
        <f t="shared" si="0"/>
        <v>22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</row>
    <row r="32" spans="1:24">
      <c r="A32" s="17">
        <f t="shared" si="0"/>
        <v>23</v>
      </c>
      <c r="B32" s="16" t="s">
        <v>497</v>
      </c>
      <c r="D32" s="130">
        <f t="shared" ref="D32:J32" si="13">ROUND(D30/2,0)</f>
        <v>35101</v>
      </c>
      <c r="E32" s="130">
        <f t="shared" si="13"/>
        <v>35311</v>
      </c>
      <c r="F32" s="130">
        <f t="shared" si="13"/>
        <v>36488</v>
      </c>
      <c r="G32" s="130">
        <f t="shared" si="13"/>
        <v>39492</v>
      </c>
      <c r="H32" s="130">
        <f t="shared" si="13"/>
        <v>42892</v>
      </c>
      <c r="I32" s="130">
        <f t="shared" si="13"/>
        <v>45811</v>
      </c>
      <c r="J32" s="130">
        <f t="shared" si="13"/>
        <v>47746</v>
      </c>
      <c r="K32" s="29"/>
      <c r="L32" s="130">
        <f t="shared" ref="L32" si="14">ROUND(L30/2,0)</f>
        <v>51974</v>
      </c>
      <c r="M32" s="29"/>
      <c r="N32" s="130">
        <f t="shared" ref="N32" si="15">ROUND(N30/2,0)</f>
        <v>62905</v>
      </c>
      <c r="O32" s="29"/>
      <c r="P32" s="130">
        <v>35378</v>
      </c>
      <c r="Q32" s="29"/>
      <c r="R32" s="130">
        <v>36316.5</v>
      </c>
      <c r="U32" s="29"/>
      <c r="X32" s="117"/>
    </row>
    <row r="33" spans="1:38" ht="16" thickBot="1">
      <c r="A33" s="17">
        <f t="shared" si="0"/>
        <v>24</v>
      </c>
      <c r="B33" s="18" t="s">
        <v>523</v>
      </c>
      <c r="C33" s="157"/>
      <c r="D33" s="95">
        <f t="shared" ref="D33:J33" si="16">D25-D32</f>
        <v>98470.047707658727</v>
      </c>
      <c r="E33" s="95">
        <f t="shared" si="16"/>
        <v>102823.03429357009</v>
      </c>
      <c r="F33" s="95">
        <f t="shared" si="16"/>
        <v>105563.28976153061</v>
      </c>
      <c r="G33" s="95">
        <f t="shared" si="16"/>
        <v>106679.78782799299</v>
      </c>
      <c r="H33" s="95">
        <f t="shared" si="16"/>
        <v>107630.50016068271</v>
      </c>
      <c r="I33" s="95">
        <f t="shared" si="16"/>
        <v>109641.37566692298</v>
      </c>
      <c r="J33" s="95">
        <f t="shared" si="16"/>
        <v>114998.85501647607</v>
      </c>
      <c r="L33" s="95">
        <f>L25-L32</f>
        <v>129556.86930948825</v>
      </c>
      <c r="N33" s="95">
        <f>N25-N32</f>
        <v>142451.42551685753</v>
      </c>
      <c r="O33" s="29"/>
      <c r="P33" s="95">
        <v>99342.505000000005</v>
      </c>
      <c r="Q33" s="29"/>
      <c r="R33" s="95">
        <v>105443.57999999999</v>
      </c>
      <c r="U33" s="29"/>
    </row>
    <row r="34" spans="1:38">
      <c r="A34" s="17"/>
      <c r="X34" s="29"/>
      <c r="Y34" s="29"/>
      <c r="Z34" s="29"/>
      <c r="AA34" s="29"/>
      <c r="AB34" s="29"/>
      <c r="AC34" s="29"/>
      <c r="AD34" s="29"/>
      <c r="AF34" s="29"/>
      <c r="AH34" s="29"/>
      <c r="AJ34" s="29"/>
      <c r="AL34" s="29"/>
    </row>
    <row r="35" spans="1:38">
      <c r="L35" s="29"/>
      <c r="N35" s="29"/>
      <c r="X35" s="117"/>
    </row>
    <row r="36" spans="1:38">
      <c r="D36" s="529"/>
      <c r="E36" s="529"/>
      <c r="F36" s="529"/>
      <c r="G36" s="529"/>
      <c r="H36" s="529"/>
      <c r="I36" s="529"/>
      <c r="J36" s="529"/>
    </row>
    <row r="37" spans="1:38">
      <c r="C37" s="44"/>
      <c r="D37" s="301"/>
      <c r="E37" s="143"/>
      <c r="F37" s="143"/>
      <c r="G37" s="143"/>
      <c r="H37" s="143"/>
      <c r="I37" s="143"/>
      <c r="J37" s="143"/>
    </row>
    <row r="38" spans="1:38">
      <c r="C38" s="44"/>
      <c r="D38" s="301"/>
      <c r="E38" s="301"/>
      <c r="F38" s="301"/>
      <c r="G38" s="301"/>
      <c r="H38" s="301"/>
      <c r="I38" s="301"/>
      <c r="J38" s="301"/>
    </row>
    <row r="39" spans="1:38">
      <c r="C39" s="44"/>
      <c r="D39" s="301"/>
      <c r="E39" s="301"/>
      <c r="F39" s="301"/>
      <c r="G39" s="301"/>
      <c r="H39" s="301"/>
      <c r="I39" s="301"/>
      <c r="J39" s="301"/>
    </row>
    <row r="40" spans="1:38">
      <c r="C40" s="44"/>
      <c r="D40" s="301"/>
      <c r="E40" s="301"/>
      <c r="F40" s="301"/>
      <c r="G40" s="301"/>
      <c r="H40" s="301"/>
      <c r="I40" s="301"/>
      <c r="J40" s="301"/>
    </row>
    <row r="41" spans="1:38">
      <c r="C41" s="44"/>
      <c r="D41" s="301"/>
      <c r="E41" s="301"/>
      <c r="F41" s="301"/>
      <c r="G41" s="301"/>
      <c r="H41" s="301"/>
      <c r="I41" s="301"/>
      <c r="J41" s="301"/>
    </row>
    <row r="42" spans="1:38">
      <c r="C42" s="44"/>
    </row>
    <row r="43" spans="1:38">
      <c r="C43" s="120"/>
      <c r="D43" s="301"/>
      <c r="E43" s="143"/>
      <c r="F43" s="143"/>
      <c r="G43" s="143"/>
      <c r="H43" s="143"/>
      <c r="I43" s="143"/>
      <c r="J43" s="143"/>
    </row>
    <row r="44" spans="1:38">
      <c r="C44" s="44"/>
      <c r="D44" s="29"/>
      <c r="E44" s="29"/>
      <c r="F44" s="29"/>
      <c r="G44" s="29"/>
      <c r="H44" s="29"/>
      <c r="I44" s="29"/>
      <c r="J44" s="29"/>
    </row>
    <row r="45" spans="1:38">
      <c r="C45" s="44"/>
    </row>
    <row r="46" spans="1:38">
      <c r="C46" s="44"/>
      <c r="D46" s="301"/>
      <c r="E46" s="143"/>
      <c r="F46" s="143"/>
      <c r="G46" s="143"/>
      <c r="H46" s="143"/>
      <c r="I46" s="143"/>
      <c r="J46" s="143"/>
    </row>
    <row r="47" spans="1:38">
      <c r="D47" s="29"/>
      <c r="E47" s="29"/>
      <c r="F47" s="29"/>
      <c r="G47" s="29"/>
      <c r="H47" s="29"/>
      <c r="I47" s="29"/>
      <c r="J47" s="29"/>
    </row>
    <row r="48" spans="1:38">
      <c r="C48" s="44"/>
    </row>
    <row r="49" spans="3:14">
      <c r="H49" s="62"/>
      <c r="N49" s="62"/>
    </row>
    <row r="50" spans="3:14">
      <c r="H50" s="29"/>
      <c r="N50" s="62"/>
    </row>
    <row r="51" spans="3:14">
      <c r="N51" s="62"/>
    </row>
    <row r="52" spans="3:14">
      <c r="D52" s="301"/>
      <c r="E52" s="301"/>
      <c r="F52" s="301"/>
      <c r="G52" s="301"/>
      <c r="H52" s="301"/>
      <c r="I52" s="301"/>
      <c r="J52" s="301"/>
      <c r="N52" s="62"/>
    </row>
    <row r="53" spans="3:14">
      <c r="D53" s="301"/>
      <c r="E53" s="301"/>
      <c r="F53" s="301"/>
      <c r="G53" s="301"/>
      <c r="H53" s="301"/>
      <c r="I53" s="301"/>
      <c r="J53" s="301"/>
      <c r="N53" s="62"/>
    </row>
    <row r="54" spans="3:14">
      <c r="C54" s="44"/>
      <c r="D54" s="301"/>
      <c r="E54" s="143"/>
      <c r="F54" s="143"/>
      <c r="G54" s="143"/>
      <c r="H54" s="143"/>
      <c r="I54" s="143"/>
      <c r="J54" s="143"/>
      <c r="N54" s="62"/>
    </row>
    <row r="55" spans="3:14">
      <c r="C55" s="44"/>
      <c r="D55" s="301"/>
      <c r="E55" s="301"/>
      <c r="F55" s="301"/>
      <c r="G55" s="301"/>
      <c r="H55" s="301"/>
      <c r="I55" s="301"/>
      <c r="J55" s="301"/>
      <c r="N55" s="62"/>
    </row>
    <row r="57" spans="3:14">
      <c r="D57" s="301"/>
      <c r="E57" s="301"/>
      <c r="F57" s="301"/>
      <c r="G57" s="301"/>
      <c r="H57" s="301"/>
      <c r="I57" s="301"/>
      <c r="J57" s="301"/>
    </row>
    <row r="58" spans="3:14">
      <c r="D58" s="301"/>
      <c r="E58" s="301"/>
      <c r="F58" s="301"/>
      <c r="G58" s="301"/>
      <c r="H58" s="301"/>
      <c r="I58" s="301"/>
      <c r="J58" s="301"/>
    </row>
    <row r="60" spans="3:14">
      <c r="D60" s="29"/>
      <c r="E60" s="29"/>
      <c r="F60" s="29"/>
      <c r="G60" s="29"/>
      <c r="H60" s="29"/>
      <c r="I60" s="29"/>
      <c r="J60" s="29"/>
      <c r="K60" s="478"/>
      <c r="L60" s="478"/>
      <c r="M60" s="478"/>
      <c r="N60" s="478"/>
    </row>
    <row r="62" spans="3:14">
      <c r="D62" s="29"/>
      <c r="E62" s="29"/>
      <c r="F62" s="29"/>
      <c r="G62" s="29"/>
      <c r="H62" s="29"/>
      <c r="I62" s="29"/>
      <c r="J62" s="29"/>
      <c r="L62" s="478"/>
      <c r="N62" s="478"/>
    </row>
  </sheetData>
  <mergeCells count="8">
    <mergeCell ref="P7:R7"/>
    <mergeCell ref="L7:N7"/>
    <mergeCell ref="D36:J36"/>
    <mergeCell ref="D7:J7"/>
    <mergeCell ref="A1:R1"/>
    <mergeCell ref="A2:R2"/>
    <mergeCell ref="A4:R4"/>
    <mergeCell ref="A5:R5"/>
  </mergeCells>
  <phoneticPr fontId="10" type="noConversion"/>
  <printOptions horizontalCentered="1"/>
  <pageMargins left="0.5" right="0.5" top="0.75" bottom="0.75" header="0.5" footer="0.5"/>
  <pageSetup scale="61" orientation="landscape" useFirstPageNumber="1" r:id="rId1"/>
  <headerFooter alignWithMargins="0">
    <oddHeader>&amp;R&amp;"Arial,Bold"Schedule 8.5
Page &amp;P of 1</oddHeader>
  </headerFooter>
  <ignoredErrors>
    <ignoredError sqref="A5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>
    <pageSetUpPr fitToPage="1"/>
  </sheetPr>
  <dimension ref="A1:X56"/>
  <sheetViews>
    <sheetView topLeftCell="A12" zoomScaleNormal="100" zoomScaleSheetLayoutView="100" workbookViewId="0">
      <selection activeCell="U19" sqref="U19"/>
    </sheetView>
  </sheetViews>
  <sheetFormatPr defaultRowHeight="12.5"/>
  <cols>
    <col min="1" max="1" width="5" bestFit="1" customWidth="1"/>
    <col min="2" max="2" width="33.1796875" bestFit="1" customWidth="1"/>
    <col min="3" max="3" width="17.1796875" style="4" bestFit="1" customWidth="1"/>
    <col min="4" max="4" width="15.7265625" style="4" customWidth="1"/>
    <col min="5" max="5" width="8.7265625" style="4" bestFit="1" customWidth="1"/>
    <col min="6" max="6" width="8.54296875" customWidth="1"/>
    <col min="7" max="10" width="9.7265625" style="110" customWidth="1"/>
    <col min="11" max="11" width="2" style="110" customWidth="1"/>
    <col min="12" max="12" width="9.7265625" style="110" customWidth="1"/>
    <col min="13" max="13" width="2.453125" style="110" customWidth="1"/>
    <col min="14" max="14" width="9.7265625" style="110" customWidth="1"/>
    <col min="15" max="15" width="2.1796875" style="110" customWidth="1"/>
    <col min="16" max="16" width="9.7265625" style="110" customWidth="1"/>
    <col min="17" max="17" width="2.1796875" style="110" customWidth="1"/>
    <col min="18" max="18" width="9.7265625" style="110" customWidth="1"/>
    <col min="19" max="19" width="2.1796875" customWidth="1"/>
    <col min="20" max="20" width="17.1796875" customWidth="1"/>
    <col min="21" max="22" width="10.1796875" bestFit="1" customWidth="1"/>
    <col min="16383" max="16384" width="8.7265625" bestFit="1" customWidth="1"/>
  </cols>
  <sheetData>
    <row r="1" spans="1:22" ht="13">
      <c r="A1" s="517" t="str">
        <f>'S1.1'!A1</f>
        <v>ATCO Electric Yukon (AEY)</v>
      </c>
      <c r="B1" s="517"/>
      <c r="C1" s="517"/>
      <c r="D1" s="517"/>
      <c r="E1" s="517"/>
      <c r="F1" s="517"/>
      <c r="G1" s="517"/>
      <c r="H1" s="517"/>
      <c r="I1" s="517"/>
      <c r="J1" s="517"/>
      <c r="K1" s="517"/>
      <c r="L1" s="517"/>
      <c r="M1" s="517"/>
      <c r="N1" s="517"/>
      <c r="O1" s="517"/>
      <c r="P1" s="517"/>
      <c r="Q1" s="517"/>
      <c r="R1" s="517"/>
      <c r="S1" s="30"/>
    </row>
    <row r="2" spans="1:22" ht="13">
      <c r="A2" s="517" t="str">
        <f>'S1.1'!A2</f>
        <v>2023 - 2024 General Rate Application (GRA)</v>
      </c>
      <c r="B2" s="517"/>
      <c r="C2" s="517"/>
      <c r="D2" s="517"/>
      <c r="E2" s="517"/>
      <c r="F2" s="517"/>
      <c r="G2" s="517"/>
      <c r="H2" s="517"/>
      <c r="I2" s="517"/>
      <c r="J2" s="517"/>
      <c r="K2" s="517"/>
      <c r="L2" s="517"/>
      <c r="M2" s="517"/>
      <c r="N2" s="517"/>
      <c r="O2" s="517"/>
      <c r="P2" s="517"/>
      <c r="Q2" s="517"/>
      <c r="R2" s="517"/>
      <c r="S2" s="30"/>
    </row>
    <row r="3" spans="1:22" ht="13">
      <c r="A3" s="146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30"/>
    </row>
    <row r="4" spans="1:22" ht="13">
      <c r="A4" s="517" t="s">
        <v>524</v>
      </c>
      <c r="B4" s="517"/>
      <c r="C4" s="517"/>
      <c r="D4" s="517"/>
      <c r="E4" s="517"/>
      <c r="F4" s="517"/>
      <c r="G4" s="517"/>
      <c r="H4" s="517"/>
      <c r="I4" s="517"/>
      <c r="J4" s="517"/>
      <c r="K4" s="517"/>
      <c r="L4" s="517"/>
      <c r="M4" s="517"/>
      <c r="N4" s="517"/>
      <c r="O4" s="517"/>
      <c r="P4" s="517"/>
      <c r="Q4" s="517"/>
      <c r="R4" s="517"/>
    </row>
    <row r="5" spans="1:22" ht="13">
      <c r="A5" s="532" t="s">
        <v>6</v>
      </c>
      <c r="B5" s="532"/>
      <c r="C5" s="532"/>
      <c r="D5" s="532"/>
      <c r="E5" s="532"/>
      <c r="F5" s="532"/>
      <c r="G5" s="532"/>
      <c r="H5" s="532"/>
      <c r="I5" s="532"/>
      <c r="J5" s="532"/>
      <c r="K5" s="532"/>
      <c r="L5" s="532"/>
      <c r="M5" s="532"/>
      <c r="N5" s="532"/>
      <c r="O5" s="532"/>
      <c r="P5" s="532"/>
      <c r="Q5" s="532"/>
      <c r="R5" s="532"/>
    </row>
    <row r="6" spans="1:22" ht="13">
      <c r="A6" s="26"/>
      <c r="B6" s="5"/>
      <c r="J6" s="144"/>
      <c r="K6" s="144"/>
      <c r="L6" s="144"/>
      <c r="M6" s="144"/>
      <c r="N6" s="144"/>
      <c r="O6" s="144"/>
      <c r="P6" s="144"/>
      <c r="Q6" s="144"/>
      <c r="R6" s="144"/>
      <c r="S6" s="145"/>
    </row>
    <row r="7" spans="1:22" ht="15.5">
      <c r="A7" s="3" t="s">
        <v>7</v>
      </c>
      <c r="C7" s="3" t="s">
        <v>8</v>
      </c>
      <c r="D7" s="533" t="s">
        <v>9</v>
      </c>
      <c r="E7" s="533"/>
      <c r="F7" s="533"/>
      <c r="G7" s="533"/>
      <c r="H7" s="533"/>
      <c r="I7" s="533"/>
      <c r="J7" s="533"/>
      <c r="K7" s="111"/>
      <c r="L7" s="531" t="s">
        <v>10</v>
      </c>
      <c r="M7" s="531"/>
      <c r="N7" s="531"/>
      <c r="O7" s="18"/>
      <c r="P7" s="530" t="s">
        <v>11</v>
      </c>
      <c r="Q7" s="530"/>
      <c r="R7" s="530"/>
      <c r="S7" s="145"/>
    </row>
    <row r="8" spans="1:22" ht="13">
      <c r="A8" s="23" t="s">
        <v>12</v>
      </c>
      <c r="B8" s="22" t="s">
        <v>13</v>
      </c>
      <c r="C8" s="23" t="s">
        <v>14</v>
      </c>
      <c r="D8" s="23">
        <v>2016</v>
      </c>
      <c r="E8" s="23">
        <v>2017</v>
      </c>
      <c r="F8" s="23">
        <v>2018</v>
      </c>
      <c r="G8" s="23">
        <v>2019</v>
      </c>
      <c r="H8" s="23">
        <v>2020</v>
      </c>
      <c r="I8" s="23">
        <v>2021</v>
      </c>
      <c r="J8" s="23">
        <v>2022</v>
      </c>
      <c r="K8" s="3"/>
      <c r="L8" s="246">
        <v>2023</v>
      </c>
      <c r="M8" s="246"/>
      <c r="N8" s="246">
        <v>2024</v>
      </c>
      <c r="O8" s="3"/>
      <c r="P8" s="23">
        <v>2016</v>
      </c>
      <c r="Q8" s="3"/>
      <c r="R8" s="23">
        <v>2017</v>
      </c>
      <c r="S8" s="145"/>
    </row>
    <row r="9" spans="1:22">
      <c r="A9" s="145"/>
      <c r="J9" s="144"/>
      <c r="K9" s="144"/>
      <c r="L9" s="144"/>
      <c r="M9" s="144"/>
      <c r="N9" s="144"/>
      <c r="O9" s="144"/>
      <c r="P9" s="144"/>
      <c r="Q9" s="144"/>
      <c r="R9" s="144"/>
      <c r="S9" s="145"/>
    </row>
    <row r="10" spans="1:22" ht="13">
      <c r="A10" s="151">
        <v>1</v>
      </c>
      <c r="B10" s="77" t="s">
        <v>504</v>
      </c>
      <c r="C10" s="3"/>
      <c r="D10" s="3"/>
      <c r="E10" s="3"/>
    </row>
    <row r="11" spans="1:22">
      <c r="A11" s="151">
        <f>A10+1</f>
        <v>2</v>
      </c>
    </row>
    <row r="12" spans="1:22">
      <c r="A12" s="151">
        <f t="shared" ref="A12:A37" si="0">A11+1</f>
        <v>3</v>
      </c>
      <c r="B12" s="145" t="s">
        <v>493</v>
      </c>
      <c r="D12" s="110">
        <v>204749</v>
      </c>
      <c r="E12" s="110">
        <f>D19</f>
        <v>215984.6053538</v>
      </c>
      <c r="F12" s="110">
        <f t="shared" ref="F12:J12" si="1">E19</f>
        <v>223602.05669999999</v>
      </c>
      <c r="G12" s="110">
        <f>F19</f>
        <v>233936.71310999998</v>
      </c>
      <c r="H12" s="110">
        <f>G19</f>
        <v>240423.89759505523</v>
      </c>
      <c r="I12" s="110">
        <f t="shared" si="1"/>
        <v>250030.15671388517</v>
      </c>
      <c r="J12" s="110">
        <f t="shared" si="1"/>
        <v>260330.84054702247</v>
      </c>
      <c r="L12" s="110">
        <f>+J19</f>
        <v>274433.37332785659</v>
      </c>
      <c r="N12" s="110">
        <f>+L19</f>
        <v>306659.0494023714</v>
      </c>
      <c r="P12" s="110">
        <v>204749.05060000002</v>
      </c>
      <c r="R12" s="110">
        <f>+P19</f>
        <v>217951.75238073117</v>
      </c>
    </row>
    <row r="13" spans="1:22">
      <c r="A13" s="151">
        <f t="shared" si="0"/>
        <v>4</v>
      </c>
      <c r="B13" s="145"/>
      <c r="D13" s="110"/>
      <c r="E13" s="110"/>
      <c r="F13" s="110"/>
    </row>
    <row r="14" spans="1:22">
      <c r="A14" s="151">
        <f t="shared" si="0"/>
        <v>5</v>
      </c>
      <c r="B14" t="s">
        <v>525</v>
      </c>
      <c r="C14" s="151" t="s">
        <v>526</v>
      </c>
      <c r="D14" s="110">
        <f>-'S9.1'!F43</f>
        <v>12079.343893799998</v>
      </c>
      <c r="E14" s="110">
        <f>-'S9.1'!G43</f>
        <v>8393.4309261999988</v>
      </c>
      <c r="F14" s="110">
        <f>-'S9.1'!H43</f>
        <v>11159.167850000003</v>
      </c>
      <c r="G14" s="110">
        <f>-'S9.1'!I43</f>
        <v>9982.3035250552512</v>
      </c>
      <c r="H14" s="110">
        <f>-'S9.1'!J43</f>
        <v>11893.179808829929</v>
      </c>
      <c r="I14" s="110">
        <f>-'S9.1'!K43</f>
        <v>11014.229703137313</v>
      </c>
      <c r="J14" s="110">
        <f>-'S9.1'!L43</f>
        <v>15856.778100834106</v>
      </c>
      <c r="L14" s="110">
        <f>-'S9.1'!N43</f>
        <v>34733.580034514802</v>
      </c>
      <c r="N14" s="110">
        <f>-'S9.1'!P43</f>
        <v>31780.082242933422</v>
      </c>
      <c r="P14" s="110">
        <f>-'S9.1'!R43</f>
        <v>13822.701780731157</v>
      </c>
      <c r="R14" s="110">
        <f>-'S9.1'!T43</f>
        <v>12059.344537480396</v>
      </c>
    </row>
    <row r="15" spans="1:22">
      <c r="A15" s="151">
        <f t="shared" si="0"/>
        <v>6</v>
      </c>
      <c r="B15" t="s">
        <v>527</v>
      </c>
      <c r="C15" s="151" t="s">
        <v>528</v>
      </c>
      <c r="D15" s="72">
        <f>-'S8.8 '!C49</f>
        <v>0</v>
      </c>
      <c r="E15" s="72">
        <f>-'S8.8 '!D49</f>
        <v>534</v>
      </c>
      <c r="F15" s="72">
        <f>-'S8.8 '!E49</f>
        <v>0</v>
      </c>
      <c r="G15" s="72">
        <f>-'S8.8 '!F49</f>
        <v>0</v>
      </c>
      <c r="H15" s="72">
        <f>-'S8.8 '!G49</f>
        <v>0</v>
      </c>
      <c r="I15" s="72">
        <f>-'S8.8 '!H49</f>
        <v>0</v>
      </c>
      <c r="J15" s="72">
        <f>-'S8.8 '!I49</f>
        <v>0</v>
      </c>
      <c r="K15" s="72"/>
      <c r="L15" s="72">
        <f>-'S8.8 '!K49</f>
        <v>0</v>
      </c>
      <c r="M15" s="72"/>
      <c r="N15" s="72">
        <f>-'S8.8 '!M49</f>
        <v>0</v>
      </c>
      <c r="O15" s="72"/>
      <c r="P15" s="72">
        <f>-'S8.8 '!P49</f>
        <v>534</v>
      </c>
      <c r="Q15" s="72"/>
      <c r="R15" s="72">
        <f>-'S8.8 '!R49</f>
        <v>0</v>
      </c>
      <c r="U15" s="110"/>
    </row>
    <row r="16" spans="1:22">
      <c r="A16" s="151">
        <f t="shared" si="0"/>
        <v>7</v>
      </c>
      <c r="B16" s="145" t="s">
        <v>529</v>
      </c>
      <c r="C16" s="280" t="s">
        <v>530</v>
      </c>
      <c r="D16" s="25">
        <f>+'S8.7'!E41</f>
        <v>-843.73854000000006</v>
      </c>
      <c r="E16" s="25">
        <f>'S8.7'!F41</f>
        <v>-1309.9795800000002</v>
      </c>
      <c r="F16" s="25">
        <f>'S8.7'!G41</f>
        <v>-824.51143999999988</v>
      </c>
      <c r="G16" s="25">
        <f>'S8.7'!H41</f>
        <v>-3495.1190399999996</v>
      </c>
      <c r="H16" s="25">
        <f>'S8.7'!I41</f>
        <v>-2286.9206899999999</v>
      </c>
      <c r="I16" s="25">
        <f>'S8.7'!J41</f>
        <v>-713.54587000000004</v>
      </c>
      <c r="J16" s="25">
        <f>'S8.7'!K41</f>
        <v>-1754.2453200000002</v>
      </c>
      <c r="K16" s="74"/>
      <c r="L16" s="25">
        <f>'S8.7'!M41</f>
        <v>-2507.9039600000001</v>
      </c>
      <c r="M16" s="74"/>
      <c r="N16" s="25">
        <f>'S8.7'!N41</f>
        <v>-1584.9039600000001</v>
      </c>
      <c r="O16" s="74"/>
      <c r="P16" s="25">
        <v>-1154</v>
      </c>
      <c r="Q16" s="74"/>
      <c r="R16" s="25">
        <v>-741</v>
      </c>
      <c r="U16" s="426"/>
      <c r="V16" s="382"/>
    </row>
    <row r="17" spans="1:24">
      <c r="A17" s="151">
        <f t="shared" si="0"/>
        <v>8</v>
      </c>
      <c r="C17" s="151"/>
      <c r="D17" s="74">
        <f t="shared" ref="D17:J17" si="2">SUM(D14:D16)</f>
        <v>11235.605353799998</v>
      </c>
      <c r="E17" s="74">
        <f t="shared" si="2"/>
        <v>7617.4513461999986</v>
      </c>
      <c r="F17" s="74">
        <f t="shared" si="2"/>
        <v>10334.656410000003</v>
      </c>
      <c r="G17" s="74">
        <f t="shared" si="2"/>
        <v>6487.1844850552516</v>
      </c>
      <c r="H17" s="74">
        <f t="shared" si="2"/>
        <v>9606.2591188299302</v>
      </c>
      <c r="I17" s="74">
        <f t="shared" si="2"/>
        <v>10300.683833137313</v>
      </c>
      <c r="J17" s="74">
        <f t="shared" si="2"/>
        <v>14102.532780834106</v>
      </c>
      <c r="K17" s="74"/>
      <c r="L17" s="74">
        <f>SUM(L14:L16)</f>
        <v>32225.676074514802</v>
      </c>
      <c r="M17" s="74"/>
      <c r="N17" s="74">
        <f>SUM(N14:N16)</f>
        <v>30195.178282933422</v>
      </c>
      <c r="O17" s="74"/>
      <c r="P17" s="74">
        <f>SUM(P14:P16)</f>
        <v>13202.701780731157</v>
      </c>
      <c r="Q17" s="74"/>
      <c r="R17" s="74">
        <v>11319</v>
      </c>
      <c r="U17" s="479"/>
      <c r="V17" s="382"/>
    </row>
    <row r="18" spans="1:24">
      <c r="A18" s="151">
        <f t="shared" si="0"/>
        <v>9</v>
      </c>
      <c r="B18" s="145"/>
      <c r="D18" s="110"/>
      <c r="E18" s="110"/>
      <c r="F18" s="110"/>
      <c r="J18" s="74"/>
      <c r="K18" s="153"/>
      <c r="L18" s="74"/>
      <c r="M18" s="153"/>
      <c r="N18" s="74"/>
      <c r="U18" s="110"/>
      <c r="V18" s="382"/>
    </row>
    <row r="19" spans="1:24">
      <c r="A19" s="151">
        <f t="shared" si="0"/>
        <v>10</v>
      </c>
      <c r="B19" s="145" t="s">
        <v>496</v>
      </c>
      <c r="C19" s="151"/>
      <c r="D19" s="74">
        <f t="shared" ref="D19:J19" si="3">D12+D17</f>
        <v>215984.6053538</v>
      </c>
      <c r="E19" s="74">
        <f t="shared" si="3"/>
        <v>223602.05669999999</v>
      </c>
      <c r="F19" s="74">
        <f t="shared" si="3"/>
        <v>233936.71310999998</v>
      </c>
      <c r="G19" s="74">
        <f t="shared" si="3"/>
        <v>240423.89759505523</v>
      </c>
      <c r="H19" s="74">
        <f t="shared" si="3"/>
        <v>250030.15671388517</v>
      </c>
      <c r="I19" s="74">
        <f t="shared" si="3"/>
        <v>260330.84054702247</v>
      </c>
      <c r="J19" s="74">
        <f t="shared" si="3"/>
        <v>274433.37332785659</v>
      </c>
      <c r="K19" s="74"/>
      <c r="L19" s="74">
        <f>L12+L17</f>
        <v>306659.0494023714</v>
      </c>
      <c r="M19" s="74"/>
      <c r="N19" s="74">
        <f>N12+N17</f>
        <v>336854.22768530482</v>
      </c>
      <c r="O19" s="74"/>
      <c r="P19" s="74">
        <f>P12+P17</f>
        <v>217951.75238073117</v>
      </c>
      <c r="Q19" s="74"/>
      <c r="R19" s="74">
        <v>229270</v>
      </c>
      <c r="S19" s="49"/>
      <c r="T19" s="49"/>
      <c r="U19" s="49"/>
      <c r="V19" s="382"/>
    </row>
    <row r="20" spans="1:24">
      <c r="A20" s="151">
        <f t="shared" si="0"/>
        <v>11</v>
      </c>
      <c r="D20" s="110"/>
      <c r="E20" s="110"/>
      <c r="F20" s="110"/>
      <c r="S20" s="49"/>
      <c r="U20" s="480"/>
      <c r="V20" s="382"/>
    </row>
    <row r="21" spans="1:24">
      <c r="A21" s="151">
        <f t="shared" si="0"/>
        <v>12</v>
      </c>
      <c r="B21" s="145" t="s">
        <v>510</v>
      </c>
      <c r="C21" s="151" t="s">
        <v>531</v>
      </c>
      <c r="D21" s="25">
        <f>'S9.1'!F47</f>
        <v>4266.0120562000011</v>
      </c>
      <c r="E21" s="25">
        <f>'S9.1'!G47</f>
        <v>6348.5811519529161</v>
      </c>
      <c r="F21" s="25">
        <f>'S9.1'!H47</f>
        <v>4680.795471784566</v>
      </c>
      <c r="G21" s="25">
        <f>'S9.1'!I47</f>
        <v>8227.0216817845703</v>
      </c>
      <c r="H21" s="25">
        <f>'S9.1'!J47</f>
        <v>9334.7018217845725</v>
      </c>
      <c r="I21" s="25">
        <f>'S9.1'!K47</f>
        <v>13467.09460059481</v>
      </c>
      <c r="J21" s="25">
        <f>'S9.1'!L47</f>
        <v>16524.198081180999</v>
      </c>
      <c r="K21" s="74"/>
      <c r="L21" s="25">
        <f>'S9.1'!N47</f>
        <v>13024.977039546837</v>
      </c>
      <c r="M21" s="74"/>
      <c r="N21" s="25">
        <f>'S9.1'!P47</f>
        <v>6318.326552589162</v>
      </c>
      <c r="O21" s="74"/>
      <c r="P21" s="25">
        <f>'S9.1'!R47</f>
        <v>2374.6566969883784</v>
      </c>
      <c r="Q21" s="74"/>
      <c r="R21" s="25">
        <f>'S9.1'!T47</f>
        <v>2785.8320327982547</v>
      </c>
      <c r="U21" s="110"/>
      <c r="V21" s="382"/>
    </row>
    <row r="22" spans="1:24">
      <c r="A22" s="151">
        <f t="shared" si="0"/>
        <v>13</v>
      </c>
      <c r="B22" s="145"/>
      <c r="D22" s="2"/>
      <c r="E22" s="2"/>
      <c r="F22" s="2"/>
      <c r="G22" s="2"/>
      <c r="H22" s="2"/>
      <c r="I22" s="2"/>
      <c r="K22" s="2"/>
      <c r="M22" s="2"/>
      <c r="O22" s="2"/>
      <c r="P22" s="2"/>
      <c r="Q22" s="2"/>
      <c r="R22" s="2"/>
      <c r="S22" s="49"/>
    </row>
    <row r="23" spans="1:24">
      <c r="A23" s="151">
        <f t="shared" si="0"/>
        <v>14</v>
      </c>
      <c r="B23" t="s">
        <v>532</v>
      </c>
      <c r="D23" s="2">
        <f t="shared" ref="D23:I23" si="4">SUM(D19:D21)</f>
        <v>220250.61741000001</v>
      </c>
      <c r="E23" s="2">
        <f t="shared" si="4"/>
        <v>229950.6378519529</v>
      </c>
      <c r="F23" s="2">
        <f t="shared" si="4"/>
        <v>238617.50858178455</v>
      </c>
      <c r="G23" s="2">
        <f t="shared" si="4"/>
        <v>248650.91927683979</v>
      </c>
      <c r="H23" s="2">
        <f t="shared" si="4"/>
        <v>259364.85853566974</v>
      </c>
      <c r="I23" s="2">
        <f t="shared" si="4"/>
        <v>273797.9351476173</v>
      </c>
      <c r="J23" s="2">
        <f>SUM(J19:J22)</f>
        <v>290957.57140903757</v>
      </c>
      <c r="K23" s="2"/>
      <c r="L23" s="2">
        <f>SUM(L19:L22)</f>
        <v>319684.02644191822</v>
      </c>
      <c r="M23" s="2"/>
      <c r="N23" s="2">
        <f>SUM(N19:N22)</f>
        <v>343172.55423789402</v>
      </c>
      <c r="O23" s="2"/>
      <c r="P23" s="2">
        <f>SUM(P19:P22)</f>
        <v>220326.40907771955</v>
      </c>
      <c r="Q23" s="2"/>
      <c r="R23" s="2">
        <f>SUM(R19:R22)</f>
        <v>232055.83203279827</v>
      </c>
    </row>
    <row r="24" spans="1:24">
      <c r="A24" s="151">
        <f t="shared" si="0"/>
        <v>15</v>
      </c>
      <c r="D24" s="110"/>
      <c r="E24" s="110"/>
      <c r="F24" s="110"/>
      <c r="J24" s="347"/>
      <c r="K24" s="347"/>
      <c r="L24" s="347"/>
      <c r="M24" s="347"/>
      <c r="N24" s="347"/>
      <c r="U24" s="382"/>
      <c r="V24" s="382"/>
    </row>
    <row r="25" spans="1:24" ht="13">
      <c r="A25" s="151">
        <f t="shared" si="0"/>
        <v>16</v>
      </c>
      <c r="B25" s="77" t="s">
        <v>508</v>
      </c>
      <c r="C25" s="3"/>
      <c r="D25" s="110"/>
      <c r="E25" s="110"/>
      <c r="F25" s="110"/>
    </row>
    <row r="26" spans="1:24">
      <c r="A26" s="151">
        <f t="shared" si="0"/>
        <v>17</v>
      </c>
      <c r="D26" s="110"/>
      <c r="E26" s="110"/>
      <c r="F26" s="110"/>
      <c r="U26" s="49"/>
      <c r="V26" s="49"/>
    </row>
    <row r="27" spans="1:24">
      <c r="A27" s="151">
        <f t="shared" si="0"/>
        <v>18</v>
      </c>
      <c r="B27" s="145" t="s">
        <v>493</v>
      </c>
      <c r="D27" s="2">
        <v>77828.19922000001</v>
      </c>
      <c r="E27" s="2">
        <f>D34</f>
        <v>82737.687190000011</v>
      </c>
      <c r="F27" s="2">
        <f t="shared" ref="F27:J27" si="5">E34</f>
        <v>87515.668390000006</v>
      </c>
      <c r="G27" s="2">
        <f t="shared" si="5"/>
        <v>92688.542809999999</v>
      </c>
      <c r="H27" s="2">
        <f t="shared" si="5"/>
        <v>95014.087350000002</v>
      </c>
      <c r="I27" s="2">
        <f t="shared" si="5"/>
        <v>99074.480750000002</v>
      </c>
      <c r="J27" s="2">
        <f t="shared" si="5"/>
        <v>105178.84291000001</v>
      </c>
      <c r="K27" s="2"/>
      <c r="L27" s="2">
        <f>+J34</f>
        <v>110104.12124000001</v>
      </c>
      <c r="M27" s="2"/>
      <c r="N27" s="2">
        <f>+L34</f>
        <v>116196.68357037941</v>
      </c>
      <c r="O27" s="2"/>
      <c r="P27" s="2">
        <v>77828.19922000001</v>
      </c>
      <c r="Q27" s="2"/>
      <c r="R27" s="2">
        <v>82558.706912000009</v>
      </c>
    </row>
    <row r="28" spans="1:24">
      <c r="A28" s="151">
        <f t="shared" si="0"/>
        <v>19</v>
      </c>
      <c r="B28" t="s">
        <v>527</v>
      </c>
      <c r="D28" s="72">
        <v>0</v>
      </c>
      <c r="E28" s="72">
        <v>0</v>
      </c>
      <c r="F28" s="72">
        <v>0</v>
      </c>
      <c r="G28" s="72">
        <v>0</v>
      </c>
      <c r="H28" s="72">
        <v>0</v>
      </c>
      <c r="I28" s="72">
        <v>0</v>
      </c>
      <c r="J28" s="72">
        <v>0</v>
      </c>
      <c r="K28" s="72"/>
      <c r="L28" s="72">
        <v>0</v>
      </c>
      <c r="M28" s="72"/>
      <c r="N28" s="72">
        <v>0</v>
      </c>
      <c r="O28" s="72"/>
      <c r="P28" s="72">
        <v>0</v>
      </c>
      <c r="Q28" s="72"/>
      <c r="R28" s="72">
        <v>0</v>
      </c>
    </row>
    <row r="29" spans="1:24">
      <c r="A29" s="151">
        <f t="shared" si="0"/>
        <v>20</v>
      </c>
      <c r="B29" s="145" t="s">
        <v>533</v>
      </c>
      <c r="C29" s="4" t="s">
        <v>31</v>
      </c>
      <c r="D29" s="110">
        <f>'S7.1'!E15</f>
        <v>5835.2467399999996</v>
      </c>
      <c r="E29" s="110">
        <f>'S7.1'!F15</f>
        <v>6114.9607800000003</v>
      </c>
      <c r="F29" s="110">
        <f>'S7.1'!G15</f>
        <v>6293.0964600000052</v>
      </c>
      <c r="G29" s="110">
        <f>'S7.1'!H15</f>
        <v>6382.1372999999976</v>
      </c>
      <c r="H29" s="110">
        <f>'S7.1'!I15</f>
        <v>6706.7428400000026</v>
      </c>
      <c r="I29" s="110">
        <f>'S7.1'!J15</f>
        <v>6950</v>
      </c>
      <c r="J29" s="110">
        <f>'S7.1'!K15</f>
        <v>7343.1328799999983</v>
      </c>
      <c r="L29" s="110">
        <f>'S7.1'!M15</f>
        <v>9389.7324862984133</v>
      </c>
      <c r="N29" s="110">
        <f>'S7.1'!N15</f>
        <v>11218.921894098414</v>
      </c>
      <c r="P29" s="110">
        <f>'S7.1'!P15</f>
        <v>5846.1673333333329</v>
      </c>
      <c r="R29" s="110">
        <f>'S7.1'!Q15</f>
        <v>6231.0002199999999</v>
      </c>
      <c r="T29" s="145"/>
    </row>
    <row r="30" spans="1:24">
      <c r="A30" s="151">
        <f t="shared" si="0"/>
        <v>21</v>
      </c>
      <c r="B30" s="145" t="s">
        <v>534</v>
      </c>
      <c r="C30" s="151" t="s">
        <v>535</v>
      </c>
      <c r="D30" s="110">
        <f>'S7.1'!E12*-1</f>
        <v>141</v>
      </c>
      <c r="E30" s="110">
        <f>'S7.1'!F12*-1</f>
        <v>156</v>
      </c>
      <c r="F30" s="110">
        <f>'S7.1'!G12*-1</f>
        <v>144.26568</v>
      </c>
      <c r="G30" s="110">
        <f>'S7.1'!H12*-1</f>
        <v>126.44499999999999</v>
      </c>
      <c r="H30" s="110">
        <f>'S7.1'!I12*-1</f>
        <v>138</v>
      </c>
      <c r="I30" s="110">
        <f>'S7.1'!J12*-1</f>
        <v>178</v>
      </c>
      <c r="J30" s="110">
        <f>'S7.1'!K12*-1</f>
        <v>210.56360999999998</v>
      </c>
      <c r="L30" s="110">
        <f>'S7.1'!M12*-1</f>
        <v>210.56360999999998</v>
      </c>
      <c r="N30" s="110">
        <f>'S7.1'!N12*-1</f>
        <v>214.77488219999998</v>
      </c>
      <c r="P30" s="110">
        <f>'S7.1'!P12*-1</f>
        <v>88.355666666666664</v>
      </c>
      <c r="R30" s="110">
        <f>'S7.1'!Q12*-1</f>
        <v>90.122780000000006</v>
      </c>
      <c r="T30" s="145"/>
      <c r="U30" s="382"/>
      <c r="V30" s="49"/>
      <c r="X30" s="341"/>
    </row>
    <row r="31" spans="1:24">
      <c r="A31" s="151">
        <f t="shared" si="0"/>
        <v>22</v>
      </c>
      <c r="B31" s="145" t="s">
        <v>536</v>
      </c>
      <c r="D31" s="74">
        <v>-223.02023000000008</v>
      </c>
      <c r="E31" s="74">
        <v>-183</v>
      </c>
      <c r="F31" s="74">
        <v>-439.97628000000003</v>
      </c>
      <c r="G31" s="74">
        <v>-687.91872000000012</v>
      </c>
      <c r="H31" s="74">
        <v>-497.42874999999998</v>
      </c>
      <c r="I31" s="74">
        <v>-310.09196999999995</v>
      </c>
      <c r="J31" s="74">
        <v>-874.17283999999995</v>
      </c>
      <c r="K31" s="74"/>
      <c r="L31" s="74">
        <v>-999.82980591900605</v>
      </c>
      <c r="M31" s="74"/>
      <c r="N31" s="74">
        <v>-1263.7979882390289</v>
      </c>
      <c r="O31" s="74"/>
      <c r="P31" s="74">
        <v>-50</v>
      </c>
      <c r="Q31" s="74"/>
      <c r="R31" s="74">
        <v>-50</v>
      </c>
      <c r="T31" s="145"/>
      <c r="U31" s="382"/>
      <c r="V31" s="382"/>
      <c r="X31" s="145"/>
    </row>
    <row r="32" spans="1:24">
      <c r="A32" s="151">
        <f t="shared" si="0"/>
        <v>23</v>
      </c>
      <c r="B32" s="145" t="s">
        <v>537</v>
      </c>
      <c r="C32" s="151"/>
      <c r="D32" s="25">
        <f t="shared" ref="D32:J32" si="6">+D16</f>
        <v>-843.73854000000006</v>
      </c>
      <c r="E32" s="25">
        <f t="shared" si="6"/>
        <v>-1309.9795800000002</v>
      </c>
      <c r="F32" s="25">
        <f t="shared" si="6"/>
        <v>-824.51143999999988</v>
      </c>
      <c r="G32" s="25">
        <f t="shared" si="6"/>
        <v>-3495.1190399999996</v>
      </c>
      <c r="H32" s="25">
        <f t="shared" si="6"/>
        <v>-2286.9206899999999</v>
      </c>
      <c r="I32" s="25">
        <f t="shared" si="6"/>
        <v>-713.54587000000004</v>
      </c>
      <c r="J32" s="25">
        <f t="shared" si="6"/>
        <v>-1754.2453200000002</v>
      </c>
      <c r="K32" s="74"/>
      <c r="L32" s="25">
        <f>+L16</f>
        <v>-2507.9039600000001</v>
      </c>
      <c r="M32" s="74"/>
      <c r="N32" s="25">
        <f>+N16</f>
        <v>-1584.9039600000001</v>
      </c>
      <c r="O32" s="74"/>
      <c r="P32" s="25">
        <f>+P16</f>
        <v>-1154</v>
      </c>
      <c r="Q32" s="74"/>
      <c r="R32" s="25">
        <f>+R16</f>
        <v>-741</v>
      </c>
      <c r="T32" s="145"/>
      <c r="U32" s="382"/>
      <c r="V32" s="110"/>
    </row>
    <row r="33" spans="1:24">
      <c r="A33" s="151">
        <f t="shared" si="0"/>
        <v>24</v>
      </c>
      <c r="D33" s="110"/>
      <c r="E33" s="110"/>
      <c r="F33" s="110"/>
      <c r="T33" s="145"/>
      <c r="U33" s="49"/>
      <c r="V33" s="49"/>
      <c r="X33" s="49"/>
    </row>
    <row r="34" spans="1:24">
      <c r="A34" s="151">
        <f t="shared" si="0"/>
        <v>25</v>
      </c>
      <c r="B34" s="145" t="s">
        <v>496</v>
      </c>
      <c r="D34" s="25">
        <f t="shared" ref="D34:J34" si="7">SUM(D27:D32)</f>
        <v>82737.687190000011</v>
      </c>
      <c r="E34" s="25">
        <f t="shared" si="7"/>
        <v>87515.668390000006</v>
      </c>
      <c r="F34" s="25">
        <f t="shared" si="7"/>
        <v>92688.542809999999</v>
      </c>
      <c r="G34" s="25">
        <f t="shared" si="7"/>
        <v>95014.087350000002</v>
      </c>
      <c r="H34" s="25">
        <f t="shared" si="7"/>
        <v>99074.480750000002</v>
      </c>
      <c r="I34" s="25">
        <f t="shared" si="7"/>
        <v>105178.84291000001</v>
      </c>
      <c r="J34" s="25">
        <f t="shared" si="7"/>
        <v>110104.12124000001</v>
      </c>
      <c r="K34" s="74"/>
      <c r="L34" s="25">
        <f>SUM(L27:L32)</f>
        <v>116196.68357037941</v>
      </c>
      <c r="M34" s="74"/>
      <c r="N34" s="25">
        <f>SUM(N27:N32)</f>
        <v>124781.67839843879</v>
      </c>
      <c r="O34" s="74"/>
      <c r="P34" s="25">
        <f>SUM(P27:P32)</f>
        <v>82558.722220000011</v>
      </c>
      <c r="Q34" s="74"/>
      <c r="R34" s="25">
        <f>SUM(R27:R32)</f>
        <v>88088.829912000016</v>
      </c>
      <c r="T34" s="145"/>
      <c r="U34" s="49"/>
      <c r="V34" s="49"/>
    </row>
    <row r="35" spans="1:24">
      <c r="A35" s="151">
        <f t="shared" si="0"/>
        <v>26</v>
      </c>
      <c r="D35" s="110"/>
      <c r="E35" s="110"/>
      <c r="F35" s="110"/>
      <c r="J35" s="347"/>
      <c r="K35" s="347"/>
      <c r="L35" s="347"/>
      <c r="M35" s="347"/>
      <c r="N35" s="347"/>
      <c r="S35" s="49"/>
      <c r="T35" s="145"/>
      <c r="U35" s="49"/>
      <c r="V35" s="49"/>
    </row>
    <row r="36" spans="1:24">
      <c r="A36" s="151">
        <f t="shared" si="0"/>
        <v>27</v>
      </c>
      <c r="D36" s="110"/>
      <c r="E36" s="110"/>
      <c r="F36" s="110"/>
      <c r="S36" s="49"/>
    </row>
    <row r="37" spans="1:24" s="24" customFormat="1" ht="13.5" thickBot="1">
      <c r="A37" s="151">
        <f t="shared" si="0"/>
        <v>28</v>
      </c>
      <c r="B37" s="24" t="s">
        <v>538</v>
      </c>
      <c r="C37" s="3"/>
      <c r="D37" s="513">
        <f>+D23-D34</f>
        <v>137512.93021999998</v>
      </c>
      <c r="E37" s="513">
        <f t="shared" ref="E37:J37" si="8">+E23-E34</f>
        <v>142434.96946195289</v>
      </c>
      <c r="F37" s="513">
        <f t="shared" si="8"/>
        <v>145928.96577178454</v>
      </c>
      <c r="G37" s="513">
        <f t="shared" si="8"/>
        <v>153636.83192683978</v>
      </c>
      <c r="H37" s="513">
        <f t="shared" si="8"/>
        <v>160290.37778566976</v>
      </c>
      <c r="I37" s="513">
        <f t="shared" si="8"/>
        <v>168619.0922376173</v>
      </c>
      <c r="J37" s="513">
        <f t="shared" si="8"/>
        <v>180853.45016903756</v>
      </c>
      <c r="K37" s="514"/>
      <c r="L37" s="513">
        <f>+L23-L34</f>
        <v>203487.34287153883</v>
      </c>
      <c r="M37" s="514"/>
      <c r="N37" s="513">
        <f>+N23-N34</f>
        <v>218390.87583945523</v>
      </c>
      <c r="O37" s="514"/>
      <c r="P37" s="513">
        <f>+P23-P34</f>
        <v>137767.68685771956</v>
      </c>
      <c r="Q37" s="514"/>
      <c r="R37" s="513">
        <f>+R23-R34</f>
        <v>143967.00212079825</v>
      </c>
    </row>
    <row r="40" spans="1:24">
      <c r="T40" s="49"/>
    </row>
    <row r="41" spans="1:24">
      <c r="T41" s="110"/>
    </row>
    <row r="42" spans="1:24">
      <c r="D42" s="299"/>
      <c r="E42" s="299"/>
      <c r="F42" s="72"/>
    </row>
    <row r="43" spans="1:24"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</row>
    <row r="44" spans="1:24">
      <c r="F44" s="4"/>
      <c r="G44" s="4"/>
      <c r="H44" s="4"/>
      <c r="I44" s="4"/>
      <c r="J44" s="4"/>
      <c r="K44" s="4"/>
      <c r="L44" s="4"/>
      <c r="M44" s="4"/>
      <c r="N44" s="4"/>
    </row>
    <row r="45" spans="1:24">
      <c r="D45" s="299"/>
      <c r="E45" s="299"/>
      <c r="F45" s="299"/>
      <c r="G45" s="299"/>
      <c r="H45" s="299"/>
      <c r="I45" s="299"/>
      <c r="J45" s="299"/>
      <c r="K45" s="299"/>
      <c r="L45" s="299"/>
      <c r="M45" s="299"/>
      <c r="N45" s="299"/>
    </row>
    <row r="46" spans="1:24">
      <c r="D46" s="460"/>
      <c r="E46" s="460"/>
      <c r="F46" s="460"/>
      <c r="G46" s="460"/>
      <c r="H46" s="460"/>
      <c r="I46" s="460"/>
      <c r="J46" s="460"/>
      <c r="K46" s="460"/>
      <c r="L46" s="460"/>
      <c r="M46" s="460"/>
      <c r="N46" s="460"/>
    </row>
    <row r="48" spans="1:24">
      <c r="C48"/>
    </row>
    <row r="49" spans="3:10">
      <c r="C49"/>
      <c r="F49" s="341"/>
      <c r="G49" s="341"/>
      <c r="H49" s="341"/>
      <c r="I49" s="341"/>
      <c r="J49" s="341"/>
    </row>
    <row r="50" spans="3:10">
      <c r="C50"/>
      <c r="E50" s="459"/>
    </row>
    <row r="51" spans="3:10">
      <c r="C51"/>
      <c r="E51" s="459"/>
      <c r="F51" s="459"/>
      <c r="G51" s="459"/>
      <c r="H51" s="459"/>
      <c r="I51" s="459"/>
      <c r="J51" s="459"/>
    </row>
    <row r="52" spans="3:10">
      <c r="E52" s="459"/>
      <c r="F52" s="459"/>
      <c r="G52" s="459"/>
      <c r="H52" s="459"/>
      <c r="I52" s="459"/>
      <c r="J52" s="459"/>
    </row>
    <row r="54" spans="3:10">
      <c r="E54" s="460"/>
      <c r="F54" s="460"/>
      <c r="G54" s="460"/>
      <c r="H54" s="460"/>
      <c r="I54" s="460"/>
      <c r="J54" s="460"/>
    </row>
    <row r="55" spans="3:10">
      <c r="H55"/>
    </row>
    <row r="56" spans="3:10">
      <c r="E56" s="460"/>
    </row>
  </sheetData>
  <mergeCells count="7">
    <mergeCell ref="P7:R7"/>
    <mergeCell ref="L7:N7"/>
    <mergeCell ref="A1:R1"/>
    <mergeCell ref="A2:R2"/>
    <mergeCell ref="A4:R4"/>
    <mergeCell ref="A5:R5"/>
    <mergeCell ref="D7:J7"/>
  </mergeCells>
  <phoneticPr fontId="12" type="noConversion"/>
  <printOptions horizontalCentered="1"/>
  <pageMargins left="0.5" right="0.5" top="0.75" bottom="0.75" header="0.5" footer="0.5"/>
  <pageSetup scale="74" fitToHeight="2" orientation="landscape" useFirstPageNumber="1" r:id="rId1"/>
  <headerFooter alignWithMargins="0">
    <oddHeader>&amp;R&amp;"Arial,Bold"Schedule 8.6
Page &amp;P of 1</oddHeader>
  </headerFooter>
  <ignoredErrors>
    <ignoredError sqref="A5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>
    <pageSetUpPr fitToPage="1"/>
  </sheetPr>
  <dimension ref="A1:U53"/>
  <sheetViews>
    <sheetView zoomScaleNormal="100" zoomScaleSheetLayoutView="100" workbookViewId="0">
      <selection activeCell="B3" sqref="B3"/>
    </sheetView>
  </sheetViews>
  <sheetFormatPr defaultColWidth="9" defaultRowHeight="12.5"/>
  <cols>
    <col min="1" max="1" width="5" style="27" bestFit="1" customWidth="1"/>
    <col min="2" max="2" width="9" style="27"/>
    <col min="3" max="3" width="30.54296875" style="27" customWidth="1"/>
    <col min="4" max="4" width="9" style="27" customWidth="1"/>
    <col min="5" max="5" width="8.7265625" style="27" bestFit="1" customWidth="1"/>
    <col min="6" max="6" width="9.1796875" style="27" bestFit="1" customWidth="1"/>
    <col min="7" max="7" width="8.7265625" style="27" bestFit="1" customWidth="1"/>
    <col min="8" max="9" width="10" style="27" bestFit="1" customWidth="1"/>
    <col min="10" max="10" width="8.7265625" style="27" bestFit="1" customWidth="1"/>
    <col min="11" max="11" width="9.1796875" style="27" bestFit="1" customWidth="1"/>
    <col min="12" max="12" width="2" style="27" customWidth="1"/>
    <col min="13" max="13" width="8.7265625" style="27" customWidth="1"/>
    <col min="14" max="14" width="7.1796875" style="27" bestFit="1" customWidth="1"/>
    <col min="15" max="15" width="2.1796875" style="27" customWidth="1"/>
    <col min="16" max="16" width="9.7265625" style="27" customWidth="1"/>
    <col min="17" max="17" width="2.1796875" style="27" customWidth="1"/>
    <col min="18" max="18" width="9.7265625" style="27" customWidth="1"/>
    <col min="19" max="19" width="2.1796875" style="27" customWidth="1"/>
    <col min="20" max="16384" width="9" style="27"/>
  </cols>
  <sheetData>
    <row r="1" spans="1:21" s="24" customFormat="1" ht="13">
      <c r="A1" s="146" t="str">
        <f>'S1.1'!A1</f>
        <v>ATCO Electric Yukon (AEY)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30"/>
    </row>
    <row r="2" spans="1:21" s="24" customFormat="1" ht="13">
      <c r="A2" s="146" t="str">
        <f>'S1.1'!A2</f>
        <v>2023 - 2024 General Rate Application (GRA)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30"/>
    </row>
    <row r="3" spans="1:21" s="24" customFormat="1" ht="13">
      <c r="A3" s="146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30"/>
    </row>
    <row r="4" spans="1:21" ht="13">
      <c r="A4" s="146" t="s">
        <v>539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5"/>
      <c r="T4" s="145"/>
      <c r="U4" s="145"/>
    </row>
    <row r="5" spans="1:21" s="24" customFormat="1" ht="13">
      <c r="A5" s="26" t="s">
        <v>6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</row>
    <row r="6" spans="1:21" s="24" customFormat="1" ht="13">
      <c r="F6" s="3"/>
      <c r="P6" s="279"/>
    </row>
    <row r="7" spans="1:21" s="24" customFormat="1" ht="15.5">
      <c r="A7" s="3" t="s">
        <v>7</v>
      </c>
      <c r="D7" s="3" t="s">
        <v>8</v>
      </c>
      <c r="E7" s="530" t="s">
        <v>9</v>
      </c>
      <c r="F7" s="530"/>
      <c r="G7" s="530"/>
      <c r="H7" s="530"/>
      <c r="I7" s="530"/>
      <c r="J7" s="530"/>
      <c r="K7" s="530"/>
      <c r="L7" s="40"/>
      <c r="M7" s="534" t="s">
        <v>10</v>
      </c>
      <c r="N7" s="534"/>
      <c r="O7" s="18"/>
      <c r="P7" s="530" t="s">
        <v>10</v>
      </c>
      <c r="Q7" s="530"/>
      <c r="R7" s="530"/>
    </row>
    <row r="8" spans="1:21" s="24" customFormat="1" ht="13">
      <c r="A8" s="23" t="s">
        <v>12</v>
      </c>
      <c r="B8" s="22" t="s">
        <v>13</v>
      </c>
      <c r="C8" s="22"/>
      <c r="D8" s="23" t="s">
        <v>14</v>
      </c>
      <c r="E8" s="22">
        <v>2016</v>
      </c>
      <c r="F8" s="23">
        <v>2017</v>
      </c>
      <c r="G8" s="23">
        <v>2018</v>
      </c>
      <c r="H8" s="23">
        <v>2019</v>
      </c>
      <c r="I8" s="23">
        <v>2020</v>
      </c>
      <c r="J8" s="23">
        <v>2021</v>
      </c>
      <c r="K8" s="23">
        <v>2022</v>
      </c>
      <c r="L8" s="3"/>
      <c r="M8" s="246">
        <v>2023</v>
      </c>
      <c r="N8" s="246">
        <v>2024</v>
      </c>
      <c r="O8" s="3"/>
      <c r="P8" s="23">
        <v>2016</v>
      </c>
      <c r="Q8" s="3"/>
      <c r="R8" s="23">
        <v>2017</v>
      </c>
    </row>
    <row r="9" spans="1:21" s="24" customFormat="1" ht="13">
      <c r="A9" s="3"/>
      <c r="F9" s="3"/>
    </row>
    <row r="10" spans="1:21" ht="13">
      <c r="A10" s="151">
        <v>1</v>
      </c>
      <c r="B10" s="24" t="s">
        <v>540</v>
      </c>
      <c r="C10" s="145"/>
      <c r="D10" s="145"/>
      <c r="E10" s="145"/>
      <c r="F10" s="145"/>
      <c r="G10" s="271"/>
      <c r="H10" s="271"/>
      <c r="I10" s="271"/>
      <c r="J10" s="271"/>
      <c r="K10" s="271"/>
      <c r="L10" s="271"/>
      <c r="M10" s="271"/>
      <c r="N10" s="271"/>
      <c r="O10" s="271"/>
      <c r="P10" s="271"/>
      <c r="Q10" s="271"/>
      <c r="R10" s="271"/>
      <c r="S10" s="145"/>
      <c r="T10" s="145"/>
      <c r="U10" s="145"/>
    </row>
    <row r="11" spans="1:21">
      <c r="A11" s="151">
        <f>A10+1</f>
        <v>2</v>
      </c>
      <c r="B11" s="150" t="s">
        <v>541</v>
      </c>
      <c r="C11" s="145"/>
      <c r="D11" s="145"/>
      <c r="E11" s="274">
        <v>-149.85883000000001</v>
      </c>
      <c r="F11" s="274">
        <v>-720.53179</v>
      </c>
      <c r="G11" s="274">
        <v>-111.85722</v>
      </c>
      <c r="H11" s="274">
        <v>-353.08769999999998</v>
      </c>
      <c r="I11" s="274">
        <v>-1221.43803</v>
      </c>
      <c r="J11" s="274">
        <v>-472.38683000000003</v>
      </c>
      <c r="K11" s="274">
        <v>-765.18851000000006</v>
      </c>
      <c r="L11" s="145"/>
      <c r="M11" s="274">
        <v>-819.67112333333341</v>
      </c>
      <c r="N11" s="274">
        <v>-819.67112333333341</v>
      </c>
      <c r="O11" s="271"/>
      <c r="P11" s="271">
        <v>-518.26989600000002</v>
      </c>
      <c r="Q11" s="271"/>
      <c r="R11" s="271">
        <v>-105.086606</v>
      </c>
      <c r="S11" s="145"/>
      <c r="T11" s="145"/>
      <c r="U11" s="145"/>
    </row>
    <row r="12" spans="1:21">
      <c r="A12" s="151">
        <f t="shared" ref="A12:A36" si="0">A11+1</f>
        <v>3</v>
      </c>
      <c r="B12" s="150" t="s">
        <v>542</v>
      </c>
      <c r="C12" s="145"/>
      <c r="D12" s="145"/>
      <c r="E12" s="274">
        <v>0</v>
      </c>
      <c r="F12" s="274">
        <v>0</v>
      </c>
      <c r="G12" s="274">
        <v>0</v>
      </c>
      <c r="H12" s="274">
        <v>-816.37306999999998</v>
      </c>
      <c r="I12" s="274">
        <v>-160.77063000000001</v>
      </c>
      <c r="J12" s="274">
        <v>0</v>
      </c>
      <c r="K12" s="274">
        <v>-36.311670000000007</v>
      </c>
      <c r="L12" s="145"/>
      <c r="M12" s="274">
        <v>-65.694099999999992</v>
      </c>
      <c r="N12" s="274">
        <v>-65.694099999999992</v>
      </c>
      <c r="O12" s="271"/>
      <c r="P12" s="271">
        <v>0</v>
      </c>
      <c r="Q12" s="271"/>
      <c r="R12" s="271">
        <v>0</v>
      </c>
      <c r="S12" s="145"/>
      <c r="T12" s="145"/>
      <c r="U12" s="145"/>
    </row>
    <row r="13" spans="1:21" s="24" customFormat="1" ht="13">
      <c r="A13" s="151">
        <f t="shared" si="0"/>
        <v>4</v>
      </c>
      <c r="B13" s="150" t="s">
        <v>543</v>
      </c>
      <c r="E13" s="275">
        <v>0</v>
      </c>
      <c r="F13" s="275">
        <v>0</v>
      </c>
      <c r="G13" s="275">
        <v>0</v>
      </c>
      <c r="H13" s="272">
        <v>0</v>
      </c>
      <c r="I13" s="272">
        <v>0</v>
      </c>
      <c r="J13" s="272">
        <v>0</v>
      </c>
      <c r="K13" s="272">
        <v>0</v>
      </c>
      <c r="M13" s="272">
        <v>0</v>
      </c>
      <c r="N13" s="272">
        <v>0</v>
      </c>
      <c r="O13" s="273"/>
      <c r="P13" s="272">
        <v>0</v>
      </c>
      <c r="Q13" s="273"/>
      <c r="R13" s="272">
        <v>0</v>
      </c>
    </row>
    <row r="14" spans="1:21">
      <c r="A14" s="151">
        <f t="shared" si="0"/>
        <v>5</v>
      </c>
      <c r="B14" s="145" t="s">
        <v>544</v>
      </c>
      <c r="C14" s="145"/>
      <c r="D14" s="145"/>
      <c r="E14" s="274">
        <f t="shared" ref="E14:K14" si="1">SUM(E11:E13)</f>
        <v>-149.85883000000001</v>
      </c>
      <c r="F14" s="274">
        <f t="shared" si="1"/>
        <v>-720.53179</v>
      </c>
      <c r="G14" s="274">
        <f t="shared" si="1"/>
        <v>-111.85722</v>
      </c>
      <c r="H14" s="274">
        <f t="shared" si="1"/>
        <v>-1169.4607699999999</v>
      </c>
      <c r="I14" s="274">
        <f t="shared" si="1"/>
        <v>-1382.20866</v>
      </c>
      <c r="J14" s="274">
        <f t="shared" si="1"/>
        <v>-472.38683000000003</v>
      </c>
      <c r="K14" s="274">
        <f t="shared" si="1"/>
        <v>-801.50018000000011</v>
      </c>
      <c r="L14" s="145"/>
      <c r="M14" s="274">
        <f>SUM(M11:M13)</f>
        <v>-885.36522333333346</v>
      </c>
      <c r="N14" s="274">
        <f>SUM(N11:N13)</f>
        <v>-885.36522333333346</v>
      </c>
      <c r="O14" s="274"/>
      <c r="P14" s="274">
        <f>SUM(P11:P13)</f>
        <v>-518.26989600000002</v>
      </c>
      <c r="Q14" s="274"/>
      <c r="R14" s="274">
        <f>SUM(R11:R13)</f>
        <v>-105.086606</v>
      </c>
      <c r="S14" s="145"/>
      <c r="T14" s="145"/>
      <c r="U14" s="145"/>
    </row>
    <row r="15" spans="1:21">
      <c r="A15" s="151">
        <f t="shared" si="0"/>
        <v>6</v>
      </c>
      <c r="B15" s="145"/>
      <c r="C15" s="145"/>
      <c r="D15" s="145"/>
      <c r="E15" s="274"/>
      <c r="F15" s="274"/>
      <c r="G15" s="274"/>
      <c r="H15" s="274"/>
      <c r="I15" s="274"/>
      <c r="J15" s="274"/>
      <c r="K15" s="274"/>
      <c r="L15" s="145"/>
      <c r="M15" s="274"/>
      <c r="N15" s="274"/>
      <c r="O15" s="274"/>
      <c r="P15" s="274"/>
      <c r="Q15" s="274"/>
      <c r="R15" s="274"/>
      <c r="S15" s="145"/>
      <c r="T15" s="145"/>
      <c r="U15" s="145"/>
    </row>
    <row r="16" spans="1:21">
      <c r="A16" s="151">
        <f t="shared" si="0"/>
        <v>7</v>
      </c>
      <c r="B16" s="145"/>
      <c r="C16" s="145"/>
      <c r="D16" s="145"/>
      <c r="E16" s="274"/>
      <c r="F16" s="274"/>
      <c r="G16" s="274"/>
      <c r="H16" s="274"/>
      <c r="I16" s="274"/>
      <c r="J16" s="274"/>
      <c r="K16" s="274"/>
      <c r="L16" s="145"/>
      <c r="M16" s="274"/>
      <c r="N16" s="274"/>
      <c r="O16" s="274"/>
      <c r="P16" s="274"/>
      <c r="Q16" s="274"/>
      <c r="R16" s="274"/>
      <c r="S16" s="145"/>
      <c r="T16" s="145"/>
      <c r="U16" s="145"/>
    </row>
    <row r="17" spans="1:21" ht="13">
      <c r="A17" s="151">
        <f t="shared" si="0"/>
        <v>8</v>
      </c>
      <c r="B17" s="24" t="s">
        <v>266</v>
      </c>
      <c r="C17" s="145"/>
      <c r="D17" s="145"/>
      <c r="E17" s="274"/>
      <c r="F17" s="274"/>
      <c r="G17" s="274"/>
      <c r="H17" s="274"/>
      <c r="I17" s="274"/>
      <c r="J17" s="274"/>
      <c r="K17" s="274"/>
      <c r="L17" s="145"/>
      <c r="M17" s="274"/>
      <c r="N17" s="274"/>
      <c r="O17" s="274"/>
      <c r="P17" s="274"/>
      <c r="Q17" s="274"/>
      <c r="R17" s="274"/>
      <c r="S17" s="145"/>
      <c r="T17" s="145"/>
      <c r="U17" s="145"/>
    </row>
    <row r="18" spans="1:21">
      <c r="A18" s="151">
        <f t="shared" si="0"/>
        <v>9</v>
      </c>
      <c r="B18" s="150" t="s">
        <v>545</v>
      </c>
      <c r="C18" s="145"/>
      <c r="D18" s="145"/>
      <c r="E18" s="274">
        <v>-86.402289999999994</v>
      </c>
      <c r="F18" s="274">
        <v>-24.220279999999999</v>
      </c>
      <c r="G18" s="274">
        <v>-51.939599999999992</v>
      </c>
      <c r="H18" s="274">
        <v>-173.86002999999999</v>
      </c>
      <c r="I18" s="274">
        <v>-108.55976</v>
      </c>
      <c r="J18" s="274">
        <v>-77.372369999999989</v>
      </c>
      <c r="K18" s="274">
        <v>-86.970420000000004</v>
      </c>
      <c r="L18" s="145"/>
      <c r="M18" s="274">
        <v>-90.967516666666668</v>
      </c>
      <c r="N18" s="274">
        <v>-90.967516666666668</v>
      </c>
      <c r="O18" s="274"/>
      <c r="P18" s="274">
        <v>-225.84688999999997</v>
      </c>
      <c r="Q18" s="274"/>
      <c r="R18" s="274">
        <v>-225.84688999999997</v>
      </c>
      <c r="S18" s="145"/>
      <c r="T18" s="145"/>
      <c r="U18" s="145"/>
    </row>
    <row r="19" spans="1:21">
      <c r="A19" s="151">
        <f t="shared" si="0"/>
        <v>10</v>
      </c>
      <c r="B19" s="150" t="s">
        <v>546</v>
      </c>
      <c r="C19" s="145"/>
      <c r="D19" s="145"/>
      <c r="E19" s="274">
        <v>-215.40467000000001</v>
      </c>
      <c r="F19" s="274">
        <v>-19.221720000000001</v>
      </c>
      <c r="G19" s="274">
        <v>-80.325210000000013</v>
      </c>
      <c r="H19" s="274">
        <v>-2.4504699999999997</v>
      </c>
      <c r="I19" s="274">
        <v>0</v>
      </c>
      <c r="J19" s="274">
        <v>-0.30551</v>
      </c>
      <c r="K19" s="274">
        <v>0</v>
      </c>
      <c r="L19" s="145"/>
      <c r="M19" s="274">
        <v>-0.10183666666666666</v>
      </c>
      <c r="N19" s="274">
        <v>-0.10183666666666666</v>
      </c>
      <c r="O19" s="271"/>
      <c r="P19" s="271">
        <v>-115.242026</v>
      </c>
      <c r="Q19" s="271"/>
      <c r="R19" s="271">
        <v>-115.242026</v>
      </c>
      <c r="S19" s="145"/>
      <c r="T19" s="145"/>
      <c r="U19" s="145"/>
    </row>
    <row r="20" spans="1:21">
      <c r="A20" s="151">
        <f t="shared" si="0"/>
        <v>11</v>
      </c>
      <c r="B20" s="150" t="s">
        <v>547</v>
      </c>
      <c r="C20" s="145"/>
      <c r="D20" s="145"/>
      <c r="E20" s="274">
        <v>-0.99529999999999996</v>
      </c>
      <c r="F20" s="274">
        <v>0</v>
      </c>
      <c r="G20" s="274">
        <v>-7.3462399999999803</v>
      </c>
      <c r="H20" s="274">
        <v>-61.542479999999998</v>
      </c>
      <c r="I20" s="274">
        <v>-66.392440000000008</v>
      </c>
      <c r="J20" s="274">
        <v>-79.561539999999994</v>
      </c>
      <c r="K20" s="274">
        <v>-8.9811500000000013</v>
      </c>
      <c r="L20" s="145"/>
      <c r="M20" s="274">
        <v>-51.645043333333319</v>
      </c>
      <c r="N20" s="274">
        <v>-51.645043333333319</v>
      </c>
      <c r="O20" s="271"/>
      <c r="P20" s="271">
        <v>-97.495649999999998</v>
      </c>
      <c r="Q20" s="271"/>
      <c r="R20" s="271">
        <v>-97.495649999999998</v>
      </c>
      <c r="S20" s="145"/>
      <c r="T20" s="145"/>
      <c r="U20" s="145"/>
    </row>
    <row r="21" spans="1:21">
      <c r="A21" s="151">
        <f t="shared" si="0"/>
        <v>12</v>
      </c>
      <c r="B21" s="150" t="s">
        <v>548</v>
      </c>
      <c r="C21" s="145"/>
      <c r="D21" s="145"/>
      <c r="E21" s="274">
        <v>-10.57817</v>
      </c>
      <c r="F21" s="274">
        <v>-1.9735400000000001</v>
      </c>
      <c r="G21" s="274">
        <v>-73.8035</v>
      </c>
      <c r="H21" s="274">
        <v>-53.002069999999996</v>
      </c>
      <c r="I21" s="274">
        <v>-30.810590000000001</v>
      </c>
      <c r="J21" s="274">
        <v>-14.237299999999999</v>
      </c>
      <c r="K21" s="274">
        <v>-43.083329999999997</v>
      </c>
      <c r="L21" s="145"/>
      <c r="M21" s="274">
        <v>-29.377073333333335</v>
      </c>
      <c r="N21" s="274">
        <v>-29.377073333333335</v>
      </c>
      <c r="O21" s="271"/>
      <c r="P21" s="271">
        <v>0</v>
      </c>
      <c r="Q21" s="271"/>
      <c r="R21" s="271">
        <v>0</v>
      </c>
      <c r="S21" s="145"/>
      <c r="T21" s="145"/>
      <c r="U21" s="145"/>
    </row>
    <row r="22" spans="1:21" s="24" customFormat="1" ht="13">
      <c r="A22" s="151">
        <f t="shared" si="0"/>
        <v>13</v>
      </c>
      <c r="B22" s="150" t="s">
        <v>549</v>
      </c>
      <c r="C22" s="145"/>
      <c r="D22" s="145"/>
      <c r="E22" s="274">
        <v>-45.011780000000002</v>
      </c>
      <c r="F22" s="274">
        <v>-27.183679999999999</v>
      </c>
      <c r="G22" s="274">
        <v>-1.6748299999999998</v>
      </c>
      <c r="H22" s="274">
        <v>-90.957660000000004</v>
      </c>
      <c r="I22" s="274">
        <v>-23.299130000000002</v>
      </c>
      <c r="J22" s="274">
        <v>-12.37556</v>
      </c>
      <c r="K22" s="274">
        <v>-107.40519999999999</v>
      </c>
      <c r="L22" s="145"/>
      <c r="M22" s="274">
        <v>-47.693296666666669</v>
      </c>
      <c r="N22" s="274">
        <v>-47.693296666666669</v>
      </c>
      <c r="O22" s="271"/>
      <c r="P22" s="271">
        <v>0</v>
      </c>
      <c r="Q22" s="271"/>
      <c r="R22" s="271">
        <v>0</v>
      </c>
      <c r="S22" s="145"/>
      <c r="T22" s="145"/>
      <c r="U22" s="145"/>
    </row>
    <row r="23" spans="1:21">
      <c r="A23" s="151">
        <f t="shared" si="0"/>
        <v>14</v>
      </c>
      <c r="B23" s="150" t="s">
        <v>550</v>
      </c>
      <c r="C23" s="145"/>
      <c r="D23" s="145"/>
      <c r="E23" s="274">
        <v>0</v>
      </c>
      <c r="F23" s="274">
        <v>0</v>
      </c>
      <c r="G23" s="274">
        <v>-15.28026</v>
      </c>
      <c r="H23" s="274">
        <v>-77.490309999999994</v>
      </c>
      <c r="I23" s="274">
        <v>-102.35322000000001</v>
      </c>
      <c r="J23" s="274">
        <v>0</v>
      </c>
      <c r="K23" s="274">
        <v>-39.64367</v>
      </c>
      <c r="L23" s="145"/>
      <c r="M23" s="274">
        <v>-47.332296666666672</v>
      </c>
      <c r="N23" s="274">
        <v>-47.332296666666672</v>
      </c>
      <c r="O23" s="271"/>
      <c r="P23" s="271">
        <v>0</v>
      </c>
      <c r="Q23" s="271"/>
      <c r="R23" s="271">
        <v>0</v>
      </c>
      <c r="S23" s="145"/>
      <c r="T23" s="145"/>
      <c r="U23" s="145"/>
    </row>
    <row r="24" spans="1:21">
      <c r="A24" s="151">
        <f t="shared" si="0"/>
        <v>15</v>
      </c>
      <c r="B24" s="150" t="s">
        <v>52</v>
      </c>
      <c r="C24" s="145"/>
      <c r="D24" s="145"/>
      <c r="E24" s="274">
        <v>-53.206069999999997</v>
      </c>
      <c r="F24" s="274">
        <v>-30.32442</v>
      </c>
      <c r="G24" s="274">
        <v>-68.212249999999997</v>
      </c>
      <c r="H24" s="274">
        <v>-85.843279999999993</v>
      </c>
      <c r="I24" s="274">
        <v>-32.310600000000001</v>
      </c>
      <c r="J24" s="274">
        <v>-17.676099999999998</v>
      </c>
      <c r="K24" s="274">
        <v>-43.614239999999995</v>
      </c>
      <c r="L24" s="145"/>
      <c r="M24" s="274">
        <v>-31.200313333333334</v>
      </c>
      <c r="N24" s="274">
        <v>-31.200313333333334</v>
      </c>
      <c r="O24" s="271"/>
      <c r="P24" s="271">
        <v>0</v>
      </c>
      <c r="Q24" s="271"/>
      <c r="R24" s="271">
        <v>0</v>
      </c>
      <c r="S24" s="145"/>
      <c r="T24" s="145"/>
      <c r="U24" s="145"/>
    </row>
    <row r="25" spans="1:21" ht="13">
      <c r="A25" s="151">
        <f t="shared" si="0"/>
        <v>16</v>
      </c>
      <c r="B25" s="150" t="s">
        <v>543</v>
      </c>
      <c r="C25" s="24"/>
      <c r="D25" s="24"/>
      <c r="E25" s="275">
        <v>0</v>
      </c>
      <c r="F25" s="275">
        <v>-0.10947</v>
      </c>
      <c r="G25" s="275">
        <v>-45.175179999999997</v>
      </c>
      <c r="H25" s="275">
        <v>-6.7402600000000001</v>
      </c>
      <c r="I25" s="275">
        <v>-14.756170000000001</v>
      </c>
      <c r="J25" s="275">
        <v>-3.3698200000000003</v>
      </c>
      <c r="K25" s="275">
        <v>-8.4951499999999989</v>
      </c>
      <c r="L25" s="24"/>
      <c r="M25" s="275">
        <v>-8.8737133333333329</v>
      </c>
      <c r="N25" s="275">
        <v>-8.8737133333333329</v>
      </c>
      <c r="O25" s="274"/>
      <c r="P25" s="275">
        <v>-9.7722480000000012</v>
      </c>
      <c r="Q25" s="274"/>
      <c r="R25" s="275">
        <v>-9.7722480000000012</v>
      </c>
      <c r="S25" s="24"/>
      <c r="T25" s="145"/>
      <c r="U25" s="145"/>
    </row>
    <row r="26" spans="1:21" ht="13">
      <c r="A26" s="151">
        <f t="shared" si="0"/>
        <v>17</v>
      </c>
      <c r="B26" s="150"/>
      <c r="C26" s="24"/>
      <c r="D26" s="24"/>
      <c r="E26" s="274"/>
      <c r="F26" s="274"/>
      <c r="G26" s="274"/>
      <c r="H26" s="274"/>
      <c r="I26" s="274"/>
      <c r="J26" s="274"/>
      <c r="K26" s="274"/>
      <c r="L26" s="24"/>
      <c r="M26" s="274"/>
      <c r="N26" s="274"/>
      <c r="O26" s="274"/>
      <c r="P26" s="274"/>
      <c r="Q26" s="274"/>
      <c r="R26" s="274"/>
      <c r="S26" s="24"/>
      <c r="T26" s="145"/>
      <c r="U26" s="145"/>
    </row>
    <row r="27" spans="1:21" ht="13">
      <c r="A27" s="151">
        <f t="shared" si="0"/>
        <v>18</v>
      </c>
      <c r="B27" s="145" t="s">
        <v>551</v>
      </c>
      <c r="C27" s="145"/>
      <c r="D27" s="145"/>
      <c r="E27" s="274">
        <f t="shared" ref="E27:K27" si="2">SUM(E18:E25)</f>
        <v>-411.59827999999999</v>
      </c>
      <c r="F27" s="274">
        <f>SUM(F18:F25)</f>
        <v>-103.03311000000001</v>
      </c>
      <c r="G27" s="274">
        <f t="shared" si="2"/>
        <v>-343.75706999999994</v>
      </c>
      <c r="H27" s="274">
        <f t="shared" si="2"/>
        <v>-551.88656000000015</v>
      </c>
      <c r="I27" s="274">
        <f t="shared" si="2"/>
        <v>-378.48191000000003</v>
      </c>
      <c r="J27" s="274">
        <f t="shared" si="2"/>
        <v>-204.8982</v>
      </c>
      <c r="K27" s="274">
        <f t="shared" si="2"/>
        <v>-338.19315999999998</v>
      </c>
      <c r="L27" s="145"/>
      <c r="M27" s="274">
        <f>SUM(M18:M25)</f>
        <v>-307.19108999999997</v>
      </c>
      <c r="N27" s="274">
        <f>SUM(N18:N25)</f>
        <v>-307.19108999999997</v>
      </c>
      <c r="O27" s="274"/>
      <c r="P27" s="274">
        <f>SUM(P18:P25)</f>
        <v>-448.35681399999999</v>
      </c>
      <c r="Q27" s="274"/>
      <c r="R27" s="274">
        <f>SUM(R18:R25)</f>
        <v>-448.35681399999999</v>
      </c>
      <c r="S27" s="145"/>
      <c r="T27" s="24"/>
      <c r="U27" s="24"/>
    </row>
    <row r="28" spans="1:21">
      <c r="A28" s="151">
        <f t="shared" si="0"/>
        <v>19</v>
      </c>
      <c r="B28" s="145"/>
      <c r="C28" s="145"/>
      <c r="D28" s="145"/>
      <c r="E28" s="274"/>
      <c r="F28" s="274"/>
      <c r="G28" s="274"/>
      <c r="H28" s="274"/>
      <c r="I28" s="274"/>
      <c r="J28" s="274"/>
      <c r="K28" s="274"/>
      <c r="L28" s="145"/>
      <c r="M28" s="274"/>
      <c r="N28" s="274"/>
      <c r="O28" s="274"/>
      <c r="P28" s="274"/>
      <c r="Q28" s="274"/>
      <c r="R28" s="274"/>
      <c r="S28" s="145"/>
      <c r="T28" s="145"/>
      <c r="U28" s="145"/>
    </row>
    <row r="29" spans="1:21" ht="13">
      <c r="A29" s="151">
        <f t="shared" si="0"/>
        <v>20</v>
      </c>
      <c r="B29" s="24" t="s">
        <v>552</v>
      </c>
      <c r="C29" s="145"/>
      <c r="D29" s="145"/>
      <c r="E29" s="271"/>
      <c r="F29" s="271"/>
      <c r="G29" s="271"/>
      <c r="H29" s="271"/>
      <c r="I29" s="271"/>
      <c r="J29" s="271"/>
      <c r="K29" s="271"/>
      <c r="L29" s="145"/>
      <c r="M29" s="271"/>
      <c r="N29" s="271"/>
      <c r="O29" s="271"/>
      <c r="P29" s="271"/>
      <c r="Q29" s="271"/>
      <c r="R29" s="271"/>
      <c r="S29" s="145"/>
      <c r="T29" s="145"/>
      <c r="U29" s="145"/>
    </row>
    <row r="30" spans="1:21">
      <c r="A30" s="151">
        <f t="shared" si="0"/>
        <v>21</v>
      </c>
      <c r="B30" s="150" t="s">
        <v>553</v>
      </c>
      <c r="C30" s="145"/>
      <c r="D30" s="145"/>
      <c r="E30" s="274">
        <v>0</v>
      </c>
      <c r="F30" s="274">
        <v>-16.290209999999998</v>
      </c>
      <c r="G30" s="274">
        <v>0</v>
      </c>
      <c r="H30" s="274">
        <v>0</v>
      </c>
      <c r="I30" s="274">
        <v>0</v>
      </c>
      <c r="J30" s="274">
        <v>-1.7687899999999999</v>
      </c>
      <c r="K30" s="274">
        <v>-5.9953400000000006</v>
      </c>
      <c r="L30" s="274"/>
      <c r="M30" s="274">
        <v>-2.5880433333333333</v>
      </c>
      <c r="N30" s="274">
        <v>-2.5880433333333337</v>
      </c>
      <c r="O30" s="274"/>
      <c r="P30" s="274">
        <v>-9.3141400000000001</v>
      </c>
      <c r="Q30" s="274"/>
      <c r="R30" s="274">
        <v>-9.3141400000000001</v>
      </c>
      <c r="S30" s="145"/>
      <c r="T30" s="145"/>
      <c r="U30" s="145"/>
    </row>
    <row r="31" spans="1:21">
      <c r="A31" s="151">
        <f t="shared" si="0"/>
        <v>22</v>
      </c>
      <c r="B31" s="150" t="s">
        <v>554</v>
      </c>
      <c r="C31" s="145"/>
      <c r="D31" s="145"/>
      <c r="E31" s="274">
        <v>-282.28143</v>
      </c>
      <c r="F31" s="274">
        <v>-126.28305</v>
      </c>
      <c r="G31" s="274">
        <v>-279.04818999999998</v>
      </c>
      <c r="H31" s="274">
        <v>-51.938050000000004</v>
      </c>
      <c r="I31" s="274">
        <v>-45.795000000000002</v>
      </c>
      <c r="J31" s="274">
        <v>0</v>
      </c>
      <c r="K31" s="274">
        <v>-519.87206000000003</v>
      </c>
      <c r="L31" s="145"/>
      <c r="M31" s="274">
        <v>-188.55568666666667</v>
      </c>
      <c r="N31" s="274">
        <v>-188.55568666666667</v>
      </c>
      <c r="O31" s="274"/>
      <c r="P31" s="274">
        <v>-166.43970999999996</v>
      </c>
      <c r="Q31" s="274"/>
      <c r="R31" s="274">
        <v>-166.43970999999996</v>
      </c>
      <c r="S31" s="145"/>
      <c r="T31" s="145"/>
      <c r="U31" s="145"/>
    </row>
    <row r="32" spans="1:21">
      <c r="A32" s="151">
        <f t="shared" si="0"/>
        <v>23</v>
      </c>
      <c r="B32" s="150" t="s">
        <v>555</v>
      </c>
      <c r="C32" s="145"/>
      <c r="D32" s="145"/>
      <c r="E32" s="274">
        <v>0</v>
      </c>
      <c r="F32" s="274">
        <v>-64.298199999999994</v>
      </c>
      <c r="G32" s="274">
        <v>-87.46405</v>
      </c>
      <c r="H32" s="274">
        <v>-23.57094</v>
      </c>
      <c r="I32" s="274">
        <v>-36.733489999999996</v>
      </c>
      <c r="J32" s="274">
        <v>-9.7814899999999998</v>
      </c>
      <c r="K32" s="274">
        <v>-55.899760000000001</v>
      </c>
      <c r="L32" s="145"/>
      <c r="M32" s="274">
        <v>-34.138246666666667</v>
      </c>
      <c r="N32" s="274">
        <v>-34.138246666666667</v>
      </c>
      <c r="O32" s="274"/>
      <c r="P32" s="274">
        <v>-11.015549999999999</v>
      </c>
      <c r="Q32" s="274"/>
      <c r="R32" s="274">
        <v>-11.015549999999999</v>
      </c>
      <c r="S32" s="145"/>
      <c r="T32" s="145"/>
      <c r="U32" s="145"/>
    </row>
    <row r="33" spans="1:21" customFormat="1">
      <c r="A33" s="4">
        <f>A32+1</f>
        <v>24</v>
      </c>
      <c r="B33" s="330" t="s">
        <v>556</v>
      </c>
      <c r="E33" s="331">
        <v>0</v>
      </c>
      <c r="F33" s="331">
        <v>0</v>
      </c>
      <c r="G33" s="331">
        <v>0</v>
      </c>
      <c r="H33" s="331">
        <v>0</v>
      </c>
      <c r="I33" s="331">
        <v>0</v>
      </c>
      <c r="J33" s="331">
        <v>0</v>
      </c>
      <c r="K33" s="331">
        <v>0</v>
      </c>
      <c r="M33" s="331">
        <v>-923</v>
      </c>
      <c r="N33" s="331">
        <v>0</v>
      </c>
      <c r="O33" s="331"/>
      <c r="P33" s="331">
        <v>0</v>
      </c>
      <c r="Q33" s="331"/>
      <c r="R33" s="331">
        <v>0</v>
      </c>
    </row>
    <row r="34" spans="1:21">
      <c r="A34" s="151">
        <f>A33+1</f>
        <v>25</v>
      </c>
      <c r="B34" s="150" t="s">
        <v>557</v>
      </c>
      <c r="C34" s="145"/>
      <c r="D34" s="145"/>
      <c r="E34" s="274">
        <v>0</v>
      </c>
      <c r="F34" s="274">
        <v>-279.54322000000002</v>
      </c>
      <c r="G34" s="274">
        <v>-2.3849099999999996</v>
      </c>
      <c r="H34" s="274">
        <v>-1612.9412199999999</v>
      </c>
      <c r="I34" s="274">
        <v>-360.82549</v>
      </c>
      <c r="J34" s="274">
        <v>-10.10675</v>
      </c>
      <c r="K34" s="274">
        <v>-30.808240000000001</v>
      </c>
      <c r="L34" s="145"/>
      <c r="M34" s="274">
        <v>-133.91349333333332</v>
      </c>
      <c r="N34" s="274">
        <v>-133.91349333333332</v>
      </c>
      <c r="O34" s="274"/>
      <c r="P34" s="303">
        <v>0</v>
      </c>
      <c r="Q34" s="274"/>
      <c r="R34" s="303">
        <v>0</v>
      </c>
      <c r="S34" s="145"/>
      <c r="T34" s="145"/>
      <c r="U34" s="145"/>
    </row>
    <row r="35" spans="1:21">
      <c r="A35" s="151">
        <f t="shared" si="0"/>
        <v>26</v>
      </c>
      <c r="B35" s="150" t="s">
        <v>558</v>
      </c>
      <c r="C35" s="145"/>
      <c r="D35" s="145"/>
      <c r="E35" s="274">
        <v>0</v>
      </c>
      <c r="F35" s="274">
        <v>0</v>
      </c>
      <c r="G35" s="274">
        <v>0</v>
      </c>
      <c r="H35" s="274">
        <v>-74.417339999999996</v>
      </c>
      <c r="I35" s="274">
        <v>-82.876139999999992</v>
      </c>
      <c r="J35" s="274">
        <v>-9.6185899999999993</v>
      </c>
      <c r="K35" s="274">
        <v>0</v>
      </c>
      <c r="L35" s="145"/>
      <c r="M35" s="274">
        <v>-30.831576666666667</v>
      </c>
      <c r="N35" s="274">
        <v>-30.831576666666667</v>
      </c>
      <c r="O35" s="274"/>
      <c r="P35" s="303">
        <v>0</v>
      </c>
      <c r="Q35" s="274"/>
      <c r="R35" s="274">
        <v>0</v>
      </c>
      <c r="S35" s="145"/>
      <c r="T35" s="145"/>
      <c r="U35" s="145"/>
    </row>
    <row r="36" spans="1:21">
      <c r="A36" s="151">
        <f t="shared" si="0"/>
        <v>27</v>
      </c>
      <c r="B36" s="150" t="s">
        <v>543</v>
      </c>
      <c r="C36" s="145"/>
      <c r="D36" s="145"/>
      <c r="E36" s="275">
        <v>0</v>
      </c>
      <c r="F36" s="275">
        <v>0</v>
      </c>
      <c r="G36" s="275">
        <v>0</v>
      </c>
      <c r="H36" s="275">
        <v>-10.904159999999999</v>
      </c>
      <c r="I36" s="275">
        <v>0</v>
      </c>
      <c r="J36" s="275">
        <v>-4.98522</v>
      </c>
      <c r="K36" s="275">
        <v>-1.97658</v>
      </c>
      <c r="L36" s="145"/>
      <c r="M36" s="275">
        <v>-2.3205999999999998</v>
      </c>
      <c r="N36" s="275">
        <v>-2.3205999999999998</v>
      </c>
      <c r="O36" s="274"/>
      <c r="P36" s="275">
        <v>-0.61919800000000003</v>
      </c>
      <c r="Q36" s="274"/>
      <c r="R36" s="275">
        <v>-0.61919800000000003</v>
      </c>
      <c r="S36" s="145"/>
      <c r="T36" s="145"/>
      <c r="U36" s="145"/>
    </row>
    <row r="37" spans="1:21">
      <c r="A37" s="151">
        <f>A36+1</f>
        <v>28</v>
      </c>
      <c r="B37" s="145" t="s">
        <v>559</v>
      </c>
      <c r="C37" s="145"/>
      <c r="D37" s="145"/>
      <c r="E37" s="274">
        <f t="shared" ref="E37:K37" si="3">SUM(E30:E36)</f>
        <v>-282.28143</v>
      </c>
      <c r="F37" s="274">
        <f t="shared" si="3"/>
        <v>-486.41468000000003</v>
      </c>
      <c r="G37" s="274">
        <f t="shared" si="3"/>
        <v>-368.89714999999995</v>
      </c>
      <c r="H37" s="274">
        <f t="shared" si="3"/>
        <v>-1773.77171</v>
      </c>
      <c r="I37" s="274">
        <f t="shared" si="3"/>
        <v>-526.23011999999994</v>
      </c>
      <c r="J37" s="274">
        <f t="shared" si="3"/>
        <v>-36.260839999999995</v>
      </c>
      <c r="K37" s="274">
        <f t="shared" si="3"/>
        <v>-614.55198000000007</v>
      </c>
      <c r="L37" s="145"/>
      <c r="M37" s="274">
        <f>SUM(M30:M36)</f>
        <v>-1315.3476466666666</v>
      </c>
      <c r="N37" s="274">
        <f>SUM(N30:N36)</f>
        <v>-392.34764666666666</v>
      </c>
      <c r="O37" s="274"/>
      <c r="P37" s="274">
        <f>SUM(P30:P36)</f>
        <v>-187.38859799999997</v>
      </c>
      <c r="Q37" s="274"/>
      <c r="R37" s="274">
        <f>SUM(R30:R36)</f>
        <v>-187.38859799999997</v>
      </c>
      <c r="S37" s="145"/>
      <c r="T37" s="145"/>
      <c r="U37" s="145"/>
    </row>
    <row r="38" spans="1:21">
      <c r="A38" s="151">
        <f>A37+1</f>
        <v>29</v>
      </c>
      <c r="B38" s="145"/>
      <c r="C38" s="145"/>
      <c r="D38" s="145"/>
      <c r="E38" s="271"/>
      <c r="F38" s="271"/>
      <c r="G38" s="271"/>
      <c r="H38" s="271"/>
      <c r="I38" s="271"/>
      <c r="J38" s="271"/>
      <c r="K38" s="271"/>
      <c r="L38" s="145"/>
      <c r="M38" s="271"/>
      <c r="N38" s="271"/>
      <c r="O38" s="271"/>
      <c r="P38" s="271"/>
      <c r="Q38" s="271"/>
      <c r="R38" s="271"/>
      <c r="S38" s="145"/>
      <c r="T38" s="145"/>
      <c r="U38" s="145"/>
    </row>
    <row r="39" spans="1:21" customFormat="1" ht="15.5">
      <c r="A39" s="4">
        <f>A38+1</f>
        <v>30</v>
      </c>
      <c r="B39" s="330" t="s">
        <v>560</v>
      </c>
      <c r="C39" s="16"/>
      <c r="D39" s="280"/>
      <c r="E39" s="303"/>
      <c r="F39" s="303"/>
      <c r="G39" s="303"/>
      <c r="H39" s="303"/>
      <c r="I39" s="303"/>
      <c r="J39" s="303"/>
      <c r="K39" s="303"/>
      <c r="M39" s="303"/>
      <c r="N39" s="303"/>
      <c r="O39" s="303"/>
      <c r="P39" s="303"/>
      <c r="Q39" s="303"/>
      <c r="R39" s="303"/>
    </row>
    <row r="40" spans="1:21">
      <c r="A40" s="151">
        <f>A39+1</f>
        <v>31</v>
      </c>
      <c r="B40" s="145"/>
      <c r="C40" s="145"/>
      <c r="D40" s="145"/>
      <c r="E40" s="271"/>
      <c r="F40" s="271"/>
      <c r="G40" s="271"/>
      <c r="H40" s="271"/>
      <c r="I40" s="271"/>
      <c r="J40" s="271"/>
      <c r="K40" s="271"/>
      <c r="L40" s="145"/>
      <c r="M40" s="271"/>
      <c r="N40" s="271"/>
      <c r="O40" s="271"/>
      <c r="P40" s="271"/>
      <c r="Q40" s="271"/>
      <c r="R40" s="271"/>
      <c r="S40" s="145"/>
      <c r="T40" s="145"/>
      <c r="U40" s="145"/>
    </row>
    <row r="41" spans="1:21" ht="13">
      <c r="A41" s="151">
        <f>A40+1</f>
        <v>32</v>
      </c>
      <c r="B41" s="24" t="s">
        <v>561</v>
      </c>
      <c r="C41" s="145"/>
      <c r="D41" s="280"/>
      <c r="E41" s="276">
        <f>E37+E14+E27+E39</f>
        <v>-843.73854000000006</v>
      </c>
      <c r="F41" s="276">
        <f t="shared" ref="F41:K41" si="4">F37+F14+F27+F39</f>
        <v>-1309.9795800000002</v>
      </c>
      <c r="G41" s="276">
        <f t="shared" si="4"/>
        <v>-824.51143999999988</v>
      </c>
      <c r="H41" s="276">
        <f t="shared" si="4"/>
        <v>-3495.1190399999996</v>
      </c>
      <c r="I41" s="276">
        <f t="shared" si="4"/>
        <v>-2286.9206899999999</v>
      </c>
      <c r="J41" s="276">
        <f t="shared" si="4"/>
        <v>-713.54587000000004</v>
      </c>
      <c r="K41" s="276">
        <f t="shared" si="4"/>
        <v>-1754.2453200000002</v>
      </c>
      <c r="L41" s="145"/>
      <c r="M41" s="276">
        <f>M37+M14+M27+M39</f>
        <v>-2507.9039600000001</v>
      </c>
      <c r="N41" s="276">
        <f>N37+N14+N27</f>
        <v>-1584.9039600000001</v>
      </c>
      <c r="O41" s="274"/>
      <c r="P41" s="276">
        <f>P37+P14+P27</f>
        <v>-1154.015308</v>
      </c>
      <c r="Q41" s="274"/>
      <c r="R41" s="276">
        <f>R37+R14+R27</f>
        <v>-740.83201799999995</v>
      </c>
      <c r="S41" s="145"/>
      <c r="T41" s="145"/>
      <c r="U41" s="145"/>
    </row>
    <row r="43" spans="1:21">
      <c r="A43" s="145"/>
      <c r="B43" s="145"/>
      <c r="C43" s="145"/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45"/>
      <c r="Q43" s="145"/>
      <c r="R43" s="145"/>
      <c r="S43" s="145"/>
      <c r="T43" s="145"/>
      <c r="U43" s="145"/>
    </row>
    <row r="47" spans="1:21">
      <c r="A47" s="145"/>
      <c r="B47" s="145"/>
      <c r="C47"/>
      <c r="D47"/>
      <c r="E47"/>
      <c r="F47"/>
      <c r="G47"/>
      <c r="H47"/>
      <c r="I47"/>
      <c r="J47"/>
      <c r="K47"/>
      <c r="L47"/>
      <c r="M47"/>
      <c r="N47"/>
      <c r="O47" s="145"/>
      <c r="P47" s="145"/>
      <c r="Q47" s="145"/>
      <c r="R47" s="145"/>
      <c r="S47" s="145"/>
      <c r="T47" s="145"/>
      <c r="U47" s="145"/>
    </row>
    <row r="48" spans="1:21">
      <c r="A48" s="145"/>
      <c r="B48" s="145"/>
      <c r="C48"/>
      <c r="D48"/>
      <c r="E48"/>
      <c r="F48"/>
      <c r="G48"/>
      <c r="H48"/>
      <c r="I48"/>
      <c r="J48"/>
      <c r="K48"/>
      <c r="L48"/>
      <c r="M48"/>
      <c r="N48"/>
      <c r="O48" s="145"/>
      <c r="P48" s="145"/>
      <c r="Q48" s="145"/>
      <c r="R48" s="145"/>
      <c r="S48" s="145"/>
      <c r="T48" s="145"/>
      <c r="U48" s="145"/>
    </row>
    <row r="49" spans="1:21">
      <c r="A49" s="145"/>
      <c r="B49" s="145"/>
      <c r="C49"/>
      <c r="D49"/>
      <c r="E49"/>
      <c r="F49"/>
      <c r="G49"/>
      <c r="H49"/>
      <c r="I49"/>
      <c r="J49"/>
      <c r="K49"/>
      <c r="L49"/>
      <c r="M49"/>
      <c r="N49"/>
      <c r="O49" s="145"/>
      <c r="P49" s="145"/>
      <c r="Q49" s="145"/>
      <c r="R49" s="145"/>
      <c r="S49" s="145"/>
      <c r="T49" s="145"/>
      <c r="U49" s="145"/>
    </row>
    <row r="50" spans="1:21">
      <c r="A50" s="145"/>
      <c r="B50" s="145"/>
      <c r="C50"/>
      <c r="D50"/>
      <c r="E50"/>
      <c r="F50"/>
      <c r="G50"/>
      <c r="H50"/>
      <c r="I50"/>
      <c r="J50"/>
      <c r="K50"/>
      <c r="L50"/>
      <c r="M50"/>
      <c r="N50"/>
      <c r="O50" s="145"/>
      <c r="P50" s="145"/>
      <c r="Q50" s="145"/>
      <c r="R50" s="145"/>
      <c r="S50" s="145"/>
      <c r="T50" s="145"/>
      <c r="U50" s="145"/>
    </row>
    <row r="51" spans="1:21">
      <c r="A51" s="145"/>
      <c r="B51" s="145"/>
      <c r="C51"/>
      <c r="D51"/>
      <c r="E51"/>
      <c r="F51"/>
      <c r="G51"/>
      <c r="H51"/>
      <c r="I51"/>
      <c r="J51"/>
      <c r="K51"/>
      <c r="L51"/>
      <c r="M51"/>
      <c r="N51"/>
      <c r="O51" s="145"/>
      <c r="P51" s="145"/>
      <c r="Q51" s="145"/>
      <c r="R51" s="145"/>
      <c r="S51" s="145"/>
      <c r="T51" s="145"/>
      <c r="U51" s="145"/>
    </row>
    <row r="52" spans="1:21">
      <c r="A52" s="145"/>
      <c r="B52" s="145"/>
      <c r="C52"/>
      <c r="D52"/>
      <c r="E52"/>
      <c r="F52"/>
      <c r="G52"/>
      <c r="H52"/>
      <c r="I52"/>
      <c r="J52"/>
      <c r="K52"/>
      <c r="L52"/>
      <c r="M52"/>
      <c r="N52"/>
      <c r="O52" s="145"/>
      <c r="P52" s="145"/>
      <c r="Q52" s="145"/>
      <c r="R52" s="145"/>
      <c r="S52" s="145"/>
      <c r="T52" s="145"/>
      <c r="U52" s="145"/>
    </row>
    <row r="53" spans="1:21">
      <c r="A53" s="145"/>
      <c r="B53" s="145"/>
      <c r="C53"/>
      <c r="D53"/>
      <c r="E53"/>
      <c r="F53"/>
      <c r="G53"/>
      <c r="H53"/>
      <c r="I53"/>
      <c r="J53"/>
      <c r="K53"/>
      <c r="L53"/>
      <c r="M53"/>
      <c r="N53"/>
      <c r="O53" s="145"/>
      <c r="P53" s="145"/>
      <c r="Q53" s="145"/>
      <c r="R53" s="145"/>
      <c r="S53" s="145"/>
      <c r="T53" s="145"/>
      <c r="U53" s="145"/>
    </row>
  </sheetData>
  <mergeCells count="3">
    <mergeCell ref="P7:R7"/>
    <mergeCell ref="M7:N7"/>
    <mergeCell ref="E7:K7"/>
  </mergeCells>
  <phoneticPr fontId="11" type="noConversion"/>
  <printOptions horizontalCentered="1"/>
  <pageMargins left="0.5" right="0.5" top="0.75" bottom="0.75" header="0.66" footer="0.5"/>
  <pageSetup scale="80" orientation="landscape" useFirstPageNumber="1" r:id="rId1"/>
  <headerFooter alignWithMargins="0">
    <oddHeader>&amp;R&amp;"Arial,Bold"Schedule 8.7
Page &amp;P of 1</oddHeader>
  </headerFooter>
  <ignoredErrors>
    <ignoredError sqref="A5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2">
    <pageSetUpPr fitToPage="1"/>
  </sheetPr>
  <dimension ref="A1:X81"/>
  <sheetViews>
    <sheetView zoomScale="80" zoomScaleNormal="80" zoomScaleSheetLayoutView="100" workbookViewId="0">
      <selection activeCell="X14" sqref="X14"/>
    </sheetView>
  </sheetViews>
  <sheetFormatPr defaultColWidth="7.54296875" defaultRowHeight="15.5"/>
  <cols>
    <col min="1" max="1" width="7.81640625" style="16" bestFit="1" customWidth="1"/>
    <col min="2" max="2" width="52.453125" style="16" customWidth="1"/>
    <col min="3" max="3" width="17.81640625" style="17" bestFit="1" customWidth="1"/>
    <col min="4" max="4" width="17.81640625" style="17" customWidth="1"/>
    <col min="5" max="5" width="10.54296875" style="16" customWidth="1"/>
    <col min="6" max="10" width="12.7265625" style="16" customWidth="1"/>
    <col min="11" max="11" width="2" style="16" customWidth="1"/>
    <col min="12" max="12" width="12.7265625" style="16" customWidth="1"/>
    <col min="13" max="13" width="2.453125" style="16" customWidth="1"/>
    <col min="14" max="14" width="12.7265625" style="16" customWidth="1"/>
    <col min="15" max="15" width="2.1796875" style="16" customWidth="1"/>
    <col min="16" max="16" width="12.7265625" style="16" customWidth="1"/>
    <col min="17" max="17" width="2.1796875" style="16" customWidth="1"/>
    <col min="18" max="18" width="12.7265625" style="16" customWidth="1"/>
    <col min="19" max="19" width="2.1796875" style="16" customWidth="1"/>
    <col min="20" max="21" width="7.54296875" style="16"/>
    <col min="22" max="22" width="9.81640625" style="16" bestFit="1" customWidth="1"/>
    <col min="23" max="16384" width="7.54296875" style="16"/>
  </cols>
  <sheetData>
    <row r="1" spans="1:19">
      <c r="A1" s="520" t="str">
        <f>'S1.1'!A1</f>
        <v>ATCO Electric Yukon (AEY)</v>
      </c>
      <c r="B1" s="520"/>
      <c r="C1" s="520"/>
      <c r="D1" s="520"/>
      <c r="E1" s="520"/>
      <c r="F1" s="520"/>
      <c r="G1" s="520"/>
      <c r="H1" s="520"/>
      <c r="I1" s="520"/>
      <c r="J1" s="520"/>
      <c r="K1" s="520"/>
      <c r="L1" s="520"/>
      <c r="M1" s="520"/>
      <c r="N1" s="520"/>
      <c r="O1" s="520"/>
      <c r="P1" s="520"/>
      <c r="Q1" s="520"/>
      <c r="R1" s="520"/>
      <c r="S1" s="31"/>
    </row>
    <row r="2" spans="1:19">
      <c r="A2" s="520" t="str">
        <f>'S1.1'!A2</f>
        <v>2023 - 2024 General Rate Application (GRA)</v>
      </c>
      <c r="B2" s="520"/>
      <c r="C2" s="520"/>
      <c r="D2" s="520"/>
      <c r="E2" s="520"/>
      <c r="F2" s="520"/>
      <c r="G2" s="520"/>
      <c r="H2" s="520"/>
      <c r="I2" s="520"/>
      <c r="J2" s="520"/>
      <c r="K2" s="520"/>
      <c r="L2" s="520"/>
      <c r="M2" s="520"/>
      <c r="N2" s="520"/>
      <c r="O2" s="520"/>
      <c r="P2" s="520"/>
      <c r="Q2" s="520"/>
      <c r="R2" s="520"/>
      <c r="S2" s="31"/>
    </row>
    <row r="3" spans="1:19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31"/>
    </row>
    <row r="4" spans="1:19">
      <c r="A4" s="520" t="s">
        <v>562</v>
      </c>
      <c r="B4" s="520"/>
      <c r="C4" s="520"/>
      <c r="D4" s="520"/>
      <c r="E4" s="520"/>
      <c r="F4" s="520"/>
      <c r="G4" s="520"/>
      <c r="H4" s="520"/>
      <c r="I4" s="520"/>
      <c r="J4" s="520"/>
      <c r="K4" s="520"/>
      <c r="L4" s="520"/>
      <c r="M4" s="520"/>
      <c r="N4" s="520"/>
      <c r="O4" s="520"/>
      <c r="P4" s="520"/>
      <c r="Q4" s="520"/>
      <c r="R4" s="520"/>
    </row>
    <row r="5" spans="1:19">
      <c r="A5" s="518" t="s">
        <v>6</v>
      </c>
      <c r="B5" s="518"/>
      <c r="C5" s="518"/>
      <c r="D5" s="518"/>
      <c r="E5" s="518"/>
      <c r="F5" s="518"/>
      <c r="G5" s="518"/>
      <c r="H5" s="518"/>
      <c r="I5" s="518"/>
      <c r="J5" s="518"/>
      <c r="K5" s="518"/>
      <c r="L5" s="518"/>
      <c r="M5" s="518"/>
      <c r="N5" s="518"/>
      <c r="O5" s="518"/>
      <c r="P5" s="518"/>
      <c r="Q5" s="518"/>
      <c r="R5" s="518"/>
    </row>
    <row r="6" spans="1:19">
      <c r="A6" s="14"/>
      <c r="B6" s="15"/>
      <c r="J6" s="79"/>
      <c r="K6" s="79"/>
      <c r="L6" s="79"/>
      <c r="M6" s="79"/>
      <c r="N6" s="79"/>
      <c r="O6" s="79"/>
      <c r="P6" s="6"/>
      <c r="Q6" s="79"/>
      <c r="R6" s="6"/>
      <c r="S6" s="18"/>
    </row>
    <row r="7" spans="1:19">
      <c r="A7" s="6" t="s">
        <v>7</v>
      </c>
      <c r="B7" s="6"/>
      <c r="C7" s="6" t="s">
        <v>8</v>
      </c>
      <c r="D7" s="519" t="s">
        <v>9</v>
      </c>
      <c r="E7" s="519"/>
      <c r="F7" s="519"/>
      <c r="G7" s="519"/>
      <c r="H7" s="519"/>
      <c r="I7" s="519"/>
      <c r="J7" s="519"/>
      <c r="K7" s="6"/>
      <c r="L7" s="520" t="s">
        <v>10</v>
      </c>
      <c r="M7" s="520"/>
      <c r="N7" s="520"/>
      <c r="O7" s="18"/>
      <c r="P7" s="519" t="s">
        <v>11</v>
      </c>
      <c r="Q7" s="519"/>
      <c r="R7" s="519"/>
      <c r="S7" s="18"/>
    </row>
    <row r="8" spans="1:19">
      <c r="A8" s="7" t="s">
        <v>12</v>
      </c>
      <c r="B8" s="7" t="s">
        <v>13</v>
      </c>
      <c r="C8" s="7" t="s">
        <v>14</v>
      </c>
      <c r="D8" s="7">
        <v>2016</v>
      </c>
      <c r="E8" s="7">
        <v>2017</v>
      </c>
      <c r="F8" s="7">
        <v>2018</v>
      </c>
      <c r="G8" s="7">
        <v>2019</v>
      </c>
      <c r="H8" s="7">
        <v>2020</v>
      </c>
      <c r="I8" s="7">
        <v>2021</v>
      </c>
      <c r="J8" s="7">
        <v>2022</v>
      </c>
      <c r="K8" s="6"/>
      <c r="L8" s="240">
        <v>2023</v>
      </c>
      <c r="M8" s="240"/>
      <c r="N8" s="240">
        <v>2024</v>
      </c>
      <c r="O8" s="6"/>
      <c r="P8" s="7">
        <v>2016</v>
      </c>
      <c r="Q8" s="6"/>
      <c r="R8" s="7">
        <v>2017</v>
      </c>
      <c r="S8" s="18"/>
    </row>
    <row r="9" spans="1:19" ht="15" customHeight="1"/>
    <row r="10" spans="1:19" ht="15" customHeight="1">
      <c r="A10" s="17">
        <v>1</v>
      </c>
      <c r="B10" s="50" t="s">
        <v>563</v>
      </c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</row>
    <row r="11" spans="1:19" ht="15" customHeight="1">
      <c r="A11" s="17">
        <f t="shared" ref="A11:A14" si="0">A10+1</f>
        <v>2</v>
      </c>
      <c r="B11" s="50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</row>
    <row r="12" spans="1:19" ht="15" customHeight="1">
      <c r="A12" s="17">
        <f t="shared" si="0"/>
        <v>3</v>
      </c>
      <c r="B12" s="97" t="s">
        <v>564</v>
      </c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</row>
    <row r="13" spans="1:19" ht="15" customHeight="1">
      <c r="A13" s="17">
        <f t="shared" si="0"/>
        <v>4</v>
      </c>
      <c r="B13" s="28" t="s">
        <v>565</v>
      </c>
      <c r="C13" s="17" t="s">
        <v>566</v>
      </c>
      <c r="D13" s="43">
        <f>D31</f>
        <v>-312.5</v>
      </c>
      <c r="E13" s="43">
        <f t="shared" ref="E13:I13" si="1">E31</f>
        <v>-312.5</v>
      </c>
      <c r="F13" s="43">
        <f t="shared" si="1"/>
        <v>-312.5000399999999</v>
      </c>
      <c r="G13" s="43">
        <f t="shared" si="1"/>
        <v>-312.5000399999999</v>
      </c>
      <c r="H13" s="43">
        <f t="shared" si="1"/>
        <v>-312.5000399999999</v>
      </c>
      <c r="I13" s="43">
        <f t="shared" si="1"/>
        <v>-312.5000399999999</v>
      </c>
      <c r="J13" s="43">
        <f>J31+J32</f>
        <v>-177.88617999999991</v>
      </c>
      <c r="K13" s="43"/>
      <c r="L13" s="43">
        <f>L31</f>
        <v>-156.25001999999995</v>
      </c>
      <c r="M13" s="43"/>
      <c r="N13" s="43">
        <f>N31</f>
        <v>-202.87778289471566</v>
      </c>
      <c r="O13" s="43"/>
      <c r="P13" s="43">
        <v>-312.5</v>
      </c>
      <c r="Q13" s="43"/>
      <c r="R13" s="43">
        <v>-312.95999999999992</v>
      </c>
    </row>
    <row r="14" spans="1:19" ht="15" customHeight="1">
      <c r="A14" s="17">
        <f t="shared" si="0"/>
        <v>5</v>
      </c>
      <c r="B14" s="28" t="s">
        <v>567</v>
      </c>
      <c r="C14" s="17" t="s">
        <v>568</v>
      </c>
      <c r="D14" s="43">
        <f>D41</f>
        <v>-98.6</v>
      </c>
      <c r="E14" s="43">
        <f t="shared" ref="E14:J14" si="2">E41</f>
        <v>-98.6</v>
      </c>
      <c r="F14" s="43">
        <f t="shared" si="2"/>
        <v>-98.778360000000006</v>
      </c>
      <c r="G14" s="43">
        <f t="shared" si="2"/>
        <v>-98.778360000000006</v>
      </c>
      <c r="H14" s="43">
        <f t="shared" si="2"/>
        <v>-98.778360000000006</v>
      </c>
      <c r="I14" s="43">
        <f t="shared" si="2"/>
        <v>-98.778360000000006</v>
      </c>
      <c r="J14" s="43">
        <f t="shared" si="2"/>
        <v>-98.778360000000006</v>
      </c>
      <c r="K14" s="38"/>
      <c r="L14" s="38">
        <f>L41</f>
        <v>74.351310000000041</v>
      </c>
      <c r="M14" s="38"/>
      <c r="N14" s="38">
        <f>N41</f>
        <v>123.74049000000005</v>
      </c>
      <c r="O14" s="38"/>
      <c r="P14" s="38">
        <v>-98.6</v>
      </c>
      <c r="Q14" s="38"/>
      <c r="R14" s="38">
        <v>-98.6</v>
      </c>
    </row>
    <row r="15" spans="1:19" ht="15" customHeight="1">
      <c r="A15" s="17">
        <f t="shared" ref="A15:A46" si="3">A14+1</f>
        <v>6</v>
      </c>
      <c r="B15" s="28" t="s">
        <v>556</v>
      </c>
      <c r="D15" s="43">
        <f t="shared" ref="D15:N15" si="4">D50</f>
        <v>0</v>
      </c>
      <c r="E15" s="43">
        <f t="shared" si="4"/>
        <v>0</v>
      </c>
      <c r="F15" s="43">
        <f t="shared" si="4"/>
        <v>0</v>
      </c>
      <c r="G15" s="43">
        <f t="shared" si="4"/>
        <v>0</v>
      </c>
      <c r="H15" s="43">
        <f t="shared" si="4"/>
        <v>0</v>
      </c>
      <c r="I15" s="43">
        <f t="shared" si="4"/>
        <v>0</v>
      </c>
      <c r="J15" s="43">
        <f t="shared" si="4"/>
        <v>0</v>
      </c>
      <c r="K15" s="43"/>
      <c r="L15" s="43">
        <f t="shared" si="4"/>
        <v>0</v>
      </c>
      <c r="M15" s="43"/>
      <c r="N15" s="43">
        <f t="shared" si="4"/>
        <v>0</v>
      </c>
      <c r="O15" s="38"/>
      <c r="P15" s="38"/>
      <c r="Q15" s="38"/>
      <c r="R15" s="38"/>
    </row>
    <row r="16" spans="1:19" ht="15" customHeight="1">
      <c r="A16" s="17">
        <f t="shared" si="3"/>
        <v>7</v>
      </c>
      <c r="B16" s="28" t="s">
        <v>569</v>
      </c>
      <c r="C16" s="17" t="s">
        <v>570</v>
      </c>
      <c r="D16" s="43">
        <f>D58</f>
        <v>77</v>
      </c>
      <c r="E16" s="43">
        <f t="shared" ref="E16:J16" si="5">E58</f>
        <v>77</v>
      </c>
      <c r="F16" s="43">
        <f t="shared" si="5"/>
        <v>76.775000000000006</v>
      </c>
      <c r="G16" s="43">
        <f t="shared" si="5"/>
        <v>76.774559999999994</v>
      </c>
      <c r="H16" s="43">
        <f t="shared" si="5"/>
        <v>76.774559999999994</v>
      </c>
      <c r="I16" s="43">
        <f t="shared" si="5"/>
        <v>77</v>
      </c>
      <c r="J16" s="43">
        <f t="shared" si="5"/>
        <v>76.774559999999994</v>
      </c>
      <c r="K16" s="38"/>
      <c r="L16" s="38">
        <f>L58</f>
        <v>222.55797999999999</v>
      </c>
      <c r="M16" s="38"/>
      <c r="N16" s="38">
        <f>N58</f>
        <v>222.55797999999999</v>
      </c>
      <c r="O16" s="38"/>
      <c r="P16" s="38">
        <v>77</v>
      </c>
      <c r="Q16" s="38"/>
      <c r="R16" s="38">
        <v>77</v>
      </c>
    </row>
    <row r="17" spans="1:24" ht="15" customHeight="1">
      <c r="A17" s="17">
        <f t="shared" si="3"/>
        <v>8</v>
      </c>
      <c r="B17" s="28" t="s">
        <v>571</v>
      </c>
      <c r="D17" s="43">
        <f t="shared" ref="D17:J17" si="6">D66</f>
        <v>0</v>
      </c>
      <c r="E17" s="43">
        <f t="shared" si="6"/>
        <v>0</v>
      </c>
      <c r="F17" s="43">
        <f t="shared" si="6"/>
        <v>0</v>
      </c>
      <c r="G17" s="43">
        <f t="shared" si="6"/>
        <v>0</v>
      </c>
      <c r="H17" s="43">
        <f t="shared" si="6"/>
        <v>0</v>
      </c>
      <c r="I17" s="43">
        <f t="shared" si="6"/>
        <v>0</v>
      </c>
      <c r="J17" s="43">
        <f t="shared" si="6"/>
        <v>0</v>
      </c>
      <c r="K17" s="38"/>
      <c r="L17" s="43">
        <f>-L66</f>
        <v>93.673725000000005</v>
      </c>
      <c r="M17" s="38"/>
      <c r="N17" s="43">
        <f>-N66</f>
        <v>93.673725000000005</v>
      </c>
      <c r="O17" s="38"/>
      <c r="P17" s="38">
        <v>0</v>
      </c>
      <c r="Q17" s="38"/>
      <c r="R17" s="38">
        <v>0</v>
      </c>
    </row>
    <row r="18" spans="1:24" ht="15" customHeight="1" thickBot="1">
      <c r="A18" s="17">
        <f t="shared" si="3"/>
        <v>9</v>
      </c>
      <c r="B18" s="98" t="s">
        <v>572</v>
      </c>
      <c r="D18" s="128">
        <f t="shared" ref="D18:I18" si="7">SUM(D13:D17)</f>
        <v>-334.1</v>
      </c>
      <c r="E18" s="128">
        <f t="shared" si="7"/>
        <v>-334.1</v>
      </c>
      <c r="F18" s="128">
        <f t="shared" si="7"/>
        <v>-334.50339999999994</v>
      </c>
      <c r="G18" s="128">
        <f t="shared" si="7"/>
        <v>-334.50383999999991</v>
      </c>
      <c r="H18" s="128">
        <f t="shared" si="7"/>
        <v>-334.50383999999991</v>
      </c>
      <c r="I18" s="128">
        <f t="shared" si="7"/>
        <v>-334.27839999999992</v>
      </c>
      <c r="J18" s="128">
        <f>SUM(J13:J17)</f>
        <v>-199.88997999999992</v>
      </c>
      <c r="K18" s="38"/>
      <c r="L18" s="128">
        <f>SUM(L13:L17)</f>
        <v>234.3329950000001</v>
      </c>
      <c r="M18" s="38"/>
      <c r="N18" s="128">
        <f>SUM(N13:N16)</f>
        <v>143.42068710528437</v>
      </c>
      <c r="O18" s="38"/>
      <c r="P18" s="128">
        <v>-334.1</v>
      </c>
      <c r="Q18" s="38"/>
      <c r="R18" s="128">
        <v>-334.55999999999995</v>
      </c>
    </row>
    <row r="19" spans="1:24" ht="15" customHeight="1" thickTop="1">
      <c r="A19" s="17">
        <f t="shared" si="3"/>
        <v>10</v>
      </c>
      <c r="B19" s="50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</row>
    <row r="20" spans="1:24" ht="15" customHeight="1">
      <c r="A20" s="17">
        <f t="shared" si="3"/>
        <v>11</v>
      </c>
      <c r="B20" s="97" t="s">
        <v>573</v>
      </c>
      <c r="D20" s="16"/>
    </row>
    <row r="21" spans="1:24" ht="15" customHeight="1">
      <c r="A21" s="17">
        <f t="shared" si="3"/>
        <v>12</v>
      </c>
      <c r="B21" s="28" t="s">
        <v>574</v>
      </c>
      <c r="C21" s="17" t="s">
        <v>575</v>
      </c>
      <c r="D21" s="43">
        <f t="shared" ref="D21:I21" si="8">D35</f>
        <v>1.1599999999999966</v>
      </c>
      <c r="E21" s="43">
        <f t="shared" si="8"/>
        <v>-45.34</v>
      </c>
      <c r="F21" s="43">
        <f t="shared" si="8"/>
        <v>-209.84001999999998</v>
      </c>
      <c r="G21" s="43">
        <f t="shared" si="8"/>
        <v>-522.34005999999988</v>
      </c>
      <c r="H21" s="43">
        <f t="shared" si="8"/>
        <v>-834.84009999999978</v>
      </c>
      <c r="I21" s="43">
        <f t="shared" si="8"/>
        <v>-1147.3401399999998</v>
      </c>
      <c r="J21" s="43">
        <f>J35</f>
        <v>-1392.5332499999997</v>
      </c>
      <c r="K21" s="43"/>
      <c r="L21" s="43">
        <f>L35</f>
        <v>-792.85837829338709</v>
      </c>
      <c r="M21" s="43"/>
      <c r="N21" s="43">
        <f>N35</f>
        <v>-52.120208293387236</v>
      </c>
      <c r="O21" s="43"/>
      <c r="P21" s="43">
        <v>176.18499999999995</v>
      </c>
      <c r="Q21" s="43"/>
      <c r="R21" s="43">
        <v>156.47999999999996</v>
      </c>
    </row>
    <row r="22" spans="1:24" ht="15" customHeight="1">
      <c r="A22" s="17">
        <f t="shared" si="3"/>
        <v>13</v>
      </c>
      <c r="B22" s="28" t="s">
        <v>567</v>
      </c>
      <c r="C22" s="17" t="s">
        <v>576</v>
      </c>
      <c r="D22" s="43">
        <f>D44</f>
        <v>262.7</v>
      </c>
      <c r="E22" s="43">
        <f t="shared" ref="E22:J22" si="9">E44</f>
        <v>345.09999999999997</v>
      </c>
      <c r="F22" s="43">
        <f t="shared" si="9"/>
        <v>246.41081999999994</v>
      </c>
      <c r="G22" s="43">
        <f t="shared" si="9"/>
        <v>147.63245999999992</v>
      </c>
      <c r="H22" s="43">
        <f t="shared" si="9"/>
        <v>48.854099999999924</v>
      </c>
      <c r="I22" s="43">
        <f t="shared" si="9"/>
        <v>-49.924260000000082</v>
      </c>
      <c r="J22" s="43">
        <f t="shared" si="9"/>
        <v>-148.70262000000008</v>
      </c>
      <c r="K22" s="43"/>
      <c r="L22" s="43">
        <f>L44</f>
        <v>-160.91614500000009</v>
      </c>
      <c r="M22" s="43"/>
      <c r="N22" s="43">
        <f>N44</f>
        <v>-61.870245000000025</v>
      </c>
      <c r="O22" s="43"/>
      <c r="P22" s="43">
        <v>262.7</v>
      </c>
      <c r="Q22" s="43"/>
      <c r="R22" s="43">
        <v>345.09999999999997</v>
      </c>
    </row>
    <row r="23" spans="1:24" ht="15" customHeight="1">
      <c r="A23" s="17">
        <f t="shared" si="3"/>
        <v>14</v>
      </c>
      <c r="B23" s="28" t="s">
        <v>577</v>
      </c>
      <c r="C23" s="17" t="s">
        <v>578</v>
      </c>
      <c r="D23" s="43">
        <f t="shared" ref="D23:J23" si="10">D53</f>
        <v>199.12</v>
      </c>
      <c r="E23" s="43">
        <f t="shared" si="10"/>
        <v>0</v>
      </c>
      <c r="F23" s="43">
        <f t="shared" si="10"/>
        <v>0</v>
      </c>
      <c r="G23" s="43">
        <f t="shared" si="10"/>
        <v>0</v>
      </c>
      <c r="H23" s="43">
        <f t="shared" si="10"/>
        <v>0</v>
      </c>
      <c r="I23" s="43">
        <f t="shared" si="10"/>
        <v>0</v>
      </c>
      <c r="J23" s="43">
        <f t="shared" si="10"/>
        <v>0</v>
      </c>
      <c r="K23" s="43"/>
      <c r="L23" s="43">
        <f>L53</f>
        <v>0</v>
      </c>
      <c r="M23" s="43"/>
      <c r="N23" s="43">
        <f>N53</f>
        <v>0</v>
      </c>
      <c r="O23" s="43"/>
      <c r="P23" s="43">
        <v>199.12</v>
      </c>
      <c r="Q23" s="43"/>
      <c r="R23" s="43">
        <v>0</v>
      </c>
    </row>
    <row r="24" spans="1:24" ht="15" customHeight="1">
      <c r="A24" s="17">
        <f t="shared" si="3"/>
        <v>15</v>
      </c>
      <c r="B24" s="28" t="s">
        <v>569</v>
      </c>
      <c r="C24" s="17" t="s">
        <v>579</v>
      </c>
      <c r="D24" s="43">
        <f>D61</f>
        <v>-38.5</v>
      </c>
      <c r="E24" s="43">
        <f t="shared" ref="E24:I24" si="11">E61</f>
        <v>-38.5</v>
      </c>
      <c r="F24" s="43">
        <f t="shared" si="11"/>
        <v>-35.364499999999992</v>
      </c>
      <c r="G24" s="43">
        <f t="shared" si="11"/>
        <v>-112.15253999999999</v>
      </c>
      <c r="H24" s="43">
        <f t="shared" si="11"/>
        <v>-188.1968</v>
      </c>
      <c r="I24" s="43">
        <f t="shared" si="11"/>
        <v>-244.00852</v>
      </c>
      <c r="J24" s="43">
        <f>J61</f>
        <v>-308.30273999999997</v>
      </c>
      <c r="K24" s="43"/>
      <c r="L24" s="43">
        <f>L61</f>
        <v>-286.98196999999999</v>
      </c>
      <c r="M24" s="43"/>
      <c r="N24" s="43">
        <f>N61</f>
        <v>-111.27898999999999</v>
      </c>
      <c r="O24" s="43"/>
      <c r="P24" s="43">
        <v>-38.5</v>
      </c>
      <c r="Q24" s="43"/>
      <c r="R24" s="43">
        <v>-38.5</v>
      </c>
    </row>
    <row r="25" spans="1:24" ht="15" customHeight="1">
      <c r="A25" s="17">
        <f t="shared" si="3"/>
        <v>16</v>
      </c>
      <c r="B25" s="28" t="s">
        <v>571</v>
      </c>
      <c r="D25" s="43">
        <f t="shared" ref="D25:G25" si="12">D69</f>
        <v>0</v>
      </c>
      <c r="E25" s="43">
        <f t="shared" si="12"/>
        <v>0</v>
      </c>
      <c r="F25" s="43">
        <f t="shared" si="12"/>
        <v>0</v>
      </c>
      <c r="G25" s="43">
        <f t="shared" si="12"/>
        <v>0</v>
      </c>
      <c r="H25" s="43">
        <f>H69</f>
        <v>73.23642000000001</v>
      </c>
      <c r="I25" s="43">
        <f t="shared" ref="I25:N25" si="13">I69</f>
        <v>177.85405000000003</v>
      </c>
      <c r="J25" s="43">
        <f t="shared" si="13"/>
        <v>198.29135500000001</v>
      </c>
      <c r="K25" s="43"/>
      <c r="L25" s="43">
        <f t="shared" si="13"/>
        <v>140.51058750000001</v>
      </c>
      <c r="M25" s="43"/>
      <c r="N25" s="43">
        <f t="shared" si="13"/>
        <v>46.836862500000002</v>
      </c>
      <c r="O25" s="43"/>
      <c r="P25" s="43"/>
      <c r="Q25" s="43"/>
      <c r="R25" s="43"/>
    </row>
    <row r="26" spans="1:24" ht="15" customHeight="1" thickBot="1">
      <c r="A26" s="17">
        <f t="shared" si="3"/>
        <v>17</v>
      </c>
      <c r="B26" s="98" t="s">
        <v>580</v>
      </c>
      <c r="D26" s="52">
        <f t="shared" ref="D26:J26" si="14">SUM(D21:D25)</f>
        <v>424.48</v>
      </c>
      <c r="E26" s="52">
        <f t="shared" si="14"/>
        <v>261.26</v>
      </c>
      <c r="F26" s="52">
        <f t="shared" si="14"/>
        <v>1.2062999999999704</v>
      </c>
      <c r="G26" s="52">
        <f t="shared" si="14"/>
        <v>-486.86013999999994</v>
      </c>
      <c r="H26" s="52">
        <f t="shared" si="14"/>
        <v>-900.94637999999986</v>
      </c>
      <c r="I26" s="52">
        <f t="shared" si="14"/>
        <v>-1263.41887</v>
      </c>
      <c r="J26" s="52">
        <f t="shared" si="14"/>
        <v>-1651.2472549999995</v>
      </c>
      <c r="K26" s="43"/>
      <c r="L26" s="52">
        <f>SUM(L21:L25)</f>
        <v>-1100.2459057933872</v>
      </c>
      <c r="M26" s="43"/>
      <c r="N26" s="52">
        <f>SUM(N21:N24)</f>
        <v>-225.26944329338727</v>
      </c>
      <c r="O26" s="43"/>
      <c r="P26" s="52">
        <v>599.50499999999988</v>
      </c>
      <c r="Q26" s="43"/>
      <c r="R26" s="52">
        <v>463.07999999999993</v>
      </c>
    </row>
    <row r="27" spans="1:24" ht="15" customHeight="1" thickTop="1">
      <c r="A27" s="17">
        <f t="shared" si="3"/>
        <v>18</v>
      </c>
      <c r="B27" s="58"/>
      <c r="D27" s="317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</row>
    <row r="28" spans="1:24" ht="15" customHeight="1">
      <c r="A28" s="17">
        <f t="shared" si="3"/>
        <v>19</v>
      </c>
      <c r="B28" s="78" t="s">
        <v>565</v>
      </c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</row>
    <row r="29" spans="1:24" ht="15" customHeight="1">
      <c r="A29" s="17">
        <f t="shared" si="3"/>
        <v>20</v>
      </c>
      <c r="B29" s="16" t="s">
        <v>493</v>
      </c>
      <c r="D29" s="43">
        <v>39.409999999999997</v>
      </c>
      <c r="E29" s="43">
        <v>-37.090000000000003</v>
      </c>
      <c r="F29" s="43">
        <v>-53.59</v>
      </c>
      <c r="G29" s="43">
        <v>-366.09003999999993</v>
      </c>
      <c r="H29" s="43">
        <v>-678.59007999999983</v>
      </c>
      <c r="I29" s="43">
        <v>-991.09011999999973</v>
      </c>
      <c r="J29" s="43">
        <v>-1303.5901599999997</v>
      </c>
      <c r="K29" s="43"/>
      <c r="L29" s="43">
        <f>J33</f>
        <v>-1481.4763399999997</v>
      </c>
      <c r="M29" s="43"/>
      <c r="N29" s="43">
        <f>L33</f>
        <v>-104.24041658677447</v>
      </c>
      <c r="O29" s="43"/>
      <c r="P29" s="43">
        <v>39.409999999999997</v>
      </c>
      <c r="Q29" s="152"/>
      <c r="R29" s="43">
        <v>312.95999999999992</v>
      </c>
    </row>
    <row r="30" spans="1:24" ht="15" customHeight="1">
      <c r="A30" s="17">
        <f t="shared" si="3"/>
        <v>21</v>
      </c>
      <c r="B30" s="84" t="s">
        <v>581</v>
      </c>
      <c r="D30" s="43">
        <v>236</v>
      </c>
      <c r="E30" s="43">
        <v>296</v>
      </c>
      <c r="F30" s="43">
        <v>0</v>
      </c>
      <c r="G30" s="43">
        <v>0</v>
      </c>
      <c r="H30" s="43">
        <v>0</v>
      </c>
      <c r="I30" s="43">
        <v>0</v>
      </c>
      <c r="J30" s="43">
        <v>0</v>
      </c>
      <c r="K30" s="43"/>
      <c r="L30" s="43">
        <f>'S8.9'!D17</f>
        <v>301.09980341322517</v>
      </c>
      <c r="M30" s="43"/>
      <c r="N30" s="43">
        <f>'S8.9'!F17</f>
        <v>307.11819948149014</v>
      </c>
      <c r="O30" s="43"/>
      <c r="P30" s="43">
        <v>586.04999999999995</v>
      </c>
      <c r="Q30" s="152"/>
      <c r="R30" s="43">
        <v>0</v>
      </c>
      <c r="U30" s="43"/>
      <c r="V30" s="152"/>
    </row>
    <row r="31" spans="1:24" ht="15" customHeight="1">
      <c r="A31" s="17">
        <f t="shared" si="3"/>
        <v>22</v>
      </c>
      <c r="B31" s="84" t="s">
        <v>582</v>
      </c>
      <c r="D31" s="43">
        <v>-312.5</v>
      </c>
      <c r="E31" s="43">
        <v>-312.5</v>
      </c>
      <c r="F31" s="43">
        <v>-312.5000399999999</v>
      </c>
      <c r="G31" s="43">
        <v>-312.5000399999999</v>
      </c>
      <c r="H31" s="43">
        <v>-312.5000399999999</v>
      </c>
      <c r="I31" s="43">
        <v>-312.5000399999999</v>
      </c>
      <c r="J31" s="43">
        <f>I31</f>
        <v>-312.5000399999999</v>
      </c>
      <c r="K31" s="38"/>
      <c r="L31" s="43">
        <f>J31/12*6</f>
        <v>-156.25001999999995</v>
      </c>
      <c r="M31" s="38"/>
      <c r="N31" s="43">
        <f>-SUM(N29:N30)</f>
        <v>-202.87778289471566</v>
      </c>
      <c r="O31" s="38"/>
      <c r="P31" s="38">
        <v>-312.5</v>
      </c>
      <c r="Q31" s="189"/>
      <c r="R31" s="38">
        <v>-312.95999999999992</v>
      </c>
      <c r="V31" s="152"/>
      <c r="X31" s="43"/>
    </row>
    <row r="32" spans="1:24" ht="15" customHeight="1">
      <c r="A32" s="17">
        <f t="shared" si="3"/>
        <v>23</v>
      </c>
      <c r="B32" s="84" t="s">
        <v>583</v>
      </c>
      <c r="D32" s="56">
        <v>0</v>
      </c>
      <c r="E32" s="56">
        <v>0</v>
      </c>
      <c r="F32" s="56">
        <v>0</v>
      </c>
      <c r="G32" s="56">
        <v>0</v>
      </c>
      <c r="H32" s="56">
        <v>0</v>
      </c>
      <c r="I32" s="56">
        <v>0</v>
      </c>
      <c r="J32" s="56">
        <v>134.61385999999999</v>
      </c>
      <c r="K32" s="38"/>
      <c r="L32" s="56">
        <f>1367-J32</f>
        <v>1232.3861400000001</v>
      </c>
      <c r="M32" s="38"/>
      <c r="N32" s="56">
        <v>0</v>
      </c>
      <c r="O32" s="38"/>
      <c r="P32" s="42">
        <v>0</v>
      </c>
      <c r="Q32" s="189"/>
      <c r="R32" s="190">
        <v>0</v>
      </c>
      <c r="X32" s="43"/>
    </row>
    <row r="33" spans="1:24" ht="15" customHeight="1">
      <c r="A33" s="17">
        <f t="shared" si="3"/>
        <v>24</v>
      </c>
      <c r="B33" s="16" t="s">
        <v>496</v>
      </c>
      <c r="D33" s="56">
        <f>D31+D30+D29+D32</f>
        <v>-37.090000000000003</v>
      </c>
      <c r="E33" s="56">
        <f>E31+E30+E29+E32</f>
        <v>-53.59</v>
      </c>
      <c r="F33" s="56">
        <f>F31+F30+F29+F32</f>
        <v>-366.09003999999993</v>
      </c>
      <c r="G33" s="56">
        <f>G31+G30+G29</f>
        <v>-678.59007999999983</v>
      </c>
      <c r="H33" s="56">
        <f>H31+H30+H29+H32</f>
        <v>-991.09011999999973</v>
      </c>
      <c r="I33" s="56">
        <f>I31+I30+I29</f>
        <v>-1303.5901599999997</v>
      </c>
      <c r="J33" s="56">
        <f>J31+J30+J29+J32</f>
        <v>-1481.4763399999997</v>
      </c>
      <c r="K33" s="43"/>
      <c r="L33" s="56">
        <f>L31+L30+L29+L32</f>
        <v>-104.24041658677447</v>
      </c>
      <c r="M33" s="43"/>
      <c r="N33" s="56">
        <f>N31+N30+N29</f>
        <v>0</v>
      </c>
      <c r="O33" s="43"/>
      <c r="P33" s="56">
        <v>312.95999999999992</v>
      </c>
      <c r="Q33" s="152"/>
      <c r="R33" s="56">
        <v>0</v>
      </c>
      <c r="X33" s="43"/>
    </row>
    <row r="34" spans="1:24" ht="15" customHeight="1">
      <c r="A34" s="17">
        <f t="shared" si="3"/>
        <v>25</v>
      </c>
      <c r="B34" s="36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152"/>
      <c r="R34" s="152"/>
    </row>
    <row r="35" spans="1:24" ht="15" customHeight="1" thickBot="1">
      <c r="A35" s="17">
        <f t="shared" si="3"/>
        <v>26</v>
      </c>
      <c r="B35" s="16" t="s">
        <v>497</v>
      </c>
      <c r="C35" s="17" t="s">
        <v>584</v>
      </c>
      <c r="D35" s="59">
        <f>(D33+D29)/2</f>
        <v>1.1599999999999966</v>
      </c>
      <c r="E35" s="59">
        <f t="shared" ref="E35:J35" si="15">(E33+E29)/2</f>
        <v>-45.34</v>
      </c>
      <c r="F35" s="59">
        <f t="shared" si="15"/>
        <v>-209.84001999999998</v>
      </c>
      <c r="G35" s="59">
        <f t="shared" si="15"/>
        <v>-522.34005999999988</v>
      </c>
      <c r="H35" s="59">
        <f t="shared" si="15"/>
        <v>-834.84009999999978</v>
      </c>
      <c r="I35" s="59">
        <f t="shared" si="15"/>
        <v>-1147.3401399999998</v>
      </c>
      <c r="J35" s="59">
        <f t="shared" si="15"/>
        <v>-1392.5332499999997</v>
      </c>
      <c r="K35" s="43"/>
      <c r="L35" s="59">
        <f>(L33+L29)/2</f>
        <v>-792.85837829338709</v>
      </c>
      <c r="M35" s="43"/>
      <c r="N35" s="59">
        <f>(N33+N29)/2</f>
        <v>-52.120208293387236</v>
      </c>
      <c r="O35" s="43"/>
      <c r="P35" s="59">
        <f>(P33+P29)/2</f>
        <v>176.18499999999995</v>
      </c>
      <c r="Q35" s="152"/>
      <c r="R35" s="59">
        <f>(R33+R29)/2</f>
        <v>156.47999999999996</v>
      </c>
    </row>
    <row r="36" spans="1:24" ht="15" customHeight="1" thickTop="1">
      <c r="A36" s="17">
        <f t="shared" si="3"/>
        <v>27</v>
      </c>
      <c r="B36" s="36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</row>
    <row r="37" spans="1:24" ht="15" customHeight="1">
      <c r="A37" s="17">
        <f t="shared" si="3"/>
        <v>28</v>
      </c>
      <c r="B37" s="78" t="s">
        <v>567</v>
      </c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</row>
    <row r="38" spans="1:24" ht="15" customHeight="1">
      <c r="A38" s="17">
        <f t="shared" si="3"/>
        <v>29</v>
      </c>
      <c r="B38" s="16" t="s">
        <v>493</v>
      </c>
      <c r="D38" s="43">
        <v>131</v>
      </c>
      <c r="E38" s="43">
        <v>394.4</v>
      </c>
      <c r="F38" s="43">
        <v>295.79999999999995</v>
      </c>
      <c r="G38" s="43">
        <v>197.02163999999993</v>
      </c>
      <c r="H38" s="43">
        <v>98.243279999999928</v>
      </c>
      <c r="I38" s="43">
        <v>-0.53508000000007883</v>
      </c>
      <c r="J38" s="43">
        <v>-99.313440000000085</v>
      </c>
      <c r="K38" s="43"/>
      <c r="L38" s="43">
        <v>-198.09180000000009</v>
      </c>
      <c r="M38" s="43"/>
      <c r="N38" s="43">
        <f>L42</f>
        <v>-123.74049000000005</v>
      </c>
      <c r="O38" s="38"/>
      <c r="P38" s="38">
        <v>131</v>
      </c>
      <c r="Q38" s="38"/>
      <c r="R38" s="38">
        <v>394.4</v>
      </c>
    </row>
    <row r="39" spans="1:24" ht="15" customHeight="1">
      <c r="A39" s="17">
        <f t="shared" si="3"/>
        <v>30</v>
      </c>
      <c r="B39" s="84" t="s">
        <v>585</v>
      </c>
      <c r="D39" s="43">
        <v>0</v>
      </c>
      <c r="E39" s="43">
        <v>0</v>
      </c>
      <c r="F39" s="43">
        <v>0</v>
      </c>
      <c r="G39" s="43">
        <v>0</v>
      </c>
      <c r="H39" s="43">
        <v>0</v>
      </c>
      <c r="I39" s="43">
        <v>0</v>
      </c>
      <c r="J39" s="43">
        <v>0</v>
      </c>
      <c r="K39" s="43"/>
      <c r="L39" s="43">
        <v>0</v>
      </c>
      <c r="M39" s="43"/>
      <c r="N39" s="43">
        <v>0</v>
      </c>
      <c r="O39" s="38"/>
      <c r="P39" s="38">
        <v>0</v>
      </c>
      <c r="Q39" s="38"/>
      <c r="R39" s="38">
        <v>0</v>
      </c>
    </row>
    <row r="40" spans="1:24" ht="15" customHeight="1">
      <c r="A40" s="17">
        <f t="shared" si="3"/>
        <v>31</v>
      </c>
      <c r="B40" s="84" t="s">
        <v>586</v>
      </c>
      <c r="D40" s="43">
        <v>362</v>
      </c>
      <c r="E40" s="43">
        <v>0</v>
      </c>
      <c r="F40" s="43">
        <v>0</v>
      </c>
      <c r="G40" s="43">
        <v>0</v>
      </c>
      <c r="H40" s="43">
        <v>0</v>
      </c>
      <c r="I40" s="43">
        <v>0</v>
      </c>
      <c r="J40" s="43">
        <v>0</v>
      </c>
      <c r="K40" s="43"/>
      <c r="L40" s="43">
        <f>'S9.1'!N44</f>
        <v>0</v>
      </c>
      <c r="M40" s="43"/>
      <c r="N40" s="43">
        <f>'S9.1'!P44</f>
        <v>0</v>
      </c>
      <c r="O40" s="38"/>
      <c r="P40" s="38">
        <v>362</v>
      </c>
      <c r="Q40" s="38"/>
      <c r="R40" s="38">
        <v>0</v>
      </c>
    </row>
    <row r="41" spans="1:24" ht="15" customHeight="1">
      <c r="A41" s="17">
        <f t="shared" si="3"/>
        <v>32</v>
      </c>
      <c r="B41" s="84" t="s">
        <v>587</v>
      </c>
      <c r="D41" s="43">
        <v>-98.6</v>
      </c>
      <c r="E41" s="43">
        <v>-98.6</v>
      </c>
      <c r="F41" s="43">
        <v>-98.778360000000006</v>
      </c>
      <c r="G41" s="43">
        <v>-98.778360000000006</v>
      </c>
      <c r="H41" s="43">
        <v>-98.778360000000006</v>
      </c>
      <c r="I41" s="43">
        <v>-98.778360000000006</v>
      </c>
      <c r="J41" s="43">
        <v>-98.778360000000006</v>
      </c>
      <c r="K41" s="38"/>
      <c r="L41" s="43">
        <f>-(J41/2+L38)/2+J41/2</f>
        <v>74.351310000000041</v>
      </c>
      <c r="M41" s="38"/>
      <c r="N41" s="43">
        <f>-SUM(N38:N40)</f>
        <v>123.74049000000005</v>
      </c>
      <c r="O41" s="38"/>
      <c r="P41" s="42">
        <v>-98.6</v>
      </c>
      <c r="Q41" s="38"/>
      <c r="R41" s="42">
        <v>-98.6</v>
      </c>
    </row>
    <row r="42" spans="1:24" ht="15" customHeight="1">
      <c r="A42" s="17">
        <f t="shared" si="3"/>
        <v>33</v>
      </c>
      <c r="B42" s="16" t="s">
        <v>496</v>
      </c>
      <c r="D42" s="161">
        <f>SUM(D38:D41)</f>
        <v>394.4</v>
      </c>
      <c r="E42" s="161">
        <f>SUM(E38:E41)</f>
        <v>295.79999999999995</v>
      </c>
      <c r="F42" s="161">
        <f>SUM(F38:F41)</f>
        <v>197.02163999999993</v>
      </c>
      <c r="G42" s="161">
        <f>G41+G39+G38</f>
        <v>98.243279999999928</v>
      </c>
      <c r="H42" s="161">
        <f>H41+H39+H38</f>
        <v>-0.53508000000007883</v>
      </c>
      <c r="I42" s="161">
        <f>I41+I39+I38</f>
        <v>-99.313440000000085</v>
      </c>
      <c r="J42" s="161">
        <f>J41+J39+J38</f>
        <v>-198.09180000000009</v>
      </c>
      <c r="K42" s="43"/>
      <c r="L42" s="161">
        <f>L41+L39+L38</f>
        <v>-123.74049000000005</v>
      </c>
      <c r="M42" s="43"/>
      <c r="N42" s="161">
        <f>N41+N39+N38</f>
        <v>0</v>
      </c>
      <c r="O42" s="43"/>
      <c r="P42" s="56">
        <v>394.4</v>
      </c>
      <c r="Q42" s="43"/>
      <c r="R42" s="56">
        <v>295.79999999999995</v>
      </c>
      <c r="V42" s="43"/>
    </row>
    <row r="43" spans="1:24" ht="15" customHeight="1">
      <c r="A43" s="17">
        <f t="shared" si="3"/>
        <v>34</v>
      </c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V43" s="43"/>
    </row>
    <row r="44" spans="1:24" ht="15" customHeight="1" thickBot="1">
      <c r="A44" s="17">
        <f t="shared" si="3"/>
        <v>35</v>
      </c>
      <c r="B44" s="16" t="s">
        <v>497</v>
      </c>
      <c r="C44" s="17" t="s">
        <v>588</v>
      </c>
      <c r="D44" s="59">
        <f>(D42+D38)/2</f>
        <v>262.7</v>
      </c>
      <c r="E44" s="59">
        <f t="shared" ref="E44:J44" si="16">(E42+E38)/2</f>
        <v>345.09999999999997</v>
      </c>
      <c r="F44" s="59">
        <f t="shared" si="16"/>
        <v>246.41081999999994</v>
      </c>
      <c r="G44" s="59">
        <f t="shared" si="16"/>
        <v>147.63245999999992</v>
      </c>
      <c r="H44" s="59">
        <f t="shared" si="16"/>
        <v>48.854099999999924</v>
      </c>
      <c r="I44" s="59">
        <f t="shared" si="16"/>
        <v>-49.924260000000082</v>
      </c>
      <c r="J44" s="59">
        <f t="shared" si="16"/>
        <v>-148.70262000000008</v>
      </c>
      <c r="K44" s="43"/>
      <c r="L44" s="59">
        <f>(L42+L38)/2</f>
        <v>-160.91614500000009</v>
      </c>
      <c r="M44" s="43"/>
      <c r="N44" s="59">
        <f>(N42+N38)/2</f>
        <v>-61.870245000000025</v>
      </c>
      <c r="O44" s="43"/>
      <c r="P44" s="59">
        <f>(P38+P42)/2</f>
        <v>262.7</v>
      </c>
      <c r="Q44" s="43"/>
      <c r="R44" s="59">
        <f>(R38+R42)/2</f>
        <v>345.09999999999997</v>
      </c>
    </row>
    <row r="45" spans="1:24" ht="15" customHeight="1" thickTop="1">
      <c r="A45" s="17">
        <f t="shared" si="3"/>
        <v>36</v>
      </c>
      <c r="B45" s="28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</row>
    <row r="46" spans="1:24" ht="15" customHeight="1">
      <c r="A46" s="17">
        <f t="shared" si="3"/>
        <v>37</v>
      </c>
      <c r="B46" s="78" t="s">
        <v>577</v>
      </c>
      <c r="D46" s="16"/>
      <c r="J46" s="43"/>
      <c r="K46" s="43"/>
      <c r="M46" s="43"/>
      <c r="O46" s="43"/>
      <c r="P46" s="43"/>
      <c r="Q46" s="43"/>
      <c r="R46" s="43"/>
    </row>
    <row r="47" spans="1:24" ht="15" customHeight="1">
      <c r="A47" s="17">
        <f t="shared" ref="A47:A69" si="17">A46+1</f>
        <v>38</v>
      </c>
      <c r="B47" s="16" t="s">
        <v>493</v>
      </c>
      <c r="D47" s="38">
        <v>398.24</v>
      </c>
      <c r="E47" s="43">
        <v>0</v>
      </c>
      <c r="F47" s="43">
        <v>0</v>
      </c>
      <c r="G47" s="43">
        <v>0</v>
      </c>
      <c r="H47" s="43">
        <v>0</v>
      </c>
      <c r="I47" s="43">
        <v>0</v>
      </c>
      <c r="J47" s="43">
        <v>0</v>
      </c>
      <c r="K47" s="38"/>
      <c r="L47" s="43">
        <f>J51</f>
        <v>0</v>
      </c>
      <c r="M47" s="38"/>
      <c r="N47" s="43">
        <f>L51</f>
        <v>0</v>
      </c>
      <c r="O47" s="38"/>
      <c r="P47" s="38">
        <v>398.24</v>
      </c>
      <c r="Q47" s="43"/>
      <c r="R47" s="38">
        <v>0</v>
      </c>
    </row>
    <row r="48" spans="1:24" ht="15" customHeight="1">
      <c r="A48" s="17">
        <f t="shared" si="17"/>
        <v>39</v>
      </c>
      <c r="B48" s="84" t="s">
        <v>589</v>
      </c>
      <c r="D48" s="38">
        <v>135.76</v>
      </c>
      <c r="E48" s="43">
        <v>0</v>
      </c>
      <c r="F48" s="43">
        <v>0</v>
      </c>
      <c r="G48" s="43">
        <v>0</v>
      </c>
      <c r="H48" s="43">
        <v>0</v>
      </c>
      <c r="I48" s="43">
        <v>0</v>
      </c>
      <c r="J48" s="43">
        <v>0</v>
      </c>
      <c r="K48" s="38"/>
      <c r="L48" s="43"/>
      <c r="M48" s="38"/>
      <c r="N48" s="43">
        <v>0</v>
      </c>
      <c r="O48" s="38"/>
      <c r="P48" s="38">
        <v>135.76</v>
      </c>
      <c r="Q48" s="43"/>
      <c r="R48" s="38">
        <v>0</v>
      </c>
    </row>
    <row r="49" spans="1:20" ht="15" customHeight="1">
      <c r="A49" s="17">
        <f t="shared" si="17"/>
        <v>40</v>
      </c>
      <c r="B49" s="84" t="s">
        <v>590</v>
      </c>
      <c r="D49" s="38">
        <v>-534</v>
      </c>
      <c r="E49" s="43">
        <v>0</v>
      </c>
      <c r="F49" s="43">
        <v>0</v>
      </c>
      <c r="G49" s="43">
        <v>0</v>
      </c>
      <c r="H49" s="43">
        <v>0</v>
      </c>
      <c r="I49" s="43">
        <v>0</v>
      </c>
      <c r="J49" s="43">
        <v>0</v>
      </c>
      <c r="K49" s="38"/>
      <c r="L49" s="43">
        <v>0</v>
      </c>
      <c r="M49" s="38"/>
      <c r="N49" s="43">
        <v>0</v>
      </c>
      <c r="O49" s="38"/>
      <c r="P49" s="38">
        <v>-534</v>
      </c>
      <c r="Q49" s="43"/>
      <c r="R49" s="38"/>
      <c r="T49" s="43"/>
    </row>
    <row r="50" spans="1:20" ht="15" customHeight="1">
      <c r="A50" s="17">
        <f t="shared" si="17"/>
        <v>41</v>
      </c>
      <c r="B50" s="84" t="s">
        <v>591</v>
      </c>
      <c r="D50" s="43"/>
      <c r="E50" s="43"/>
      <c r="F50" s="43"/>
      <c r="G50" s="43"/>
      <c r="H50" s="43"/>
      <c r="I50" s="43"/>
      <c r="J50" s="43"/>
      <c r="K50" s="38"/>
      <c r="L50" s="43">
        <f>-(J50/12*6+L47)/2+J50/12*6</f>
        <v>0</v>
      </c>
      <c r="M50" s="38"/>
      <c r="N50" s="43">
        <f>-N47</f>
        <v>0</v>
      </c>
      <c r="O50" s="38"/>
      <c r="P50" s="38">
        <v>0</v>
      </c>
      <c r="Q50" s="43"/>
      <c r="R50" s="38">
        <v>0</v>
      </c>
    </row>
    <row r="51" spans="1:20" ht="15" customHeight="1">
      <c r="A51" s="17">
        <f t="shared" si="17"/>
        <v>42</v>
      </c>
      <c r="B51" s="16" t="s">
        <v>496</v>
      </c>
      <c r="C51" s="16"/>
      <c r="D51" s="161">
        <f t="shared" ref="D51:J51" si="18">SUM(D47:D50)</f>
        <v>0</v>
      </c>
      <c r="E51" s="161">
        <f t="shared" si="18"/>
        <v>0</v>
      </c>
      <c r="F51" s="161">
        <f t="shared" si="18"/>
        <v>0</v>
      </c>
      <c r="G51" s="161">
        <f t="shared" si="18"/>
        <v>0</v>
      </c>
      <c r="H51" s="161">
        <f t="shared" si="18"/>
        <v>0</v>
      </c>
      <c r="I51" s="161">
        <f t="shared" si="18"/>
        <v>0</v>
      </c>
      <c r="J51" s="161">
        <f t="shared" si="18"/>
        <v>0</v>
      </c>
      <c r="K51" s="43"/>
      <c r="L51" s="161">
        <f>SUM(L47:L50)</f>
        <v>0</v>
      </c>
      <c r="M51" s="43"/>
      <c r="N51" s="161">
        <f>SUM(N47:N50)</f>
        <v>0</v>
      </c>
      <c r="O51" s="43"/>
      <c r="P51" s="161">
        <v>0</v>
      </c>
      <c r="Q51" s="43"/>
      <c r="R51" s="161">
        <v>0</v>
      </c>
      <c r="T51" s="43"/>
    </row>
    <row r="52" spans="1:20" ht="15" customHeight="1">
      <c r="A52" s="17">
        <f t="shared" si="17"/>
        <v>43</v>
      </c>
      <c r="C52" s="300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</row>
    <row r="53" spans="1:20" ht="15" customHeight="1" thickBot="1">
      <c r="A53" s="17">
        <f t="shared" si="17"/>
        <v>44</v>
      </c>
      <c r="B53" s="16" t="s">
        <v>497</v>
      </c>
      <c r="C53" s="17" t="s">
        <v>592</v>
      </c>
      <c r="D53" s="59">
        <f>(D51+D47)/2</f>
        <v>199.12</v>
      </c>
      <c r="E53" s="59">
        <f t="shared" ref="E53:I53" si="19">(E51+E47)/2</f>
        <v>0</v>
      </c>
      <c r="F53" s="59">
        <f t="shared" si="19"/>
        <v>0</v>
      </c>
      <c r="G53" s="59">
        <f t="shared" si="19"/>
        <v>0</v>
      </c>
      <c r="H53" s="59">
        <f t="shared" si="19"/>
        <v>0</v>
      </c>
      <c r="I53" s="59">
        <f t="shared" si="19"/>
        <v>0</v>
      </c>
      <c r="J53" s="59">
        <f>(J47+J51)/2</f>
        <v>0</v>
      </c>
      <c r="K53" s="43"/>
      <c r="L53" s="59">
        <f>(L51+L47)/2</f>
        <v>0</v>
      </c>
      <c r="M53" s="43"/>
      <c r="N53" s="59">
        <f>(N51+N47)/2</f>
        <v>0</v>
      </c>
      <c r="O53" s="43"/>
      <c r="P53" s="59">
        <f>(P47+P51)/2</f>
        <v>199.12</v>
      </c>
      <c r="Q53" s="43"/>
      <c r="R53" s="59">
        <f>(R47+R51)/2</f>
        <v>0</v>
      </c>
    </row>
    <row r="54" spans="1:20" ht="15" customHeight="1" thickTop="1">
      <c r="A54" s="17">
        <f t="shared" si="17"/>
        <v>45</v>
      </c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</row>
    <row r="55" spans="1:20" ht="15" customHeight="1">
      <c r="A55" s="17">
        <f t="shared" si="17"/>
        <v>46</v>
      </c>
      <c r="B55" s="78" t="s">
        <v>593</v>
      </c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</row>
    <row r="56" spans="1:20" ht="15" customHeight="1">
      <c r="A56" s="17">
        <f t="shared" si="17"/>
        <v>47</v>
      </c>
      <c r="B56" s="16" t="s">
        <v>493</v>
      </c>
      <c r="D56" s="43">
        <v>0</v>
      </c>
      <c r="E56" s="43">
        <v>-77</v>
      </c>
      <c r="F56" s="43">
        <v>0</v>
      </c>
      <c r="G56" s="43">
        <v>-70.728999999999971</v>
      </c>
      <c r="H56" s="43">
        <v>-153.57607999999999</v>
      </c>
      <c r="I56" s="43">
        <v>-222.81752</v>
      </c>
      <c r="J56" s="43">
        <f>I59</f>
        <v>-265.19952000000001</v>
      </c>
      <c r="K56" s="43"/>
      <c r="L56" s="43">
        <f>J59</f>
        <v>-351.40595999999999</v>
      </c>
      <c r="M56" s="43"/>
      <c r="N56" s="43">
        <f>L59</f>
        <v>-222.55797999999999</v>
      </c>
      <c r="O56" s="43"/>
      <c r="P56" s="43">
        <v>0</v>
      </c>
      <c r="Q56" s="43"/>
      <c r="R56" s="43">
        <v>-77</v>
      </c>
    </row>
    <row r="57" spans="1:20" ht="15" customHeight="1">
      <c r="A57" s="17">
        <f t="shared" si="17"/>
        <v>48</v>
      </c>
      <c r="B57" s="84" t="s">
        <v>589</v>
      </c>
      <c r="D57" s="43">
        <v>-154</v>
      </c>
      <c r="E57" s="43">
        <v>0</v>
      </c>
      <c r="F57" s="43">
        <v>-147.50399999999999</v>
      </c>
      <c r="G57" s="43">
        <v>-159.62164000000001</v>
      </c>
      <c r="H57" s="43">
        <v>-146.01599999999999</v>
      </c>
      <c r="I57" s="43">
        <v>-119.38200000000001</v>
      </c>
      <c r="J57" s="43">
        <v>-162.98099999999999</v>
      </c>
      <c r="K57" s="43"/>
      <c r="L57" s="43">
        <v>-93.71</v>
      </c>
      <c r="M57" s="43"/>
      <c r="N57" s="43">
        <v>0</v>
      </c>
      <c r="O57" s="43"/>
      <c r="P57" s="43">
        <v>-154</v>
      </c>
      <c r="Q57" s="43"/>
      <c r="R57" s="43">
        <v>0</v>
      </c>
    </row>
    <row r="58" spans="1:20" ht="15" customHeight="1">
      <c r="A58" s="17">
        <f t="shared" si="17"/>
        <v>49</v>
      </c>
      <c r="B58" s="84" t="s">
        <v>594</v>
      </c>
      <c r="C58" s="16"/>
      <c r="D58" s="43">
        <v>77</v>
      </c>
      <c r="E58" s="43">
        <v>77</v>
      </c>
      <c r="F58" s="43">
        <v>76.775000000000006</v>
      </c>
      <c r="G58" s="43">
        <v>76.774559999999994</v>
      </c>
      <c r="H58" s="43">
        <v>76.774559999999994</v>
      </c>
      <c r="I58" s="43">
        <v>77</v>
      </c>
      <c r="J58" s="43">
        <v>76.774559999999994</v>
      </c>
      <c r="K58" s="43"/>
      <c r="L58" s="43">
        <f>-SUM(L56:L57)/2</f>
        <v>222.55797999999999</v>
      </c>
      <c r="M58" s="43"/>
      <c r="N58" s="43">
        <f>-N56</f>
        <v>222.55797999999999</v>
      </c>
      <c r="O58" s="43"/>
      <c r="P58" s="43">
        <v>77</v>
      </c>
      <c r="Q58" s="43"/>
      <c r="R58" s="43">
        <v>77</v>
      </c>
    </row>
    <row r="59" spans="1:20" ht="15" customHeight="1">
      <c r="A59" s="17">
        <f t="shared" si="17"/>
        <v>50</v>
      </c>
      <c r="B59" s="16" t="s">
        <v>496</v>
      </c>
      <c r="C59" s="16"/>
      <c r="D59" s="161">
        <f t="shared" ref="D59:J59" si="20">SUM(D56:D58)</f>
        <v>-77</v>
      </c>
      <c r="E59" s="161">
        <f t="shared" si="20"/>
        <v>0</v>
      </c>
      <c r="F59" s="161">
        <f t="shared" si="20"/>
        <v>-70.728999999999985</v>
      </c>
      <c r="G59" s="161">
        <f t="shared" si="20"/>
        <v>-153.57607999999999</v>
      </c>
      <c r="H59" s="161">
        <f t="shared" si="20"/>
        <v>-222.81752</v>
      </c>
      <c r="I59" s="161">
        <f t="shared" si="20"/>
        <v>-265.19952000000001</v>
      </c>
      <c r="J59" s="161">
        <f t="shared" si="20"/>
        <v>-351.40595999999999</v>
      </c>
      <c r="K59" s="43"/>
      <c r="L59" s="161">
        <f>SUM(L56:L58)</f>
        <v>-222.55797999999999</v>
      </c>
      <c r="M59" s="43"/>
      <c r="N59" s="161">
        <f>SUM(N56:N58)</f>
        <v>0</v>
      </c>
      <c r="O59" s="43"/>
      <c r="P59" s="161">
        <v>-77</v>
      </c>
      <c r="Q59" s="43"/>
      <c r="R59" s="161">
        <v>0</v>
      </c>
    </row>
    <row r="60" spans="1:20" ht="15" customHeight="1">
      <c r="A60" s="17">
        <f t="shared" si="17"/>
        <v>51</v>
      </c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</row>
    <row r="61" spans="1:20" ht="15" customHeight="1" thickBot="1">
      <c r="A61" s="17">
        <f t="shared" si="17"/>
        <v>52</v>
      </c>
      <c r="B61" s="16" t="s">
        <v>497</v>
      </c>
      <c r="C61" s="17" t="s">
        <v>595</v>
      </c>
      <c r="D61" s="59">
        <f>(D59+D56)/2</f>
        <v>-38.5</v>
      </c>
      <c r="E61" s="59">
        <f t="shared" ref="E61:I61" si="21">(E59+E56)/2</f>
        <v>-38.5</v>
      </c>
      <c r="F61" s="59">
        <f t="shared" si="21"/>
        <v>-35.364499999999992</v>
      </c>
      <c r="G61" s="59">
        <f t="shared" si="21"/>
        <v>-112.15253999999999</v>
      </c>
      <c r="H61" s="59">
        <f t="shared" si="21"/>
        <v>-188.1968</v>
      </c>
      <c r="I61" s="59">
        <f t="shared" si="21"/>
        <v>-244.00852</v>
      </c>
      <c r="J61" s="59">
        <f>(J56+J59)/2</f>
        <v>-308.30273999999997</v>
      </c>
      <c r="K61" s="43"/>
      <c r="L61" s="59">
        <f>(L59+L56)/2</f>
        <v>-286.98196999999999</v>
      </c>
      <c r="M61" s="43"/>
      <c r="N61" s="59">
        <f>(N59+N56)/2</f>
        <v>-111.27898999999999</v>
      </c>
      <c r="O61" s="43"/>
      <c r="P61" s="59">
        <f>(P56+P59)/2</f>
        <v>-38.5</v>
      </c>
      <c r="Q61" s="43"/>
      <c r="R61" s="59">
        <f>(R56+R59)/2</f>
        <v>-38.5</v>
      </c>
    </row>
    <row r="62" spans="1:20" ht="15" customHeight="1" thickTop="1">
      <c r="A62" s="17">
        <f t="shared" si="17"/>
        <v>53</v>
      </c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</row>
    <row r="63" spans="1:20" ht="15" customHeight="1">
      <c r="A63" s="17">
        <f t="shared" si="17"/>
        <v>54</v>
      </c>
      <c r="B63" s="16" t="s">
        <v>596</v>
      </c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</row>
    <row r="64" spans="1:20" ht="15" customHeight="1">
      <c r="A64" s="17">
        <f t="shared" si="17"/>
        <v>55</v>
      </c>
      <c r="B64" s="16" t="s">
        <v>493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f>H67</f>
        <v>146.47284000000002</v>
      </c>
      <c r="J64" s="43">
        <f>I67</f>
        <v>209.23526000000001</v>
      </c>
      <c r="K64" s="43"/>
      <c r="L64" s="43">
        <f>J67</f>
        <v>187.34745000000001</v>
      </c>
      <c r="M64" s="43"/>
      <c r="N64" s="43">
        <f>L67</f>
        <v>93.673725000000005</v>
      </c>
      <c r="O64" s="43"/>
      <c r="P64" s="43"/>
      <c r="Q64" s="43"/>
      <c r="R64" s="43"/>
    </row>
    <row r="65" spans="1:18" ht="15" customHeight="1">
      <c r="A65" s="17">
        <f t="shared" si="17"/>
        <v>56</v>
      </c>
      <c r="B65" s="84" t="s">
        <v>589</v>
      </c>
      <c r="D65" s="43">
        <v>0</v>
      </c>
      <c r="E65" s="43">
        <v>0</v>
      </c>
      <c r="F65" s="43">
        <v>0</v>
      </c>
      <c r="G65" s="43">
        <v>0</v>
      </c>
      <c r="H65" s="43">
        <v>146.47284000000002</v>
      </c>
      <c r="I65" s="43">
        <f>62762.42/1000</f>
        <v>62.762419999999999</v>
      </c>
      <c r="J65" s="43">
        <f>-21887.81/1000</f>
        <v>-21.887810000000002</v>
      </c>
      <c r="K65" s="43"/>
      <c r="L65" s="43">
        <v>0</v>
      </c>
      <c r="M65" s="43"/>
      <c r="N65" s="43">
        <v>0</v>
      </c>
      <c r="O65" s="43"/>
      <c r="P65" s="43"/>
      <c r="Q65" s="43"/>
      <c r="R65" s="43"/>
    </row>
    <row r="66" spans="1:18" ht="15" customHeight="1">
      <c r="A66" s="17">
        <f t="shared" si="17"/>
        <v>57</v>
      </c>
      <c r="B66" s="84" t="s">
        <v>594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/>
      <c r="L66" s="43">
        <f>-L64/2</f>
        <v>-93.673725000000005</v>
      </c>
      <c r="M66" s="43"/>
      <c r="N66" s="43">
        <f>-N64</f>
        <v>-93.673725000000005</v>
      </c>
      <c r="O66" s="43"/>
      <c r="P66" s="43"/>
      <c r="Q66" s="43"/>
      <c r="R66" s="43"/>
    </row>
    <row r="67" spans="1:18" ht="15" customHeight="1">
      <c r="A67" s="17">
        <f t="shared" si="17"/>
        <v>58</v>
      </c>
      <c r="B67" s="16" t="s">
        <v>496</v>
      </c>
      <c r="D67" s="161"/>
      <c r="E67" s="161"/>
      <c r="F67" s="161"/>
      <c r="G67" s="161"/>
      <c r="H67" s="161">
        <f t="shared" ref="H67:N67" si="22">SUM(H64:H66)</f>
        <v>146.47284000000002</v>
      </c>
      <c r="I67" s="161">
        <f t="shared" si="22"/>
        <v>209.23526000000001</v>
      </c>
      <c r="J67" s="161">
        <f t="shared" si="22"/>
        <v>187.34745000000001</v>
      </c>
      <c r="K67" s="43"/>
      <c r="L67" s="161">
        <f t="shared" si="22"/>
        <v>93.673725000000005</v>
      </c>
      <c r="M67" s="43"/>
      <c r="N67" s="161">
        <f t="shared" si="22"/>
        <v>0</v>
      </c>
      <c r="O67" s="43"/>
      <c r="P67" s="161"/>
      <c r="Q67" s="43"/>
      <c r="R67" s="161"/>
    </row>
    <row r="68" spans="1:18" ht="15" customHeight="1">
      <c r="A68" s="17">
        <f t="shared" si="17"/>
        <v>59</v>
      </c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</row>
    <row r="69" spans="1:18" ht="16" thickBot="1">
      <c r="A69" s="17">
        <f t="shared" si="17"/>
        <v>60</v>
      </c>
      <c r="B69" s="16" t="s">
        <v>497</v>
      </c>
      <c r="C69" s="17" t="s">
        <v>597</v>
      </c>
      <c r="D69" s="59">
        <f>(D67+D64)/2</f>
        <v>0</v>
      </c>
      <c r="E69" s="59">
        <f t="shared" ref="E69:G69" si="23">(E67+E64)/2</f>
        <v>0</v>
      </c>
      <c r="F69" s="59">
        <f t="shared" si="23"/>
        <v>0</v>
      </c>
      <c r="G69" s="59">
        <f t="shared" si="23"/>
        <v>0</v>
      </c>
      <c r="H69" s="59">
        <f>(H67+H64)/2</f>
        <v>73.23642000000001</v>
      </c>
      <c r="I69" s="59">
        <f>(I67+I64)/2</f>
        <v>177.85405000000003</v>
      </c>
      <c r="J69" s="59">
        <f>(J64+J67)/2</f>
        <v>198.29135500000001</v>
      </c>
      <c r="K69" s="43"/>
      <c r="L69" s="59">
        <f>(L67+L64)/2</f>
        <v>140.51058750000001</v>
      </c>
      <c r="M69" s="43"/>
      <c r="N69" s="59">
        <f>(N67+N64)/2</f>
        <v>46.836862500000002</v>
      </c>
      <c r="O69" s="43"/>
      <c r="P69" s="59">
        <f>(P64+P67)/2</f>
        <v>0</v>
      </c>
      <c r="Q69" s="43"/>
      <c r="R69" s="59">
        <f>(R64+R67)/2</f>
        <v>0</v>
      </c>
    </row>
    <row r="70" spans="1:18" ht="16" thickTop="1"/>
    <row r="71" spans="1:18">
      <c r="D71" s="301"/>
      <c r="E71" s="143"/>
      <c r="F71" s="143"/>
      <c r="G71" s="143"/>
      <c r="H71" s="143"/>
      <c r="I71" s="143"/>
      <c r="J71" s="143"/>
    </row>
    <row r="72" spans="1:18">
      <c r="D72" s="313"/>
      <c r="E72" s="313"/>
      <c r="F72" s="313"/>
      <c r="G72" s="313"/>
      <c r="H72" s="313"/>
      <c r="I72" s="313"/>
      <c r="J72" s="313"/>
    </row>
    <row r="74" spans="1:18">
      <c r="D74" s="300"/>
      <c r="E74" s="300"/>
      <c r="F74" s="300"/>
      <c r="G74" s="300"/>
      <c r="H74" s="300"/>
    </row>
    <row r="75" spans="1:18">
      <c r="G75" s="325"/>
    </row>
    <row r="77" spans="1:18">
      <c r="C77" s="438"/>
      <c r="D77" s="462"/>
      <c r="E77" s="463"/>
      <c r="F77" s="463"/>
      <c r="G77" s="463"/>
      <c r="H77" s="463"/>
      <c r="I77" s="463"/>
      <c r="J77" s="463"/>
    </row>
    <row r="78" spans="1:18">
      <c r="C78" s="438"/>
      <c r="D78" s="134"/>
      <c r="E78" s="134"/>
      <c r="F78" s="134"/>
      <c r="G78" s="134"/>
      <c r="H78" s="134"/>
      <c r="I78" s="134"/>
      <c r="J78" s="134"/>
    </row>
    <row r="79" spans="1:18">
      <c r="D79" s="136"/>
      <c r="E79" s="136"/>
      <c r="F79" s="136"/>
      <c r="G79" s="136"/>
      <c r="H79" s="136"/>
      <c r="I79" s="136"/>
      <c r="J79" s="136"/>
    </row>
    <row r="81" spans="4:10">
      <c r="D81" s="461"/>
      <c r="E81" s="461"/>
      <c r="F81" s="461"/>
      <c r="G81" s="461"/>
      <c r="H81" s="461"/>
      <c r="I81" s="461"/>
      <c r="J81" s="461"/>
    </row>
  </sheetData>
  <mergeCells count="7">
    <mergeCell ref="P7:R7"/>
    <mergeCell ref="L7:N7"/>
    <mergeCell ref="A1:R1"/>
    <mergeCell ref="A2:R2"/>
    <mergeCell ref="A4:R4"/>
    <mergeCell ref="A5:R5"/>
    <mergeCell ref="D7:J7"/>
  </mergeCells>
  <phoneticPr fontId="10" type="noConversion"/>
  <printOptions horizontalCentered="1"/>
  <pageMargins left="0.5" right="0.5" top="0.75" bottom="0.75" header="0.5" footer="0.5"/>
  <pageSetup scale="55" fitToHeight="0" orientation="landscape" useFirstPageNumber="1" r:id="rId1"/>
  <headerFooter alignWithMargins="0">
    <oddHeader>&amp;R&amp;"Arial,Bold"Schedule 8.8
Page &amp;P of 3</oddHeader>
  </headerFooter>
  <rowBreaks count="1" manualBreakCount="1">
    <brk id="54" max="17" man="1"/>
  </rowBreaks>
  <ignoredErrors>
    <ignoredError sqref="A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AD47"/>
  <sheetViews>
    <sheetView zoomScale="80" zoomScaleNormal="80" zoomScaleSheetLayoutView="100" workbookViewId="0">
      <selection activeCell="H31" sqref="H31"/>
    </sheetView>
  </sheetViews>
  <sheetFormatPr defaultColWidth="7.54296875" defaultRowHeight="15.5"/>
  <cols>
    <col min="1" max="1" width="6" style="16" bestFit="1" customWidth="1"/>
    <col min="2" max="2" width="2.1796875" style="16" customWidth="1"/>
    <col min="3" max="3" width="48.81640625" style="16" customWidth="1"/>
    <col min="4" max="4" width="2.1796875" style="16" customWidth="1"/>
    <col min="5" max="5" width="26" style="16" bestFit="1" customWidth="1"/>
    <col min="6" max="6" width="2.1796875" style="16" customWidth="1"/>
    <col min="7" max="7" width="13.26953125" style="16" bestFit="1" customWidth="1"/>
    <col min="8" max="8" width="11.1796875" style="16" customWidth="1"/>
    <col min="9" max="13" width="12.7265625" style="16" customWidth="1"/>
    <col min="14" max="14" width="2.7265625" style="16" customWidth="1"/>
    <col min="15" max="15" width="15.54296875" style="16" bestFit="1" customWidth="1"/>
    <col min="16" max="16" width="2.7265625" style="16" customWidth="1"/>
    <col min="17" max="17" width="12.7265625" style="16" customWidth="1"/>
    <col min="18" max="18" width="2.1796875" style="16" customWidth="1"/>
    <col min="19" max="19" width="12.7265625" style="16" customWidth="1"/>
    <col min="20" max="20" width="2.1796875" style="16" customWidth="1"/>
    <col min="21" max="21" width="12.7265625" style="16" customWidth="1"/>
    <col min="22" max="22" width="2.1796875" style="16" customWidth="1"/>
    <col min="23" max="23" width="12.54296875" style="16" customWidth="1"/>
    <col min="24" max="24" width="2" style="16" customWidth="1"/>
    <col min="25" max="25" width="12.54296875" style="16" customWidth="1"/>
    <col min="26" max="29" width="7.54296875" style="16"/>
    <col min="30" max="30" width="8" style="16" bestFit="1" customWidth="1"/>
    <col min="31" max="16384" width="7.54296875" style="16"/>
  </cols>
  <sheetData>
    <row r="1" spans="1:30">
      <c r="A1" s="14" t="s">
        <v>0</v>
      </c>
      <c r="B1" s="14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31"/>
    </row>
    <row r="2" spans="1:30">
      <c r="A2" s="14" t="s">
        <v>1</v>
      </c>
      <c r="B2" s="14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31"/>
    </row>
    <row r="3" spans="1:30">
      <c r="A3" s="14"/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31"/>
    </row>
    <row r="4" spans="1:30">
      <c r="A4" s="14" t="s">
        <v>5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</row>
    <row r="5" spans="1:30">
      <c r="A5" s="518" t="s">
        <v>6</v>
      </c>
      <c r="B5" s="518"/>
      <c r="C5" s="518"/>
      <c r="D5" s="518"/>
      <c r="E5" s="518"/>
      <c r="F5" s="518"/>
      <c r="G5" s="518"/>
      <c r="H5" s="518"/>
      <c r="I5" s="518"/>
      <c r="J5" s="518"/>
      <c r="K5" s="518"/>
      <c r="L5" s="518"/>
      <c r="M5" s="518"/>
      <c r="N5" s="518"/>
      <c r="O5" s="518"/>
      <c r="P5" s="518"/>
      <c r="Q5" s="518"/>
      <c r="R5" s="518"/>
      <c r="S5" s="518"/>
      <c r="T5" s="518"/>
      <c r="U5" s="518"/>
    </row>
    <row r="6" spans="1:30">
      <c r="A6" s="14"/>
      <c r="B6" s="15"/>
      <c r="C6" s="15"/>
      <c r="D6" s="15"/>
      <c r="E6" s="15"/>
      <c r="O6" s="319"/>
      <c r="W6" s="520"/>
      <c r="X6" s="520"/>
      <c r="Y6" s="520"/>
    </row>
    <row r="7" spans="1:30">
      <c r="A7" s="6" t="s">
        <v>7</v>
      </c>
      <c r="B7" s="6"/>
      <c r="C7" s="6"/>
      <c r="D7" s="6"/>
      <c r="E7" s="6" t="s">
        <v>8</v>
      </c>
      <c r="F7" s="6"/>
      <c r="G7" s="519" t="s">
        <v>9</v>
      </c>
      <c r="H7" s="519"/>
      <c r="I7" s="519"/>
      <c r="J7" s="519"/>
      <c r="K7" s="519"/>
      <c r="L7" s="519"/>
      <c r="M7" s="519"/>
      <c r="N7" s="6"/>
      <c r="O7" s="519" t="s">
        <v>10</v>
      </c>
      <c r="P7" s="519"/>
      <c r="Q7" s="519"/>
      <c r="R7" s="18"/>
      <c r="S7" s="519" t="s">
        <v>11</v>
      </c>
      <c r="T7" s="519"/>
      <c r="U7" s="519"/>
      <c r="V7" s="6"/>
      <c r="W7" s="520"/>
      <c r="X7" s="520"/>
      <c r="Y7" s="520"/>
    </row>
    <row r="8" spans="1:30">
      <c r="A8" s="7" t="s">
        <v>12</v>
      </c>
      <c r="B8" s="6"/>
      <c r="C8" s="7" t="s">
        <v>13</v>
      </c>
      <c r="D8" s="6"/>
      <c r="E8" s="7" t="s">
        <v>14</v>
      </c>
      <c r="F8" s="6"/>
      <c r="G8" s="7">
        <v>2016</v>
      </c>
      <c r="H8" s="7">
        <v>2017</v>
      </c>
      <c r="I8" s="7">
        <v>2018</v>
      </c>
      <c r="J8" s="7">
        <v>2019</v>
      </c>
      <c r="K8" s="7">
        <v>2020</v>
      </c>
      <c r="L8" s="7">
        <v>2021</v>
      </c>
      <c r="M8" s="7">
        <v>2022</v>
      </c>
      <c r="N8" s="6"/>
      <c r="O8" s="7">
        <v>2023</v>
      </c>
      <c r="P8" s="6"/>
      <c r="Q8" s="7">
        <v>2024</v>
      </c>
      <c r="R8" s="6"/>
      <c r="S8" s="7">
        <v>2016</v>
      </c>
      <c r="T8" s="6"/>
      <c r="U8" s="7">
        <v>2017</v>
      </c>
      <c r="V8" s="6"/>
      <c r="W8" s="6"/>
      <c r="X8" s="6"/>
      <c r="Y8" s="6"/>
    </row>
    <row r="10" spans="1:30">
      <c r="A10" s="17">
        <v>1</v>
      </c>
      <c r="C10" s="18" t="s">
        <v>15</v>
      </c>
      <c r="E10" s="17"/>
      <c r="F10" s="29"/>
      <c r="G10" s="29"/>
      <c r="H10" s="29"/>
    </row>
    <row r="11" spans="1:30">
      <c r="A11" s="17">
        <f t="shared" ref="A11:A25" si="0">A10+1</f>
        <v>2</v>
      </c>
      <c r="C11" s="28" t="s">
        <v>16</v>
      </c>
      <c r="E11" s="17" t="s">
        <v>17</v>
      </c>
      <c r="F11" s="29"/>
      <c r="G11" s="134">
        <f>+'S2.1'!F64</f>
        <v>57788.067570000007</v>
      </c>
      <c r="H11" s="134">
        <f>+'S2.1'!G64</f>
        <v>63941.523888938864</v>
      </c>
      <c r="I11" s="134">
        <f>+'S2.1'!H64</f>
        <v>66111.3967932089</v>
      </c>
      <c r="J11" s="134">
        <f>'S2.1'!I64</f>
        <v>66474.010709999988</v>
      </c>
      <c r="K11" s="134">
        <f>+'S2.1'!J64</f>
        <v>77106.660660000009</v>
      </c>
      <c r="L11" s="134">
        <f>+'S2.1'!K64</f>
        <v>80860.22678706779</v>
      </c>
      <c r="M11" s="134">
        <f>+'S2.1'!L64</f>
        <v>84470.206759159279</v>
      </c>
      <c r="N11" s="134"/>
      <c r="O11" s="134">
        <f>O13-O12</f>
        <v>64690.04517019866</v>
      </c>
      <c r="P11" s="134"/>
      <c r="Q11" s="134">
        <f>Q13-Q12</f>
        <v>71735.766289088177</v>
      </c>
      <c r="R11" s="143"/>
      <c r="S11" s="143">
        <v>52070.900731610978</v>
      </c>
      <c r="T11" s="143"/>
      <c r="U11" s="143">
        <v>54859.053810800368</v>
      </c>
      <c r="V11" s="122"/>
      <c r="W11" s="143"/>
      <c r="X11" s="143"/>
      <c r="Y11" s="143"/>
      <c r="AC11" s="134"/>
      <c r="AD11" s="134"/>
    </row>
    <row r="12" spans="1:30">
      <c r="A12" s="17">
        <f t="shared" si="0"/>
        <v>3</v>
      </c>
      <c r="C12" s="28" t="s">
        <v>18</v>
      </c>
      <c r="E12" s="17" t="s">
        <v>19</v>
      </c>
      <c r="F12" s="29"/>
      <c r="G12" s="135">
        <f>+'S2.2'!G17</f>
        <v>1237.9996599999999</v>
      </c>
      <c r="H12" s="135">
        <f>+'S2.2'!H17</f>
        <v>1304.0675900000001</v>
      </c>
      <c r="I12" s="135">
        <f>+'S2.2'!I17</f>
        <v>1404.37321</v>
      </c>
      <c r="J12" s="135">
        <f>+'S2.2'!J17</f>
        <v>1462.0002799999997</v>
      </c>
      <c r="K12" s="135">
        <f>+'S2.2'!K17</f>
        <v>1540.1379099999999</v>
      </c>
      <c r="L12" s="135">
        <f>+'S2.2'!L17</f>
        <v>2231.9575400000003</v>
      </c>
      <c r="M12" s="135">
        <f>+'S2.2'!M17</f>
        <v>2528.6980899999999</v>
      </c>
      <c r="N12" s="134"/>
      <c r="O12" s="135">
        <f>+'S2.2'!O17</f>
        <v>2103.2299274551078</v>
      </c>
      <c r="P12" s="134"/>
      <c r="Q12" s="135">
        <f>+'S2.2'!Q17</f>
        <v>2186.0010527148215</v>
      </c>
      <c r="R12" s="143"/>
      <c r="S12" s="70">
        <v>1299.3627364199999</v>
      </c>
      <c r="T12" s="143"/>
      <c r="U12" s="70">
        <v>1327.94871662124</v>
      </c>
      <c r="V12" s="121"/>
      <c r="W12" s="143"/>
      <c r="X12" s="143"/>
      <c r="Y12" s="143"/>
    </row>
    <row r="13" spans="1:30">
      <c r="A13" s="17">
        <f t="shared" si="0"/>
        <v>4</v>
      </c>
      <c r="C13" s="18" t="s">
        <v>20</v>
      </c>
      <c r="E13" s="17"/>
      <c r="F13" s="100"/>
      <c r="G13" s="61">
        <f t="shared" ref="G13:H13" si="1">SUM(G11:G12)</f>
        <v>59026.067230000008</v>
      </c>
      <c r="H13" s="61">
        <f t="shared" si="1"/>
        <v>65245.591478938863</v>
      </c>
      <c r="I13" s="61">
        <f>SUM(I11:I12)</f>
        <v>67515.770003208905</v>
      </c>
      <c r="J13" s="61">
        <f>SUM(J11:J12)</f>
        <v>67936.010989999981</v>
      </c>
      <c r="K13" s="61">
        <f>SUM(K11:K12)</f>
        <v>78646.798570000014</v>
      </c>
      <c r="L13" s="61">
        <f>SUM(L11:L12)</f>
        <v>83092.184327067793</v>
      </c>
      <c r="M13" s="61">
        <f>SUM(M11:M12)</f>
        <v>86998.904849159284</v>
      </c>
      <c r="N13" s="61"/>
      <c r="O13" s="61">
        <f>O25</f>
        <v>66793.275097653765</v>
      </c>
      <c r="P13" s="61"/>
      <c r="Q13" s="61">
        <f>Q25</f>
        <v>73921.767341803003</v>
      </c>
      <c r="R13" s="143"/>
      <c r="S13" s="66">
        <v>53370.263468030978</v>
      </c>
      <c r="T13" s="143"/>
      <c r="U13" s="66">
        <v>56187.00252742161</v>
      </c>
      <c r="V13" s="122"/>
      <c r="W13" s="69"/>
      <c r="X13" s="69"/>
      <c r="Y13" s="69"/>
    </row>
    <row r="14" spans="1:30">
      <c r="A14" s="17">
        <f t="shared" si="0"/>
        <v>5</v>
      </c>
      <c r="E14" s="471"/>
      <c r="F14" s="138"/>
      <c r="G14" s="138"/>
      <c r="H14" s="242"/>
      <c r="I14" s="139"/>
      <c r="J14" s="139"/>
      <c r="K14" s="139"/>
      <c r="L14" s="139"/>
      <c r="M14" s="139"/>
      <c r="N14" s="139"/>
      <c r="O14" s="139"/>
      <c r="P14" s="139"/>
      <c r="Q14" s="139"/>
      <c r="R14" s="143"/>
      <c r="S14" s="197"/>
      <c r="T14" s="143"/>
      <c r="U14" s="197"/>
      <c r="V14" s="122"/>
      <c r="W14" s="498"/>
      <c r="X14" s="498"/>
      <c r="Y14" s="498"/>
    </row>
    <row r="15" spans="1:30">
      <c r="A15" s="17">
        <f t="shared" si="0"/>
        <v>6</v>
      </c>
      <c r="C15" s="18" t="s">
        <v>21</v>
      </c>
      <c r="E15" s="17"/>
      <c r="F15" s="29"/>
      <c r="G15" s="29"/>
      <c r="H15" s="241"/>
      <c r="I15" s="134"/>
      <c r="J15" s="134"/>
      <c r="K15" s="134"/>
      <c r="L15" s="134"/>
      <c r="M15" s="134"/>
      <c r="N15" s="134"/>
      <c r="O15" s="134"/>
      <c r="P15" s="134"/>
      <c r="Q15" s="134"/>
      <c r="R15" s="143"/>
      <c r="S15" s="143"/>
      <c r="T15" s="143"/>
      <c r="U15" s="143"/>
      <c r="V15" s="122"/>
      <c r="W15" s="143"/>
      <c r="X15" s="143"/>
      <c r="Y15" s="143"/>
    </row>
    <row r="16" spans="1:30">
      <c r="A16" s="17">
        <f t="shared" si="0"/>
        <v>7</v>
      </c>
      <c r="C16" s="28" t="s">
        <v>22</v>
      </c>
      <c r="E16" s="17" t="s">
        <v>23</v>
      </c>
      <c r="F16" s="29"/>
      <c r="G16" s="61">
        <f>'S3.1'!G33</f>
        <v>30408.619129999999</v>
      </c>
      <c r="H16" s="61">
        <f>'S3.1'!H33</f>
        <v>34010.949888253366</v>
      </c>
      <c r="I16" s="61">
        <f>'S3.1'!I33</f>
        <v>36354.076403732921</v>
      </c>
      <c r="J16" s="61">
        <f>'S3.1'!J33</f>
        <v>36339.353634299994</v>
      </c>
      <c r="K16" s="61">
        <f>'S3.1'!K33</f>
        <v>45852.843923222972</v>
      </c>
      <c r="L16" s="61">
        <f>'S3.1'!L33</f>
        <v>48961.277461393904</v>
      </c>
      <c r="M16" s="61">
        <f>'S3.1'!M33</f>
        <v>51419.020743866669</v>
      </c>
      <c r="N16" s="61"/>
      <c r="O16" s="61">
        <f>'S3.1'!O33</f>
        <v>29778.036920434071</v>
      </c>
      <c r="P16" s="61"/>
      <c r="Q16" s="61">
        <f>'S3.1'!Q33</f>
        <v>30960.842820374914</v>
      </c>
      <c r="R16" s="66"/>
      <c r="S16" s="66">
        <v>25228.516184490061</v>
      </c>
      <c r="T16" s="66"/>
      <c r="U16" s="66">
        <v>26403.710743274452</v>
      </c>
      <c r="V16" s="122"/>
      <c r="W16" s="69"/>
      <c r="X16" s="69"/>
      <c r="Y16" s="69"/>
    </row>
    <row r="17" spans="1:25">
      <c r="A17" s="17">
        <f t="shared" si="0"/>
        <v>8</v>
      </c>
      <c r="C17" s="28" t="s">
        <v>24</v>
      </c>
      <c r="E17" s="17" t="s">
        <v>25</v>
      </c>
      <c r="F17" s="29"/>
      <c r="G17" s="61">
        <f>'S4.1'!F15</f>
        <v>5363.4058500000001</v>
      </c>
      <c r="H17" s="61">
        <f>'S4.1'!G15</f>
        <v>5570.9436799999994</v>
      </c>
      <c r="I17" s="61">
        <f>'S4.1'!H15</f>
        <v>5402.8081500000008</v>
      </c>
      <c r="J17" s="61">
        <f>'S4.1'!I15</f>
        <v>5431.7756200000003</v>
      </c>
      <c r="K17" s="61">
        <f>'S4.1'!J15</f>
        <v>5708.62745</v>
      </c>
      <c r="L17" s="61">
        <f>'S4.1'!K15</f>
        <v>5352.7430700000004</v>
      </c>
      <c r="M17" s="61">
        <f>'S4.1'!L15</f>
        <v>5766.4192999999996</v>
      </c>
      <c r="N17" s="61"/>
      <c r="O17" s="61">
        <f>+'S4.1'!N15</f>
        <v>9180.7313510468011</v>
      </c>
      <c r="P17" s="61"/>
      <c r="Q17" s="61">
        <f>+'S4.1'!P15</f>
        <v>9022.9838795776323</v>
      </c>
      <c r="R17" s="143"/>
      <c r="S17" s="66">
        <v>5256.7773279867424</v>
      </c>
      <c r="T17" s="143"/>
      <c r="U17" s="66">
        <v>5333.5660769584301</v>
      </c>
      <c r="V17" s="122"/>
      <c r="W17" s="69"/>
      <c r="X17" s="69"/>
      <c r="Y17" s="69"/>
    </row>
    <row r="18" spans="1:25">
      <c r="A18" s="17">
        <f t="shared" si="0"/>
        <v>9</v>
      </c>
      <c r="C18" s="28" t="s">
        <v>26</v>
      </c>
      <c r="E18" s="17" t="s">
        <v>27</v>
      </c>
      <c r="F18" s="29"/>
      <c r="G18" s="61">
        <f>+'S5.1 '!F58</f>
        <v>11140.84943</v>
      </c>
      <c r="H18" s="61">
        <f>+'S5.1 '!G58+0.5</f>
        <v>11883.974000685488</v>
      </c>
      <c r="I18" s="61">
        <f>+'S5.1 '!H58+0.5</f>
        <v>11113.915819475989</v>
      </c>
      <c r="J18" s="61">
        <f>+'S5.1 '!I58-0.5</f>
        <v>11103.850865699955</v>
      </c>
      <c r="K18" s="61">
        <f>+'S5.1 '!J58</f>
        <v>11965.641386777039</v>
      </c>
      <c r="L18" s="61">
        <f>+'S5.1 '!K58</f>
        <v>13813.570635673899</v>
      </c>
      <c r="M18" s="61">
        <f>+'S5.1 '!L58+0.5</f>
        <v>14794.13415</v>
      </c>
      <c r="N18" s="61"/>
      <c r="O18" s="61">
        <f>+'S5.1 '!N58</f>
        <v>14609</v>
      </c>
      <c r="P18" s="61"/>
      <c r="Q18" s="61">
        <f>+'S5.1 '!P58</f>
        <v>14862.82</v>
      </c>
      <c r="R18" s="66"/>
      <c r="S18" s="61">
        <v>11630.415192752958</v>
      </c>
      <c r="T18" s="66"/>
      <c r="U18" s="61">
        <v>11754.466891109798</v>
      </c>
      <c r="V18" s="122"/>
      <c r="W18" s="62"/>
      <c r="X18" s="62"/>
      <c r="Y18" s="62"/>
    </row>
    <row r="19" spans="1:25">
      <c r="A19" s="17">
        <f t="shared" si="0"/>
        <v>10</v>
      </c>
      <c r="C19" s="28" t="s">
        <v>28</v>
      </c>
      <c r="E19" s="136" t="s">
        <v>29</v>
      </c>
      <c r="F19" s="29"/>
      <c r="G19" s="61">
        <v>252.89589999999998</v>
      </c>
      <c r="H19" s="61">
        <v>253.10735</v>
      </c>
      <c r="I19" s="61">
        <v>263.73296999999997</v>
      </c>
      <c r="J19" s="61">
        <v>276.62574000000001</v>
      </c>
      <c r="K19" s="61">
        <v>276.76428999999996</v>
      </c>
      <c r="L19" s="61">
        <v>267.23536999999999</v>
      </c>
      <c r="M19" s="61">
        <v>274.74583999999999</v>
      </c>
      <c r="N19" s="61"/>
      <c r="O19" s="61">
        <f>M19*(1+3.8%)</f>
        <v>285.18618192000002</v>
      </c>
      <c r="P19" s="61"/>
      <c r="Q19" s="61">
        <f>O19*(1+2.5%)</f>
        <v>292.31583646799999</v>
      </c>
      <c r="R19" s="66"/>
      <c r="S19" s="66">
        <v>261.702518</v>
      </c>
      <c r="T19" s="66"/>
      <c r="U19" s="66">
        <v>267.45997339600001</v>
      </c>
      <c r="V19" s="122"/>
      <c r="W19" s="69"/>
      <c r="X19" s="69"/>
      <c r="Y19" s="69"/>
    </row>
    <row r="20" spans="1:25">
      <c r="A20" s="17">
        <f t="shared" si="0"/>
        <v>11</v>
      </c>
      <c r="C20" s="28" t="s">
        <v>30</v>
      </c>
      <c r="E20" s="17" t="s">
        <v>31</v>
      </c>
      <c r="F20" s="29"/>
      <c r="G20" s="61">
        <f>+'S7.1'!E15</f>
        <v>5835.2467399999996</v>
      </c>
      <c r="H20" s="61">
        <f>+'S7.1'!F15</f>
        <v>6114.9607800000003</v>
      </c>
      <c r="I20" s="61">
        <f>+'S7.1'!G15</f>
        <v>6293.0964600000052</v>
      </c>
      <c r="J20" s="61">
        <f>+'S7.1'!H15</f>
        <v>6382.1372999999976</v>
      </c>
      <c r="K20" s="61">
        <f>+'S7.1'!I15</f>
        <v>6706.7428400000026</v>
      </c>
      <c r="L20" s="61">
        <f>+'S7.1'!J15</f>
        <v>6950</v>
      </c>
      <c r="M20" s="61">
        <f>+'S7.1'!K15</f>
        <v>7343.1328799999983</v>
      </c>
      <c r="N20" s="61"/>
      <c r="O20" s="61">
        <f>+'S7.1'!M15</f>
        <v>9389.7324862984133</v>
      </c>
      <c r="P20" s="61"/>
      <c r="Q20" s="61">
        <f>+'S7.1'!N15</f>
        <v>11218.921894098414</v>
      </c>
      <c r="R20" s="66"/>
      <c r="S20" s="66">
        <v>5846.1673333333329</v>
      </c>
      <c r="T20" s="66"/>
      <c r="U20" s="66">
        <v>6231.0002199999999</v>
      </c>
      <c r="V20" s="122"/>
      <c r="W20" s="69"/>
      <c r="X20" s="69"/>
      <c r="Y20" s="69"/>
    </row>
    <row r="21" spans="1:25">
      <c r="A21" s="17">
        <f t="shared" si="0"/>
        <v>12</v>
      </c>
      <c r="C21" s="28" t="s">
        <v>32</v>
      </c>
      <c r="E21" s="17" t="s">
        <v>33</v>
      </c>
      <c r="F21" s="29"/>
      <c r="G21" s="35">
        <f>-'S8.12'!D17</f>
        <v>-1499</v>
      </c>
      <c r="H21" s="35">
        <f>-'S8.12'!E17</f>
        <v>-1525</v>
      </c>
      <c r="I21" s="35">
        <f>-'S8.12'!F17</f>
        <v>-1538</v>
      </c>
      <c r="J21" s="35">
        <f>-'S8.12'!G17</f>
        <v>-1635</v>
      </c>
      <c r="K21" s="35">
        <f>-'S8.12'!H17</f>
        <v>-1754</v>
      </c>
      <c r="L21" s="35">
        <f>-'S8.12'!I17</f>
        <v>-1877</v>
      </c>
      <c r="M21" s="35">
        <f>-'S8.12'!J17</f>
        <v>-2033</v>
      </c>
      <c r="N21" s="35"/>
      <c r="O21" s="35">
        <f>-'S8.12'!L17</f>
        <v>-2158.8077996248762</v>
      </c>
      <c r="P21" s="35"/>
      <c r="Q21" s="35">
        <f>-'S8.12'!N17</f>
        <v>-2528.3020224643806</v>
      </c>
      <c r="R21" s="66"/>
      <c r="S21" s="66">
        <v>-1504.4050885321087</v>
      </c>
      <c r="T21" s="66"/>
      <c r="U21" s="66">
        <v>-1570.1413773170677</v>
      </c>
      <c r="V21" s="122"/>
      <c r="W21" s="69"/>
      <c r="X21" s="69"/>
      <c r="Y21" s="69"/>
    </row>
    <row r="22" spans="1:25">
      <c r="A22" s="17">
        <f t="shared" si="0"/>
        <v>13</v>
      </c>
      <c r="C22" s="28" t="s">
        <v>34</v>
      </c>
      <c r="E22" s="17" t="s">
        <v>35</v>
      </c>
      <c r="F22" s="29"/>
      <c r="G22" s="61">
        <f>-'S8.8 '!D18</f>
        <v>334.1</v>
      </c>
      <c r="H22" s="61">
        <f>-'S8.8 '!E18</f>
        <v>334.1</v>
      </c>
      <c r="I22" s="61">
        <f>-'S8.8 '!F18</f>
        <v>334.50339999999994</v>
      </c>
      <c r="J22" s="61">
        <f>-'S8.8 '!G18</f>
        <v>334.50383999999991</v>
      </c>
      <c r="K22" s="61">
        <f>-'S8.8 '!H18</f>
        <v>334.50383999999991</v>
      </c>
      <c r="L22" s="61">
        <f>-'S8.8 '!I18</f>
        <v>334.27839999999992</v>
      </c>
      <c r="M22" s="61">
        <f>-'S8.8 '!J18</f>
        <v>199.88997999999992</v>
      </c>
      <c r="N22" s="61"/>
      <c r="O22" s="35">
        <f>-'S8.8 '!L18</f>
        <v>-234.3329950000001</v>
      </c>
      <c r="P22" s="61"/>
      <c r="Q22" s="35">
        <f>-'S8.8 '!N18</f>
        <v>-143.42068710528437</v>
      </c>
      <c r="R22" s="66"/>
      <c r="S22" s="66">
        <v>334.1</v>
      </c>
      <c r="T22" s="66"/>
      <c r="U22" s="66">
        <v>334.55999999999995</v>
      </c>
      <c r="V22" s="122"/>
      <c r="W22" s="69"/>
      <c r="X22" s="69"/>
      <c r="Y22" s="69"/>
    </row>
    <row r="23" spans="1:25" ht="31">
      <c r="A23" s="17">
        <f t="shared" si="0"/>
        <v>14</v>
      </c>
      <c r="C23" s="28" t="s">
        <v>36</v>
      </c>
      <c r="E23" s="157" t="s">
        <v>37</v>
      </c>
      <c r="F23" s="29"/>
      <c r="G23" s="61">
        <f>'S8.1'!H20</f>
        <v>7279.9501799999998</v>
      </c>
      <c r="H23" s="61">
        <f>'S8.1'!H30</f>
        <v>8408.555780000017</v>
      </c>
      <c r="I23" s="61">
        <f>'S8.1'!H40</f>
        <v>8489.6367999999929</v>
      </c>
      <c r="J23" s="61">
        <f>'S8.1'!H50</f>
        <v>8645.7639900000286</v>
      </c>
      <c r="K23" s="61">
        <f>'S8.1'!H60</f>
        <v>8583.6748399999924</v>
      </c>
      <c r="L23" s="61">
        <f>'S8.1'!H70</f>
        <v>8228.079389999999</v>
      </c>
      <c r="M23" s="61">
        <f>'S8.1'!H80</f>
        <v>8439.5619552926073</v>
      </c>
      <c r="N23" s="61"/>
      <c r="O23" s="61">
        <f>'S8.1'!H90</f>
        <v>8300.7289525793567</v>
      </c>
      <c r="P23" s="61"/>
      <c r="Q23" s="61">
        <f>'S8.1'!H101</f>
        <v>9101.6056208537066</v>
      </c>
      <c r="R23" s="66"/>
      <c r="S23" s="66">
        <v>6786.99</v>
      </c>
      <c r="T23" s="66"/>
      <c r="U23" s="66">
        <v>7091.38</v>
      </c>
      <c r="V23" s="122"/>
      <c r="W23" s="69"/>
      <c r="X23" s="69"/>
      <c r="Y23" s="69"/>
    </row>
    <row r="24" spans="1:25">
      <c r="A24" s="17">
        <f t="shared" si="0"/>
        <v>15</v>
      </c>
      <c r="C24" s="28" t="s">
        <v>38</v>
      </c>
      <c r="E24" s="17" t="s">
        <v>39</v>
      </c>
      <c r="F24" s="29"/>
      <c r="G24" s="35">
        <f>'S10.1'!F46</f>
        <v>-90</v>
      </c>
      <c r="H24" s="35">
        <f>'S10.1'!G46</f>
        <v>194</v>
      </c>
      <c r="I24" s="35">
        <f>'S10.1'!H46</f>
        <v>802</v>
      </c>
      <c r="J24" s="35">
        <f>'S10.1'!I46</f>
        <v>1057</v>
      </c>
      <c r="K24" s="35">
        <f>'S10.1'!J46</f>
        <v>972</v>
      </c>
      <c r="L24" s="35">
        <f>'S10.1'!K46</f>
        <v>1062</v>
      </c>
      <c r="M24" s="35">
        <f>'S10.1'!L46</f>
        <v>795</v>
      </c>
      <c r="N24" s="35"/>
      <c r="O24" s="35">
        <f>+'S10.1'!N46</f>
        <v>-2357</v>
      </c>
      <c r="P24" s="35"/>
      <c r="Q24" s="35">
        <f>+'S10.1'!P46</f>
        <v>1134</v>
      </c>
      <c r="R24" s="66"/>
      <c r="S24" s="66">
        <v>-470</v>
      </c>
      <c r="T24" s="66"/>
      <c r="U24" s="66">
        <v>341</v>
      </c>
      <c r="V24" s="122"/>
      <c r="W24" s="69"/>
      <c r="X24" s="69"/>
      <c r="Y24" s="69"/>
    </row>
    <row r="25" spans="1:25" ht="16" thickBot="1">
      <c r="A25" s="17">
        <f t="shared" si="0"/>
        <v>16</v>
      </c>
      <c r="C25" s="18" t="s">
        <v>40</v>
      </c>
      <c r="E25" s="17"/>
      <c r="F25" s="29"/>
      <c r="G25" s="159">
        <f t="shared" ref="G25:M25" si="2">SUM(G16:G24)</f>
        <v>59026.067230000008</v>
      </c>
      <c r="H25" s="159">
        <f t="shared" si="2"/>
        <v>65245.591478938863</v>
      </c>
      <c r="I25" s="159">
        <f>SUM(I16:I24)</f>
        <v>67515.770003208905</v>
      </c>
      <c r="J25" s="159">
        <f t="shared" si="2"/>
        <v>67936.010989999981</v>
      </c>
      <c r="K25" s="159">
        <f t="shared" si="2"/>
        <v>78646.798570000014</v>
      </c>
      <c r="L25" s="159">
        <f t="shared" si="2"/>
        <v>83092.184327067793</v>
      </c>
      <c r="M25" s="159">
        <f t="shared" si="2"/>
        <v>86998.904849159284</v>
      </c>
      <c r="N25" s="134"/>
      <c r="O25" s="159">
        <f>SUM(O16:O24)</f>
        <v>66793.275097653765</v>
      </c>
      <c r="P25" s="134"/>
      <c r="Q25" s="159">
        <f>SUM(Q16:Q24)</f>
        <v>73921.767341803003</v>
      </c>
      <c r="R25" s="143"/>
      <c r="S25" s="196">
        <v>53370.263468030978</v>
      </c>
      <c r="T25" s="143"/>
      <c r="U25" s="196">
        <v>56187.00252742161</v>
      </c>
      <c r="V25" s="122"/>
      <c r="W25" s="143"/>
      <c r="X25" s="143"/>
      <c r="Y25" s="143"/>
    </row>
    <row r="26" spans="1:25" ht="16" thickTop="1"/>
    <row r="27" spans="1:25">
      <c r="G27"/>
      <c r="H27"/>
      <c r="I27"/>
      <c r="J27"/>
      <c r="K27"/>
      <c r="L27"/>
      <c r="M27"/>
      <c r="N27"/>
      <c r="O27"/>
      <c r="P27"/>
      <c r="Q27"/>
      <c r="R27"/>
      <c r="S27" s="134"/>
      <c r="T27" s="134">
        <f>T13-T25</f>
        <v>0</v>
      </c>
      <c r="U27" s="134"/>
    </row>
    <row r="29" spans="1:25">
      <c r="G29" s="143"/>
      <c r="H29" s="143"/>
      <c r="I29" s="143"/>
      <c r="J29" s="143"/>
      <c r="K29" s="143"/>
      <c r="L29" s="143"/>
      <c r="M29" s="143"/>
      <c r="S29" s="319"/>
    </row>
    <row r="30" spans="1:25">
      <c r="G30" s="134"/>
      <c r="H30" s="134"/>
      <c r="I30" s="134"/>
      <c r="J30" s="134"/>
      <c r="K30" s="134"/>
      <c r="L30" s="134"/>
      <c r="M30" s="134"/>
      <c r="O30" s="134"/>
    </row>
    <row r="32" spans="1:25">
      <c r="K32" s="134"/>
      <c r="L32" s="134"/>
      <c r="M32" s="134"/>
      <c r="O32" s="134"/>
      <c r="Q32" s="134"/>
    </row>
    <row r="33" spans="7:23">
      <c r="S33" s="143"/>
    </row>
    <row r="34" spans="7:23">
      <c r="M34" s="134"/>
    </row>
    <row r="35" spans="7:23">
      <c r="S35" s="143"/>
    </row>
    <row r="36" spans="7:23">
      <c r="M36" s="134"/>
    </row>
    <row r="37" spans="7:23"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</row>
    <row r="38" spans="7:23">
      <c r="G38" s="319"/>
      <c r="H38" s="319"/>
      <c r="I38" s="319"/>
      <c r="J38" s="319"/>
      <c r="K38" s="319"/>
      <c r="L38" s="319"/>
      <c r="M38" s="319"/>
      <c r="N38" s="319"/>
      <c r="O38" s="319"/>
      <c r="P38" s="319"/>
      <c r="Q38" s="319"/>
      <c r="R38" s="319"/>
      <c r="S38" s="143"/>
      <c r="W38" s="134"/>
    </row>
    <row r="40" spans="7:23">
      <c r="S40" s="143"/>
    </row>
    <row r="41" spans="7:23">
      <c r="G41" s="134"/>
      <c r="S41" s="143"/>
    </row>
    <row r="42" spans="7:23">
      <c r="O42" s="143"/>
      <c r="S42" s="143"/>
    </row>
    <row r="43" spans="7:23">
      <c r="O43" s="143"/>
      <c r="S43" s="143"/>
    </row>
    <row r="44" spans="7:23">
      <c r="S44" s="143"/>
    </row>
    <row r="47" spans="7:23">
      <c r="S47" s="143"/>
    </row>
  </sheetData>
  <mergeCells count="6">
    <mergeCell ref="A5:U5"/>
    <mergeCell ref="G7:M7"/>
    <mergeCell ref="S7:U7"/>
    <mergeCell ref="O7:Q7"/>
    <mergeCell ref="W6:Y6"/>
    <mergeCell ref="W7:Y7"/>
  </mergeCells>
  <phoneticPr fontId="10" type="noConversion"/>
  <printOptions horizontalCentered="1"/>
  <pageMargins left="0.5" right="0.5" top="0.75" bottom="0.75" header="0.5" footer="0.5"/>
  <pageSetup scale="53" orientation="landscape" useFirstPageNumber="1" r:id="rId1"/>
  <headerFooter alignWithMargins="0">
    <oddHeader>&amp;R&amp;"Arial,Bold"Schedule 1.1
Page &amp;P of 1</oddHeader>
  </headerFooter>
  <ignoredErrors>
    <ignoredError sqref="A5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30"/>
  <dimension ref="A1:L18"/>
  <sheetViews>
    <sheetView zoomScaleNormal="100" zoomScaleSheetLayoutView="100" workbookViewId="0">
      <selection activeCell="P16" sqref="P16"/>
    </sheetView>
  </sheetViews>
  <sheetFormatPr defaultColWidth="7.54296875" defaultRowHeight="15.5"/>
  <cols>
    <col min="1" max="1" width="6" style="16" bestFit="1" customWidth="1"/>
    <col min="2" max="2" width="36.81640625" style="16" customWidth="1"/>
    <col min="3" max="3" width="15" style="17" bestFit="1" customWidth="1"/>
    <col min="4" max="4" width="12.7265625" style="16" customWidth="1"/>
    <col min="5" max="5" width="1.81640625" style="16" customWidth="1"/>
    <col min="6" max="6" width="12.7265625" style="16" customWidth="1"/>
    <col min="7" max="7" width="2.1796875" style="16" customWidth="1"/>
    <col min="8" max="8" width="7.54296875" style="16"/>
    <col min="9" max="9" width="2" style="16" customWidth="1"/>
    <col min="10" max="10" width="7.54296875" style="16"/>
    <col min="11" max="11" width="2.453125" style="16" customWidth="1"/>
    <col min="12" max="16384" width="7.54296875" style="16"/>
  </cols>
  <sheetData>
    <row r="1" spans="1:12">
      <c r="A1" s="14" t="str">
        <f>'S1.1'!A1</f>
        <v>ATCO Electric Yukon (AEY)</v>
      </c>
      <c r="B1" s="14"/>
      <c r="C1" s="14"/>
      <c r="D1" s="14"/>
      <c r="E1" s="14"/>
      <c r="F1" s="14"/>
      <c r="G1" s="31"/>
    </row>
    <row r="2" spans="1:12">
      <c r="A2" s="14" t="str">
        <f>'S1.1'!A2</f>
        <v>2023 - 2024 General Rate Application (GRA)</v>
      </c>
      <c r="B2" s="14"/>
      <c r="C2" s="14"/>
      <c r="D2" s="14"/>
      <c r="E2" s="14"/>
      <c r="F2" s="14"/>
      <c r="G2" s="31"/>
    </row>
    <row r="3" spans="1:12">
      <c r="A3" s="14"/>
      <c r="B3" s="14"/>
      <c r="C3" s="14"/>
      <c r="D3" s="14"/>
      <c r="E3" s="14"/>
      <c r="F3" s="14"/>
      <c r="G3" s="31"/>
    </row>
    <row r="4" spans="1:12">
      <c r="A4" s="14" t="s">
        <v>565</v>
      </c>
      <c r="B4" s="14"/>
      <c r="C4" s="14"/>
      <c r="D4" s="14"/>
      <c r="E4" s="14"/>
      <c r="F4" s="14"/>
      <c r="G4" s="6"/>
    </row>
    <row r="5" spans="1:12">
      <c r="A5" s="344" t="s">
        <v>6</v>
      </c>
      <c r="B5" s="14"/>
      <c r="C5" s="14"/>
      <c r="D5" s="14"/>
      <c r="E5" s="14"/>
      <c r="F5" s="14"/>
      <c r="G5" s="6"/>
    </row>
    <row r="6" spans="1:12">
      <c r="A6" s="14"/>
      <c r="B6" s="15"/>
      <c r="D6" s="6"/>
      <c r="E6" s="6"/>
      <c r="F6" s="6"/>
      <c r="G6" s="79"/>
    </row>
    <row r="7" spans="1:12">
      <c r="A7" s="6" t="s">
        <v>7</v>
      </c>
      <c r="B7" s="6"/>
      <c r="C7" s="6" t="s">
        <v>8</v>
      </c>
      <c r="D7" s="519" t="s">
        <v>10</v>
      </c>
      <c r="E7" s="519"/>
      <c r="F7" s="519"/>
      <c r="G7" s="7"/>
      <c r="J7" s="529"/>
      <c r="K7" s="529"/>
      <c r="L7" s="529"/>
    </row>
    <row r="8" spans="1:12">
      <c r="A8" s="7" t="s">
        <v>12</v>
      </c>
      <c r="B8" s="7" t="s">
        <v>13</v>
      </c>
      <c r="C8" s="7" t="s">
        <v>14</v>
      </c>
      <c r="D8" s="7">
        <v>2023</v>
      </c>
      <c r="E8" s="7"/>
      <c r="F8" s="7">
        <v>2024</v>
      </c>
      <c r="G8" s="79"/>
    </row>
    <row r="10" spans="1:12">
      <c r="A10" s="17">
        <v>1</v>
      </c>
      <c r="B10" s="97" t="s">
        <v>598</v>
      </c>
      <c r="D10" s="51"/>
      <c r="E10" s="51"/>
      <c r="F10" s="51"/>
      <c r="G10" s="51"/>
    </row>
    <row r="11" spans="1:12">
      <c r="A11" s="17">
        <f t="shared" ref="A11:A17" si="0">A10+1</f>
        <v>2</v>
      </c>
      <c r="B11" s="28" t="s">
        <v>599</v>
      </c>
      <c r="D11" s="43">
        <v>69.702608451461771</v>
      </c>
      <c r="E11" s="43"/>
      <c r="F11" s="43">
        <v>71.096660620491008</v>
      </c>
      <c r="G11" s="43"/>
    </row>
    <row r="12" spans="1:12">
      <c r="A12" s="17">
        <f t="shared" si="0"/>
        <v>3</v>
      </c>
      <c r="B12" s="28" t="s">
        <v>600</v>
      </c>
      <c r="D12" s="43">
        <f>93.7466537463163</f>
        <v>93.746653746316298</v>
      </c>
      <c r="E12" s="43"/>
      <c r="F12" s="43">
        <v>74.621586821242602</v>
      </c>
      <c r="G12" s="43"/>
    </row>
    <row r="13" spans="1:12">
      <c r="A13" s="17">
        <f t="shared" si="0"/>
        <v>4</v>
      </c>
      <c r="B13" s="28" t="s">
        <v>601</v>
      </c>
      <c r="D13" s="43">
        <v>2.09</v>
      </c>
      <c r="E13" s="38">
        <v>2.13</v>
      </c>
      <c r="F13" s="43">
        <v>2.13</v>
      </c>
      <c r="G13" s="21"/>
    </row>
    <row r="14" spans="1:12">
      <c r="A14" s="17">
        <f t="shared" si="0"/>
        <v>5</v>
      </c>
      <c r="B14" s="28" t="s">
        <v>602</v>
      </c>
      <c r="D14" s="43">
        <v>2.09</v>
      </c>
      <c r="E14" s="35"/>
      <c r="F14" s="43">
        <v>2.13</v>
      </c>
      <c r="G14" s="21"/>
    </row>
    <row r="15" spans="1:12">
      <c r="A15" s="17">
        <f t="shared" si="0"/>
        <v>6</v>
      </c>
      <c r="B15" s="28" t="s">
        <v>603</v>
      </c>
      <c r="D15" s="43">
        <v>24.797858404770086</v>
      </c>
      <c r="E15" s="38"/>
      <c r="F15" s="43">
        <v>25.293815572865487</v>
      </c>
      <c r="G15" s="21"/>
    </row>
    <row r="16" spans="1:12">
      <c r="A16" s="17">
        <f t="shared" si="0"/>
        <v>7</v>
      </c>
      <c r="B16" s="28" t="s">
        <v>604</v>
      </c>
      <c r="D16" s="43">
        <v>108.672682810677</v>
      </c>
      <c r="E16" s="38"/>
      <c r="F16" s="43">
        <v>131.84613646689101</v>
      </c>
      <c r="G16" s="21"/>
    </row>
    <row r="17" spans="1:7" ht="16" thickBot="1">
      <c r="A17" s="17">
        <f t="shared" si="0"/>
        <v>8</v>
      </c>
      <c r="B17" s="98" t="s">
        <v>40</v>
      </c>
      <c r="D17" s="128">
        <f>SUM(D11:D16)</f>
        <v>301.09980341322517</v>
      </c>
      <c r="E17" s="128"/>
      <c r="F17" s="128">
        <f>SUM(F11:F16)</f>
        <v>307.11819948149014</v>
      </c>
      <c r="G17" s="19"/>
    </row>
    <row r="18" spans="1:7" ht="16" thickTop="1"/>
  </sheetData>
  <mergeCells count="2">
    <mergeCell ref="D7:F7"/>
    <mergeCell ref="J7:L7"/>
  </mergeCells>
  <printOptions horizontalCentered="1"/>
  <pageMargins left="0.5" right="0.5" top="0.75" bottom="0.75" header="0.5" footer="0.5"/>
  <pageSetup scale="63" fitToHeight="0" orientation="landscape" useFirstPageNumber="1" r:id="rId1"/>
  <headerFooter alignWithMargins="0">
    <oddHeader>&amp;R&amp;"Arial,Bold"Schedule 8.9
Page &amp;P of 1</oddHeader>
  </headerFooter>
  <ignoredErrors>
    <ignoredError sqref="A5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>
    <pageSetUpPr fitToPage="1"/>
  </sheetPr>
  <dimension ref="A1:AF63"/>
  <sheetViews>
    <sheetView zoomScaleNormal="100" zoomScaleSheetLayoutView="10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U20" sqref="U20"/>
    </sheetView>
  </sheetViews>
  <sheetFormatPr defaultColWidth="8" defaultRowHeight="15.5"/>
  <cols>
    <col min="1" max="1" width="6" style="16" bestFit="1" customWidth="1"/>
    <col min="2" max="2" width="45" style="16" customWidth="1"/>
    <col min="3" max="4" width="12.81640625" style="16" customWidth="1"/>
    <col min="5" max="5" width="9.1796875" style="16" bestFit="1" customWidth="1"/>
    <col min="6" max="10" width="12.7265625" style="16" customWidth="1"/>
    <col min="11" max="11" width="2" style="16" customWidth="1"/>
    <col min="12" max="12" width="12.7265625" style="16" customWidth="1"/>
    <col min="13" max="13" width="2.453125" style="16" customWidth="1"/>
    <col min="14" max="14" width="12.7265625" style="16" customWidth="1"/>
    <col min="15" max="15" width="2.1796875" style="16" customWidth="1"/>
    <col min="16" max="16" width="12.7265625" style="16" customWidth="1"/>
    <col min="17" max="17" width="2.1796875" style="16" customWidth="1"/>
    <col min="18" max="18" width="12.7265625" style="16" customWidth="1"/>
    <col min="19" max="19" width="2.1796875" style="16" customWidth="1"/>
    <col min="20" max="20" width="9.1796875" style="16" bestFit="1" customWidth="1"/>
    <col min="21" max="24" width="8.81640625" style="16" bestFit="1" customWidth="1"/>
    <col min="25" max="27" width="10.1796875" style="16" bestFit="1" customWidth="1"/>
    <col min="28" max="32" width="3" style="16" bestFit="1" customWidth="1"/>
    <col min="33" max="16384" width="8" style="16"/>
  </cols>
  <sheetData>
    <row r="1" spans="1:32" s="199" customFormat="1">
      <c r="A1" s="198" t="str">
        <f>'S1.1'!A1</f>
        <v>ATCO Electric Yukon (AEY)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31"/>
    </row>
    <row r="2" spans="1:32">
      <c r="A2" s="198" t="str">
        <f>'S1.1'!A2</f>
        <v>2023 - 2024 General Rate Application (GRA)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31"/>
    </row>
    <row r="3" spans="1:32">
      <c r="A3" s="198"/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31"/>
    </row>
    <row r="4" spans="1:32">
      <c r="A4" s="198" t="s">
        <v>605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6"/>
    </row>
    <row r="5" spans="1:32">
      <c r="A5" s="366" t="s">
        <v>6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6"/>
    </row>
    <row r="6" spans="1:32">
      <c r="A6" s="6"/>
      <c r="B6" s="6"/>
      <c r="C6" s="6"/>
      <c r="D6" s="6"/>
      <c r="J6" s="79"/>
      <c r="K6" s="79"/>
      <c r="L6" s="79"/>
      <c r="M6" s="79"/>
      <c r="N6" s="79"/>
      <c r="O6" s="79"/>
      <c r="P6" s="6"/>
      <c r="Q6" s="79"/>
      <c r="R6" s="6"/>
      <c r="S6" s="6"/>
    </row>
    <row r="7" spans="1:32">
      <c r="A7" s="6" t="s">
        <v>7</v>
      </c>
      <c r="B7" s="6"/>
      <c r="C7" s="6" t="s">
        <v>8</v>
      </c>
      <c r="D7" s="519" t="s">
        <v>9</v>
      </c>
      <c r="E7" s="519"/>
      <c r="F7" s="519"/>
      <c r="G7" s="519"/>
      <c r="H7" s="519"/>
      <c r="I7" s="519"/>
      <c r="J7" s="519"/>
      <c r="K7" s="6"/>
      <c r="L7" s="520" t="s">
        <v>10</v>
      </c>
      <c r="M7" s="520"/>
      <c r="N7" s="520"/>
      <c r="O7" s="6"/>
      <c r="P7" s="519" t="s">
        <v>11</v>
      </c>
      <c r="Q7" s="519"/>
      <c r="R7" s="519"/>
      <c r="S7" s="6"/>
    </row>
    <row r="8" spans="1:32">
      <c r="A8" s="7" t="s">
        <v>12</v>
      </c>
      <c r="B8" s="7" t="s">
        <v>13</v>
      </c>
      <c r="C8" s="7" t="s">
        <v>14</v>
      </c>
      <c r="D8" s="7">
        <v>2016</v>
      </c>
      <c r="E8" s="7">
        <v>2017</v>
      </c>
      <c r="F8" s="7">
        <v>2018</v>
      </c>
      <c r="G8" s="7">
        <v>2019</v>
      </c>
      <c r="H8" s="7">
        <v>2020</v>
      </c>
      <c r="I8" s="7">
        <v>2021</v>
      </c>
      <c r="J8" s="7">
        <v>2022</v>
      </c>
      <c r="K8" s="6"/>
      <c r="L8" s="240">
        <v>2023</v>
      </c>
      <c r="M8" s="240"/>
      <c r="N8" s="240">
        <v>2024</v>
      </c>
      <c r="O8" s="6"/>
      <c r="P8" s="7">
        <v>2016</v>
      </c>
      <c r="Q8" s="6"/>
      <c r="R8" s="7">
        <v>2017</v>
      </c>
      <c r="S8" s="6"/>
      <c r="U8" s="7"/>
      <c r="V8" s="7"/>
      <c r="W8" s="7"/>
      <c r="X8" s="7"/>
      <c r="Y8" s="7"/>
      <c r="Z8" s="7"/>
      <c r="AA8" s="7"/>
    </row>
    <row r="10" spans="1:32">
      <c r="A10" s="17">
        <v>1</v>
      </c>
      <c r="B10" s="120" t="s">
        <v>26</v>
      </c>
      <c r="C10" s="17" t="s">
        <v>606</v>
      </c>
      <c r="D10" s="65">
        <f>+'S1.1'!G18</f>
        <v>11140.84943</v>
      </c>
      <c r="E10" s="65">
        <f>+'S1.1'!H18</f>
        <v>11883.974000685488</v>
      </c>
      <c r="F10" s="65">
        <f>+'S1.1'!I18</f>
        <v>11113.915819475989</v>
      </c>
      <c r="G10" s="65">
        <f>+'S1.1'!J18</f>
        <v>11103.850865699955</v>
      </c>
      <c r="H10" s="65">
        <f>+'S1.1'!K18</f>
        <v>11965.641386777039</v>
      </c>
      <c r="I10" s="65">
        <f>+'S1.1'!L18</f>
        <v>13813.570635673899</v>
      </c>
      <c r="J10" s="65">
        <f>+'S1.1'!M18</f>
        <v>14794.13415</v>
      </c>
      <c r="K10" s="65"/>
      <c r="L10" s="65">
        <f>+'S1.1'!O18</f>
        <v>14609</v>
      </c>
      <c r="M10" s="65"/>
      <c r="N10" s="65">
        <f>+'S1.1'!Q18</f>
        <v>14862.82</v>
      </c>
      <c r="O10" s="65"/>
      <c r="P10" s="65">
        <f>+'S1.1'!S18</f>
        <v>11630.415192752958</v>
      </c>
      <c r="Q10" s="65"/>
      <c r="R10" s="65">
        <f>+'S1.1'!U18</f>
        <v>11754.466891109798</v>
      </c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</row>
    <row r="11" spans="1:32">
      <c r="A11" s="17">
        <f t="shared" ref="A11:A46" si="0">A10+1</f>
        <v>2</v>
      </c>
      <c r="B11" s="16" t="s">
        <v>22</v>
      </c>
      <c r="C11" s="17"/>
      <c r="D11" s="65">
        <f>'S1.1'!G16-'S2.1'!F60</f>
        <v>25135.14184</v>
      </c>
      <c r="E11" s="65">
        <f>+'S1.1'!H16-'S2.1'!G60</f>
        <v>27524.241628253363</v>
      </c>
      <c r="F11" s="65">
        <f>+'S1.1'!I16-'S2.1'!H60</f>
        <v>27674.17420373291</v>
      </c>
      <c r="G11" s="65">
        <f>+'S1.1'!J16-'S2.1'!I60</f>
        <v>27419.185664299992</v>
      </c>
      <c r="H11" s="65">
        <f>+'S1.1'!K16-'S2.1'!J60</f>
        <v>28825.115743222974</v>
      </c>
      <c r="I11" s="65">
        <f>+'S1.1'!L16-'S2.1'!K60</f>
        <v>29432.118991393905</v>
      </c>
      <c r="J11" s="143">
        <f>+'S1.1'!M16-'S2.1'!L60</f>
        <v>29498.413463866669</v>
      </c>
      <c r="K11" s="65"/>
      <c r="L11" s="65">
        <f>+'S1.1'!O16</f>
        <v>29778.036920434071</v>
      </c>
      <c r="M11" s="65"/>
      <c r="N11" s="65">
        <f>+'S1.1'!Q16</f>
        <v>30960.842820374914</v>
      </c>
      <c r="O11" s="65"/>
      <c r="P11" s="65">
        <f>+'S1.1'!S16</f>
        <v>25228.516184490061</v>
      </c>
      <c r="Q11" s="65"/>
      <c r="R11" s="65">
        <f>+'S1.1'!U16</f>
        <v>26403.710743274452</v>
      </c>
      <c r="S11" s="64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</row>
    <row r="12" spans="1:32">
      <c r="A12" s="17">
        <f t="shared" si="0"/>
        <v>3</v>
      </c>
      <c r="B12" s="16" t="s">
        <v>607</v>
      </c>
      <c r="C12" s="17" t="s">
        <v>608</v>
      </c>
      <c r="D12" s="65">
        <f>+'S1.1'!G17</f>
        <v>5363.4058500000001</v>
      </c>
      <c r="E12" s="65">
        <f>+'S1.1'!H17</f>
        <v>5570.9436799999994</v>
      </c>
      <c r="F12" s="65">
        <f>+'S1.1'!I17</f>
        <v>5402.8081500000008</v>
      </c>
      <c r="G12" s="65">
        <f>+'S1.1'!J17</f>
        <v>5431.7756200000003</v>
      </c>
      <c r="H12" s="65">
        <f>+'S1.1'!K17</f>
        <v>5708.62745</v>
      </c>
      <c r="I12" s="65">
        <f>+'S1.1'!L17</f>
        <v>5352.7430700000004</v>
      </c>
      <c r="J12" s="65">
        <f>+'S1.1'!M17</f>
        <v>5766.4192999999996</v>
      </c>
      <c r="K12" s="65"/>
      <c r="L12" s="65">
        <f>+'S1.1'!O17</f>
        <v>9180.7313510468011</v>
      </c>
      <c r="M12" s="65"/>
      <c r="N12" s="65">
        <f>+'S1.1'!Q17</f>
        <v>9022.9838795776323</v>
      </c>
      <c r="O12" s="65"/>
      <c r="P12" s="65">
        <f>+'S1.1'!S17</f>
        <v>5256.7773279867424</v>
      </c>
      <c r="Q12" s="65"/>
      <c r="R12" s="65">
        <f>+'S1.1'!U17</f>
        <v>5333.5660769584301</v>
      </c>
      <c r="S12" s="64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</row>
    <row r="13" spans="1:32">
      <c r="A13" s="17">
        <f t="shared" si="0"/>
        <v>4</v>
      </c>
      <c r="B13" s="16" t="s">
        <v>28</v>
      </c>
      <c r="C13" s="17" t="s">
        <v>609</v>
      </c>
      <c r="D13" s="92">
        <f>+'S1.1'!G19</f>
        <v>252.89589999999998</v>
      </c>
      <c r="E13" s="92">
        <f>+'S1.1'!H19</f>
        <v>253.10735</v>
      </c>
      <c r="F13" s="92">
        <f>+'S1.1'!I19</f>
        <v>263.73296999999997</v>
      </c>
      <c r="G13" s="92">
        <f>+'S1.1'!J19</f>
        <v>276.62574000000001</v>
      </c>
      <c r="H13" s="92">
        <f>+'S1.1'!K19</f>
        <v>276.76428999999996</v>
      </c>
      <c r="I13" s="92">
        <f>+'S1.1'!L19</f>
        <v>267.23536999999999</v>
      </c>
      <c r="J13" s="92">
        <f>+'S1.1'!M19</f>
        <v>274.74583999999999</v>
      </c>
      <c r="K13" s="65"/>
      <c r="L13" s="92">
        <f>+'S1.1'!O19</f>
        <v>285.18618192000002</v>
      </c>
      <c r="M13" s="65"/>
      <c r="N13" s="92">
        <f>+'S1.1'!Q19</f>
        <v>292.31583646799999</v>
      </c>
      <c r="O13" s="65"/>
      <c r="P13" s="92">
        <f>+'S1.1'!S19</f>
        <v>261.702518</v>
      </c>
      <c r="Q13" s="65"/>
      <c r="R13" s="92">
        <f>+'S1.1'!U19</f>
        <v>267.45997339600001</v>
      </c>
      <c r="S13" s="65"/>
    </row>
    <row r="14" spans="1:32">
      <c r="A14" s="17">
        <f t="shared" si="0"/>
        <v>5</v>
      </c>
      <c r="B14" s="16" t="s">
        <v>610</v>
      </c>
      <c r="C14" s="17"/>
      <c r="D14" s="65">
        <f t="shared" ref="D14:I14" si="1">SUM(D10:D13)</f>
        <v>41892.293020000005</v>
      </c>
      <c r="E14" s="65">
        <f t="shared" si="1"/>
        <v>45232.266658938846</v>
      </c>
      <c r="F14" s="65">
        <f t="shared" si="1"/>
        <v>44454.631143208899</v>
      </c>
      <c r="G14" s="65">
        <f t="shared" si="1"/>
        <v>44231.43788999995</v>
      </c>
      <c r="H14" s="65">
        <f t="shared" si="1"/>
        <v>46776.148870000012</v>
      </c>
      <c r="I14" s="65">
        <f t="shared" si="1"/>
        <v>48865.668067067811</v>
      </c>
      <c r="J14" s="65">
        <f>SUM(J10:J13)</f>
        <v>50333.712753866675</v>
      </c>
      <c r="K14" s="65"/>
      <c r="L14" s="65">
        <f>SUM(L10:L13)</f>
        <v>53852.954453400867</v>
      </c>
      <c r="M14" s="65"/>
      <c r="N14" s="65">
        <f>SUM(N10:N13)</f>
        <v>55138.962536420542</v>
      </c>
      <c r="O14" s="65"/>
      <c r="P14" s="65">
        <f>SUM(P10:P13)</f>
        <v>42377.411223229756</v>
      </c>
      <c r="Q14" s="65"/>
      <c r="R14" s="65">
        <f>SUM(R10:R13)</f>
        <v>43759.203684738677</v>
      </c>
      <c r="S14" s="65"/>
      <c r="T14" s="143"/>
      <c r="U14" s="65"/>
      <c r="V14" s="65"/>
      <c r="W14" s="65"/>
    </row>
    <row r="15" spans="1:32">
      <c r="A15" s="17">
        <f t="shared" si="0"/>
        <v>6</v>
      </c>
      <c r="B15" s="16" t="s">
        <v>611</v>
      </c>
      <c r="C15" s="17"/>
      <c r="D15" s="65">
        <v>4.1585765049261383</v>
      </c>
      <c r="E15" s="65">
        <v>4.1585765049261383</v>
      </c>
      <c r="F15" s="65">
        <v>4.1585765049261383</v>
      </c>
      <c r="G15" s="65">
        <v>4.1585765049261383</v>
      </c>
      <c r="H15" s="65">
        <v>4.1585765049261383</v>
      </c>
      <c r="I15" s="65">
        <v>4.1585765049261383</v>
      </c>
      <c r="J15" s="65">
        <v>4.1585765049261383</v>
      </c>
      <c r="K15" s="65"/>
      <c r="L15" s="65">
        <f>J15</f>
        <v>4.1585765049261383</v>
      </c>
      <c r="M15" s="65"/>
      <c r="N15" s="65">
        <f>L15</f>
        <v>4.1585765049261383</v>
      </c>
      <c r="O15" s="65"/>
      <c r="P15" s="65">
        <v>4.1585765049261383</v>
      </c>
      <c r="Q15" s="65"/>
      <c r="R15" s="65">
        <v>4.1585765049261383</v>
      </c>
      <c r="S15" s="65"/>
    </row>
    <row r="16" spans="1:32">
      <c r="A16" s="17">
        <f t="shared" si="0"/>
        <v>7</v>
      </c>
      <c r="B16" s="16" t="s">
        <v>612</v>
      </c>
      <c r="C16" s="17"/>
      <c r="D16" s="277">
        <f>D15/365*D14</f>
        <v>477.29398764507744</v>
      </c>
      <c r="E16" s="277">
        <f t="shared" ref="E16:J16" si="2">E15/365*E14</f>
        <v>515.34751066415618</v>
      </c>
      <c r="F16" s="277">
        <f t="shared" si="2"/>
        <v>506.48762906111318</v>
      </c>
      <c r="G16" s="277">
        <f>G15/365*G14</f>
        <v>503.94470791357139</v>
      </c>
      <c r="H16" s="277">
        <f t="shared" si="2"/>
        <v>532.93751693619004</v>
      </c>
      <c r="I16" s="277">
        <f t="shared" si="2"/>
        <v>556.74416197596622</v>
      </c>
      <c r="J16" s="277">
        <f t="shared" si="2"/>
        <v>573.47012401077006</v>
      </c>
      <c r="K16" s="65"/>
      <c r="L16" s="277">
        <f>L15/365*L14</f>
        <v>613.56611263224738</v>
      </c>
      <c r="M16" s="65"/>
      <c r="N16" s="277">
        <f>N15/365*N14</f>
        <v>628.21806605468771</v>
      </c>
      <c r="O16" s="65"/>
      <c r="P16" s="277">
        <f>P15/365*P14</f>
        <v>482.82111411648356</v>
      </c>
      <c r="Q16" s="65"/>
      <c r="R16" s="277">
        <f>R15/365*R14</f>
        <v>498.56437347296315</v>
      </c>
      <c r="S16" s="65"/>
      <c r="U16" s="65"/>
    </row>
    <row r="17" spans="1:19">
      <c r="A17" s="17">
        <f t="shared" si="0"/>
        <v>8</v>
      </c>
      <c r="C17" s="17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</row>
    <row r="18" spans="1:19">
      <c r="A18" s="17">
        <f t="shared" si="0"/>
        <v>9</v>
      </c>
      <c r="B18" s="16" t="s">
        <v>613</v>
      </c>
      <c r="C18" s="17"/>
      <c r="D18" s="65">
        <v>0</v>
      </c>
      <c r="E18" s="65">
        <v>0</v>
      </c>
      <c r="F18" s="65">
        <v>0</v>
      </c>
      <c r="G18" s="65">
        <v>0</v>
      </c>
      <c r="H18" s="65">
        <v>-257</v>
      </c>
      <c r="I18" s="65">
        <v>-1877</v>
      </c>
      <c r="J18" s="65">
        <v>-764</v>
      </c>
      <c r="K18" s="65"/>
      <c r="L18" s="65">
        <v>-217.5</v>
      </c>
      <c r="M18" s="65"/>
      <c r="N18" s="65">
        <f>-'S10.1'!P46</f>
        <v>-1134</v>
      </c>
      <c r="O18" s="65"/>
      <c r="P18" s="65">
        <v>0</v>
      </c>
      <c r="Q18" s="65"/>
      <c r="R18" s="65">
        <v>0</v>
      </c>
      <c r="S18" s="65"/>
    </row>
    <row r="19" spans="1:19">
      <c r="A19" s="17">
        <f t="shared" si="0"/>
        <v>10</v>
      </c>
      <c r="B19" s="16" t="s">
        <v>614</v>
      </c>
      <c r="C19" s="17"/>
      <c r="D19" s="65">
        <v>22</v>
      </c>
      <c r="E19" s="65">
        <v>22</v>
      </c>
      <c r="F19" s="65">
        <v>22</v>
      </c>
      <c r="G19" s="65">
        <v>22</v>
      </c>
      <c r="H19" s="65">
        <v>22</v>
      </c>
      <c r="I19" s="65">
        <v>22</v>
      </c>
      <c r="J19" s="65">
        <v>22</v>
      </c>
      <c r="K19" s="65"/>
      <c r="L19" s="65">
        <v>22</v>
      </c>
      <c r="M19" s="65"/>
      <c r="N19" s="65">
        <v>22</v>
      </c>
      <c r="O19" s="65"/>
      <c r="P19" s="65">
        <v>22</v>
      </c>
      <c r="Q19" s="65"/>
      <c r="R19" s="65">
        <v>22</v>
      </c>
      <c r="S19" s="65"/>
    </row>
    <row r="20" spans="1:19">
      <c r="A20" s="17">
        <f t="shared" si="0"/>
        <v>11</v>
      </c>
      <c r="B20" s="16" t="s">
        <v>615</v>
      </c>
      <c r="C20" s="17"/>
      <c r="D20" s="277">
        <f t="shared" ref="D20:J20" si="3">D19/365*D18</f>
        <v>0</v>
      </c>
      <c r="E20" s="277">
        <f t="shared" si="3"/>
        <v>0</v>
      </c>
      <c r="F20" s="277">
        <f t="shared" si="3"/>
        <v>0</v>
      </c>
      <c r="G20" s="277">
        <f t="shared" si="3"/>
        <v>0</v>
      </c>
      <c r="H20" s="277">
        <f t="shared" si="3"/>
        <v>-15.490410958904111</v>
      </c>
      <c r="I20" s="277">
        <f>I19/365*I18</f>
        <v>-113.13424657534247</v>
      </c>
      <c r="J20" s="277">
        <f t="shared" si="3"/>
        <v>-46.049315068493151</v>
      </c>
      <c r="K20" s="65"/>
      <c r="L20" s="277">
        <f>L19/365*L18</f>
        <v>-13.109589041095891</v>
      </c>
      <c r="M20" s="65"/>
      <c r="N20" s="277">
        <f>N19/365*N18</f>
        <v>-68.350684931506848</v>
      </c>
      <c r="O20" s="65"/>
      <c r="P20" s="277">
        <f>P19/365*P18</f>
        <v>0</v>
      </c>
      <c r="Q20" s="65"/>
      <c r="R20" s="277">
        <f>R19/365*R18</f>
        <v>0</v>
      </c>
      <c r="S20" s="65"/>
    </row>
    <row r="21" spans="1:19">
      <c r="A21" s="17">
        <f t="shared" si="0"/>
        <v>12</v>
      </c>
      <c r="C21" s="17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</row>
    <row r="22" spans="1:19" ht="14.25" customHeight="1">
      <c r="A22" s="17">
        <f t="shared" si="0"/>
        <v>13</v>
      </c>
      <c r="B22" s="16" t="s">
        <v>616</v>
      </c>
      <c r="C22" s="17"/>
      <c r="D22" s="64">
        <v>0</v>
      </c>
      <c r="E22" s="64">
        <v>0</v>
      </c>
      <c r="F22" s="64">
        <v>0</v>
      </c>
      <c r="G22" s="64">
        <v>-267.64299999999997</v>
      </c>
      <c r="H22" s="64">
        <v>-776.35612999999898</v>
      </c>
      <c r="I22" s="64">
        <v>65.026649999998511</v>
      </c>
      <c r="J22" s="64">
        <v>722.05104000000279</v>
      </c>
      <c r="K22" s="64"/>
      <c r="L22" s="64">
        <v>2044.81</v>
      </c>
      <c r="M22" s="64"/>
      <c r="N22" s="64">
        <v>0</v>
      </c>
      <c r="O22" s="64"/>
      <c r="P22" s="64">
        <v>0</v>
      </c>
      <c r="Q22" s="64"/>
      <c r="R22" s="64">
        <v>0</v>
      </c>
      <c r="S22" s="65"/>
    </row>
    <row r="23" spans="1:19">
      <c r="A23" s="17">
        <f t="shared" si="0"/>
        <v>14</v>
      </c>
      <c r="B23" s="16" t="s">
        <v>617</v>
      </c>
      <c r="C23" s="17"/>
      <c r="D23" s="65">
        <v>204</v>
      </c>
      <c r="E23" s="65">
        <v>204</v>
      </c>
      <c r="F23" s="65">
        <v>204</v>
      </c>
      <c r="G23" s="65">
        <v>204</v>
      </c>
      <c r="H23" s="65">
        <v>204</v>
      </c>
      <c r="I23" s="65">
        <v>204</v>
      </c>
      <c r="J23" s="65">
        <v>204</v>
      </c>
      <c r="K23" s="65"/>
      <c r="L23" s="65">
        <v>204</v>
      </c>
      <c r="M23" s="65"/>
      <c r="N23" s="65">
        <v>204</v>
      </c>
      <c r="O23" s="65"/>
      <c r="P23" s="65">
        <v>204</v>
      </c>
      <c r="Q23" s="65"/>
      <c r="R23" s="65">
        <v>204</v>
      </c>
      <c r="S23" s="65"/>
    </row>
    <row r="24" spans="1:19">
      <c r="A24" s="17">
        <f t="shared" si="0"/>
        <v>15</v>
      </c>
      <c r="B24" s="16" t="s">
        <v>618</v>
      </c>
      <c r="C24" s="17"/>
      <c r="D24" s="277">
        <f t="shared" ref="D24:J24" si="4">D23/365*D22</f>
        <v>0</v>
      </c>
      <c r="E24" s="277">
        <f t="shared" si="4"/>
        <v>0</v>
      </c>
      <c r="F24" s="277">
        <f t="shared" si="4"/>
        <v>0</v>
      </c>
      <c r="G24" s="277">
        <f t="shared" si="4"/>
        <v>-149.58677260273973</v>
      </c>
      <c r="H24" s="277">
        <f t="shared" si="4"/>
        <v>-433.90863156164329</v>
      </c>
      <c r="I24" s="277">
        <f t="shared" si="4"/>
        <v>36.343661917807388</v>
      </c>
      <c r="J24" s="277">
        <f t="shared" si="4"/>
        <v>403.55729358904267</v>
      </c>
      <c r="K24" s="65"/>
      <c r="L24" s="277">
        <f>L23/365*L22</f>
        <v>1142.8527123287672</v>
      </c>
      <c r="M24" s="65"/>
      <c r="N24" s="277">
        <f>N23/365*N22</f>
        <v>0</v>
      </c>
      <c r="O24" s="65"/>
      <c r="P24" s="277">
        <f>P23/365*P22</f>
        <v>0</v>
      </c>
      <c r="Q24" s="65"/>
      <c r="R24" s="277">
        <f>R23/365*R22</f>
        <v>0</v>
      </c>
      <c r="S24" s="65"/>
    </row>
    <row r="25" spans="1:19">
      <c r="A25" s="17">
        <f t="shared" si="0"/>
        <v>16</v>
      </c>
      <c r="C25" s="17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</row>
    <row r="26" spans="1:19">
      <c r="A26" s="17">
        <f t="shared" si="0"/>
        <v>17</v>
      </c>
      <c r="B26" s="16" t="s">
        <v>619</v>
      </c>
      <c r="C26" s="17"/>
      <c r="D26" s="65">
        <v>2174.6889379333334</v>
      </c>
      <c r="E26" s="65">
        <v>2215.0222712666668</v>
      </c>
      <c r="F26" s="65">
        <v>2385.8556045999999</v>
      </c>
      <c r="G26" s="65">
        <v>2458.3333333333335</v>
      </c>
      <c r="H26" s="65">
        <v>2565.3333333333335</v>
      </c>
      <c r="I26" s="65">
        <v>2583.5844099999981</v>
      </c>
      <c r="J26" s="65">
        <v>3102.1143766666701</v>
      </c>
      <c r="K26" s="65"/>
      <c r="L26" s="65">
        <f>AVERAGE(H26:J26)</f>
        <v>2750.3440400000004</v>
      </c>
      <c r="M26" s="65"/>
      <c r="N26" s="65">
        <f>AVERAGE(I26:J26,L26)</f>
        <v>2812.0142755555557</v>
      </c>
      <c r="O26" s="65"/>
      <c r="P26" s="65">
        <v>2123</v>
      </c>
      <c r="Q26" s="65"/>
      <c r="R26" s="65">
        <v>2123</v>
      </c>
      <c r="S26" s="65"/>
    </row>
    <row r="27" spans="1:19">
      <c r="A27" s="17">
        <f t="shared" si="0"/>
        <v>18</v>
      </c>
      <c r="C27" s="17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</row>
    <row r="28" spans="1:19">
      <c r="A28" s="17">
        <f t="shared" si="0"/>
        <v>19</v>
      </c>
      <c r="B28" s="16" t="s">
        <v>620</v>
      </c>
      <c r="C28" s="17" t="s">
        <v>621</v>
      </c>
      <c r="D28" s="92">
        <f>+'S8.11'!D45</f>
        <v>150.62747660086535</v>
      </c>
      <c r="E28" s="92">
        <f>+'S8.11'!E45</f>
        <v>130.27168485777878</v>
      </c>
      <c r="F28" s="92">
        <f>+'S8.11'!F45</f>
        <v>124.31877769755516</v>
      </c>
      <c r="G28" s="92">
        <f>+'S8.11'!G45</f>
        <v>129.84886641731174</v>
      </c>
      <c r="H28" s="92">
        <f>+'S8.11'!H45</f>
        <v>158.87073334768826</v>
      </c>
      <c r="I28" s="92">
        <f>+'S8.11'!I45</f>
        <v>169.57949383412173</v>
      </c>
      <c r="J28" s="92">
        <f>+'S8.11'!J45</f>
        <v>181.75554640353124</v>
      </c>
      <c r="K28" s="65"/>
      <c r="L28" s="92">
        <f>+'S8.11'!L45</f>
        <v>147.14502649273672</v>
      </c>
      <c r="M28" s="65"/>
      <c r="N28" s="92">
        <f>+'S8.11'!N45</f>
        <v>183.11140905947744</v>
      </c>
      <c r="O28" s="65"/>
      <c r="P28" s="92">
        <f>+'S8.11'!P45</f>
        <v>134.48057239687006</v>
      </c>
      <c r="Q28" s="65"/>
      <c r="R28" s="92">
        <f>+'S8.11'!R45</f>
        <v>129.11510804992412</v>
      </c>
      <c r="S28" s="65"/>
    </row>
    <row r="29" spans="1:19">
      <c r="A29" s="17">
        <f t="shared" si="0"/>
        <v>20</v>
      </c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</row>
    <row r="30" spans="1:19">
      <c r="A30" s="17">
        <f t="shared" si="0"/>
        <v>21</v>
      </c>
      <c r="B30" s="16" t="s">
        <v>622</v>
      </c>
      <c r="D30" s="65">
        <f>'S8.1'!H14</f>
        <v>3182</v>
      </c>
      <c r="E30" s="65">
        <f>'S8.1'!H24</f>
        <v>3191</v>
      </c>
      <c r="F30" s="65">
        <f>'S8.1'!H34</f>
        <v>3200</v>
      </c>
      <c r="G30" s="65">
        <f>'S8.1'!H44</f>
        <v>3131.5499004353692</v>
      </c>
      <c r="H30" s="65">
        <f>'S8.1'!H54</f>
        <v>3002.2706311909656</v>
      </c>
      <c r="I30" s="65">
        <f>'S8.1'!H64</f>
        <v>2998.752501189781</v>
      </c>
      <c r="J30" s="65">
        <f>'S8.1'!H74</f>
        <v>3136.1156338042588</v>
      </c>
      <c r="K30" s="65"/>
      <c r="L30" s="65">
        <f>'S8.1'!H84</f>
        <v>3455.0158961667535</v>
      </c>
      <c r="M30" s="65"/>
      <c r="N30" s="65">
        <f>'S8.1'!H95</f>
        <v>3692.881656645503</v>
      </c>
      <c r="O30" s="65"/>
      <c r="P30" s="65">
        <v>3234.5328719415702</v>
      </c>
      <c r="Q30" s="65"/>
      <c r="R30" s="65">
        <v>3319.1884512144893</v>
      </c>
      <c r="S30" s="65"/>
    </row>
    <row r="31" spans="1:19">
      <c r="A31" s="17">
        <f t="shared" si="0"/>
        <v>22</v>
      </c>
      <c r="B31" s="16" t="s">
        <v>623</v>
      </c>
      <c r="D31" s="65">
        <v>-52</v>
      </c>
      <c r="E31" s="65">
        <v>-52</v>
      </c>
      <c r="F31" s="65">
        <v>-52</v>
      </c>
      <c r="G31" s="65">
        <v>-52</v>
      </c>
      <c r="H31" s="65">
        <v>-52</v>
      </c>
      <c r="I31" s="65">
        <v>-52</v>
      </c>
      <c r="J31" s="65">
        <v>-52</v>
      </c>
      <c r="K31" s="65"/>
      <c r="L31" s="65">
        <v>-52</v>
      </c>
      <c r="M31" s="65"/>
      <c r="N31" s="65">
        <v>-52</v>
      </c>
      <c r="O31" s="65"/>
      <c r="P31" s="65">
        <v>-52</v>
      </c>
      <c r="Q31" s="65"/>
      <c r="R31" s="65">
        <v>-52</v>
      </c>
      <c r="S31" s="65"/>
    </row>
    <row r="32" spans="1:19">
      <c r="A32" s="17">
        <f t="shared" si="0"/>
        <v>23</v>
      </c>
      <c r="B32" s="16" t="s">
        <v>624</v>
      </c>
      <c r="D32" s="277">
        <f t="shared" ref="D32:J32" si="5">D31/365*D30</f>
        <v>-453.32602739726025</v>
      </c>
      <c r="E32" s="277">
        <f t="shared" si="5"/>
        <v>-454.60821917808221</v>
      </c>
      <c r="F32" s="277">
        <f t="shared" si="5"/>
        <v>-455.89041095890411</v>
      </c>
      <c r="G32" s="277">
        <f t="shared" si="5"/>
        <v>-446.13861595243617</v>
      </c>
      <c r="H32" s="277">
        <f t="shared" si="5"/>
        <v>-427.72074745734301</v>
      </c>
      <c r="I32" s="277">
        <f t="shared" si="5"/>
        <v>-427.21953441607837</v>
      </c>
      <c r="J32" s="277">
        <f t="shared" si="5"/>
        <v>-446.78907659677111</v>
      </c>
      <c r="K32" s="65"/>
      <c r="L32" s="277">
        <f>L31/365*L30</f>
        <v>-492.22144274156489</v>
      </c>
      <c r="M32" s="65"/>
      <c r="N32" s="277">
        <f>N31/365*N30</f>
        <v>-526.10916752209903</v>
      </c>
      <c r="O32" s="65"/>
      <c r="P32" s="277">
        <f>P31/365*P30</f>
        <v>-460.81016257797711</v>
      </c>
      <c r="Q32" s="65"/>
      <c r="R32" s="277">
        <f>R31/365*R30</f>
        <v>-472.87068346069435</v>
      </c>
      <c r="S32" s="65"/>
    </row>
    <row r="33" spans="1:19">
      <c r="A33" s="17">
        <f t="shared" si="0"/>
        <v>24</v>
      </c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</row>
    <row r="34" spans="1:19">
      <c r="A34" s="17">
        <f t="shared" si="0"/>
        <v>25</v>
      </c>
      <c r="B34" s="16" t="s">
        <v>625</v>
      </c>
      <c r="D34" s="65">
        <f>'S8.1'!H16*0.5</f>
        <v>2048.9750899999999</v>
      </c>
      <c r="E34" s="65">
        <f>'S8.1'!H26*0.5</f>
        <v>2608.7778900000085</v>
      </c>
      <c r="F34" s="65">
        <f>'S8.1'!H36*0.5</f>
        <v>2644.8183999999965</v>
      </c>
      <c r="G34" s="65">
        <f>'S8.1'!H46*0.5</f>
        <v>2757.1070447823295</v>
      </c>
      <c r="H34" s="65">
        <f>'S8.1'!H56*0.5</f>
        <v>2790.7021044045132</v>
      </c>
      <c r="I34" s="65">
        <f>'S8.1'!H66*0.5</f>
        <v>2614.6634444051087</v>
      </c>
      <c r="J34" s="65">
        <f>'S8.1'!H76*0.5</f>
        <v>2651.7231607441745</v>
      </c>
      <c r="K34" s="65"/>
      <c r="L34" s="65">
        <f>'S8.1'!H86/2</f>
        <v>2422.8565282063018</v>
      </c>
      <c r="M34" s="65"/>
      <c r="N34" s="65">
        <f>'S8.1'!H97/2</f>
        <v>2704.3619821041016</v>
      </c>
      <c r="O34" s="65"/>
      <c r="P34" s="65">
        <v>1776.2285640292148</v>
      </c>
      <c r="Q34" s="65"/>
      <c r="R34" s="65">
        <v>1886.0957743927554</v>
      </c>
      <c r="S34" s="65"/>
    </row>
    <row r="35" spans="1:19">
      <c r="A35" s="17">
        <f t="shared" si="0"/>
        <v>26</v>
      </c>
      <c r="B35" s="16" t="s">
        <v>626</v>
      </c>
      <c r="D35" s="64">
        <v>-4</v>
      </c>
      <c r="E35" s="64">
        <v>-4</v>
      </c>
      <c r="F35" s="64">
        <v>-4</v>
      </c>
      <c r="G35" s="64">
        <v>-4</v>
      </c>
      <c r="H35" s="64">
        <v>-4</v>
      </c>
      <c r="I35" s="64">
        <v>-4</v>
      </c>
      <c r="J35" s="64">
        <v>-4</v>
      </c>
      <c r="K35" s="64"/>
      <c r="L35" s="64">
        <v>-4</v>
      </c>
      <c r="M35" s="64"/>
      <c r="N35" s="64">
        <v>-4</v>
      </c>
      <c r="O35" s="64"/>
      <c r="P35" s="64">
        <v>-4</v>
      </c>
      <c r="Q35" s="64"/>
      <c r="R35" s="64">
        <v>-4</v>
      </c>
      <c r="S35" s="64"/>
    </row>
    <row r="36" spans="1:19">
      <c r="A36" s="17">
        <f t="shared" si="0"/>
        <v>27</v>
      </c>
      <c r="B36" s="16" t="s">
        <v>627</v>
      </c>
      <c r="D36" s="277">
        <f t="shared" ref="D36:J36" si="6">D35/365*D34</f>
        <v>-22.454521534246574</v>
      </c>
      <c r="E36" s="277">
        <f t="shared" si="6"/>
        <v>-28.589346739726121</v>
      </c>
      <c r="F36" s="277">
        <f t="shared" si="6"/>
        <v>-28.984311232876674</v>
      </c>
      <c r="G36" s="277">
        <f t="shared" si="6"/>
        <v>-30.214871723641966</v>
      </c>
      <c r="H36" s="277">
        <f t="shared" si="6"/>
        <v>-30.583036760597405</v>
      </c>
      <c r="I36" s="277">
        <f t="shared" si="6"/>
        <v>-28.653845966083384</v>
      </c>
      <c r="J36" s="277">
        <f t="shared" si="6"/>
        <v>-29.059979843771774</v>
      </c>
      <c r="K36" s="65"/>
      <c r="L36" s="277">
        <f>L35/365*L34</f>
        <v>-26.551852363904679</v>
      </c>
      <c r="M36" s="65"/>
      <c r="N36" s="277">
        <f>N35/365*N34</f>
        <v>-29.636843639497005</v>
      </c>
      <c r="O36" s="65"/>
      <c r="P36" s="277">
        <f>P35/365*P34</f>
        <v>-19.465518509909202</v>
      </c>
      <c r="Q36" s="65"/>
      <c r="R36" s="277">
        <f>R35/365*R34</f>
        <v>-20.669542733071292</v>
      </c>
      <c r="S36" s="65"/>
    </row>
    <row r="37" spans="1:19" ht="7.5" customHeight="1">
      <c r="A37" s="17">
        <f t="shared" si="0"/>
        <v>28</v>
      </c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</row>
    <row r="38" spans="1:19">
      <c r="A38" s="17">
        <f t="shared" si="0"/>
        <v>29</v>
      </c>
      <c r="B38" s="16" t="s">
        <v>625</v>
      </c>
      <c r="D38" s="65">
        <f t="shared" ref="D38:J38" si="7">D34</f>
        <v>2048.9750899999999</v>
      </c>
      <c r="E38" s="65">
        <f t="shared" si="7"/>
        <v>2608.7778900000085</v>
      </c>
      <c r="F38" s="65">
        <f t="shared" si="7"/>
        <v>2644.8183999999965</v>
      </c>
      <c r="G38" s="65">
        <f t="shared" si="7"/>
        <v>2757.1070447823295</v>
      </c>
      <c r="H38" s="65">
        <f t="shared" si="7"/>
        <v>2790.7021044045132</v>
      </c>
      <c r="I38" s="65">
        <f t="shared" si="7"/>
        <v>2614.6634444051087</v>
      </c>
      <c r="J38" s="65">
        <f t="shared" si="7"/>
        <v>2651.7231607441745</v>
      </c>
      <c r="K38" s="65"/>
      <c r="L38" s="65">
        <f>L34</f>
        <v>2422.8565282063018</v>
      </c>
      <c r="M38" s="65"/>
      <c r="N38" s="65">
        <f>N34</f>
        <v>2704.3619821041016</v>
      </c>
      <c r="O38" s="65"/>
      <c r="P38" s="65">
        <v>1776.2285640292148</v>
      </c>
      <c r="Q38" s="65"/>
      <c r="R38" s="65">
        <v>1886.0957743927554</v>
      </c>
      <c r="S38" s="65"/>
    </row>
    <row r="39" spans="1:19">
      <c r="A39" s="17">
        <f t="shared" si="0"/>
        <v>30</v>
      </c>
      <c r="B39" s="16" t="s">
        <v>628</v>
      </c>
      <c r="D39" s="64">
        <v>42</v>
      </c>
      <c r="E39" s="64">
        <v>42</v>
      </c>
      <c r="F39" s="64">
        <v>42</v>
      </c>
      <c r="G39" s="64">
        <v>42</v>
      </c>
      <c r="H39" s="64">
        <v>42</v>
      </c>
      <c r="I39" s="64">
        <v>42</v>
      </c>
      <c r="J39" s="64">
        <v>42</v>
      </c>
      <c r="K39" s="64"/>
      <c r="L39" s="64">
        <v>42</v>
      </c>
      <c r="M39" s="64"/>
      <c r="N39" s="64">
        <v>42</v>
      </c>
      <c r="O39" s="64"/>
      <c r="P39" s="64">
        <v>42</v>
      </c>
      <c r="Q39" s="64"/>
      <c r="R39" s="64">
        <v>42</v>
      </c>
      <c r="S39" s="64"/>
    </row>
    <row r="40" spans="1:19">
      <c r="A40" s="17">
        <f t="shared" si="0"/>
        <v>31</v>
      </c>
      <c r="B40" s="16" t="s">
        <v>629</v>
      </c>
      <c r="D40" s="277">
        <f t="shared" ref="D40:J40" si="8">D39/365*D38</f>
        <v>235.77247610958904</v>
      </c>
      <c r="E40" s="277">
        <f t="shared" si="8"/>
        <v>300.18814076712425</v>
      </c>
      <c r="F40" s="277">
        <f t="shared" si="8"/>
        <v>304.33526794520509</v>
      </c>
      <c r="G40" s="277">
        <f t="shared" si="8"/>
        <v>317.25615309824065</v>
      </c>
      <c r="H40" s="277">
        <f t="shared" si="8"/>
        <v>321.12188598627273</v>
      </c>
      <c r="I40" s="277">
        <f t="shared" si="8"/>
        <v>300.86538264387553</v>
      </c>
      <c r="J40" s="277">
        <f t="shared" si="8"/>
        <v>305.12978835960365</v>
      </c>
      <c r="K40" s="65"/>
      <c r="L40" s="277">
        <f>L39/365*L38</f>
        <v>278.79444982099909</v>
      </c>
      <c r="M40" s="65"/>
      <c r="N40" s="277">
        <f>N39/365*N38</f>
        <v>311.18685821471854</v>
      </c>
      <c r="O40" s="65"/>
      <c r="P40" s="277">
        <f>P39/365*P38</f>
        <v>204.38794435404662</v>
      </c>
      <c r="Q40" s="65"/>
      <c r="R40" s="277">
        <f>R39/365*R38</f>
        <v>217.03019869724858</v>
      </c>
      <c r="S40" s="65"/>
    </row>
    <row r="41" spans="1:19">
      <c r="A41" s="17">
        <f t="shared" si="0"/>
        <v>32</v>
      </c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</row>
    <row r="42" spans="1:19">
      <c r="A42" s="17">
        <f t="shared" si="0"/>
        <v>33</v>
      </c>
      <c r="B42" s="16" t="s">
        <v>630</v>
      </c>
      <c r="D42" s="65">
        <f>+'S1.1'!G20+'S1.1'!G21</f>
        <v>4336.2467399999996</v>
      </c>
      <c r="E42" s="65">
        <f>+'S1.1'!H20+'S1.1'!H21</f>
        <v>4589.9607800000003</v>
      </c>
      <c r="F42" s="65">
        <f>+'S1.1'!I20+'S1.1'!I21</f>
        <v>4755.0964600000052</v>
      </c>
      <c r="G42" s="65">
        <f>+'S1.1'!J20+'S1.1'!J21</f>
        <v>4747.1372999999976</v>
      </c>
      <c r="H42" s="65">
        <f>+'S1.1'!K20+'S1.1'!K21</f>
        <v>4952.7428400000026</v>
      </c>
      <c r="I42" s="65">
        <f>+'S1.1'!L20+'S1.1'!L21</f>
        <v>5073</v>
      </c>
      <c r="J42" s="65">
        <f>+'S1.1'!M20+'S1.1'!M21</f>
        <v>5310.1328799999983</v>
      </c>
      <c r="K42" s="65"/>
      <c r="L42" s="65">
        <f>+'S1.1'!O20+'S1.1'!O21</f>
        <v>7230.9246866735375</v>
      </c>
      <c r="M42" s="65"/>
      <c r="N42" s="65">
        <f>+'S1.1'!Q20+'S1.1'!Q21</f>
        <v>8690.6198716340332</v>
      </c>
      <c r="O42" s="65"/>
      <c r="P42" s="65">
        <f>+'S1.1'!S20+'S1.1'!S21</f>
        <v>4341.7622448012244</v>
      </c>
      <c r="Q42" s="65"/>
      <c r="R42" s="65">
        <f>+'S1.1'!U20+'S1.1'!U21</f>
        <v>4660.8588426829319</v>
      </c>
      <c r="S42" s="65"/>
    </row>
    <row r="43" spans="1:19">
      <c r="A43" s="17">
        <f t="shared" si="0"/>
        <v>34</v>
      </c>
      <c r="B43" s="16" t="s">
        <v>628</v>
      </c>
      <c r="D43" s="64">
        <v>42</v>
      </c>
      <c r="E43" s="64">
        <v>42</v>
      </c>
      <c r="F43" s="64">
        <v>42</v>
      </c>
      <c r="G43" s="64">
        <v>42</v>
      </c>
      <c r="H43" s="64">
        <v>42</v>
      </c>
      <c r="I43" s="64">
        <v>42</v>
      </c>
      <c r="J43" s="64">
        <v>42</v>
      </c>
      <c r="K43" s="64"/>
      <c r="L43" s="64">
        <v>42</v>
      </c>
      <c r="M43" s="64"/>
      <c r="N43" s="64">
        <v>42</v>
      </c>
      <c r="O43" s="64"/>
      <c r="P43" s="64">
        <v>42</v>
      </c>
      <c r="Q43" s="64"/>
      <c r="R43" s="64">
        <v>42</v>
      </c>
      <c r="S43" s="64"/>
    </row>
    <row r="44" spans="1:19">
      <c r="A44" s="17">
        <f t="shared" si="0"/>
        <v>35</v>
      </c>
      <c r="B44" s="16" t="s">
        <v>631</v>
      </c>
      <c r="D44" s="277">
        <f>D43/365*D42</f>
        <v>498.96537830136981</v>
      </c>
      <c r="E44" s="277">
        <f t="shared" ref="E44:J44" si="9">E43/365*E42</f>
        <v>528.15987057534255</v>
      </c>
      <c r="F44" s="277">
        <f t="shared" si="9"/>
        <v>547.16178443835679</v>
      </c>
      <c r="G44" s="277">
        <f t="shared" si="9"/>
        <v>546.24593589041069</v>
      </c>
      <c r="H44" s="277">
        <f t="shared" si="9"/>
        <v>569.90465556164418</v>
      </c>
      <c r="I44" s="277">
        <f t="shared" si="9"/>
        <v>583.74246575342465</v>
      </c>
      <c r="J44" s="277">
        <f t="shared" si="9"/>
        <v>611.02898893150666</v>
      </c>
      <c r="K44" s="65"/>
      <c r="L44" s="277">
        <f>L43/365*L42</f>
        <v>832.05160778161257</v>
      </c>
      <c r="M44" s="65"/>
      <c r="N44" s="277">
        <f>N43/365*N42</f>
        <v>1000.0165331743272</v>
      </c>
      <c r="O44" s="65"/>
      <c r="P44" s="277">
        <f>P43/365*P42</f>
        <v>499.60003912781212</v>
      </c>
      <c r="Q44" s="65"/>
      <c r="R44" s="277">
        <f>R43/365*R42</f>
        <v>536.31800381557025</v>
      </c>
      <c r="S44" s="65"/>
    </row>
    <row r="45" spans="1:19">
      <c r="A45" s="17">
        <f t="shared" si="0"/>
        <v>36</v>
      </c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</row>
    <row r="46" spans="1:19" ht="16" thickBot="1">
      <c r="A46" s="17">
        <f t="shared" si="0"/>
        <v>37</v>
      </c>
      <c r="B46" s="16" t="s">
        <v>518</v>
      </c>
      <c r="C46" s="17"/>
      <c r="D46" s="109">
        <v>3061.567707658729</v>
      </c>
      <c r="E46" s="109">
        <v>3205.7742935700699</v>
      </c>
      <c r="F46" s="109">
        <v>3383.0834615306294</v>
      </c>
      <c r="G46" s="109">
        <v>3329.6479679929907</v>
      </c>
      <c r="H46" s="109">
        <v>3240.4465406827358</v>
      </c>
      <c r="I46" s="109">
        <v>3661.7945369229824</v>
      </c>
      <c r="J46" s="109">
        <v>4655.1022714760738</v>
      </c>
      <c r="K46" s="65"/>
      <c r="L46" s="109">
        <v>5235.1152152816439</v>
      </c>
      <c r="M46" s="65"/>
      <c r="N46" s="109">
        <v>4314.6949601509123</v>
      </c>
      <c r="O46" s="65"/>
      <c r="P46" s="109">
        <v>2964.0139889073262</v>
      </c>
      <c r="Q46" s="65"/>
      <c r="R46" s="109">
        <v>3010.4874578419403</v>
      </c>
      <c r="S46" s="65"/>
    </row>
    <row r="47" spans="1:19">
      <c r="D47" s="65"/>
    </row>
    <row r="48" spans="1:19"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</row>
    <row r="49" spans="2:18">
      <c r="D49" s="65"/>
      <c r="E49" s="65"/>
      <c r="F49" s="65"/>
      <c r="G49" s="65"/>
      <c r="H49" s="65"/>
      <c r="I49" s="65"/>
      <c r="J49" s="65"/>
      <c r="L49" s="65"/>
      <c r="N49" s="65"/>
      <c r="P49" s="65"/>
      <c r="R49" s="65"/>
    </row>
    <row r="50" spans="2:18">
      <c r="D50" s="65"/>
      <c r="E50" s="65"/>
      <c r="F50" s="65"/>
      <c r="G50" s="65"/>
      <c r="H50" s="65"/>
      <c r="I50" s="65"/>
      <c r="J50" s="65"/>
      <c r="L50" s="65"/>
      <c r="N50" s="65"/>
      <c r="P50" s="65"/>
      <c r="R50" s="65"/>
    </row>
    <row r="51" spans="2:18">
      <c r="D51" s="65"/>
      <c r="E51" s="65"/>
      <c r="F51" s="65"/>
      <c r="G51" s="65"/>
      <c r="H51" s="65"/>
      <c r="I51" s="65"/>
      <c r="J51" s="65"/>
    </row>
    <row r="53" spans="2:18">
      <c r="B53" s="438"/>
      <c r="C53"/>
      <c r="D53"/>
      <c r="E53"/>
      <c r="F53"/>
      <c r="G53"/>
      <c r="H53"/>
      <c r="I53"/>
      <c r="J53"/>
      <c r="K53"/>
      <c r="L53"/>
      <c r="N53" s="65"/>
    </row>
    <row r="54" spans="2:18">
      <c r="C54"/>
      <c r="D54"/>
      <c r="E54"/>
      <c r="F54"/>
      <c r="G54"/>
      <c r="H54"/>
      <c r="I54"/>
      <c r="J54"/>
      <c r="K54"/>
      <c r="L54"/>
      <c r="M54" s="65"/>
      <c r="N54" s="65"/>
    </row>
    <row r="55" spans="2:18"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</row>
    <row r="56" spans="2:18"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</row>
    <row r="57" spans="2:18">
      <c r="D57" s="65"/>
      <c r="E57" s="65"/>
      <c r="F57" s="65"/>
      <c r="G57" s="65"/>
      <c r="H57" s="65"/>
      <c r="I57" s="65"/>
      <c r="J57" s="65"/>
      <c r="K57" s="65"/>
    </row>
    <row r="58" spans="2:18">
      <c r="D58" s="65"/>
      <c r="E58" s="65"/>
      <c r="F58" s="65"/>
      <c r="G58" s="65"/>
      <c r="H58" s="65"/>
      <c r="I58" s="65"/>
      <c r="J58" s="65"/>
    </row>
    <row r="59" spans="2:18">
      <c r="D59" s="143"/>
    </row>
    <row r="60" spans="2:18">
      <c r="D60" s="409"/>
      <c r="E60" s="409"/>
      <c r="F60" s="409"/>
      <c r="G60" s="409"/>
      <c r="H60" s="409"/>
      <c r="I60" s="409"/>
      <c r="J60" s="409"/>
    </row>
    <row r="61" spans="2:18">
      <c r="D61" s="409"/>
      <c r="E61" s="409"/>
      <c r="F61" s="409"/>
      <c r="G61" s="409"/>
      <c r="H61" s="409"/>
      <c r="I61" s="409"/>
      <c r="J61" s="409"/>
      <c r="K61" s="409"/>
    </row>
    <row r="63" spans="2:18">
      <c r="G63" s="143"/>
    </row>
  </sheetData>
  <mergeCells count="3">
    <mergeCell ref="P7:R7"/>
    <mergeCell ref="L7:N7"/>
    <mergeCell ref="D7:J7"/>
  </mergeCells>
  <phoneticPr fontId="10" type="noConversion"/>
  <printOptions horizontalCentered="1"/>
  <pageMargins left="0.5" right="0.5" top="0.75" bottom="0.75" header="0.5" footer="0.5"/>
  <pageSetup scale="61" fitToHeight="0" orientation="landscape" useFirstPageNumber="1" r:id="rId1"/>
  <headerFooter alignWithMargins="0">
    <oddHeader>&amp;R&amp;"Arial,Bold"Schedule 8.10
Page &amp;P of 1</oddHeader>
  </headerFooter>
  <ignoredErrors>
    <ignoredError sqref="A1:A4" unlockedFormula="1"/>
    <ignoredError sqref="A5" numberStoredAsText="1" unlockedFormula="1"/>
    <ignoredError sqref="L26:N26" formulaRange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>
    <pageSetUpPr fitToPage="1"/>
  </sheetPr>
  <dimension ref="A1:AC49"/>
  <sheetViews>
    <sheetView topLeftCell="A4" zoomScale="90" zoomScaleNormal="90" zoomScaleSheetLayoutView="100" workbookViewId="0">
      <pane xSplit="3" ySplit="5" topLeftCell="D9" activePane="bottomRight" state="frozen"/>
      <selection pane="topRight" activeCell="D4" sqref="D4"/>
      <selection pane="bottomLeft" activeCell="A9" sqref="A9"/>
      <selection pane="bottomRight" activeCell="B6" sqref="B6"/>
    </sheetView>
  </sheetViews>
  <sheetFormatPr defaultColWidth="8" defaultRowHeight="15.5"/>
  <cols>
    <col min="1" max="1" width="6" style="16" bestFit="1" customWidth="1"/>
    <col min="2" max="2" width="56" style="16" customWidth="1"/>
    <col min="3" max="3" width="24.54296875" style="17" bestFit="1" customWidth="1"/>
    <col min="4" max="4" width="10.1796875" style="17" customWidth="1"/>
    <col min="5" max="5" width="10.1796875" style="16" bestFit="1" customWidth="1"/>
    <col min="6" max="10" width="12.7265625" style="16" customWidth="1"/>
    <col min="11" max="11" width="2" style="16" customWidth="1"/>
    <col min="12" max="12" width="12.7265625" style="16" customWidth="1"/>
    <col min="13" max="13" width="2.453125" style="16" customWidth="1"/>
    <col min="14" max="14" width="12.7265625" style="16" customWidth="1"/>
    <col min="15" max="15" width="2.1796875" style="16" customWidth="1"/>
    <col min="16" max="16" width="12.7265625" style="16" customWidth="1"/>
    <col min="17" max="17" width="2.1796875" style="16" customWidth="1"/>
    <col min="18" max="18" width="12.7265625" style="16" customWidth="1"/>
    <col min="19" max="19" width="2.1796875" style="16" customWidth="1"/>
    <col min="20" max="20" width="8" style="16"/>
    <col min="21" max="21" width="22.1796875" style="16" bestFit="1" customWidth="1"/>
    <col min="22" max="22" width="16" style="16" bestFit="1" customWidth="1"/>
    <col min="23" max="23" width="9.453125" style="16" bestFit="1" customWidth="1"/>
    <col min="24" max="29" width="8" style="16" bestFit="1" customWidth="1"/>
    <col min="30" max="16384" width="8" style="16"/>
  </cols>
  <sheetData>
    <row r="1" spans="1:29">
      <c r="A1" s="520" t="str">
        <f>'S1.1'!A1</f>
        <v>ATCO Electric Yukon (AEY)</v>
      </c>
      <c r="B1" s="520"/>
      <c r="C1" s="520"/>
      <c r="D1" s="520"/>
      <c r="E1" s="520"/>
      <c r="F1" s="520"/>
      <c r="G1" s="520"/>
      <c r="H1" s="520"/>
      <c r="I1" s="520"/>
      <c r="J1" s="520"/>
      <c r="K1" s="520"/>
      <c r="L1" s="520"/>
      <c r="M1" s="520"/>
      <c r="N1" s="520"/>
      <c r="O1" s="520"/>
      <c r="P1" s="520"/>
      <c r="Q1" s="520"/>
      <c r="R1" s="520"/>
      <c r="S1" s="31"/>
    </row>
    <row r="2" spans="1:29">
      <c r="A2" s="520" t="str">
        <f>'S1.1'!A2</f>
        <v>2023 - 2024 General Rate Application (GRA)</v>
      </c>
      <c r="B2" s="520"/>
      <c r="C2" s="520"/>
      <c r="D2" s="520"/>
      <c r="E2" s="520"/>
      <c r="F2" s="520"/>
      <c r="G2" s="520"/>
      <c r="H2" s="520"/>
      <c r="I2" s="520"/>
      <c r="J2" s="520"/>
      <c r="K2" s="520"/>
      <c r="L2" s="520"/>
      <c r="M2" s="520"/>
      <c r="N2" s="520"/>
      <c r="O2" s="520"/>
      <c r="P2" s="520"/>
      <c r="Q2" s="520"/>
      <c r="R2" s="520"/>
      <c r="S2" s="31"/>
    </row>
    <row r="3" spans="1:29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31"/>
    </row>
    <row r="4" spans="1:29">
      <c r="A4" s="520" t="s">
        <v>632</v>
      </c>
      <c r="B4" s="520"/>
      <c r="C4" s="520"/>
      <c r="D4" s="520"/>
      <c r="E4" s="520"/>
      <c r="F4" s="520"/>
      <c r="G4" s="520"/>
      <c r="H4" s="520"/>
      <c r="I4" s="520"/>
      <c r="J4" s="520"/>
      <c r="K4" s="520"/>
      <c r="L4" s="520"/>
      <c r="M4" s="520"/>
      <c r="N4" s="520"/>
      <c r="O4" s="520"/>
      <c r="P4" s="520"/>
      <c r="Q4" s="520"/>
      <c r="R4" s="520"/>
      <c r="S4" s="6"/>
    </row>
    <row r="5" spans="1:29">
      <c r="A5" s="518" t="s">
        <v>6</v>
      </c>
      <c r="B5" s="518"/>
      <c r="C5" s="518"/>
      <c r="D5" s="518"/>
      <c r="E5" s="518"/>
      <c r="F5" s="518"/>
      <c r="G5" s="518"/>
      <c r="H5" s="518"/>
      <c r="I5" s="518"/>
      <c r="J5" s="518"/>
      <c r="K5" s="518"/>
      <c r="L5" s="518"/>
      <c r="M5" s="518"/>
      <c r="N5" s="518"/>
      <c r="O5" s="518"/>
      <c r="P5" s="518"/>
      <c r="Q5" s="518"/>
      <c r="R5" s="518"/>
      <c r="S5" s="6"/>
    </row>
    <row r="6" spans="1:29">
      <c r="A6" s="6"/>
      <c r="B6" s="6"/>
      <c r="C6" s="6"/>
      <c r="D6" s="6"/>
      <c r="J6" s="79"/>
      <c r="K6" s="79"/>
      <c r="L6" s="79"/>
      <c r="M6" s="79"/>
      <c r="N6" s="79"/>
      <c r="O6" s="79"/>
      <c r="P6" s="6"/>
      <c r="Q6" s="79"/>
      <c r="R6" s="6"/>
    </row>
    <row r="7" spans="1:29">
      <c r="A7" s="6" t="s">
        <v>7</v>
      </c>
      <c r="B7" s="6"/>
      <c r="C7" s="6" t="s">
        <v>8</v>
      </c>
      <c r="D7" s="519" t="s">
        <v>9</v>
      </c>
      <c r="E7" s="519"/>
      <c r="F7" s="519"/>
      <c r="G7" s="519"/>
      <c r="H7" s="519"/>
      <c r="I7" s="519"/>
      <c r="J7" s="519"/>
      <c r="K7" s="6"/>
      <c r="L7" s="520" t="s">
        <v>10</v>
      </c>
      <c r="M7" s="520"/>
      <c r="N7" s="520"/>
      <c r="O7" s="18"/>
      <c r="P7" s="519" t="s">
        <v>11</v>
      </c>
      <c r="Q7" s="519"/>
      <c r="R7" s="519"/>
      <c r="S7" s="6"/>
    </row>
    <row r="8" spans="1:29">
      <c r="A8" s="7" t="s">
        <v>12</v>
      </c>
      <c r="B8" s="7" t="s">
        <v>13</v>
      </c>
      <c r="C8" s="7" t="s">
        <v>14</v>
      </c>
      <c r="D8" s="7">
        <v>2016</v>
      </c>
      <c r="E8" s="140">
        <v>2017</v>
      </c>
      <c r="F8" s="7">
        <v>2018</v>
      </c>
      <c r="G8" s="7">
        <v>2019</v>
      </c>
      <c r="H8" s="7">
        <v>2020</v>
      </c>
      <c r="I8" s="7">
        <v>2021</v>
      </c>
      <c r="J8" s="7">
        <v>2022</v>
      </c>
      <c r="K8" s="6"/>
      <c r="L8" s="240">
        <v>2023</v>
      </c>
      <c r="M8" s="240"/>
      <c r="N8" s="240">
        <v>2024</v>
      </c>
      <c r="O8" s="6"/>
      <c r="P8" s="7">
        <v>2016</v>
      </c>
      <c r="Q8" s="6"/>
      <c r="R8" s="7">
        <v>2017</v>
      </c>
    </row>
    <row r="9" spans="1:29">
      <c r="V9" s="529"/>
      <c r="W9" s="529"/>
      <c r="X9" s="529"/>
      <c r="Y9" s="529"/>
      <c r="Z9" s="529"/>
      <c r="AA9" s="529"/>
      <c r="AB9" s="529"/>
      <c r="AC9" s="529"/>
    </row>
    <row r="10" spans="1:29">
      <c r="A10" s="17">
        <v>1</v>
      </c>
      <c r="B10" s="18" t="s">
        <v>633</v>
      </c>
    </row>
    <row r="11" spans="1:29">
      <c r="A11" s="17">
        <f>A10+1</f>
        <v>2</v>
      </c>
      <c r="B11" s="16" t="s">
        <v>634</v>
      </c>
      <c r="C11" s="472" t="s">
        <v>17</v>
      </c>
      <c r="D11" s="29">
        <f>+'S2.1'!F64</f>
        <v>57788.067570000007</v>
      </c>
      <c r="E11" s="29">
        <f>+'S2.1'!G64</f>
        <v>63941.523888938864</v>
      </c>
      <c r="F11" s="29">
        <f>+'S2.1'!H64</f>
        <v>66111.3967932089</v>
      </c>
      <c r="G11" s="29">
        <f>+'S2.1'!I64</f>
        <v>66474.010709999988</v>
      </c>
      <c r="H11" s="29">
        <f>+'S2.1'!J64</f>
        <v>77106.660660000009</v>
      </c>
      <c r="I11" s="29">
        <f>+'S2.1'!K64</f>
        <v>80860.22678706779</v>
      </c>
      <c r="J11" s="29">
        <f>+'S2.1'!L64</f>
        <v>84470.206759159279</v>
      </c>
      <c r="K11" s="29"/>
      <c r="L11" s="29">
        <f>'S2.1'!O64-'S2.1'!O62</f>
        <v>60992.130169687764</v>
      </c>
      <c r="M11" s="29"/>
      <c r="N11" s="29">
        <f>'S2.1'!Q64-'S2.1'!Q62</f>
        <v>68095.572810736208</v>
      </c>
      <c r="O11" s="29"/>
      <c r="P11" s="29">
        <f>'S2.1'!S64</f>
        <v>52070.575689596633</v>
      </c>
      <c r="Q11" s="29"/>
      <c r="R11" s="29">
        <f>'S2.1'!U64</f>
        <v>54859.409185455588</v>
      </c>
      <c r="U11" s="29"/>
      <c r="V11" s="29"/>
      <c r="W11" s="29"/>
      <c r="X11" s="29"/>
      <c r="Y11" s="29"/>
      <c r="Z11" s="29"/>
      <c r="AA11" s="29"/>
      <c r="AB11" s="29"/>
      <c r="AC11" s="29"/>
    </row>
    <row r="12" spans="1:29">
      <c r="A12" s="17">
        <f t="shared" ref="A12:A45" si="0">A11+1</f>
        <v>3</v>
      </c>
      <c r="B12" s="16" t="s">
        <v>635</v>
      </c>
      <c r="D12" s="88">
        <v>0.05</v>
      </c>
      <c r="E12" s="88">
        <v>0.05</v>
      </c>
      <c r="F12" s="88">
        <v>0.05</v>
      </c>
      <c r="G12" s="88">
        <v>0.05</v>
      </c>
      <c r="H12" s="88">
        <v>0.05</v>
      </c>
      <c r="I12" s="88">
        <v>0.05</v>
      </c>
      <c r="J12" s="88">
        <v>0.05</v>
      </c>
      <c r="K12" s="99"/>
      <c r="L12" s="88">
        <v>0.05</v>
      </c>
      <c r="M12" s="99"/>
      <c r="N12" s="88">
        <v>0.05</v>
      </c>
      <c r="O12" s="99"/>
      <c r="P12" s="88">
        <v>0.05</v>
      </c>
      <c r="Q12" s="99"/>
      <c r="R12" s="88">
        <v>0.05</v>
      </c>
      <c r="U12" s="29"/>
      <c r="V12" s="29"/>
      <c r="W12" s="29"/>
      <c r="X12" s="29"/>
      <c r="Y12" s="29"/>
      <c r="Z12" s="29"/>
      <c r="AA12" s="29"/>
      <c r="AB12" s="29"/>
      <c r="AC12" s="29"/>
    </row>
    <row r="13" spans="1:29">
      <c r="A13" s="17">
        <f t="shared" si="0"/>
        <v>4</v>
      </c>
      <c r="B13" s="16" t="s">
        <v>636</v>
      </c>
      <c r="D13" s="35">
        <f t="shared" ref="D13:J13" si="1">D11*D12</f>
        <v>2889.4033785000006</v>
      </c>
      <c r="E13" s="35">
        <f t="shared" si="1"/>
        <v>3197.0761944469432</v>
      </c>
      <c r="F13" s="35">
        <f t="shared" si="1"/>
        <v>3305.5698396604453</v>
      </c>
      <c r="G13" s="35">
        <f t="shared" si="1"/>
        <v>3323.7005354999997</v>
      </c>
      <c r="H13" s="35">
        <f t="shared" si="1"/>
        <v>3855.3330330000008</v>
      </c>
      <c r="I13" s="35">
        <f t="shared" si="1"/>
        <v>4043.0113393533898</v>
      </c>
      <c r="J13" s="35">
        <f t="shared" si="1"/>
        <v>4223.5103379579641</v>
      </c>
      <c r="K13" s="35"/>
      <c r="L13" s="35">
        <f>L11*L12</f>
        <v>3049.6065084843885</v>
      </c>
      <c r="M13" s="35"/>
      <c r="N13" s="35">
        <f>N11*N12</f>
        <v>3404.7786405368106</v>
      </c>
      <c r="O13" s="35"/>
      <c r="P13" s="35">
        <f>P11*P12</f>
        <v>2603.5287844798318</v>
      </c>
      <c r="Q13" s="35"/>
      <c r="R13" s="35">
        <f>R11*R12</f>
        <v>2742.9704592727794</v>
      </c>
      <c r="S13" s="35"/>
      <c r="U13" s="29"/>
      <c r="V13" s="29"/>
      <c r="W13" s="29"/>
      <c r="X13" s="29"/>
      <c r="Y13" s="29"/>
      <c r="Z13" s="29"/>
      <c r="AA13" s="29"/>
      <c r="AB13" s="29"/>
      <c r="AC13" s="29"/>
    </row>
    <row r="14" spans="1:29">
      <c r="A14" s="17">
        <f t="shared" si="0"/>
        <v>5</v>
      </c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U14" s="29"/>
      <c r="V14" s="29"/>
      <c r="W14" s="29"/>
      <c r="X14" s="29"/>
      <c r="Y14" s="29"/>
      <c r="Z14" s="29"/>
      <c r="AA14" s="29"/>
      <c r="AB14" s="29"/>
      <c r="AC14" s="29"/>
    </row>
    <row r="15" spans="1:29">
      <c r="A15" s="17">
        <f t="shared" si="0"/>
        <v>6</v>
      </c>
      <c r="B15" s="16" t="s">
        <v>637</v>
      </c>
      <c r="D15" s="89">
        <v>41.85</v>
      </c>
      <c r="E15" s="89">
        <v>41.85</v>
      </c>
      <c r="F15" s="89">
        <v>41.85</v>
      </c>
      <c r="G15" s="89">
        <v>41.85</v>
      </c>
      <c r="H15" s="89">
        <v>41.85</v>
      </c>
      <c r="I15" s="89">
        <v>41.85</v>
      </c>
      <c r="J15" s="89">
        <v>41.9</v>
      </c>
      <c r="K15" s="89"/>
      <c r="L15" s="89">
        <v>41.9</v>
      </c>
      <c r="M15" s="89"/>
      <c r="N15" s="89">
        <v>41.9</v>
      </c>
      <c r="O15" s="89"/>
      <c r="P15" s="89">
        <v>41.87</v>
      </c>
      <c r="Q15" s="89"/>
      <c r="R15" s="89">
        <v>41.87</v>
      </c>
      <c r="S15" s="89"/>
      <c r="U15" s="29"/>
      <c r="V15" s="29"/>
      <c r="W15" s="29"/>
      <c r="X15" s="29"/>
      <c r="Y15" s="29"/>
      <c r="Z15" s="29"/>
      <c r="AA15" s="29"/>
      <c r="AB15" s="29"/>
      <c r="AC15" s="29"/>
    </row>
    <row r="16" spans="1:29">
      <c r="A16" s="17">
        <f t="shared" si="0"/>
        <v>7</v>
      </c>
      <c r="B16" s="16" t="s">
        <v>638</v>
      </c>
      <c r="D16" s="90">
        <v>56.593281923785369</v>
      </c>
      <c r="E16" s="90">
        <v>56.593281923785369</v>
      </c>
      <c r="F16" s="90">
        <v>56.593281923785369</v>
      </c>
      <c r="G16" s="90">
        <v>56.593281923785369</v>
      </c>
      <c r="H16" s="90">
        <f>G16</f>
        <v>56.593281923785369</v>
      </c>
      <c r="I16" s="90">
        <v>56.593281923785369</v>
      </c>
      <c r="J16" s="90">
        <f>H16</f>
        <v>56.593281923785369</v>
      </c>
      <c r="K16" s="93"/>
      <c r="L16" s="90">
        <f>J16</f>
        <v>56.593281923785369</v>
      </c>
      <c r="M16" s="93"/>
      <c r="N16" s="90">
        <f>L16</f>
        <v>56.593281923785369</v>
      </c>
      <c r="O16" s="93"/>
      <c r="P16" s="90">
        <f>J16</f>
        <v>56.593281923785369</v>
      </c>
      <c r="Q16" s="93"/>
      <c r="R16" s="90">
        <f>L16</f>
        <v>56.593281923785369</v>
      </c>
      <c r="S16" s="89"/>
      <c r="U16" s="29"/>
      <c r="V16" s="29"/>
      <c r="W16" s="29"/>
      <c r="X16" s="29"/>
      <c r="Y16" s="29"/>
      <c r="Z16" s="29"/>
      <c r="AA16" s="29"/>
      <c r="AB16" s="29"/>
      <c r="AC16" s="29"/>
    </row>
    <row r="17" spans="1:29">
      <c r="A17" s="17">
        <f t="shared" si="0"/>
        <v>8</v>
      </c>
      <c r="D17" s="91">
        <f t="shared" ref="D17:J17" si="2">D15-D16</f>
        <v>-14.743281923785368</v>
      </c>
      <c r="E17" s="91">
        <f t="shared" si="2"/>
        <v>-14.743281923785368</v>
      </c>
      <c r="F17" s="91">
        <f t="shared" si="2"/>
        <v>-14.743281923785368</v>
      </c>
      <c r="G17" s="91">
        <f t="shared" si="2"/>
        <v>-14.743281923785368</v>
      </c>
      <c r="H17" s="91">
        <f t="shared" si="2"/>
        <v>-14.743281923785368</v>
      </c>
      <c r="I17" s="91">
        <f t="shared" si="2"/>
        <v>-14.743281923785368</v>
      </c>
      <c r="J17" s="91">
        <f t="shared" si="2"/>
        <v>-14.693281923785371</v>
      </c>
      <c r="K17" s="91"/>
      <c r="L17" s="91">
        <f>L15-L16</f>
        <v>-14.693281923785371</v>
      </c>
      <c r="M17" s="91"/>
      <c r="N17" s="91">
        <f>N15-N16</f>
        <v>-14.693281923785371</v>
      </c>
      <c r="O17" s="91"/>
      <c r="P17" s="91">
        <f>P15-P16</f>
        <v>-14.723281923785372</v>
      </c>
      <c r="Q17" s="91"/>
      <c r="R17" s="91">
        <f>R15-R16</f>
        <v>-14.723281923785372</v>
      </c>
      <c r="S17" s="91"/>
      <c r="U17" s="29"/>
      <c r="V17" s="29"/>
      <c r="W17" s="29"/>
      <c r="X17" s="29"/>
      <c r="Y17" s="29"/>
      <c r="Z17" s="29"/>
      <c r="AA17" s="29"/>
      <c r="AB17" s="29"/>
      <c r="AC17" s="29"/>
    </row>
    <row r="18" spans="1:29">
      <c r="A18" s="17">
        <f t="shared" si="0"/>
        <v>9</v>
      </c>
      <c r="D18" s="16"/>
      <c r="U18" s="29"/>
      <c r="V18" s="29"/>
      <c r="W18" s="29"/>
      <c r="X18" s="29"/>
      <c r="Y18" s="29"/>
      <c r="Z18" s="29"/>
      <c r="AA18" s="29"/>
      <c r="AB18" s="29"/>
      <c r="AC18" s="29"/>
    </row>
    <row r="19" spans="1:29">
      <c r="A19" s="17">
        <f t="shared" si="0"/>
        <v>10</v>
      </c>
      <c r="B19" s="16" t="s">
        <v>639</v>
      </c>
      <c r="C19" s="17" t="s">
        <v>640</v>
      </c>
      <c r="D19" s="42">
        <f>D13*D17/365</f>
        <v>-116.71037972811898</v>
      </c>
      <c r="E19" s="42">
        <f t="shared" ref="E19:J19" si="3">E13*E17/365</f>
        <v>-129.1380703193264</v>
      </c>
      <c r="F19" s="42">
        <f t="shared" si="3"/>
        <v>-133.52040565719437</v>
      </c>
      <c r="G19" s="42">
        <f t="shared" si="3"/>
        <v>-134.25275075373395</v>
      </c>
      <c r="H19" s="42">
        <f t="shared" si="3"/>
        <v>-155.72674470027818</v>
      </c>
      <c r="I19" s="42">
        <f t="shared" si="3"/>
        <v>-163.30755067711809</v>
      </c>
      <c r="J19" s="42">
        <f t="shared" si="3"/>
        <v>-170.01980302366684</v>
      </c>
      <c r="K19" s="38"/>
      <c r="L19" s="42">
        <f>L13*L17/365</f>
        <v>-122.76363886512846</v>
      </c>
      <c r="M19" s="38"/>
      <c r="N19" s="42">
        <f>N13*N17/365</f>
        <v>-137.0612943931234</v>
      </c>
      <c r="O19" s="38"/>
      <c r="P19" s="42">
        <f>P13*P17/365</f>
        <v>-105.02051586462139</v>
      </c>
      <c r="Q19" s="38"/>
      <c r="R19" s="42">
        <f>R13*R17/365</f>
        <v>-110.64528049448815</v>
      </c>
      <c r="U19" s="29"/>
      <c r="V19" s="29"/>
      <c r="W19" s="29"/>
      <c r="X19" s="29"/>
      <c r="Y19" s="29"/>
      <c r="Z19" s="29"/>
      <c r="AA19" s="29"/>
      <c r="AB19" s="29"/>
      <c r="AC19" s="29"/>
    </row>
    <row r="20" spans="1:29">
      <c r="A20" s="17">
        <f t="shared" si="0"/>
        <v>11</v>
      </c>
      <c r="D20" s="16"/>
      <c r="U20" s="29"/>
      <c r="V20" s="29"/>
      <c r="W20" s="29"/>
      <c r="X20" s="29"/>
      <c r="Y20" s="29"/>
      <c r="Z20" s="29"/>
      <c r="AA20" s="29"/>
      <c r="AB20" s="29"/>
      <c r="AC20" s="29"/>
    </row>
    <row r="21" spans="1:29">
      <c r="A21" s="17">
        <f t="shared" si="0"/>
        <v>12</v>
      </c>
      <c r="B21" s="18" t="s">
        <v>641</v>
      </c>
      <c r="D21" s="16"/>
      <c r="U21" s="29"/>
      <c r="V21" s="29"/>
      <c r="W21" s="29"/>
      <c r="X21" s="29"/>
      <c r="Y21" s="29"/>
      <c r="Z21" s="29"/>
      <c r="AA21" s="29"/>
      <c r="AB21" s="29"/>
      <c r="AC21" s="29"/>
    </row>
    <row r="22" spans="1:29">
      <c r="A22" s="17">
        <f t="shared" si="0"/>
        <v>13</v>
      </c>
      <c r="B22" s="16" t="s">
        <v>642</v>
      </c>
      <c r="C22" s="17" t="s">
        <v>643</v>
      </c>
      <c r="D22" s="35">
        <f>+'S1.1'!G25</f>
        <v>59026.067230000008</v>
      </c>
      <c r="E22" s="35">
        <f>+'S1.1'!H25</f>
        <v>65245.591478938863</v>
      </c>
      <c r="F22" s="35">
        <f>+'S1.1'!I25</f>
        <v>67515.770003208905</v>
      </c>
      <c r="G22" s="35">
        <f>+'S1.1'!J25</f>
        <v>67936.010989999981</v>
      </c>
      <c r="H22" s="35">
        <f>+'S1.1'!K25</f>
        <v>78646.798570000014</v>
      </c>
      <c r="I22" s="35">
        <f>+'S1.1'!L25</f>
        <v>83092.184327067793</v>
      </c>
      <c r="J22" s="35">
        <f>+'S1.1'!M25</f>
        <v>86998.904849159284</v>
      </c>
      <c r="K22" s="35"/>
      <c r="L22" s="35">
        <f>+'S1.1'!O25</f>
        <v>66793.275097653765</v>
      </c>
      <c r="M22" s="35"/>
      <c r="N22" s="35">
        <f>+'S1.1'!Q25</f>
        <v>73921.767341803003</v>
      </c>
      <c r="O22" s="35"/>
      <c r="P22" s="35">
        <f>+'S1.1'!S25</f>
        <v>53370.263468030978</v>
      </c>
      <c r="Q22" s="35"/>
      <c r="R22" s="35">
        <f>+'S1.1'!U25</f>
        <v>56187.00252742161</v>
      </c>
      <c r="S22" s="35"/>
      <c r="U22" s="29"/>
      <c r="V22" s="29"/>
      <c r="W22" s="29"/>
      <c r="X22" s="29"/>
      <c r="Y22" s="29"/>
      <c r="Z22" s="29"/>
      <c r="AA22" s="29"/>
      <c r="AB22" s="29"/>
      <c r="AC22" s="29"/>
    </row>
    <row r="23" spans="1:29">
      <c r="A23" s="17">
        <f t="shared" si="0"/>
        <v>14</v>
      </c>
      <c r="B23" s="16" t="s">
        <v>28</v>
      </c>
      <c r="C23" s="17" t="s">
        <v>609</v>
      </c>
      <c r="D23" s="35">
        <f>-'S1.1'!G19</f>
        <v>-252.89589999999998</v>
      </c>
      <c r="E23" s="35">
        <f>-'S1.1'!H19</f>
        <v>-253.10735</v>
      </c>
      <c r="F23" s="35">
        <f>-'S1.1'!I19</f>
        <v>-263.73296999999997</v>
      </c>
      <c r="G23" s="35">
        <f>-'S1.1'!J19</f>
        <v>-276.62574000000001</v>
      </c>
      <c r="H23" s="35">
        <f>-'S1.1'!K19</f>
        <v>-276.76428999999996</v>
      </c>
      <c r="I23" s="35">
        <f>-'S1.1'!L19</f>
        <v>-267.23536999999999</v>
      </c>
      <c r="J23" s="35">
        <f>-'S1.1'!M19</f>
        <v>-274.74583999999999</v>
      </c>
      <c r="K23" s="35"/>
      <c r="L23" s="35">
        <f>-'S1.1'!O19</f>
        <v>-285.18618192000002</v>
      </c>
      <c r="M23" s="35"/>
      <c r="N23" s="35">
        <f>-'S1.1'!Q19</f>
        <v>-292.31583646799999</v>
      </c>
      <c r="O23" s="35"/>
      <c r="P23" s="35">
        <f>-'S1.1'!S19</f>
        <v>-261.702518</v>
      </c>
      <c r="Q23" s="35"/>
      <c r="R23" s="35">
        <f>-'S1.1'!U19</f>
        <v>-267.45997339600001</v>
      </c>
      <c r="S23" s="35"/>
      <c r="U23" s="29"/>
      <c r="V23" s="29"/>
      <c r="W23" s="29"/>
      <c r="X23" s="29"/>
      <c r="Y23" s="29"/>
      <c r="Z23" s="29"/>
      <c r="AA23" s="29"/>
      <c r="AB23" s="29"/>
      <c r="AC23" s="29"/>
    </row>
    <row r="24" spans="1:29">
      <c r="A24" s="17">
        <f t="shared" si="0"/>
        <v>15</v>
      </c>
      <c r="B24" s="16" t="s">
        <v>644</v>
      </c>
      <c r="C24" s="17" t="s">
        <v>645</v>
      </c>
      <c r="D24" s="35">
        <f>-'S5.2'!E424</f>
        <v>-5671</v>
      </c>
      <c r="E24" s="35">
        <f>-'S5.2'!F424</f>
        <v>-5643</v>
      </c>
      <c r="F24" s="35">
        <f>-'S5.2'!G424</f>
        <v>-6042</v>
      </c>
      <c r="G24" s="35">
        <f>-'S5.2'!H424</f>
        <v>-5917</v>
      </c>
      <c r="H24" s="35">
        <f>-'S5.2'!I424</f>
        <v>-6037</v>
      </c>
      <c r="I24" s="35">
        <f>-'S5.2'!J424</f>
        <v>-6266</v>
      </c>
      <c r="J24" s="35">
        <f>-'S5.2'!K424</f>
        <v>-6483</v>
      </c>
      <c r="K24" s="35"/>
      <c r="L24" s="35">
        <f>-'S5.2'!M424</f>
        <v>-7132.5</v>
      </c>
      <c r="M24" s="35"/>
      <c r="N24" s="35">
        <f>-'S5.2'!N424</f>
        <v>-7294.92</v>
      </c>
      <c r="O24" s="35"/>
      <c r="P24" s="35">
        <v>-6333.18</v>
      </c>
      <c r="Q24" s="35"/>
      <c r="R24" s="35">
        <v>-6459.8436000000002</v>
      </c>
      <c r="S24" s="35"/>
      <c r="U24" s="29"/>
      <c r="V24" s="29"/>
      <c r="W24" s="29"/>
      <c r="X24" s="29"/>
      <c r="Y24" s="29"/>
      <c r="Z24" s="29"/>
      <c r="AA24" s="29"/>
      <c r="AB24" s="29"/>
      <c r="AC24" s="29"/>
    </row>
    <row r="25" spans="1:29">
      <c r="A25" s="17">
        <f t="shared" si="0"/>
        <v>16</v>
      </c>
      <c r="B25" s="16" t="s">
        <v>30</v>
      </c>
      <c r="C25" s="17" t="s">
        <v>646</v>
      </c>
      <c r="D25" s="35">
        <f>-'S1.1'!G20</f>
        <v>-5835.2467399999996</v>
      </c>
      <c r="E25" s="35">
        <f>-'S1.1'!H20</f>
        <v>-6114.9607800000003</v>
      </c>
      <c r="F25" s="35">
        <f>-'S1.1'!I20</f>
        <v>-6293.0964600000052</v>
      </c>
      <c r="G25" s="35">
        <f>-'S1.1'!J20</f>
        <v>-6382.1372999999976</v>
      </c>
      <c r="H25" s="35">
        <f>-'S1.1'!K20</f>
        <v>-6706.7428400000026</v>
      </c>
      <c r="I25" s="35">
        <f>-'S1.1'!L20</f>
        <v>-6950</v>
      </c>
      <c r="J25" s="35">
        <f>-'S1.1'!M20</f>
        <v>-7343.1328799999983</v>
      </c>
      <c r="K25" s="35"/>
      <c r="L25" s="35">
        <f>-'S1.1'!O20</f>
        <v>-9389.7324862984133</v>
      </c>
      <c r="M25" s="35"/>
      <c r="N25" s="35">
        <f>-'S1.1'!Q20</f>
        <v>-11218.921894098414</v>
      </c>
      <c r="O25" s="35"/>
      <c r="P25" s="35">
        <f>-'S1.1'!S20</f>
        <v>-5846.1673333333329</v>
      </c>
      <c r="Q25" s="35"/>
      <c r="R25" s="35">
        <f>-'S1.1'!U20</f>
        <v>-6231.0002199999999</v>
      </c>
      <c r="S25" s="35"/>
      <c r="U25" s="29"/>
      <c r="V25" s="29"/>
      <c r="W25" s="29"/>
      <c r="X25" s="29"/>
      <c r="Y25" s="29"/>
      <c r="Z25" s="29"/>
      <c r="AA25" s="29"/>
      <c r="AB25" s="29"/>
      <c r="AC25" s="29"/>
    </row>
    <row r="26" spans="1:29">
      <c r="A26" s="17">
        <f t="shared" si="0"/>
        <v>17</v>
      </c>
      <c r="B26" s="16" t="s">
        <v>32</v>
      </c>
      <c r="C26" s="17" t="s">
        <v>647</v>
      </c>
      <c r="D26" s="35">
        <f>-'S1.1'!G21</f>
        <v>1499</v>
      </c>
      <c r="E26" s="35">
        <f>-'S1.1'!H21</f>
        <v>1525</v>
      </c>
      <c r="F26" s="35">
        <f>-'S1.1'!I21</f>
        <v>1538</v>
      </c>
      <c r="G26" s="35">
        <f>-'S1.1'!J21</f>
        <v>1635</v>
      </c>
      <c r="H26" s="35">
        <f>-'S1.1'!K21</f>
        <v>1754</v>
      </c>
      <c r="I26" s="35">
        <f>-'S1.1'!L21</f>
        <v>1877</v>
      </c>
      <c r="J26" s="35">
        <f>-'S1.1'!M21</f>
        <v>2033</v>
      </c>
      <c r="K26" s="35"/>
      <c r="L26" s="35">
        <f>-'S1.1'!O21</f>
        <v>2158.8077996248762</v>
      </c>
      <c r="M26" s="35"/>
      <c r="N26" s="35">
        <f>-'S1.1'!Q21</f>
        <v>2528.3020224643806</v>
      </c>
      <c r="O26" s="35"/>
      <c r="P26" s="35">
        <f>-'S1.1'!S21</f>
        <v>1504.4050885321087</v>
      </c>
      <c r="Q26" s="35"/>
      <c r="R26" s="35">
        <f>-'S1.1'!U21</f>
        <v>1570.1413773170677</v>
      </c>
      <c r="S26" s="35"/>
      <c r="U26" s="29"/>
      <c r="V26" s="29"/>
      <c r="W26" s="29"/>
      <c r="X26" s="29"/>
      <c r="Y26" s="29"/>
      <c r="Z26" s="29"/>
      <c r="AA26" s="29"/>
      <c r="AB26" s="29"/>
      <c r="AC26" s="29"/>
    </row>
    <row r="27" spans="1:29">
      <c r="A27" s="17">
        <f t="shared" si="0"/>
        <v>18</v>
      </c>
      <c r="B27" s="16" t="s">
        <v>648</v>
      </c>
      <c r="C27" s="17" t="s">
        <v>649</v>
      </c>
      <c r="D27" s="35">
        <f>-'S1.1'!G24</f>
        <v>90</v>
      </c>
      <c r="E27" s="35">
        <f>-'S1.1'!H24</f>
        <v>-194</v>
      </c>
      <c r="F27" s="35">
        <f>-'S1.1'!I24</f>
        <v>-802</v>
      </c>
      <c r="G27" s="35">
        <f>-'S1.1'!J24</f>
        <v>-1057</v>
      </c>
      <c r="H27" s="35">
        <f>-'S1.1'!K24</f>
        <v>-972</v>
      </c>
      <c r="I27" s="35">
        <f>-'S1.1'!L24</f>
        <v>-1062</v>
      </c>
      <c r="J27" s="35">
        <f>-'S1.1'!M24</f>
        <v>-795</v>
      </c>
      <c r="K27" s="35"/>
      <c r="L27" s="35">
        <f>+'S1.1'!O24</f>
        <v>-2357</v>
      </c>
      <c r="M27" s="35"/>
      <c r="N27" s="35">
        <f>+'S1.1'!Q24</f>
        <v>1134</v>
      </c>
      <c r="O27" s="35"/>
      <c r="P27" s="35">
        <f>+'S1.1'!S24</f>
        <v>-470</v>
      </c>
      <c r="Q27" s="35"/>
      <c r="R27" s="35">
        <f>+'S1.1'!U24</f>
        <v>341</v>
      </c>
      <c r="S27" s="35"/>
      <c r="U27" s="29"/>
      <c r="V27" s="29"/>
      <c r="W27" s="29"/>
      <c r="X27" s="29"/>
      <c r="Y27" s="29"/>
      <c r="Z27" s="29"/>
      <c r="AA27" s="29"/>
      <c r="AB27" s="29"/>
      <c r="AC27" s="29"/>
    </row>
    <row r="28" spans="1:29">
      <c r="A28" s="17">
        <f t="shared" si="0"/>
        <v>19</v>
      </c>
      <c r="B28" s="16" t="s">
        <v>650</v>
      </c>
      <c r="D28" s="35">
        <f>+'S8.4 '!D38</f>
        <v>0</v>
      </c>
      <c r="E28" s="35">
        <f>+'S8.4 '!E38</f>
        <v>-100</v>
      </c>
      <c r="F28" s="35">
        <f>+'S8.4 '!F38</f>
        <v>0</v>
      </c>
      <c r="G28" s="35">
        <f>+'S8.4 '!G38</f>
        <v>0</v>
      </c>
      <c r="H28" s="35">
        <f>+'S8.4 '!H38</f>
        <v>0</v>
      </c>
      <c r="I28" s="35">
        <f>+'S8.4 '!I38</f>
        <v>0</v>
      </c>
      <c r="J28" s="35">
        <f>+'S8.4 '!J38</f>
        <v>0</v>
      </c>
      <c r="K28" s="35"/>
      <c r="L28" s="35">
        <f>+'S8.4 '!L38</f>
        <v>0</v>
      </c>
      <c r="M28" s="35"/>
      <c r="N28" s="35">
        <f>+'S8.4 '!M38</f>
        <v>0</v>
      </c>
      <c r="O28" s="35"/>
      <c r="P28" s="35">
        <f>+'S8.4 '!O38</f>
        <v>-100</v>
      </c>
      <c r="Q28" s="35"/>
      <c r="R28" s="35">
        <f>+'S8.4 '!P38</f>
        <v>-100</v>
      </c>
      <c r="S28" s="35"/>
      <c r="U28" s="29"/>
      <c r="V28" s="29"/>
      <c r="W28" s="29"/>
      <c r="X28" s="29"/>
      <c r="Y28" s="29"/>
      <c r="Z28" s="29"/>
      <c r="AA28" s="29"/>
      <c r="AB28" s="29"/>
      <c r="AC28" s="29"/>
    </row>
    <row r="29" spans="1:29">
      <c r="A29" s="17">
        <f t="shared" si="0"/>
        <v>20</v>
      </c>
      <c r="B29" s="16" t="s">
        <v>651</v>
      </c>
      <c r="D29" s="35">
        <f>+'S8.4 '!D37</f>
        <v>111.5</v>
      </c>
      <c r="E29" s="35">
        <f>+'S8.4 '!E37</f>
        <v>111.5</v>
      </c>
      <c r="F29" s="35">
        <f>+'S8.4 '!F37</f>
        <v>111.5</v>
      </c>
      <c r="G29" s="35">
        <f>+'S8.4 '!G37</f>
        <v>111.5</v>
      </c>
      <c r="H29" s="35">
        <f>+'S8.4 '!H37</f>
        <v>111.5</v>
      </c>
      <c r="I29" s="35">
        <f>+'S8.4 '!I37</f>
        <v>111.5</v>
      </c>
      <c r="J29" s="35">
        <f>+'S8.4 '!J37</f>
        <v>111.5</v>
      </c>
      <c r="K29" s="35"/>
      <c r="L29" s="35">
        <f>+'S8.4 '!L37</f>
        <v>-278.75</v>
      </c>
      <c r="M29" s="35"/>
      <c r="N29" s="35">
        <f>+'S8.4 '!M37</f>
        <v>-279</v>
      </c>
      <c r="O29" s="35"/>
      <c r="P29" s="35">
        <f>+'S8.4 '!O37</f>
        <v>111.5</v>
      </c>
      <c r="Q29" s="35"/>
      <c r="R29" s="35">
        <f>+'S8.4 '!P37</f>
        <v>111.5</v>
      </c>
      <c r="S29" s="35"/>
      <c r="U29" s="29"/>
      <c r="V29" s="29"/>
      <c r="W29" s="29"/>
      <c r="X29" s="29"/>
      <c r="Y29" s="29"/>
      <c r="Z29" s="29"/>
      <c r="AA29" s="29"/>
      <c r="AB29" s="29"/>
      <c r="AC29" s="29"/>
    </row>
    <row r="30" spans="1:29">
      <c r="A30" s="17">
        <f t="shared" si="0"/>
        <v>21</v>
      </c>
      <c r="B30" s="16" t="s">
        <v>565</v>
      </c>
      <c r="D30" s="35">
        <f>+'S8.8 '!D30</f>
        <v>236</v>
      </c>
      <c r="E30" s="35">
        <f>+'S8.8 '!E30</f>
        <v>296</v>
      </c>
      <c r="F30" s="35">
        <f>+'S8.8 '!F30</f>
        <v>0</v>
      </c>
      <c r="G30" s="35">
        <f>+'S8.8 '!G30</f>
        <v>0</v>
      </c>
      <c r="H30" s="35">
        <f>+'S8.8 '!H30</f>
        <v>0</v>
      </c>
      <c r="I30" s="35">
        <f>+'S8.8 '!I30</f>
        <v>0</v>
      </c>
      <c r="J30" s="35">
        <f>+'S8.8 '!J30</f>
        <v>0</v>
      </c>
      <c r="K30" s="35"/>
      <c r="L30" s="35">
        <f>+'S8.8 '!L30</f>
        <v>301.09980341322517</v>
      </c>
      <c r="M30" s="35"/>
      <c r="N30" s="35">
        <f>+'S8.8 '!N30</f>
        <v>307.11819948149014</v>
      </c>
      <c r="O30" s="35"/>
      <c r="P30" s="35">
        <f>+'S8.8 '!P30</f>
        <v>586.04999999999995</v>
      </c>
      <c r="Q30" s="35"/>
      <c r="R30" s="35">
        <f>+'S8.8 '!R30</f>
        <v>0</v>
      </c>
      <c r="S30" s="35"/>
      <c r="U30" s="29"/>
      <c r="V30" s="29"/>
      <c r="W30" s="29"/>
      <c r="X30" s="29"/>
      <c r="Y30" s="29"/>
      <c r="Z30" s="29"/>
      <c r="AA30" s="29"/>
      <c r="AB30" s="29"/>
      <c r="AC30" s="29"/>
    </row>
    <row r="31" spans="1:29">
      <c r="A31" s="17">
        <f t="shared" si="0"/>
        <v>22</v>
      </c>
      <c r="B31" s="16" t="s">
        <v>652</v>
      </c>
      <c r="D31" s="35">
        <f>+'S8.8 '!D31</f>
        <v>-312.5</v>
      </c>
      <c r="E31" s="35">
        <f>+'S8.8 '!E31</f>
        <v>-312.5</v>
      </c>
      <c r="F31" s="35">
        <f>+'S8.8 '!F31</f>
        <v>-312.5000399999999</v>
      </c>
      <c r="G31" s="35">
        <f>+'S8.8 '!G31</f>
        <v>-312.5000399999999</v>
      </c>
      <c r="H31" s="35">
        <f>+'S8.8 '!H31</f>
        <v>-312.5000399999999</v>
      </c>
      <c r="I31" s="35">
        <f>+'S8.8 '!I31</f>
        <v>-312.5000399999999</v>
      </c>
      <c r="J31" s="35">
        <f>+'S8.8 '!J31</f>
        <v>-312.5000399999999</v>
      </c>
      <c r="K31" s="35"/>
      <c r="L31" s="35">
        <f>+'S8.8 '!L31</f>
        <v>-156.25001999999995</v>
      </c>
      <c r="M31" s="35"/>
      <c r="N31" s="35">
        <f>+'S8.8 '!N31</f>
        <v>-202.87778289471566</v>
      </c>
      <c r="O31" s="35"/>
      <c r="P31" s="35">
        <f>+'S8.8 '!P31</f>
        <v>-312.5</v>
      </c>
      <c r="Q31" s="35"/>
      <c r="R31" s="35">
        <f>+'S8.8 '!R31</f>
        <v>-312.95999999999992</v>
      </c>
      <c r="S31" s="35"/>
      <c r="U31" s="29"/>
      <c r="V31" s="29"/>
      <c r="W31" s="29"/>
      <c r="X31" s="29"/>
      <c r="Y31" s="29"/>
      <c r="Z31" s="29"/>
      <c r="AA31" s="29"/>
      <c r="AB31" s="29"/>
      <c r="AC31" s="29"/>
    </row>
    <row r="32" spans="1:29">
      <c r="A32" s="17">
        <f t="shared" si="0"/>
        <v>23</v>
      </c>
      <c r="B32" s="16" t="s">
        <v>653</v>
      </c>
      <c r="C32" s="17" t="s">
        <v>654</v>
      </c>
      <c r="D32" s="35">
        <f>+'S8.8 '!D39</f>
        <v>0</v>
      </c>
      <c r="E32" s="35">
        <f>+'S8.8 '!E39</f>
        <v>0</v>
      </c>
      <c r="F32" s="35">
        <f>+'S8.8 '!F39</f>
        <v>0</v>
      </c>
      <c r="G32" s="35">
        <f>+'S8.8 '!G39</f>
        <v>0</v>
      </c>
      <c r="H32" s="35">
        <f>+'S8.8 '!H39</f>
        <v>0</v>
      </c>
      <c r="I32" s="35">
        <f>+'S8.8 '!I39</f>
        <v>0</v>
      </c>
      <c r="J32" s="35">
        <f>+'S8.8 '!J39</f>
        <v>0</v>
      </c>
      <c r="K32" s="35"/>
      <c r="L32" s="35">
        <f>+'S8.8 '!L39</f>
        <v>0</v>
      </c>
      <c r="M32" s="35"/>
      <c r="N32" s="35">
        <f>+'S8.8 '!N39</f>
        <v>0</v>
      </c>
      <c r="O32" s="35"/>
      <c r="P32" s="35">
        <f>+'S8.8 '!P39</f>
        <v>0</v>
      </c>
      <c r="Q32" s="35"/>
      <c r="R32" s="35">
        <f>+'S8.8 '!R39</f>
        <v>0</v>
      </c>
      <c r="S32" s="35"/>
      <c r="U32" s="29"/>
      <c r="V32" s="29"/>
      <c r="W32" s="29"/>
      <c r="X32" s="29"/>
      <c r="Y32" s="29"/>
      <c r="Z32" s="29"/>
      <c r="AA32" s="29"/>
      <c r="AB32" s="29"/>
      <c r="AC32" s="29"/>
    </row>
    <row r="33" spans="1:29">
      <c r="A33" s="17">
        <f t="shared" si="0"/>
        <v>24</v>
      </c>
      <c r="B33" s="16" t="s">
        <v>655</v>
      </c>
      <c r="C33" s="17" t="s">
        <v>656</v>
      </c>
      <c r="D33" s="35">
        <f>+'S8.8 '!D41</f>
        <v>-98.6</v>
      </c>
      <c r="E33" s="35">
        <f>+'S8.8 '!E41</f>
        <v>-98.6</v>
      </c>
      <c r="F33" s="35">
        <f>+'S8.8 '!F41</f>
        <v>-98.778360000000006</v>
      </c>
      <c r="G33" s="35">
        <f>+'S8.8 '!G41</f>
        <v>-98.778360000000006</v>
      </c>
      <c r="H33" s="35">
        <f>+'S8.8 '!H41</f>
        <v>-98.778360000000006</v>
      </c>
      <c r="I33" s="35">
        <f>+'S8.8 '!I41</f>
        <v>-98.778360000000006</v>
      </c>
      <c r="J33" s="35">
        <f>+'S8.8 '!J41</f>
        <v>-98.778360000000006</v>
      </c>
      <c r="K33" s="35"/>
      <c r="L33" s="35">
        <f>+'S8.8 '!L41</f>
        <v>74.351310000000041</v>
      </c>
      <c r="M33" s="35"/>
      <c r="N33" s="35">
        <f>+'S8.8 '!N41</f>
        <v>123.74049000000005</v>
      </c>
      <c r="O33" s="35"/>
      <c r="P33" s="35">
        <f>+'S8.8 '!P41</f>
        <v>-98.6</v>
      </c>
      <c r="Q33" s="35"/>
      <c r="R33" s="35">
        <f>+'S8.8 '!R41</f>
        <v>-98.6</v>
      </c>
      <c r="S33" s="35"/>
      <c r="U33" s="29"/>
      <c r="V33" s="29"/>
      <c r="W33" s="29"/>
      <c r="X33" s="29"/>
      <c r="Y33" s="29"/>
      <c r="Z33" s="29"/>
      <c r="AA33" s="29"/>
      <c r="AB33" s="29"/>
      <c r="AC33" s="29"/>
    </row>
    <row r="34" spans="1:29" customFormat="1">
      <c r="A34" s="17">
        <f t="shared" si="0"/>
        <v>25</v>
      </c>
      <c r="B34" s="16" t="s">
        <v>657</v>
      </c>
      <c r="C34" s="17"/>
      <c r="D34" s="42">
        <v>14998.358477719536</v>
      </c>
      <c r="E34" s="42">
        <v>7437</v>
      </c>
      <c r="F34" s="42">
        <v>6171</v>
      </c>
      <c r="G34" s="42">
        <v>7380</v>
      </c>
      <c r="H34" s="42">
        <v>8959</v>
      </c>
      <c r="I34" s="42">
        <v>9307.4978394744867</v>
      </c>
      <c r="J34" s="42">
        <v>10102.443687338706</v>
      </c>
      <c r="K34" s="38"/>
      <c r="L34" s="42">
        <f>14676</f>
        <v>14676</v>
      </c>
      <c r="M34" s="38"/>
      <c r="N34" s="42">
        <v>17670.95</v>
      </c>
      <c r="O34" s="38"/>
      <c r="P34" s="42">
        <f>+'S9.1'!R40</f>
        <v>14998.358477719536</v>
      </c>
      <c r="Q34" s="38"/>
      <c r="R34" s="42">
        <f>+'S9.1'!T40</f>
        <v>12470.519873290272</v>
      </c>
      <c r="S34" s="35"/>
    </row>
    <row r="35" spans="1:29" customFormat="1">
      <c r="A35" s="17">
        <f t="shared" si="0"/>
        <v>26</v>
      </c>
      <c r="B35" s="16" t="s">
        <v>658</v>
      </c>
      <c r="C35" s="17"/>
      <c r="D35" s="29">
        <f t="shared" ref="D35:J35" si="4">SUM(D22:D34)</f>
        <v>63790.683067719539</v>
      </c>
      <c r="E35" s="29">
        <f t="shared" si="4"/>
        <v>61898.923348938864</v>
      </c>
      <c r="F35" s="29">
        <f t="shared" si="4"/>
        <v>61524.162173208904</v>
      </c>
      <c r="G35" s="29">
        <f t="shared" si="4"/>
        <v>63018.469549999987</v>
      </c>
      <c r="H35" s="29">
        <f>SUM(H22:H34)</f>
        <v>75067.513040000005</v>
      </c>
      <c r="I35" s="29">
        <f t="shared" si="4"/>
        <v>79431.668396542285</v>
      </c>
      <c r="J35" s="29">
        <f t="shared" si="4"/>
        <v>83938.691416497983</v>
      </c>
      <c r="K35" s="29"/>
      <c r="L35" s="29">
        <f>SUM(L22:L34)</f>
        <v>64404.115322473459</v>
      </c>
      <c r="M35" s="29"/>
      <c r="N35" s="29">
        <f>SUM(N22:N34)</f>
        <v>76397.842540287747</v>
      </c>
      <c r="O35" s="29"/>
      <c r="P35" s="29">
        <f>SUM(P22:P34)</f>
        <v>57148.427182949301</v>
      </c>
      <c r="Q35" s="29"/>
      <c r="R35" s="29">
        <f>SUM(R22:R34)</f>
        <v>57210.299984632948</v>
      </c>
      <c r="S35" s="16"/>
    </row>
    <row r="36" spans="1:29" customFormat="1">
      <c r="A36" s="17">
        <f t="shared" si="0"/>
        <v>27</v>
      </c>
      <c r="B36" s="16" t="s">
        <v>659</v>
      </c>
      <c r="C36" s="17"/>
      <c r="D36" s="88">
        <v>0.05</v>
      </c>
      <c r="E36" s="88">
        <v>0.05</v>
      </c>
      <c r="F36" s="88">
        <v>0.05</v>
      </c>
      <c r="G36" s="88">
        <v>0.05</v>
      </c>
      <c r="H36" s="88">
        <v>0.05</v>
      </c>
      <c r="I36" s="88">
        <v>0.05</v>
      </c>
      <c r="J36" s="88">
        <v>0.05</v>
      </c>
      <c r="K36" s="99"/>
      <c r="L36" s="88">
        <v>0.05</v>
      </c>
      <c r="M36" s="99"/>
      <c r="N36" s="88">
        <v>0.05</v>
      </c>
      <c r="O36" s="99"/>
      <c r="P36" s="88">
        <v>0.05</v>
      </c>
      <c r="Q36" s="99"/>
      <c r="R36" s="88">
        <v>0.05</v>
      </c>
      <c r="S36" s="16"/>
    </row>
    <row r="37" spans="1:29" customFormat="1">
      <c r="A37" s="17">
        <f t="shared" si="0"/>
        <v>28</v>
      </c>
      <c r="B37" s="16" t="s">
        <v>660</v>
      </c>
      <c r="C37" s="17"/>
      <c r="D37" s="29">
        <f>D36*D35</f>
        <v>3189.5341533859773</v>
      </c>
      <c r="E37" s="29">
        <f t="shared" ref="E37:J37" si="5">E36*E35</f>
        <v>3094.9461674469435</v>
      </c>
      <c r="F37" s="29">
        <f t="shared" si="5"/>
        <v>3076.2081086604453</v>
      </c>
      <c r="G37" s="29">
        <f t="shared" si="5"/>
        <v>3150.9234774999995</v>
      </c>
      <c r="H37" s="29">
        <f>H36*H35</f>
        <v>3753.3756520000006</v>
      </c>
      <c r="I37" s="29">
        <f t="shared" si="5"/>
        <v>3971.5834198271145</v>
      </c>
      <c r="J37" s="29">
        <f t="shared" si="5"/>
        <v>4196.9345708248993</v>
      </c>
      <c r="K37" s="29"/>
      <c r="L37" s="29">
        <f>L36*L35</f>
        <v>3220.2057661236731</v>
      </c>
      <c r="M37" s="29"/>
      <c r="N37" s="29">
        <f>N36*N35</f>
        <v>3819.8921270143874</v>
      </c>
      <c r="O37" s="29"/>
      <c r="P37" s="29">
        <f>P36*P35</f>
        <v>2857.4213591474654</v>
      </c>
      <c r="Q37" s="29"/>
      <c r="R37" s="29">
        <f>R36*R35</f>
        <v>2860.5149992316474</v>
      </c>
      <c r="S37" s="16"/>
    </row>
    <row r="38" spans="1:29" customFormat="1">
      <c r="A38" s="17">
        <f t="shared" si="0"/>
        <v>29</v>
      </c>
      <c r="B38" s="16"/>
      <c r="C38" s="17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</row>
    <row r="39" spans="1:29" customFormat="1">
      <c r="A39" s="17">
        <f t="shared" si="0"/>
        <v>30</v>
      </c>
      <c r="B39" s="16" t="s">
        <v>661</v>
      </c>
      <c r="C39" s="17"/>
      <c r="D39" s="93">
        <v>26</v>
      </c>
      <c r="E39" s="93">
        <v>26</v>
      </c>
      <c r="F39" s="93">
        <v>26</v>
      </c>
      <c r="G39" s="93">
        <v>26</v>
      </c>
      <c r="H39" s="93">
        <v>26</v>
      </c>
      <c r="I39" s="93">
        <v>26</v>
      </c>
      <c r="J39" s="93">
        <v>26</v>
      </c>
      <c r="K39" s="93"/>
      <c r="L39" s="93">
        <v>26</v>
      </c>
      <c r="M39" s="93"/>
      <c r="N39" s="93">
        <v>26</v>
      </c>
      <c r="O39" s="93"/>
      <c r="P39" s="93">
        <f>J39</f>
        <v>26</v>
      </c>
      <c r="Q39" s="93"/>
      <c r="R39" s="93">
        <f>L39</f>
        <v>26</v>
      </c>
      <c r="S39" s="93"/>
    </row>
    <row r="40" spans="1:29" customFormat="1">
      <c r="A40" s="17">
        <f t="shared" si="0"/>
        <v>31</v>
      </c>
      <c r="B40" s="16" t="s">
        <v>638</v>
      </c>
      <c r="C40" s="17"/>
      <c r="D40" s="90">
        <v>56.593281923785369</v>
      </c>
      <c r="E40" s="90">
        <v>56.593281923785369</v>
      </c>
      <c r="F40" s="90">
        <v>56.593281923785369</v>
      </c>
      <c r="G40" s="90">
        <v>56.593281923785369</v>
      </c>
      <c r="H40" s="90">
        <f>G40</f>
        <v>56.593281923785369</v>
      </c>
      <c r="I40" s="90">
        <v>56.593281923785369</v>
      </c>
      <c r="J40" s="90">
        <f>H40</f>
        <v>56.593281923785369</v>
      </c>
      <c r="K40" s="93"/>
      <c r="L40" s="90">
        <f>J40</f>
        <v>56.593281923785369</v>
      </c>
      <c r="M40" s="93"/>
      <c r="N40" s="90">
        <f>L40</f>
        <v>56.593281923785369</v>
      </c>
      <c r="O40" s="93"/>
      <c r="P40" s="90">
        <f>J40</f>
        <v>56.593281923785369</v>
      </c>
      <c r="Q40" s="93"/>
      <c r="R40" s="90">
        <f>L40</f>
        <v>56.593281923785369</v>
      </c>
      <c r="S40" s="89"/>
    </row>
    <row r="41" spans="1:29" customFormat="1">
      <c r="A41" s="17">
        <f t="shared" si="0"/>
        <v>32</v>
      </c>
      <c r="B41" s="16"/>
      <c r="C41" s="17"/>
      <c r="D41" s="94">
        <f t="shared" ref="D41:J41" si="6">D40-D39</f>
        <v>30.593281923785369</v>
      </c>
      <c r="E41" s="94">
        <f t="shared" si="6"/>
        <v>30.593281923785369</v>
      </c>
      <c r="F41" s="94">
        <f t="shared" si="6"/>
        <v>30.593281923785369</v>
      </c>
      <c r="G41" s="94">
        <f t="shared" si="6"/>
        <v>30.593281923785369</v>
      </c>
      <c r="H41" s="94">
        <f t="shared" si="6"/>
        <v>30.593281923785369</v>
      </c>
      <c r="I41" s="94">
        <f t="shared" si="6"/>
        <v>30.593281923785369</v>
      </c>
      <c r="J41" s="94">
        <f t="shared" si="6"/>
        <v>30.593281923785369</v>
      </c>
      <c r="K41" s="94"/>
      <c r="L41" s="94">
        <f>L40-L39</f>
        <v>30.593281923785369</v>
      </c>
      <c r="M41" s="94"/>
      <c r="N41" s="94">
        <f>N40-N39</f>
        <v>30.593281923785369</v>
      </c>
      <c r="O41" s="94"/>
      <c r="P41" s="94">
        <f>P40-P39</f>
        <v>30.593281923785369</v>
      </c>
      <c r="Q41" s="94"/>
      <c r="R41" s="94">
        <f>R40-R39</f>
        <v>30.593281923785369</v>
      </c>
      <c r="S41" s="94"/>
    </row>
    <row r="42" spans="1:29" customFormat="1">
      <c r="A42" s="17">
        <f t="shared" si="0"/>
        <v>33</v>
      </c>
      <c r="B42" s="16"/>
      <c r="C42" s="17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</row>
    <row r="43" spans="1:29" customFormat="1">
      <c r="A43" s="17">
        <f t="shared" si="0"/>
        <v>34</v>
      </c>
      <c r="B43" s="16" t="s">
        <v>639</v>
      </c>
      <c r="C43" s="17" t="s">
        <v>662</v>
      </c>
      <c r="D43" s="130">
        <f>D37*D41/365</f>
        <v>267.33785632898434</v>
      </c>
      <c r="E43" s="130">
        <f t="shared" ref="E43:J43" si="7">E37*E41/365</f>
        <v>259.40975517710518</v>
      </c>
      <c r="F43" s="130">
        <f t="shared" si="7"/>
        <v>257.83918335474954</v>
      </c>
      <c r="G43" s="130">
        <f t="shared" si="7"/>
        <v>264.10161717104569</v>
      </c>
      <c r="H43" s="130">
        <f t="shared" si="7"/>
        <v>314.59747804796643</v>
      </c>
      <c r="I43" s="130">
        <f t="shared" si="7"/>
        <v>332.88704451123982</v>
      </c>
      <c r="J43" s="130">
        <f t="shared" si="7"/>
        <v>351.77534942719808</v>
      </c>
      <c r="K43" s="29"/>
      <c r="L43" s="130">
        <f>L37*L41/365</f>
        <v>269.90866535786517</v>
      </c>
      <c r="M43" s="29"/>
      <c r="N43" s="130">
        <f>N37*N41/365</f>
        <v>320.17270345260084</v>
      </c>
      <c r="O43" s="29"/>
      <c r="P43" s="130">
        <f>P37*P41/365</f>
        <v>239.50108826149145</v>
      </c>
      <c r="Q43" s="29"/>
      <c r="R43" s="130">
        <f>R37*R41/365</f>
        <v>239.76038854441228</v>
      </c>
      <c r="S43" s="16"/>
    </row>
    <row r="44" spans="1:29">
      <c r="A44" s="17">
        <f t="shared" si="0"/>
        <v>35</v>
      </c>
      <c r="D44" s="16"/>
      <c r="U44" s="29"/>
      <c r="V44" s="29"/>
      <c r="W44" s="29"/>
      <c r="X44" s="29"/>
      <c r="Y44" s="29"/>
      <c r="Z44" s="29"/>
      <c r="AA44" s="29"/>
      <c r="AB44" s="29"/>
      <c r="AC44" s="29"/>
    </row>
    <row r="45" spans="1:29" ht="16" thickBot="1">
      <c r="A45" s="17">
        <f t="shared" si="0"/>
        <v>36</v>
      </c>
      <c r="B45" s="16" t="s">
        <v>663</v>
      </c>
      <c r="D45" s="95">
        <f t="shared" ref="D45:J45" si="8">D19+D43</f>
        <v>150.62747660086535</v>
      </c>
      <c r="E45" s="95">
        <f t="shared" si="8"/>
        <v>130.27168485777878</v>
      </c>
      <c r="F45" s="95">
        <f t="shared" si="8"/>
        <v>124.31877769755516</v>
      </c>
      <c r="G45" s="95">
        <f t="shared" si="8"/>
        <v>129.84886641731174</v>
      </c>
      <c r="H45" s="95">
        <f t="shared" si="8"/>
        <v>158.87073334768826</v>
      </c>
      <c r="I45" s="95">
        <f t="shared" si="8"/>
        <v>169.57949383412173</v>
      </c>
      <c r="J45" s="95">
        <f t="shared" si="8"/>
        <v>181.75554640353124</v>
      </c>
      <c r="K45" s="29"/>
      <c r="L45" s="95">
        <f>L19+L43</f>
        <v>147.14502649273672</v>
      </c>
      <c r="M45" s="29"/>
      <c r="N45" s="95">
        <f>N19+N43</f>
        <v>183.11140905947744</v>
      </c>
      <c r="O45" s="29"/>
      <c r="P45" s="95">
        <f>P19+P43</f>
        <v>134.48057239687006</v>
      </c>
      <c r="Q45" s="29"/>
      <c r="R45" s="95">
        <f>R19+R43</f>
        <v>129.11510804992412</v>
      </c>
      <c r="U45" s="29"/>
      <c r="V45" s="29"/>
      <c r="W45" s="29"/>
      <c r="X45" s="29"/>
      <c r="Y45" s="29"/>
      <c r="Z45" s="29"/>
      <c r="AA45" s="29"/>
      <c r="AB45" s="29"/>
      <c r="AC45" s="29"/>
    </row>
    <row r="47" spans="1:29">
      <c r="D47" s="481"/>
      <c r="E47" s="29"/>
      <c r="F47" s="29"/>
      <c r="G47" s="29"/>
      <c r="H47" s="29"/>
      <c r="I47" s="29"/>
      <c r="J47" s="29"/>
    </row>
    <row r="48" spans="1:29">
      <c r="D48" s="482"/>
      <c r="E48" s="482"/>
      <c r="F48" s="482"/>
      <c r="G48" s="482"/>
      <c r="H48" s="482"/>
      <c r="I48" s="482"/>
      <c r="J48" s="482"/>
    </row>
    <row r="49" spans="5:5">
      <c r="E49" s="29"/>
    </row>
  </sheetData>
  <mergeCells count="8">
    <mergeCell ref="P7:R7"/>
    <mergeCell ref="L7:N7"/>
    <mergeCell ref="V9:AC9"/>
    <mergeCell ref="D7:J7"/>
    <mergeCell ref="A1:R1"/>
    <mergeCell ref="A2:R2"/>
    <mergeCell ref="A4:R4"/>
    <mergeCell ref="A5:R5"/>
  </mergeCells>
  <phoneticPr fontId="10" type="noConversion"/>
  <printOptions horizontalCentered="1"/>
  <pageMargins left="0.5" right="0.5" top="0.75" bottom="0.75" header="0.5" footer="0.5"/>
  <pageSetup scale="55" orientation="landscape" useFirstPageNumber="1" r:id="rId1"/>
  <headerFooter alignWithMargins="0">
    <oddHeader>&amp;R&amp;"Arial,Bold"Schedule 8.11
Page &amp;P of 1</oddHeader>
  </headerFooter>
  <ignoredErrors>
    <ignoredError sqref="A5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>
    <pageSetUpPr fitToPage="1"/>
  </sheetPr>
  <dimension ref="A1:T33"/>
  <sheetViews>
    <sheetView zoomScaleNormal="100" zoomScaleSheetLayoutView="100" workbookViewId="0">
      <selection activeCell="L26" sqref="L26"/>
    </sheetView>
  </sheetViews>
  <sheetFormatPr defaultColWidth="9" defaultRowHeight="15.5"/>
  <cols>
    <col min="1" max="1" width="6" style="16" bestFit="1" customWidth="1"/>
    <col min="2" max="2" width="46.7265625" style="16" bestFit="1" customWidth="1"/>
    <col min="3" max="4" width="12" style="17" customWidth="1"/>
    <col min="5" max="5" width="10.1796875" style="16" bestFit="1" customWidth="1"/>
    <col min="6" max="8" width="12.7265625" style="16" customWidth="1"/>
    <col min="9" max="9" width="15.54296875" style="16" customWidth="1"/>
    <col min="10" max="10" width="13.7265625" style="16" bestFit="1" customWidth="1"/>
    <col min="11" max="11" width="2" style="16" customWidth="1"/>
    <col min="12" max="12" width="15.81640625" style="16" customWidth="1"/>
    <col min="13" max="13" width="2.453125" style="16" customWidth="1"/>
    <col min="14" max="14" width="11.54296875" style="16" bestFit="1" customWidth="1"/>
    <col min="15" max="15" width="2.1796875" style="16" customWidth="1"/>
    <col min="16" max="16" width="12.7265625" style="16" customWidth="1"/>
    <col min="17" max="17" width="2.1796875" style="16" customWidth="1"/>
    <col min="18" max="18" width="12.7265625" style="16" customWidth="1"/>
    <col min="19" max="19" width="2.1796875" style="16" customWidth="1"/>
    <col min="20" max="16384" width="9" style="16"/>
  </cols>
  <sheetData>
    <row r="1" spans="1:19">
      <c r="A1" s="520" t="str">
        <f>'S1.1'!A1</f>
        <v>ATCO Electric Yukon (AEY)</v>
      </c>
      <c r="B1" s="520"/>
      <c r="C1" s="520"/>
      <c r="D1" s="520"/>
      <c r="E1" s="520"/>
      <c r="F1" s="520"/>
      <c r="G1" s="520"/>
      <c r="H1" s="520"/>
      <c r="I1" s="520"/>
      <c r="J1" s="520"/>
      <c r="K1" s="520"/>
      <c r="L1" s="520"/>
      <c r="M1" s="520"/>
      <c r="N1" s="520"/>
      <c r="O1" s="520"/>
      <c r="P1" s="520"/>
      <c r="Q1" s="520"/>
      <c r="R1" s="520"/>
      <c r="S1" s="31"/>
    </row>
    <row r="2" spans="1:19">
      <c r="A2" s="520" t="str">
        <f>'S1.1'!A2</f>
        <v>2023 - 2024 General Rate Application (GRA)</v>
      </c>
      <c r="B2" s="520"/>
      <c r="C2" s="520"/>
      <c r="D2" s="520"/>
      <c r="E2" s="520"/>
      <c r="F2" s="520"/>
      <c r="G2" s="520"/>
      <c r="H2" s="520"/>
      <c r="I2" s="520"/>
      <c r="J2" s="520"/>
      <c r="K2" s="520"/>
      <c r="L2" s="520"/>
      <c r="M2" s="520"/>
      <c r="N2" s="520"/>
      <c r="O2" s="520"/>
      <c r="P2" s="520"/>
      <c r="Q2" s="520"/>
      <c r="R2" s="520"/>
      <c r="S2" s="31"/>
    </row>
    <row r="3" spans="1:19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31"/>
    </row>
    <row r="4" spans="1:19">
      <c r="A4" s="520" t="s">
        <v>664</v>
      </c>
      <c r="B4" s="520"/>
      <c r="C4" s="520"/>
      <c r="D4" s="520"/>
      <c r="E4" s="520"/>
      <c r="F4" s="520"/>
      <c r="G4" s="520"/>
      <c r="H4" s="520"/>
      <c r="I4" s="520"/>
      <c r="J4" s="520"/>
      <c r="K4" s="520"/>
      <c r="L4" s="520"/>
      <c r="M4" s="520"/>
      <c r="N4" s="520"/>
      <c r="O4" s="520"/>
      <c r="P4" s="520"/>
      <c r="Q4" s="520"/>
      <c r="R4" s="520"/>
    </row>
    <row r="5" spans="1:19">
      <c r="A5" s="518" t="s">
        <v>6</v>
      </c>
      <c r="B5" s="518"/>
      <c r="C5" s="518"/>
      <c r="D5" s="518"/>
      <c r="E5" s="518"/>
      <c r="F5" s="518"/>
      <c r="G5" s="518"/>
      <c r="H5" s="518"/>
      <c r="I5" s="518"/>
      <c r="J5" s="518"/>
      <c r="K5" s="518"/>
      <c r="L5" s="518"/>
      <c r="M5" s="518"/>
      <c r="N5" s="518"/>
      <c r="O5" s="518"/>
      <c r="P5" s="518"/>
      <c r="Q5" s="518"/>
      <c r="R5" s="518"/>
    </row>
    <row r="6" spans="1:19">
      <c r="J6" s="79"/>
      <c r="K6" s="79"/>
      <c r="L6" s="79"/>
      <c r="M6" s="79"/>
      <c r="N6" s="79"/>
      <c r="O6" s="79"/>
      <c r="P6" s="6"/>
      <c r="Q6" s="79"/>
      <c r="R6" s="6"/>
    </row>
    <row r="7" spans="1:19">
      <c r="A7" s="6" t="s">
        <v>7</v>
      </c>
      <c r="C7" s="6" t="s">
        <v>8</v>
      </c>
      <c r="D7" s="519" t="s">
        <v>9</v>
      </c>
      <c r="E7" s="519"/>
      <c r="F7" s="519"/>
      <c r="G7" s="519"/>
      <c r="H7" s="519"/>
      <c r="I7" s="519"/>
      <c r="J7" s="519"/>
      <c r="K7" s="6"/>
      <c r="L7" s="520" t="s">
        <v>10</v>
      </c>
      <c r="M7" s="520"/>
      <c r="N7" s="520"/>
      <c r="O7" s="18"/>
      <c r="P7" s="519" t="s">
        <v>11</v>
      </c>
      <c r="Q7" s="519"/>
      <c r="R7" s="519"/>
    </row>
    <row r="8" spans="1:19">
      <c r="A8" s="7" t="s">
        <v>12</v>
      </c>
      <c r="B8" s="140" t="s">
        <v>13</v>
      </c>
      <c r="C8" s="7" t="s">
        <v>14</v>
      </c>
      <c r="D8" s="7">
        <v>2016</v>
      </c>
      <c r="E8" s="7">
        <v>2017</v>
      </c>
      <c r="F8" s="7">
        <v>2018</v>
      </c>
      <c r="G8" s="7">
        <v>2019</v>
      </c>
      <c r="H8" s="7">
        <v>2020</v>
      </c>
      <c r="I8" s="7">
        <v>2021</v>
      </c>
      <c r="J8" s="7">
        <v>2022</v>
      </c>
      <c r="K8" s="6"/>
      <c r="L8" s="240">
        <v>2023</v>
      </c>
      <c r="M8" s="240"/>
      <c r="N8" s="240">
        <v>2024</v>
      </c>
      <c r="O8" s="6"/>
      <c r="P8" s="7">
        <v>2016</v>
      </c>
      <c r="Q8" s="6"/>
      <c r="R8" s="7">
        <v>2017</v>
      </c>
    </row>
    <row r="10" spans="1:19">
      <c r="A10" s="17">
        <f>A9+1</f>
        <v>1</v>
      </c>
      <c r="B10" s="18" t="s">
        <v>521</v>
      </c>
      <c r="C10" s="6"/>
      <c r="D10" s="6"/>
    </row>
    <row r="11" spans="1:19">
      <c r="A11" s="17">
        <v>2</v>
      </c>
      <c r="B11" s="16" t="s">
        <v>665</v>
      </c>
      <c r="D11" s="35">
        <v>58177.424079999997</v>
      </c>
      <c r="E11" s="35">
        <f>D14</f>
        <v>59354.413959999998</v>
      </c>
      <c r="F11" s="35">
        <f t="shared" ref="F11:J11" si="0">E14</f>
        <v>61469.112589999997</v>
      </c>
      <c r="G11" s="35">
        <f t="shared" si="0"/>
        <v>64469.728159999999</v>
      </c>
      <c r="H11" s="35">
        <f t="shared" si="0"/>
        <v>70438.728159999999</v>
      </c>
      <c r="I11" s="35">
        <f t="shared" si="0"/>
        <v>74959.035090000005</v>
      </c>
      <c r="J11" s="35">
        <f t="shared" si="0"/>
        <v>80147.120030000005</v>
      </c>
      <c r="K11" s="35"/>
      <c r="L11" s="35">
        <f>+J14</f>
        <v>82547.164369999999</v>
      </c>
      <c r="M11" s="35"/>
      <c r="N11" s="35">
        <f>+L14</f>
        <v>92503.012529961488</v>
      </c>
      <c r="O11" s="35"/>
      <c r="P11" s="35">
        <v>58177</v>
      </c>
      <c r="Q11" s="35"/>
      <c r="R11" s="35">
        <f>+P14</f>
        <v>59723</v>
      </c>
    </row>
    <row r="12" spans="1:19">
      <c r="A12" s="17">
        <v>3</v>
      </c>
      <c r="B12" s="16" t="s">
        <v>666</v>
      </c>
      <c r="D12" s="35">
        <v>1241</v>
      </c>
      <c r="E12" s="35">
        <v>2204</v>
      </c>
      <c r="F12" s="35">
        <v>3212</v>
      </c>
      <c r="G12" s="35">
        <v>5969</v>
      </c>
      <c r="H12" s="35">
        <v>4220</v>
      </c>
      <c r="I12" s="35">
        <v>5250.06</v>
      </c>
      <c r="J12" s="35">
        <v>2528.62</v>
      </c>
      <c r="K12" s="35"/>
      <c r="L12" s="35">
        <v>10119.467376628161</v>
      </c>
      <c r="M12" s="35"/>
      <c r="N12" s="35">
        <v>16430.642572322158</v>
      </c>
      <c r="O12" s="35"/>
      <c r="P12" s="35">
        <v>1800</v>
      </c>
      <c r="Q12" s="35"/>
      <c r="R12" s="35">
        <v>3151</v>
      </c>
    </row>
    <row r="13" spans="1:19">
      <c r="A13" s="17">
        <v>4</v>
      </c>
      <c r="B13" s="16" t="s">
        <v>537</v>
      </c>
      <c r="D13" s="42">
        <v>-64.010120000000001</v>
      </c>
      <c r="E13" s="42">
        <v>-89.301369999999991</v>
      </c>
      <c r="F13" s="42">
        <v>-211.38442999999998</v>
      </c>
      <c r="G13" s="42">
        <v>0</v>
      </c>
      <c r="H13" s="42">
        <v>300.30692999999923</v>
      </c>
      <c r="I13" s="42">
        <v>-61.975060000000049</v>
      </c>
      <c r="J13" s="42">
        <v>-128.57566</v>
      </c>
      <c r="K13" s="38"/>
      <c r="L13" s="42">
        <v>-163.6192166666666</v>
      </c>
      <c r="M13" s="38"/>
      <c r="N13" s="42">
        <v>-163.61921666666657</v>
      </c>
      <c r="O13" s="38"/>
      <c r="P13" s="42">
        <v>-255</v>
      </c>
      <c r="Q13" s="38"/>
      <c r="R13" s="42">
        <v>-254.65311333333332</v>
      </c>
    </row>
    <row r="14" spans="1:19">
      <c r="A14" s="17">
        <v>5</v>
      </c>
      <c r="B14" s="16" t="s">
        <v>667</v>
      </c>
      <c r="D14" s="35">
        <f t="shared" ref="D14:J14" si="1">SUM(D11:D13)</f>
        <v>59354.413959999998</v>
      </c>
      <c r="E14" s="35">
        <f t="shared" si="1"/>
        <v>61469.112589999997</v>
      </c>
      <c r="F14" s="35">
        <f t="shared" si="1"/>
        <v>64469.728159999999</v>
      </c>
      <c r="G14" s="35">
        <f t="shared" si="1"/>
        <v>70438.728159999999</v>
      </c>
      <c r="H14" s="35">
        <f t="shared" si="1"/>
        <v>74959.035090000005</v>
      </c>
      <c r="I14" s="35">
        <f t="shared" si="1"/>
        <v>80147.120030000005</v>
      </c>
      <c r="J14" s="35">
        <f t="shared" si="1"/>
        <v>82547.164369999999</v>
      </c>
      <c r="K14" s="35"/>
      <c r="L14" s="35">
        <f>SUM(L11:L13)</f>
        <v>92503.012529961488</v>
      </c>
      <c r="M14" s="35"/>
      <c r="N14" s="35">
        <f>SUM(N11:N13)</f>
        <v>108770.03588561698</v>
      </c>
      <c r="O14" s="35"/>
      <c r="P14" s="35">
        <v>59723</v>
      </c>
      <c r="Q14" s="35"/>
      <c r="R14" s="35">
        <f>SUM(R11:R13)</f>
        <v>62619.346886666666</v>
      </c>
    </row>
    <row r="15" spans="1:19">
      <c r="A15" s="17">
        <v>6</v>
      </c>
      <c r="B15" s="18" t="s">
        <v>668</v>
      </c>
      <c r="C15" s="6"/>
      <c r="D15" s="16"/>
      <c r="J15" s="43"/>
      <c r="K15" s="43"/>
      <c r="L15" s="43"/>
      <c r="M15" s="43"/>
      <c r="N15" s="43"/>
    </row>
    <row r="16" spans="1:19">
      <c r="A16" s="17">
        <v>7</v>
      </c>
      <c r="B16" s="16" t="s">
        <v>669</v>
      </c>
      <c r="D16" s="35">
        <v>22947.573349999999</v>
      </c>
      <c r="E16" s="35">
        <f>D19</f>
        <v>24382.56323</v>
      </c>
      <c r="F16" s="35">
        <f t="shared" ref="F16:I16" si="2">E19</f>
        <v>25818.261859999999</v>
      </c>
      <c r="G16" s="35">
        <f t="shared" si="2"/>
        <v>27144.87743</v>
      </c>
      <c r="H16" s="35">
        <f t="shared" si="2"/>
        <v>28779.87743</v>
      </c>
      <c r="I16" s="35">
        <f t="shared" si="2"/>
        <v>30834.184359999999</v>
      </c>
      <c r="J16" s="35">
        <f>I19</f>
        <v>32649.209299999999</v>
      </c>
      <c r="K16" s="35"/>
      <c r="L16" s="35">
        <f>+J19</f>
        <v>34553.63364</v>
      </c>
      <c r="M16" s="35"/>
      <c r="N16" s="35">
        <f>+L19</f>
        <v>36548.82222295821</v>
      </c>
      <c r="O16" s="35"/>
      <c r="P16" s="35">
        <v>22948</v>
      </c>
      <c r="Q16" s="35"/>
      <c r="R16" s="35">
        <f>+P19</f>
        <v>24197.457396294667</v>
      </c>
    </row>
    <row r="17" spans="1:20">
      <c r="A17" s="17">
        <v>8</v>
      </c>
      <c r="B17" s="16" t="s">
        <v>670</v>
      </c>
      <c r="D17" s="35">
        <v>1499</v>
      </c>
      <c r="E17" s="35">
        <v>1525</v>
      </c>
      <c r="F17" s="35">
        <v>1538</v>
      </c>
      <c r="G17" s="35">
        <v>1635</v>
      </c>
      <c r="H17" s="35">
        <v>1754</v>
      </c>
      <c r="I17" s="35">
        <v>1877</v>
      </c>
      <c r="J17" s="35">
        <v>2033</v>
      </c>
      <c r="K17" s="35"/>
      <c r="L17" s="35">
        <v>2158.8077996248762</v>
      </c>
      <c r="M17" s="35"/>
      <c r="N17" s="35">
        <v>2528.3020224643806</v>
      </c>
      <c r="O17" s="35"/>
      <c r="P17" s="35">
        <v>1504.4573962946663</v>
      </c>
      <c r="Q17" s="35"/>
      <c r="R17" s="35">
        <v>1570.3684804996662</v>
      </c>
    </row>
    <row r="18" spans="1:20">
      <c r="A18" s="17">
        <v>9</v>
      </c>
      <c r="B18" s="16" t="s">
        <v>537</v>
      </c>
      <c r="D18" s="42">
        <f t="shared" ref="D18:J18" si="3">D13</f>
        <v>-64.010120000000001</v>
      </c>
      <c r="E18" s="42">
        <f t="shared" si="3"/>
        <v>-89.301369999999991</v>
      </c>
      <c r="F18" s="42">
        <f t="shared" si="3"/>
        <v>-211.38442999999998</v>
      </c>
      <c r="G18" s="42">
        <f t="shared" si="3"/>
        <v>0</v>
      </c>
      <c r="H18" s="42">
        <f t="shared" si="3"/>
        <v>300.30692999999923</v>
      </c>
      <c r="I18" s="42">
        <f t="shared" si="3"/>
        <v>-61.975060000000049</v>
      </c>
      <c r="J18" s="42">
        <f t="shared" si="3"/>
        <v>-128.57566</v>
      </c>
      <c r="K18" s="38"/>
      <c r="L18" s="42">
        <f>L13</f>
        <v>-163.6192166666666</v>
      </c>
      <c r="M18" s="38"/>
      <c r="N18" s="42">
        <f>N13</f>
        <v>-163.61921666666657</v>
      </c>
      <c r="O18" s="38"/>
      <c r="P18" s="42">
        <f>P13</f>
        <v>-255</v>
      </c>
      <c r="Q18" s="38"/>
      <c r="R18" s="42">
        <f>R13</f>
        <v>-254.65311333333332</v>
      </c>
    </row>
    <row r="19" spans="1:20">
      <c r="A19" s="17">
        <v>10</v>
      </c>
      <c r="B19" s="16" t="s">
        <v>671</v>
      </c>
      <c r="D19" s="35">
        <f t="shared" ref="D19:I19" si="4">SUM(D16:D18)</f>
        <v>24382.56323</v>
      </c>
      <c r="E19" s="35">
        <f t="shared" si="4"/>
        <v>25818.261859999999</v>
      </c>
      <c r="F19" s="35">
        <f t="shared" si="4"/>
        <v>27144.87743</v>
      </c>
      <c r="G19" s="35">
        <f t="shared" si="4"/>
        <v>28779.87743</v>
      </c>
      <c r="H19" s="35">
        <f t="shared" si="4"/>
        <v>30834.184359999999</v>
      </c>
      <c r="I19" s="35">
        <f t="shared" si="4"/>
        <v>32649.209299999999</v>
      </c>
      <c r="J19" s="35">
        <f>SUM(J16:J18)</f>
        <v>34553.63364</v>
      </c>
      <c r="K19" s="35"/>
      <c r="L19" s="35">
        <f>SUM(L16:L18)</f>
        <v>36548.82222295821</v>
      </c>
      <c r="M19" s="35"/>
      <c r="N19" s="35">
        <f>SUM(N16:N18)</f>
        <v>38913.505028755921</v>
      </c>
      <c r="O19" s="35"/>
      <c r="P19" s="35">
        <f>SUM(P16:P18)</f>
        <v>24197.457396294667</v>
      </c>
      <c r="Q19" s="35"/>
      <c r="R19" s="35">
        <f>SUM(R16:R18)</f>
        <v>25513.172763461</v>
      </c>
    </row>
    <row r="20" spans="1:20">
      <c r="A20" s="17">
        <v>11</v>
      </c>
      <c r="B20" s="18" t="s">
        <v>672</v>
      </c>
      <c r="D20" s="161">
        <f t="shared" ref="D20:J20" si="5">+D14-D19</f>
        <v>34971.850729999998</v>
      </c>
      <c r="E20" s="161">
        <f t="shared" si="5"/>
        <v>35650.850729999998</v>
      </c>
      <c r="F20" s="161">
        <f t="shared" si="5"/>
        <v>37324.850729999998</v>
      </c>
      <c r="G20" s="161">
        <f t="shared" si="5"/>
        <v>41658.850729999998</v>
      </c>
      <c r="H20" s="161">
        <f t="shared" si="5"/>
        <v>44124.850730000006</v>
      </c>
      <c r="I20" s="161">
        <f t="shared" si="5"/>
        <v>47497.910730000003</v>
      </c>
      <c r="J20" s="161">
        <f t="shared" si="5"/>
        <v>47993.530729999999</v>
      </c>
      <c r="K20" s="43"/>
      <c r="L20" s="161">
        <f>+L14-L19</f>
        <v>55954.190307003279</v>
      </c>
      <c r="M20" s="43"/>
      <c r="N20" s="161">
        <f>+N14-N19</f>
        <v>69856.530856861064</v>
      </c>
      <c r="O20" s="43"/>
      <c r="P20" s="161">
        <f>+P14-P19</f>
        <v>35525.542603705333</v>
      </c>
      <c r="Q20" s="43"/>
      <c r="R20" s="161">
        <f>+R14-R19</f>
        <v>37106.174123205667</v>
      </c>
    </row>
    <row r="21" spans="1:20">
      <c r="A21" s="17"/>
      <c r="B21" s="18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</row>
    <row r="22" spans="1:20">
      <c r="J22" s="29"/>
      <c r="N22" s="43"/>
    </row>
    <row r="23" spans="1:20">
      <c r="J23" s="29"/>
      <c r="T23" s="43"/>
    </row>
    <row r="24" spans="1:20">
      <c r="I24" s="43"/>
      <c r="J24" s="152"/>
    </row>
    <row r="25" spans="1:20">
      <c r="I25" s="152"/>
      <c r="J25" s="152"/>
    </row>
    <row r="28" spans="1:20"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</row>
    <row r="30" spans="1:20">
      <c r="G30" s="43"/>
      <c r="H30" s="43"/>
      <c r="I30" s="43"/>
      <c r="J30" s="43"/>
      <c r="L30" s="43"/>
      <c r="N30" s="43"/>
    </row>
    <row r="33" spans="10:10">
      <c r="J33" s="43"/>
    </row>
  </sheetData>
  <mergeCells count="7">
    <mergeCell ref="P7:R7"/>
    <mergeCell ref="L7:N7"/>
    <mergeCell ref="D7:J7"/>
    <mergeCell ref="A1:R1"/>
    <mergeCell ref="A2:R2"/>
    <mergeCell ref="A4:R4"/>
    <mergeCell ref="A5:R5"/>
  </mergeCells>
  <phoneticPr fontId="12" type="noConversion"/>
  <printOptions horizontalCentered="1"/>
  <pageMargins left="0.5" right="0.5" top="0.75" bottom="0.75" header="0.5" footer="0.5"/>
  <pageSetup scale="59" orientation="landscape" useFirstPageNumber="1" r:id="rId1"/>
  <headerFooter alignWithMargins="0">
    <oddHeader>&amp;R&amp;"Arial,Bold"Schedule 8.12
Page &amp;P of 1</oddHeader>
  </headerFooter>
  <ignoredErrors>
    <ignoredError sqref="A5" numberStoredAsText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>
    <pageSetUpPr fitToPage="1"/>
  </sheetPr>
  <dimension ref="A1:AB67"/>
  <sheetViews>
    <sheetView topLeftCell="A13" zoomScaleNormal="100" zoomScaleSheetLayoutView="100" workbookViewId="0">
      <selection activeCell="A5" sqref="A5:T5"/>
    </sheetView>
  </sheetViews>
  <sheetFormatPr defaultColWidth="9" defaultRowHeight="15.5"/>
  <cols>
    <col min="1" max="1" width="6" style="17" bestFit="1" customWidth="1"/>
    <col min="2" max="2" width="2.1796875" style="17" customWidth="1"/>
    <col min="3" max="3" width="40" style="1" bestFit="1" customWidth="1"/>
    <col min="4" max="4" width="2.1796875" style="1" customWidth="1"/>
    <col min="5" max="5" width="17" style="1" bestFit="1" customWidth="1"/>
    <col min="6" max="6" width="14.7265625" style="1" customWidth="1"/>
    <col min="7" max="7" width="11" style="1" bestFit="1" customWidth="1"/>
    <col min="8" max="12" width="12.7265625" style="1" customWidth="1"/>
    <col min="13" max="13" width="2" style="1" customWidth="1"/>
    <col min="14" max="14" width="12.7265625" style="1" customWidth="1"/>
    <col min="15" max="15" width="2.453125" style="1" customWidth="1"/>
    <col min="16" max="16" width="12.7265625" style="1" customWidth="1"/>
    <col min="17" max="17" width="2.1796875" style="1" customWidth="1"/>
    <col min="18" max="18" width="12.7265625" style="1" customWidth="1"/>
    <col min="19" max="19" width="2.1796875" style="1" customWidth="1"/>
    <col min="20" max="20" width="12.7265625" style="1" customWidth="1"/>
    <col min="21" max="21" width="2.1796875" style="1" customWidth="1"/>
    <col min="22" max="16384" width="9" style="1"/>
  </cols>
  <sheetData>
    <row r="1" spans="1:21" s="24" customFormat="1">
      <c r="A1" s="14" t="str">
        <f>'S1.1'!A1</f>
        <v>ATCO Electric Yukon (AEY)</v>
      </c>
      <c r="B1" s="14"/>
      <c r="C1" s="14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31"/>
    </row>
    <row r="2" spans="1:21" s="24" customFormat="1">
      <c r="A2" s="14" t="str">
        <f>'S1.1'!A2</f>
        <v>2023 - 2024 General Rate Application (GRA)</v>
      </c>
      <c r="B2" s="14"/>
      <c r="C2" s="14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31"/>
    </row>
    <row r="3" spans="1:21" s="24" customFormat="1">
      <c r="A3" s="14"/>
      <c r="B3" s="14"/>
      <c r="C3" s="14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31"/>
    </row>
    <row r="4" spans="1:21" s="145" customFormat="1">
      <c r="A4" s="520" t="s">
        <v>673</v>
      </c>
      <c r="B4" s="520"/>
      <c r="C4" s="520"/>
      <c r="D4" s="520"/>
      <c r="E4" s="520"/>
      <c r="F4" s="520"/>
      <c r="G4" s="520"/>
      <c r="H4" s="520"/>
      <c r="I4" s="520"/>
      <c r="J4" s="520"/>
      <c r="K4" s="520"/>
      <c r="L4" s="520"/>
      <c r="M4" s="520"/>
      <c r="N4" s="520"/>
      <c r="O4" s="520"/>
      <c r="P4" s="520"/>
      <c r="Q4" s="520"/>
      <c r="R4" s="520"/>
      <c r="S4" s="520"/>
      <c r="T4" s="520"/>
    </row>
    <row r="5" spans="1:21">
      <c r="A5" s="535" t="s">
        <v>6</v>
      </c>
      <c r="B5" s="535"/>
      <c r="C5" s="535"/>
      <c r="D5" s="535"/>
      <c r="E5" s="535"/>
      <c r="F5" s="535"/>
      <c r="G5" s="535"/>
      <c r="H5" s="535"/>
      <c r="I5" s="535"/>
      <c r="J5" s="535"/>
      <c r="K5" s="535"/>
      <c r="L5" s="535"/>
      <c r="M5" s="535"/>
      <c r="N5" s="535"/>
      <c r="O5" s="535"/>
      <c r="P5" s="535"/>
      <c r="Q5" s="535"/>
      <c r="R5" s="535"/>
      <c r="S5" s="535"/>
      <c r="T5" s="535"/>
    </row>
    <row r="6" spans="1:21" s="148" customFormat="1">
      <c r="A6" s="6"/>
      <c r="B6" s="6"/>
      <c r="C6" s="16"/>
      <c r="D6" s="16"/>
      <c r="E6" s="16"/>
      <c r="F6" s="16"/>
      <c r="G6" s="145"/>
      <c r="H6" s="145"/>
      <c r="I6" s="145"/>
      <c r="J6" s="145"/>
      <c r="K6" s="145"/>
      <c r="L6" s="16"/>
      <c r="M6" s="16"/>
      <c r="N6" s="16"/>
      <c r="O6" s="16"/>
      <c r="P6" s="16"/>
      <c r="Q6" s="16"/>
      <c r="R6" s="6"/>
      <c r="S6" s="16"/>
      <c r="T6" s="6"/>
      <c r="U6" s="145"/>
    </row>
    <row r="7" spans="1:21" s="148" customFormat="1">
      <c r="A7" s="6" t="s">
        <v>7</v>
      </c>
      <c r="B7" s="6"/>
      <c r="C7" s="16"/>
      <c r="D7" s="16"/>
      <c r="E7" s="6" t="s">
        <v>8</v>
      </c>
      <c r="F7" s="519" t="s">
        <v>9</v>
      </c>
      <c r="G7" s="519"/>
      <c r="H7" s="519"/>
      <c r="I7" s="519"/>
      <c r="J7" s="519"/>
      <c r="K7" s="519"/>
      <c r="L7" s="519"/>
      <c r="M7" s="6"/>
      <c r="N7" s="520" t="s">
        <v>10</v>
      </c>
      <c r="O7" s="520"/>
      <c r="P7" s="520"/>
      <c r="Q7" s="18"/>
      <c r="R7" s="519" t="s">
        <v>11</v>
      </c>
      <c r="S7" s="519"/>
      <c r="T7" s="519"/>
    </row>
    <row r="8" spans="1:21" s="148" customFormat="1">
      <c r="A8" s="7" t="s">
        <v>12</v>
      </c>
      <c r="B8" s="7"/>
      <c r="C8" s="140" t="s">
        <v>13</v>
      </c>
      <c r="D8" s="18"/>
      <c r="E8" s="7" t="s">
        <v>14</v>
      </c>
      <c r="F8" s="7">
        <v>2016</v>
      </c>
      <c r="G8" s="7">
        <v>2017</v>
      </c>
      <c r="H8" s="7">
        <v>2018</v>
      </c>
      <c r="I8" s="7">
        <v>2019</v>
      </c>
      <c r="J8" s="7">
        <v>2020</v>
      </c>
      <c r="K8" s="7">
        <v>2021</v>
      </c>
      <c r="L8" s="7">
        <v>2022</v>
      </c>
      <c r="M8" s="6"/>
      <c r="N8" s="240">
        <v>2023</v>
      </c>
      <c r="O8" s="240"/>
      <c r="P8" s="240">
        <v>2024</v>
      </c>
      <c r="Q8" s="6"/>
      <c r="R8" s="7">
        <v>2016</v>
      </c>
      <c r="S8" s="6"/>
      <c r="T8" s="7">
        <v>2017</v>
      </c>
    </row>
    <row r="9" spans="1:21" s="148" customFormat="1">
      <c r="A9" s="6"/>
      <c r="B9" s="6"/>
      <c r="C9" s="16"/>
      <c r="D9" s="16"/>
      <c r="E9" s="16"/>
      <c r="F9" s="16"/>
      <c r="L9" s="18"/>
      <c r="M9" s="18"/>
      <c r="N9" s="18"/>
      <c r="O9" s="18"/>
      <c r="P9" s="18"/>
      <c r="Q9" s="18"/>
      <c r="R9" s="18"/>
      <c r="S9" s="18"/>
      <c r="T9" s="18"/>
    </row>
    <row r="10" spans="1:21" s="148" customFormat="1">
      <c r="A10" s="17">
        <v>1</v>
      </c>
      <c r="B10" s="17"/>
      <c r="C10" s="16" t="s">
        <v>674</v>
      </c>
      <c r="D10" s="16"/>
      <c r="E10" s="16"/>
      <c r="F10" s="53">
        <v>1561.1953600000002</v>
      </c>
      <c r="G10" s="53">
        <f t="shared" ref="G10:L10" si="0">+F47</f>
        <v>4266.0120562000011</v>
      </c>
      <c r="H10" s="53">
        <f t="shared" si="0"/>
        <v>6348.5811519529161</v>
      </c>
      <c r="I10" s="53">
        <f t="shared" si="0"/>
        <v>4680.795471784566</v>
      </c>
      <c r="J10" s="53">
        <f t="shared" si="0"/>
        <v>8227.0216817845703</v>
      </c>
      <c r="K10" s="53">
        <f t="shared" si="0"/>
        <v>9334.7018217845725</v>
      </c>
      <c r="L10" s="53">
        <f t="shared" si="0"/>
        <v>13467.09460059481</v>
      </c>
      <c r="M10" s="53"/>
      <c r="N10" s="53">
        <f>+L47</f>
        <v>16524.198081180999</v>
      </c>
      <c r="O10" s="53"/>
      <c r="P10" s="53">
        <f>+N47</f>
        <v>13024.977039546837</v>
      </c>
      <c r="Q10" s="205"/>
      <c r="R10" s="53">
        <v>1561</v>
      </c>
      <c r="S10" s="205"/>
      <c r="T10" s="53">
        <v>2374.6566969883784</v>
      </c>
    </row>
    <row r="11" spans="1:21" s="148" customFormat="1">
      <c r="A11" s="17">
        <f>A10+1</f>
        <v>2</v>
      </c>
      <c r="B11" s="17"/>
      <c r="C11" s="16"/>
      <c r="D11" s="16"/>
      <c r="E11" s="16"/>
      <c r="F11" s="205"/>
      <c r="G11" s="205"/>
      <c r="H11" s="205"/>
      <c r="I11" s="206"/>
      <c r="J11" s="206"/>
      <c r="K11" s="206"/>
      <c r="L11" s="206"/>
      <c r="M11" s="206"/>
      <c r="N11" s="206"/>
      <c r="O11" s="206"/>
      <c r="P11" s="206"/>
      <c r="Q11" s="206"/>
      <c r="R11" s="206"/>
      <c r="S11" s="206"/>
      <c r="T11" s="206"/>
    </row>
    <row r="12" spans="1:21" s="148" customFormat="1">
      <c r="A12" s="17">
        <f t="shared" ref="A12:A47" si="1">A11+1</f>
        <v>3</v>
      </c>
      <c r="B12" s="17"/>
      <c r="C12" s="33" t="s">
        <v>675</v>
      </c>
      <c r="D12" s="16"/>
      <c r="E12" s="16"/>
      <c r="F12" s="205"/>
      <c r="G12" s="205"/>
      <c r="H12" s="205"/>
      <c r="I12" s="206"/>
      <c r="J12" s="206"/>
      <c r="K12" s="206"/>
      <c r="L12" s="206"/>
      <c r="M12" s="206"/>
      <c r="N12" s="206"/>
      <c r="O12" s="206"/>
      <c r="P12" s="206"/>
      <c r="Q12" s="206"/>
      <c r="R12" s="206"/>
      <c r="S12" s="206"/>
      <c r="T12" s="206"/>
    </row>
    <row r="13" spans="1:21" s="148" customFormat="1">
      <c r="A13" s="17">
        <f t="shared" si="1"/>
        <v>4</v>
      </c>
      <c r="B13" s="17"/>
      <c r="C13" s="160" t="s">
        <v>540</v>
      </c>
      <c r="D13" s="16"/>
      <c r="E13" s="17" t="s">
        <v>676</v>
      </c>
      <c r="F13" s="112">
        <f>'S9.2'!D140</f>
        <v>6944.1105870418187</v>
      </c>
      <c r="G13" s="112">
        <f>'S9.2'!E140</f>
        <v>962.51947557007509</v>
      </c>
      <c r="H13" s="112">
        <f>'S9.2'!F140</f>
        <v>2146.7693155070651</v>
      </c>
      <c r="I13" s="112">
        <f>'S9.2'!G140</f>
        <v>2635.0690848023241</v>
      </c>
      <c r="J13" s="112">
        <f>'S9.2'!H140</f>
        <v>3596.7966698834407</v>
      </c>
      <c r="K13" s="112">
        <f>'S9.2'!I140</f>
        <v>3050.2715977849448</v>
      </c>
      <c r="L13" s="112">
        <f>'S9.2'!J140</f>
        <v>1177.6417767940977</v>
      </c>
      <c r="M13" s="206"/>
      <c r="N13" s="112">
        <f>'S9.2'!L140</f>
        <v>3723.0995578541274</v>
      </c>
      <c r="O13" s="206"/>
      <c r="P13" s="112">
        <f>'S9.2'!N140</f>
        <v>3351.7745000000004</v>
      </c>
      <c r="Q13" s="206"/>
      <c r="R13" s="112">
        <v>6601.8757778295867</v>
      </c>
      <c r="S13" s="112"/>
      <c r="T13" s="112">
        <v>2528.9765479458374</v>
      </c>
    </row>
    <row r="14" spans="1:21" s="148" customFormat="1">
      <c r="A14" s="17">
        <f t="shared" si="1"/>
        <v>5</v>
      </c>
      <c r="B14" s="17"/>
      <c r="C14" s="160" t="s">
        <v>677</v>
      </c>
      <c r="D14" s="16"/>
      <c r="E14" s="17" t="s">
        <v>678</v>
      </c>
      <c r="F14" s="112">
        <f>'S9.2'!D147</f>
        <v>0</v>
      </c>
      <c r="G14" s="112">
        <f>'S9.2'!E147</f>
        <v>208</v>
      </c>
      <c r="H14" s="112">
        <f>'S9.2'!F147</f>
        <v>80</v>
      </c>
      <c r="I14" s="112">
        <f>'S9.2'!G147</f>
        <v>1006.9827694598112</v>
      </c>
      <c r="J14" s="112">
        <f>'S9.2'!H147</f>
        <v>1087.4837728141076</v>
      </c>
      <c r="K14" s="112">
        <f>'S9.2'!I147</f>
        <v>1330.0683793127525</v>
      </c>
      <c r="L14" s="112">
        <f>'S9.2'!J147</f>
        <v>3748.6053039031412</v>
      </c>
      <c r="M14" s="53"/>
      <c r="N14" s="112">
        <f>'S9.2'!L147</f>
        <v>6044.01476052</v>
      </c>
      <c r="O14" s="53"/>
      <c r="P14" s="112">
        <f>'S9.2'!N147</f>
        <v>2435.9500000000003</v>
      </c>
      <c r="Q14" s="206"/>
      <c r="R14" s="53"/>
      <c r="S14" s="206"/>
      <c r="T14" s="53"/>
    </row>
    <row r="15" spans="1:21" s="148" customFormat="1">
      <c r="A15" s="17">
        <f t="shared" si="1"/>
        <v>6</v>
      </c>
      <c r="B15" s="17"/>
      <c r="C15" s="16"/>
      <c r="D15" s="16"/>
      <c r="E15" s="16"/>
      <c r="F15" s="278">
        <f>SUM(F13:F14)</f>
        <v>6944.1105870418187</v>
      </c>
      <c r="G15" s="278">
        <f t="shared" ref="G15:P15" si="2">SUM(G13:G14)</f>
        <v>1170.519475570075</v>
      </c>
      <c r="H15" s="278">
        <f t="shared" si="2"/>
        <v>2226.7693155070651</v>
      </c>
      <c r="I15" s="278">
        <f t="shared" si="2"/>
        <v>3642.0518542621353</v>
      </c>
      <c r="J15" s="278">
        <f t="shared" si="2"/>
        <v>4684.2804426975481</v>
      </c>
      <c r="K15" s="278">
        <f t="shared" si="2"/>
        <v>4380.3399770976976</v>
      </c>
      <c r="L15" s="278">
        <f t="shared" si="2"/>
        <v>4926.2470806972387</v>
      </c>
      <c r="M15" s="55"/>
      <c r="N15" s="278">
        <f t="shared" si="2"/>
        <v>9767.1143183741278</v>
      </c>
      <c r="O15" s="55"/>
      <c r="P15" s="278">
        <f t="shared" si="2"/>
        <v>5787.7245000000003</v>
      </c>
      <c r="Q15" s="206"/>
      <c r="R15" s="278">
        <f>SUM(R13:R14)</f>
        <v>6601.8757778295867</v>
      </c>
      <c r="S15" s="206"/>
      <c r="T15" s="278">
        <f>SUM(T13:T14)</f>
        <v>2528.9765479458374</v>
      </c>
    </row>
    <row r="16" spans="1:21">
      <c r="A16" s="17">
        <f t="shared" si="1"/>
        <v>7</v>
      </c>
      <c r="C16" s="33" t="s">
        <v>679</v>
      </c>
      <c r="D16" s="120"/>
      <c r="E16" s="120"/>
      <c r="F16" s="207"/>
      <c r="G16" s="207"/>
      <c r="H16" s="207"/>
      <c r="I16" s="208"/>
      <c r="J16" s="208"/>
      <c r="K16" s="208"/>
      <c r="L16" s="208"/>
      <c r="M16" s="208"/>
      <c r="N16" s="208"/>
      <c r="O16" s="208"/>
      <c r="P16" s="208"/>
      <c r="Q16" s="208"/>
      <c r="R16" s="208"/>
      <c r="S16" s="208"/>
      <c r="T16" s="208"/>
    </row>
    <row r="17" spans="1:28">
      <c r="A17" s="17">
        <f t="shared" si="1"/>
        <v>8</v>
      </c>
      <c r="C17" s="160" t="s">
        <v>680</v>
      </c>
      <c r="D17" s="120"/>
      <c r="E17" s="17" t="s">
        <v>681</v>
      </c>
      <c r="F17" s="112">
        <f>'S9.2'!D180</f>
        <v>2365.1220384311237</v>
      </c>
      <c r="G17" s="112">
        <f>'S9.2'!E180</f>
        <v>2997.1317291335563</v>
      </c>
      <c r="H17" s="112">
        <f>'S9.2'!F180</f>
        <v>3989.8145568610298</v>
      </c>
      <c r="I17" s="112">
        <f>'S9.2'!G180</f>
        <v>5176.1635913662958</v>
      </c>
      <c r="J17" s="112">
        <f>'S9.2'!H180</f>
        <v>3636.4437979709501</v>
      </c>
      <c r="K17" s="112">
        <f>'S9.2'!I180</f>
        <v>4427.6077392171374</v>
      </c>
      <c r="L17" s="112">
        <f>'S9.2'!J180</f>
        <v>4713.7457108553044</v>
      </c>
      <c r="M17" s="206"/>
      <c r="N17" s="112">
        <f>'S9.2'!L180</f>
        <v>5885.0748067002678</v>
      </c>
      <c r="O17" s="206"/>
      <c r="P17" s="112">
        <f>'S9.2'!N180</f>
        <v>5214.5639559757419</v>
      </c>
      <c r="Q17" s="208"/>
      <c r="R17" s="53">
        <v>2154.5811908100036</v>
      </c>
      <c r="S17" s="208"/>
      <c r="T17" s="53">
        <v>3367.3460839395943</v>
      </c>
      <c r="X17" s="210"/>
      <c r="Y17" s="210"/>
    </row>
    <row r="18" spans="1:28">
      <c r="A18" s="17">
        <f t="shared" si="1"/>
        <v>9</v>
      </c>
      <c r="C18" s="160" t="s">
        <v>682</v>
      </c>
      <c r="D18" s="120"/>
      <c r="E18" s="17" t="s">
        <v>683</v>
      </c>
      <c r="F18" s="112">
        <f>'S9.2'!D188</f>
        <v>0</v>
      </c>
      <c r="G18" s="112">
        <f>'S9.2'!E188</f>
        <v>0</v>
      </c>
      <c r="H18" s="112">
        <f>'S9.2'!F188</f>
        <v>0</v>
      </c>
      <c r="I18" s="112">
        <f>'S9.2'!G188</f>
        <v>0</v>
      </c>
      <c r="J18" s="112">
        <f>'S9.2'!H188</f>
        <v>0</v>
      </c>
      <c r="K18" s="112">
        <f>'S9.2'!I188</f>
        <v>184.91789955727475</v>
      </c>
      <c r="L18" s="112">
        <f>'S9.2'!J188</f>
        <v>1393.7810882282458</v>
      </c>
      <c r="M18" s="206"/>
      <c r="N18" s="112">
        <f>'S9.2'!L188</f>
        <v>1115.0798963833736</v>
      </c>
      <c r="O18" s="206"/>
      <c r="P18" s="53">
        <f>'S9.2'!N188</f>
        <v>0</v>
      </c>
      <c r="Q18" s="208"/>
      <c r="X18" s="210"/>
      <c r="Y18" s="210"/>
    </row>
    <row r="19" spans="1:28">
      <c r="A19" s="17">
        <f t="shared" si="1"/>
        <v>10</v>
      </c>
      <c r="C19" s="160" t="s">
        <v>684</v>
      </c>
      <c r="D19" s="120"/>
      <c r="E19" s="17" t="s">
        <v>685</v>
      </c>
      <c r="F19" s="112">
        <f>'S9.2'!D316</f>
        <v>4516.1296165394397</v>
      </c>
      <c r="G19" s="112">
        <f>'S9.2'!E316</f>
        <v>3921.3326140403183</v>
      </c>
      <c r="H19" s="112">
        <f>'S9.2'!F316</f>
        <v>2317.7242180991375</v>
      </c>
      <c r="I19" s="112">
        <f>'S9.2'!G316</f>
        <v>2633.6690693928349</v>
      </c>
      <c r="J19" s="112">
        <f>'S9.2'!H316</f>
        <v>1658.2064947628191</v>
      </c>
      <c r="K19" s="112">
        <f>'S9.2'!I316</f>
        <v>3180.2344999527422</v>
      </c>
      <c r="L19" s="112">
        <f>'S9.2'!J316</f>
        <v>2028.1781877499632</v>
      </c>
      <c r="M19" s="206"/>
      <c r="N19" s="112">
        <f>'S9.2'!L316</f>
        <v>5194.8468594986616</v>
      </c>
      <c r="O19" s="206"/>
      <c r="P19" s="53">
        <f>'S9.2'!N316</f>
        <v>9081.130000000001</v>
      </c>
      <c r="Q19" s="208"/>
      <c r="R19" s="53">
        <v>4335.0971552130914</v>
      </c>
      <c r="S19" s="208"/>
      <c r="T19" s="53">
        <v>4152.6030643889153</v>
      </c>
      <c r="X19" s="210"/>
      <c r="Y19" s="210"/>
    </row>
    <row r="20" spans="1:28">
      <c r="A20" s="17">
        <f t="shared" si="1"/>
        <v>11</v>
      </c>
      <c r="C20" s="160" t="s">
        <v>686</v>
      </c>
      <c r="D20" s="120"/>
      <c r="E20" s="17" t="s">
        <v>687</v>
      </c>
      <c r="F20" s="112">
        <f>'S9.2'!D345</f>
        <v>407.25905249585986</v>
      </c>
      <c r="G20" s="112">
        <f>'S9.2'!E345</f>
        <v>936.41754190677625</v>
      </c>
      <c r="H20" s="112">
        <f>'S9.2'!F345</f>
        <v>552.57463452077673</v>
      </c>
      <c r="I20" s="112">
        <f>'S9.2'!G345</f>
        <v>784.87944253937735</v>
      </c>
      <c r="J20" s="112">
        <f>'S9.2'!H345</f>
        <v>1627.2465341946527</v>
      </c>
      <c r="K20" s="112">
        <f>'S9.2'!I345</f>
        <v>1055.2374643488176</v>
      </c>
      <c r="L20" s="112">
        <f>'S9.2'!J345</f>
        <v>1009.401101817057</v>
      </c>
      <c r="M20" s="206"/>
      <c r="N20" s="112">
        <f>'S9.2'!L345</f>
        <v>2562.7674105818674</v>
      </c>
      <c r="O20" s="206"/>
      <c r="P20" s="112">
        <f>'S9.2'!N345</f>
        <v>1042.3600000000001</v>
      </c>
      <c r="Q20" s="208"/>
      <c r="R20" s="53">
        <v>583.53240584437583</v>
      </c>
      <c r="S20" s="208"/>
      <c r="T20" s="53">
        <v>1124.9881713312525</v>
      </c>
      <c r="X20" s="210"/>
      <c r="Y20" s="210"/>
    </row>
    <row r="21" spans="1:28">
      <c r="A21" s="17">
        <f t="shared" si="1"/>
        <v>12</v>
      </c>
      <c r="C21" s="160" t="s">
        <v>547</v>
      </c>
      <c r="D21" s="120"/>
      <c r="E21" s="17" t="s">
        <v>688</v>
      </c>
      <c r="F21" s="112">
        <f>'S9.2'!D349</f>
        <v>104.57330059259843</v>
      </c>
      <c r="G21" s="112">
        <f>'S9.2'!E349</f>
        <v>88.181153330062685</v>
      </c>
      <c r="H21" s="112">
        <f>'S9.2'!F349</f>
        <v>31.979078696862111</v>
      </c>
      <c r="I21" s="112">
        <f>'S9.2'!G349</f>
        <v>67.420042432229152</v>
      </c>
      <c r="J21" s="112">
        <f>'S9.2'!H349</f>
        <v>126.6081220787658</v>
      </c>
      <c r="K21" s="112">
        <f>'S9.2'!I349</f>
        <v>75.291267464910177</v>
      </c>
      <c r="L21" s="112">
        <f>'S9.2'!J349</f>
        <v>97.705146481376985</v>
      </c>
      <c r="M21" s="206"/>
      <c r="N21" s="112">
        <f>'S9.2'!L349</f>
        <v>102.94633563286524</v>
      </c>
      <c r="O21" s="206"/>
      <c r="P21" s="112">
        <f>'S9.2'!N349</f>
        <v>106.09</v>
      </c>
      <c r="Q21" s="208"/>
      <c r="R21" s="53">
        <v>199.49825840833367</v>
      </c>
      <c r="S21" s="208"/>
      <c r="T21" s="53">
        <v>203.15813477765275</v>
      </c>
      <c r="X21" s="210"/>
      <c r="Y21" s="210"/>
    </row>
    <row r="22" spans="1:28">
      <c r="A22" s="17">
        <f t="shared" si="1"/>
        <v>13</v>
      </c>
      <c r="C22" s="160" t="s">
        <v>689</v>
      </c>
      <c r="D22" s="120"/>
      <c r="E22" s="17" t="s">
        <v>690</v>
      </c>
      <c r="F22" s="112">
        <f>'S9.2'!D348</f>
        <v>0</v>
      </c>
      <c r="G22" s="112">
        <f>'S9.2'!E348</f>
        <v>0</v>
      </c>
      <c r="H22" s="112">
        <f>'S9.2'!F348</f>
        <v>0</v>
      </c>
      <c r="I22" s="112">
        <f>'S9.2'!G348</f>
        <v>0</v>
      </c>
      <c r="J22" s="112">
        <f>'S9.2'!H348</f>
        <v>0</v>
      </c>
      <c r="K22" s="112">
        <f>'S9.2'!I348</f>
        <v>0</v>
      </c>
      <c r="L22" s="112">
        <f>'S9.2'!J348</f>
        <v>0</v>
      </c>
      <c r="M22" s="206"/>
      <c r="N22" s="112">
        <f>'S9.2'!L348</f>
        <v>131.69735</v>
      </c>
      <c r="O22" s="206"/>
      <c r="P22" s="112">
        <f>'S9.2'!N348</f>
        <v>304</v>
      </c>
      <c r="Q22" s="208"/>
      <c r="R22" s="53">
        <v>0</v>
      </c>
      <c r="S22" s="208"/>
      <c r="T22" s="53">
        <v>0</v>
      </c>
      <c r="X22" s="210"/>
      <c r="Y22" s="210"/>
    </row>
    <row r="23" spans="1:28">
      <c r="A23" s="17">
        <f t="shared" si="1"/>
        <v>14</v>
      </c>
      <c r="C23" s="160" t="s">
        <v>691</v>
      </c>
      <c r="D23" s="120"/>
      <c r="E23" s="17" t="s">
        <v>692</v>
      </c>
      <c r="F23" s="112">
        <f>'S9.2'!D358</f>
        <v>72.990908523113831</v>
      </c>
      <c r="G23" s="112">
        <f>'S9.2'!E358</f>
        <v>212.8662299943237</v>
      </c>
      <c r="H23" s="112">
        <f>'S9.2'!F358</f>
        <v>69.502747734182265</v>
      </c>
      <c r="I23" s="112">
        <f>'S9.2'!G358</f>
        <v>262.06404514808321</v>
      </c>
      <c r="J23" s="112">
        <f>'S9.2'!H358</f>
        <v>385.28133720808557</v>
      </c>
      <c r="K23" s="112">
        <f>'S9.2'!I358</f>
        <v>221.9366700898504</v>
      </c>
      <c r="L23" s="112">
        <f>'S9.2'!J358</f>
        <v>-8.4195276201289673</v>
      </c>
      <c r="M23" s="206"/>
      <c r="N23" s="112">
        <f>'S9.2'!L358</f>
        <v>927.84036823518238</v>
      </c>
      <c r="O23" s="206"/>
      <c r="P23" s="112">
        <f>'S9.2'!N358</f>
        <v>275.01</v>
      </c>
      <c r="Q23" s="208"/>
      <c r="R23" s="53">
        <v>367.07679547133392</v>
      </c>
      <c r="S23" s="208"/>
      <c r="T23" s="53">
        <v>91.421160649943744</v>
      </c>
      <c r="X23" s="210"/>
      <c r="Y23" s="210"/>
    </row>
    <row r="24" spans="1:28">
      <c r="A24" s="17">
        <f t="shared" si="1"/>
        <v>15</v>
      </c>
      <c r="C24" s="160"/>
      <c r="D24" s="120"/>
      <c r="E24" s="44"/>
      <c r="F24" s="112"/>
      <c r="G24" s="112"/>
      <c r="H24" s="112"/>
      <c r="I24" s="53"/>
      <c r="J24" s="53"/>
      <c r="K24" s="53"/>
      <c r="L24" s="53"/>
      <c r="M24" s="53"/>
      <c r="N24" s="53"/>
      <c r="O24" s="53"/>
      <c r="P24" s="53"/>
      <c r="Q24" s="208"/>
      <c r="R24" s="53"/>
      <c r="S24" s="208"/>
      <c r="T24" s="53"/>
      <c r="X24" s="210"/>
      <c r="Y24" s="210"/>
    </row>
    <row r="25" spans="1:28">
      <c r="A25" s="17">
        <f t="shared" si="1"/>
        <v>16</v>
      </c>
      <c r="C25" s="18"/>
      <c r="D25" s="18"/>
      <c r="E25" s="18"/>
      <c r="F25" s="278">
        <f>SUM(F17:F23)</f>
        <v>7466.0749165821353</v>
      </c>
      <c r="G25" s="278">
        <f t="shared" ref="G25:L25" si="3">SUM(G17:G23)</f>
        <v>8155.929268405037</v>
      </c>
      <c r="H25" s="278">
        <f t="shared" si="3"/>
        <v>6961.5952359119883</v>
      </c>
      <c r="I25" s="278">
        <f t="shared" si="3"/>
        <v>8924.1961908788217</v>
      </c>
      <c r="J25" s="278">
        <f t="shared" si="3"/>
        <v>7433.7862862152733</v>
      </c>
      <c r="K25" s="278">
        <f t="shared" si="3"/>
        <v>9145.2255406307322</v>
      </c>
      <c r="L25" s="278">
        <f t="shared" si="3"/>
        <v>9234.3917075118206</v>
      </c>
      <c r="M25" s="55"/>
      <c r="N25" s="278">
        <f>SUM(N17:N23)</f>
        <v>15920.253027032219</v>
      </c>
      <c r="O25" s="55"/>
      <c r="P25" s="278">
        <f>SUM(P17:P23)</f>
        <v>16023.153955975744</v>
      </c>
      <c r="Q25" s="208"/>
      <c r="R25" s="278">
        <f>SUM(R17:R23)</f>
        <v>7639.7858057471376</v>
      </c>
      <c r="S25" s="208"/>
      <c r="T25" s="278">
        <f>SUM(T17:T23)</f>
        <v>8939.5166150873574</v>
      </c>
      <c r="X25" s="210"/>
      <c r="Y25" s="210"/>
    </row>
    <row r="26" spans="1:28">
      <c r="A26" s="17">
        <f t="shared" si="1"/>
        <v>17</v>
      </c>
      <c r="C26" s="18" t="s">
        <v>693</v>
      </c>
      <c r="D26" s="16"/>
      <c r="E26" s="16"/>
      <c r="F26" s="207"/>
      <c r="G26" s="207"/>
      <c r="H26" s="207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</row>
    <row r="27" spans="1:28">
      <c r="A27" s="17">
        <f t="shared" si="1"/>
        <v>18</v>
      </c>
      <c r="C27" s="160" t="s">
        <v>694</v>
      </c>
      <c r="D27" s="120"/>
      <c r="E27" s="17" t="s">
        <v>695</v>
      </c>
      <c r="F27" s="112">
        <f>'S9.2'!D363</f>
        <v>0</v>
      </c>
      <c r="G27" s="112">
        <f>'S9.2'!E363</f>
        <v>0</v>
      </c>
      <c r="H27" s="112">
        <f>'S9.2'!F363</f>
        <v>21.751518233883701</v>
      </c>
      <c r="I27" s="112">
        <f>'S9.2'!G363</f>
        <v>247.41866690675599</v>
      </c>
      <c r="J27" s="112">
        <f>'S9.2'!H363</f>
        <v>-3.5490399621813706</v>
      </c>
      <c r="K27" s="112">
        <f>'S9.2'!I363</f>
        <v>0</v>
      </c>
      <c r="L27" s="112">
        <f>'S9.2'!J363</f>
        <v>0</v>
      </c>
      <c r="M27" s="206"/>
      <c r="N27" s="112">
        <f>'S9.2'!L363</f>
        <v>0</v>
      </c>
      <c r="O27" s="206"/>
      <c r="P27" s="112">
        <f>'S9.2'!N363</f>
        <v>0</v>
      </c>
      <c r="Q27" s="208"/>
      <c r="R27" s="53"/>
      <c r="S27" s="53"/>
      <c r="T27" s="53"/>
    </row>
    <row r="28" spans="1:28">
      <c r="A28" s="17">
        <f t="shared" si="1"/>
        <v>19</v>
      </c>
      <c r="C28" s="160" t="s">
        <v>696</v>
      </c>
      <c r="D28" s="120"/>
      <c r="E28" s="17" t="s">
        <v>697</v>
      </c>
      <c r="F28" s="112">
        <f>'S9.2'!D398</f>
        <v>62.675748228975159</v>
      </c>
      <c r="G28" s="112">
        <f>'S9.2'!E398</f>
        <v>138.32929290972641</v>
      </c>
      <c r="H28" s="112">
        <f>'S9.2'!F398</f>
        <v>32.362336702643496</v>
      </c>
      <c r="I28" s="112">
        <f>'S9.2'!G398</f>
        <v>19.832716653479618</v>
      </c>
      <c r="J28" s="112">
        <f>'S9.2'!H398</f>
        <v>29.089295775399876</v>
      </c>
      <c r="K28" s="112">
        <f>'S9.2'!I398</f>
        <v>53.245005651431704</v>
      </c>
      <c r="L28" s="112">
        <f>'S9.2'!J398</f>
        <v>130.77450069493261</v>
      </c>
      <c r="M28" s="206"/>
      <c r="N28" s="112">
        <f>'S9.2'!L398</f>
        <v>47.456989523878256</v>
      </c>
      <c r="O28" s="206"/>
      <c r="P28" s="112">
        <f>'S9.2'!N398</f>
        <v>141.11000000000001</v>
      </c>
      <c r="Q28" s="208"/>
      <c r="R28" s="53">
        <v>116.70648116887521</v>
      </c>
      <c r="S28" s="53"/>
      <c r="T28" s="53">
        <v>160.4949264743457</v>
      </c>
      <c r="Z28" s="292"/>
      <c r="AA28" s="292"/>
      <c r="AB28" s="292"/>
    </row>
    <row r="29" spans="1:28">
      <c r="A29" s="17">
        <f t="shared" si="1"/>
        <v>20</v>
      </c>
      <c r="C29" s="160" t="s">
        <v>698</v>
      </c>
      <c r="D29" s="120"/>
      <c r="E29" s="17" t="s">
        <v>699</v>
      </c>
      <c r="F29" s="112">
        <f>'S9.2'!D434</f>
        <v>17.61006652817586</v>
      </c>
      <c r="G29" s="112">
        <f>'S9.2'!E434</f>
        <v>665.27677374888265</v>
      </c>
      <c r="H29" s="112">
        <f>'S9.2'!F434</f>
        <v>6.2690957098306352</v>
      </c>
      <c r="I29" s="112">
        <f>'S9.2'!G434</f>
        <v>381.7004994316863</v>
      </c>
      <c r="J29" s="112">
        <f>'S9.2'!H434</f>
        <v>569.79551017401627</v>
      </c>
      <c r="K29" s="112">
        <f>'S9.2'!I434</f>
        <v>675.37340377206726</v>
      </c>
      <c r="L29" s="112">
        <f>'S9.2'!J434</f>
        <v>661.00675731124272</v>
      </c>
      <c r="M29" s="206"/>
      <c r="N29" s="112">
        <f>'S9.2'!L434</f>
        <v>696.5377850000001</v>
      </c>
      <c r="O29" s="206"/>
      <c r="P29" s="112">
        <f>'S9.2'!N434</f>
        <v>766.0625</v>
      </c>
      <c r="Q29" s="208"/>
      <c r="R29" s="53">
        <v>369.07177805541727</v>
      </c>
      <c r="S29" s="53"/>
      <c r="T29" s="53">
        <v>314.89510890536178</v>
      </c>
      <c r="U29" s="209"/>
    </row>
    <row r="30" spans="1:28">
      <c r="A30" s="17">
        <f t="shared" si="1"/>
        <v>21</v>
      </c>
      <c r="C30" s="160" t="s">
        <v>700</v>
      </c>
      <c r="D30" s="120"/>
      <c r="E30" s="17" t="s">
        <v>701</v>
      </c>
      <c r="F30" s="112">
        <f>'S9.2'!D387</f>
        <v>88.637086912376759</v>
      </c>
      <c r="G30" s="112">
        <f>'S9.2'!E387</f>
        <v>104.85877167407648</v>
      </c>
      <c r="H30" s="112">
        <f>'S9.2'!F387</f>
        <v>90.868734362223961</v>
      </c>
      <c r="I30" s="112">
        <f>'S9.2'!G387</f>
        <v>71.699332733972057</v>
      </c>
      <c r="J30" s="112">
        <f>'S9.2'!H387</f>
        <v>147.31077655954829</v>
      </c>
      <c r="K30" s="112">
        <f>'S9.2'!I387</f>
        <v>-22.424753380610731</v>
      </c>
      <c r="L30" s="112">
        <f>'S9.2'!J387</f>
        <v>95.008344922981507</v>
      </c>
      <c r="M30" s="206"/>
      <c r="N30" s="112">
        <f>'S9.2'!L387</f>
        <v>232.09128999999999</v>
      </c>
      <c r="O30" s="206"/>
      <c r="P30" s="112">
        <f>'S9.2'!N387</f>
        <v>794.13</v>
      </c>
      <c r="Q30" s="208"/>
      <c r="R30" s="53">
        <v>93.913805145723074</v>
      </c>
      <c r="S30" s="53"/>
      <c r="T30" s="53">
        <v>299.65824879703786</v>
      </c>
      <c r="U30" s="209"/>
      <c r="Z30" s="292"/>
      <c r="AA30" s="292"/>
      <c r="AB30" s="292"/>
    </row>
    <row r="31" spans="1:28">
      <c r="A31" s="17">
        <f t="shared" si="1"/>
        <v>22</v>
      </c>
      <c r="C31" s="160" t="s">
        <v>702</v>
      </c>
      <c r="D31" s="120"/>
      <c r="E31" s="17" t="s">
        <v>703</v>
      </c>
      <c r="F31" s="112">
        <f>'S9.2'!D405</f>
        <v>151.09960806493336</v>
      </c>
      <c r="G31" s="112">
        <f>'S9.2'!E405</f>
        <v>162.49093065114201</v>
      </c>
      <c r="H31" s="112">
        <f>'S9.2'!F405</f>
        <v>72.779121489076317</v>
      </c>
      <c r="I31" s="112">
        <f>'S9.2'!G405</f>
        <v>197.28000677992011</v>
      </c>
      <c r="J31" s="112">
        <f>'S9.2'!H405</f>
        <v>107.65180859950337</v>
      </c>
      <c r="K31" s="112">
        <f>'S9.2'!I405</f>
        <v>159.97412857215446</v>
      </c>
      <c r="L31" s="112">
        <f>'S9.2'!J405</f>
        <v>86.716339600305304</v>
      </c>
      <c r="M31" s="206"/>
      <c r="N31" s="112">
        <f>'S9.2'!L405</f>
        <v>310.1430888416092</v>
      </c>
      <c r="O31" s="206"/>
      <c r="P31" s="112">
        <f>'S9.2'!N405</f>
        <v>127.72</v>
      </c>
      <c r="Q31" s="208"/>
      <c r="R31" s="53">
        <v>148.87557533721898</v>
      </c>
      <c r="S31" s="53"/>
      <c r="T31" s="53">
        <v>164.81203683837077</v>
      </c>
      <c r="U31" s="209"/>
      <c r="Z31" s="292"/>
      <c r="AA31" s="292"/>
      <c r="AB31" s="292"/>
    </row>
    <row r="32" spans="1:28">
      <c r="A32" s="17">
        <f t="shared" si="1"/>
        <v>23</v>
      </c>
      <c r="C32" s="160" t="s">
        <v>704</v>
      </c>
      <c r="D32" s="120"/>
      <c r="E32" s="17" t="s">
        <v>705</v>
      </c>
      <c r="F32" s="112">
        <f>'S9.2'!D423</f>
        <v>53.952576641583867</v>
      </c>
      <c r="G32" s="112">
        <f>'S9.2'!E423</f>
        <v>78.595508993976011</v>
      </c>
      <c r="H32" s="112">
        <f>'S9.2'!F423</f>
        <v>78.98681191494164</v>
      </c>
      <c r="I32" s="112">
        <f>'S9.2'!G423</f>
        <v>44.350467408483425</v>
      </c>
      <c r="J32" s="112">
        <f>'S9.2'!H423</f>
        <v>32.494868770819934</v>
      </c>
      <c r="K32" s="112">
        <f>'S9.2'!I423</f>
        <v>754.88917960407775</v>
      </c>
      <c r="L32" s="112">
        <f>'S9.2'!J423</f>
        <v>3779.7368506817734</v>
      </c>
      <c r="M32" s="206"/>
      <c r="N32" s="112">
        <f>'S9.2'!L423</f>
        <v>4260.7624941088079</v>
      </c>
      <c r="O32" s="206"/>
      <c r="P32" s="112">
        <f>'S9.2'!N423</f>
        <v>1433.5308</v>
      </c>
      <c r="Q32" s="208"/>
      <c r="R32" s="53">
        <v>8.1794285947416796</v>
      </c>
      <c r="S32" s="53"/>
      <c r="T32" s="53">
        <v>41.850575764196471</v>
      </c>
      <c r="Z32" s="292"/>
      <c r="AA32" s="292"/>
      <c r="AB32" s="292"/>
    </row>
    <row r="33" spans="1:21">
      <c r="A33" s="17">
        <f t="shared" si="1"/>
        <v>24</v>
      </c>
      <c r="C33" s="160" t="s">
        <v>553</v>
      </c>
      <c r="D33" s="120"/>
      <c r="E33" s="17"/>
      <c r="F33" s="112">
        <v>0</v>
      </c>
      <c r="G33" s="112">
        <v>0</v>
      </c>
      <c r="H33" s="112">
        <v>0</v>
      </c>
      <c r="I33" s="112">
        <v>0</v>
      </c>
      <c r="J33" s="112">
        <v>0</v>
      </c>
      <c r="K33" s="112">
        <v>0</v>
      </c>
      <c r="L33" s="112">
        <v>0</v>
      </c>
      <c r="M33" s="206"/>
      <c r="N33" s="112">
        <v>0</v>
      </c>
      <c r="O33" s="206"/>
      <c r="P33" s="112">
        <v>0</v>
      </c>
      <c r="Q33" s="208"/>
      <c r="R33" s="53">
        <v>19.949825840833366</v>
      </c>
      <c r="S33" s="53"/>
      <c r="T33" s="53">
        <v>20.315813477765278</v>
      </c>
    </row>
    <row r="34" spans="1:21">
      <c r="A34" s="17">
        <f t="shared" si="1"/>
        <v>25</v>
      </c>
      <c r="C34" s="160"/>
      <c r="D34" s="120"/>
      <c r="E34" s="44"/>
      <c r="F34" s="112"/>
      <c r="G34" s="112"/>
      <c r="H34" s="112"/>
      <c r="I34" s="53"/>
      <c r="J34" s="53"/>
      <c r="K34" s="53"/>
      <c r="L34" s="53"/>
      <c r="M34" s="53"/>
      <c r="N34" s="53"/>
      <c r="O34" s="53"/>
      <c r="P34" s="53"/>
      <c r="Q34" s="208"/>
      <c r="R34" s="53"/>
      <c r="S34" s="208"/>
      <c r="T34" s="53"/>
    </row>
    <row r="35" spans="1:21">
      <c r="A35" s="17">
        <f t="shared" si="1"/>
        <v>26</v>
      </c>
      <c r="C35" s="160"/>
      <c r="D35" s="120"/>
      <c r="E35" s="44"/>
      <c r="F35" s="112"/>
      <c r="G35" s="112"/>
      <c r="H35" s="112"/>
      <c r="I35" s="53"/>
      <c r="J35" s="53"/>
      <c r="K35" s="53"/>
      <c r="L35" s="53"/>
      <c r="M35" s="53"/>
      <c r="N35" s="53"/>
      <c r="O35" s="53"/>
      <c r="P35" s="53"/>
      <c r="Q35" s="208"/>
      <c r="R35" s="53"/>
      <c r="S35" s="208"/>
      <c r="T35" s="53"/>
    </row>
    <row r="36" spans="1:21">
      <c r="A36" s="17">
        <f t="shared" si="1"/>
        <v>27</v>
      </c>
      <c r="C36" s="16"/>
      <c r="D36" s="16"/>
      <c r="E36" s="17"/>
      <c r="F36" s="278">
        <f t="shared" ref="F36:L36" si="4">SUM(F27:F35)</f>
        <v>373.975086376045</v>
      </c>
      <c r="G36" s="278">
        <f t="shared" si="4"/>
        <v>1149.5512779778035</v>
      </c>
      <c r="H36" s="278">
        <f t="shared" si="4"/>
        <v>303.01761841259975</v>
      </c>
      <c r="I36" s="278">
        <f t="shared" si="4"/>
        <v>962.28168991429732</v>
      </c>
      <c r="J36" s="278">
        <f t="shared" si="4"/>
        <v>882.79321991710651</v>
      </c>
      <c r="K36" s="278">
        <f t="shared" si="4"/>
        <v>1621.0569642191203</v>
      </c>
      <c r="L36" s="278">
        <f t="shared" si="4"/>
        <v>4753.2427932112359</v>
      </c>
      <c r="M36" s="55"/>
      <c r="N36" s="278">
        <f>SUM(N27:N35)</f>
        <v>5546.991647474295</v>
      </c>
      <c r="O36" s="55"/>
      <c r="P36" s="278">
        <f>SUM(P27:P35)</f>
        <v>3262.5533</v>
      </c>
      <c r="Q36" s="208"/>
      <c r="R36" s="278">
        <f>SUM(R27:R35)</f>
        <v>756.69689414280947</v>
      </c>
      <c r="S36" s="208"/>
      <c r="T36" s="278">
        <f>SUM(T27:T35)</f>
        <v>1002.0267102570778</v>
      </c>
    </row>
    <row r="37" spans="1:21">
      <c r="A37" s="17">
        <f t="shared" si="1"/>
        <v>28</v>
      </c>
      <c r="C37" s="16"/>
      <c r="D37" s="16"/>
      <c r="E37" s="17"/>
      <c r="F37" s="207"/>
      <c r="G37" s="207"/>
      <c r="H37" s="207"/>
      <c r="I37" s="208"/>
      <c r="J37" s="208"/>
      <c r="K37" s="208"/>
      <c r="L37" s="208"/>
      <c r="M37" s="208"/>
      <c r="N37" s="208"/>
      <c r="O37" s="208"/>
      <c r="P37" s="208"/>
      <c r="Q37" s="208"/>
      <c r="R37" s="208"/>
      <c r="S37" s="208"/>
      <c r="T37" s="208"/>
    </row>
    <row r="38" spans="1:21">
      <c r="A38" s="17">
        <f t="shared" si="1"/>
        <v>29</v>
      </c>
      <c r="C38" s="16" t="s">
        <v>560</v>
      </c>
      <c r="D38" s="16"/>
      <c r="E38" s="17"/>
      <c r="F38" s="53"/>
      <c r="G38" s="53"/>
      <c r="H38" s="53"/>
      <c r="I38" s="53"/>
      <c r="J38" s="53"/>
      <c r="K38" s="53"/>
      <c r="L38" s="53"/>
      <c r="M38" s="53"/>
      <c r="N38" s="53">
        <v>0</v>
      </c>
      <c r="O38" s="53"/>
      <c r="P38" s="53">
        <v>0</v>
      </c>
      <c r="Q38" s="53"/>
      <c r="R38" s="53">
        <v>0</v>
      </c>
      <c r="S38" s="53"/>
      <c r="T38" s="53">
        <v>0</v>
      </c>
    </row>
    <row r="39" spans="1:21">
      <c r="A39" s="17">
        <f t="shared" si="1"/>
        <v>30</v>
      </c>
      <c r="C39" s="16"/>
      <c r="D39" s="16"/>
      <c r="E39" s="17"/>
      <c r="F39" s="207"/>
      <c r="G39" s="207"/>
      <c r="H39" s="207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8"/>
      <c r="T39" s="208"/>
      <c r="U39" s="210" t="s">
        <v>156</v>
      </c>
    </row>
    <row r="40" spans="1:21">
      <c r="A40" s="17">
        <f t="shared" si="1"/>
        <v>31</v>
      </c>
      <c r="C40" s="18" t="s">
        <v>706</v>
      </c>
      <c r="D40" s="16"/>
      <c r="E40" s="17"/>
      <c r="F40" s="53">
        <f t="shared" ref="F40:K40" si="5">SUM(F25,F36,F38,F15)</f>
        <v>14784.16059</v>
      </c>
      <c r="G40" s="53">
        <f t="shared" si="5"/>
        <v>10476.000021952914</v>
      </c>
      <c r="H40" s="53">
        <f t="shared" si="5"/>
        <v>9491.3821698316533</v>
      </c>
      <c r="I40" s="53">
        <f t="shared" si="5"/>
        <v>13528.529735055256</v>
      </c>
      <c r="J40" s="53">
        <f>SUM(J25,J36,J38,J15)</f>
        <v>13000.85994882993</v>
      </c>
      <c r="K40" s="53">
        <f t="shared" si="5"/>
        <v>15146.62248194755</v>
      </c>
      <c r="L40" s="53">
        <f>SUM(L25,L36,L38,L15)</f>
        <v>18913.881581420294</v>
      </c>
      <c r="M40" s="53"/>
      <c r="N40" s="53">
        <f>SUM(N25,N36,N38,N15)</f>
        <v>31234.35899288064</v>
      </c>
      <c r="O40" s="53"/>
      <c r="P40" s="53">
        <f>SUM(P25,P36,P38,P15)</f>
        <v>25073.431755975744</v>
      </c>
      <c r="Q40" s="208"/>
      <c r="R40" s="53">
        <f>SUM(R25,R36,R38,R15)</f>
        <v>14998.358477719536</v>
      </c>
      <c r="S40" s="208"/>
      <c r="T40" s="53">
        <f>SUM(T25,T36,T38,T15)</f>
        <v>12470.519873290272</v>
      </c>
    </row>
    <row r="41" spans="1:21">
      <c r="A41" s="17">
        <f t="shared" si="1"/>
        <v>32</v>
      </c>
      <c r="C41" s="16"/>
      <c r="D41" s="16"/>
      <c r="E41" s="17"/>
      <c r="F41" s="53"/>
      <c r="G41" s="53"/>
      <c r="H41" s="53"/>
      <c r="I41" s="53"/>
      <c r="J41" s="53"/>
      <c r="K41" s="53"/>
      <c r="L41" s="53"/>
      <c r="M41" s="53"/>
      <c r="N41" s="112"/>
      <c r="O41" s="53"/>
      <c r="P41" s="53"/>
      <c r="Q41" s="208"/>
      <c r="R41" s="53"/>
      <c r="S41" s="208"/>
      <c r="T41" s="53"/>
    </row>
    <row r="42" spans="1:21">
      <c r="A42" s="17">
        <f t="shared" si="1"/>
        <v>33</v>
      </c>
      <c r="C42" s="16" t="s">
        <v>707</v>
      </c>
      <c r="D42" s="16"/>
      <c r="E42" s="17"/>
      <c r="F42" s="53"/>
      <c r="G42" s="53"/>
      <c r="H42" s="53"/>
      <c r="I42" s="53"/>
      <c r="J42" s="53"/>
      <c r="K42" s="53"/>
      <c r="L42" s="53"/>
      <c r="M42" s="53"/>
      <c r="N42" s="112"/>
      <c r="O42" s="53"/>
      <c r="P42" s="53"/>
      <c r="Q42" s="208"/>
      <c r="R42" s="53"/>
      <c r="S42" s="208"/>
      <c r="T42" s="53"/>
    </row>
    <row r="43" spans="1:21">
      <c r="A43" s="17">
        <f t="shared" si="1"/>
        <v>34</v>
      </c>
      <c r="C43" s="16" t="s">
        <v>708</v>
      </c>
      <c r="D43" s="16"/>
      <c r="E43" s="17"/>
      <c r="F43" s="55">
        <v>-12079.343893799998</v>
      </c>
      <c r="G43" s="55">
        <v>-8393.4309261999988</v>
      </c>
      <c r="H43" s="55">
        <v>-11159.167850000003</v>
      </c>
      <c r="I43" s="55">
        <v>-9982.3035250552512</v>
      </c>
      <c r="J43" s="55">
        <v>-11893.179808829929</v>
      </c>
      <c r="K43" s="55">
        <v>-11014.229703137313</v>
      </c>
      <c r="L43" s="55">
        <v>-15856.778100834106</v>
      </c>
      <c r="M43" s="55"/>
      <c r="N43" s="55">
        <v>-34733.580034514802</v>
      </c>
      <c r="O43" s="55"/>
      <c r="P43" s="55">
        <v>-31780.082242933422</v>
      </c>
      <c r="Q43" s="228"/>
      <c r="R43" s="55">
        <f>R47-R40-R10-R44</f>
        <v>-13822.701780731157</v>
      </c>
      <c r="S43" s="228"/>
      <c r="T43" s="55">
        <f>T47-T40-T10</f>
        <v>-12059.344537480396</v>
      </c>
    </row>
    <row r="44" spans="1:21">
      <c r="A44" s="17">
        <f t="shared" si="1"/>
        <v>35</v>
      </c>
      <c r="C44" s="16" t="s">
        <v>709</v>
      </c>
      <c r="D44" s="16"/>
      <c r="E44" s="17"/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55"/>
      <c r="N44" s="54">
        <v>0</v>
      </c>
      <c r="O44" s="55"/>
      <c r="P44" s="54">
        <v>0</v>
      </c>
      <c r="Q44" s="208"/>
      <c r="R44" s="54">
        <v>-362</v>
      </c>
      <c r="S44" s="208"/>
      <c r="T44" s="54">
        <v>0</v>
      </c>
    </row>
    <row r="45" spans="1:21">
      <c r="A45" s="17">
        <f t="shared" si="1"/>
        <v>36</v>
      </c>
      <c r="C45" s="16"/>
      <c r="F45" s="55">
        <f t="shared" ref="F45:L45" si="6">SUM(F43:F44)</f>
        <v>-12079.343893799998</v>
      </c>
      <c r="G45" s="55">
        <f t="shared" si="6"/>
        <v>-8393.4309261999988</v>
      </c>
      <c r="H45" s="55">
        <f t="shared" si="6"/>
        <v>-11159.167850000003</v>
      </c>
      <c r="I45" s="55">
        <f t="shared" si="6"/>
        <v>-9982.3035250552512</v>
      </c>
      <c r="J45" s="55">
        <f t="shared" si="6"/>
        <v>-11893.179808829929</v>
      </c>
      <c r="K45" s="55">
        <f t="shared" si="6"/>
        <v>-11014.229703137313</v>
      </c>
      <c r="L45" s="55">
        <f t="shared" si="6"/>
        <v>-15856.778100834106</v>
      </c>
      <c r="M45" s="55"/>
      <c r="N45" s="55">
        <f>SUM(N43:N44)</f>
        <v>-34733.580034514802</v>
      </c>
      <c r="O45" s="55"/>
      <c r="P45" s="55">
        <f>SUM(P43:P44)</f>
        <v>-31780.082242933422</v>
      </c>
      <c r="R45" s="55">
        <f>SUM(R43:R44)</f>
        <v>-14184.701780731157</v>
      </c>
      <c r="S45" s="211"/>
      <c r="T45" s="55">
        <f>SUM(T43:T44)</f>
        <v>-12059.344537480396</v>
      </c>
    </row>
    <row r="46" spans="1:21">
      <c r="A46" s="17">
        <f t="shared" si="1"/>
        <v>37</v>
      </c>
      <c r="C46" s="16"/>
      <c r="D46" s="16"/>
      <c r="E46" s="1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211"/>
      <c r="R46" s="82"/>
      <c r="S46" s="211"/>
      <c r="T46" s="82"/>
    </row>
    <row r="47" spans="1:21" ht="16" thickBot="1">
      <c r="A47" s="17">
        <f t="shared" si="1"/>
        <v>38</v>
      </c>
      <c r="C47" s="16" t="s">
        <v>710</v>
      </c>
      <c r="D47" s="16"/>
      <c r="E47" s="17"/>
      <c r="F47" s="83">
        <f t="shared" ref="F47:P47" si="7">+F10+F40+F45</f>
        <v>4266.0120562000011</v>
      </c>
      <c r="G47" s="83">
        <f>+G10+G40+G45</f>
        <v>6348.5811519529161</v>
      </c>
      <c r="H47" s="83">
        <f t="shared" si="7"/>
        <v>4680.795471784566</v>
      </c>
      <c r="I47" s="83">
        <f t="shared" si="7"/>
        <v>8227.0216817845703</v>
      </c>
      <c r="J47" s="83">
        <f t="shared" si="7"/>
        <v>9334.7018217845725</v>
      </c>
      <c r="K47" s="83">
        <f t="shared" si="7"/>
        <v>13467.09460059481</v>
      </c>
      <c r="L47" s="83">
        <f t="shared" si="7"/>
        <v>16524.198081180999</v>
      </c>
      <c r="M47" s="244"/>
      <c r="N47" s="83">
        <f t="shared" si="7"/>
        <v>13024.977039546837</v>
      </c>
      <c r="O47" s="244"/>
      <c r="P47" s="83">
        <f t="shared" si="7"/>
        <v>6318.326552589162</v>
      </c>
      <c r="Q47" s="211"/>
      <c r="R47" s="83">
        <v>2374.6566969883784</v>
      </c>
      <c r="S47" s="211"/>
      <c r="T47" s="83">
        <v>2785.8320327982547</v>
      </c>
    </row>
    <row r="48" spans="1:21" ht="16" thickTop="1">
      <c r="F48" s="210"/>
      <c r="G48" s="210"/>
      <c r="H48" s="210"/>
      <c r="I48" s="210"/>
      <c r="J48" s="210"/>
      <c r="K48" s="210"/>
      <c r="L48" s="210"/>
      <c r="N48" s="210"/>
      <c r="P48" s="210"/>
    </row>
    <row r="49" spans="6:17">
      <c r="F49" s="302"/>
      <c r="G49" s="302"/>
      <c r="H49" s="302"/>
      <c r="I49" s="302"/>
      <c r="J49" s="302"/>
      <c r="K49" s="302"/>
      <c r="L49" s="302"/>
      <c r="N49" s="302"/>
      <c r="P49" s="302"/>
    </row>
    <row r="50" spans="6:17">
      <c r="F50" s="302"/>
      <c r="G50" s="302"/>
      <c r="H50" s="302"/>
      <c r="I50" s="302"/>
      <c r="J50" s="302"/>
      <c r="K50" s="302"/>
      <c r="L50" s="302"/>
      <c r="N50" s="302"/>
      <c r="P50" s="302"/>
    </row>
    <row r="51" spans="6:17">
      <c r="F51" s="302"/>
      <c r="G51" s="302"/>
      <c r="H51" s="302"/>
      <c r="I51" s="302"/>
      <c r="J51" s="302"/>
      <c r="K51" s="302"/>
      <c r="L51" s="302"/>
      <c r="M51" s="302"/>
      <c r="N51" s="302"/>
      <c r="P51" s="302"/>
    </row>
    <row r="52" spans="6:17">
      <c r="F52" s="302"/>
      <c r="G52" s="302"/>
      <c r="H52" s="302"/>
      <c r="I52" s="302"/>
      <c r="J52" s="302"/>
      <c r="K52" s="302"/>
      <c r="L52" s="302"/>
      <c r="N52" s="302"/>
      <c r="P52" s="302"/>
    </row>
    <row r="53" spans="6:17">
      <c r="F53" s="298"/>
      <c r="G53" s="298"/>
      <c r="H53" s="298"/>
      <c r="I53" s="298"/>
      <c r="J53" s="298"/>
      <c r="K53" s="298"/>
      <c r="L53" s="175"/>
    </row>
    <row r="54" spans="6:17">
      <c r="F54" s="298"/>
      <c r="G54" s="298"/>
      <c r="H54" s="298"/>
      <c r="I54" s="298"/>
      <c r="J54" s="298"/>
      <c r="K54" s="298"/>
      <c r="L54" s="298"/>
    </row>
    <row r="56" spans="6:17">
      <c r="F56" s="292"/>
      <c r="G56" s="292"/>
      <c r="H56" s="292"/>
      <c r="I56" s="292"/>
      <c r="J56" s="292"/>
      <c r="K56" s="292"/>
      <c r="L56" s="292"/>
    </row>
    <row r="57" spans="6:17">
      <c r="F57" s="210"/>
      <c r="K57" s="298"/>
    </row>
    <row r="58" spans="6:17">
      <c r="F58" s="292"/>
      <c r="G58" s="292"/>
    </row>
    <row r="59" spans="6:17">
      <c r="F59" s="292"/>
      <c r="G59" s="292"/>
    </row>
    <row r="60" spans="6:17">
      <c r="F60" s="292"/>
      <c r="G60" s="292"/>
    </row>
    <row r="61" spans="6:17">
      <c r="F61" s="316"/>
      <c r="G61" s="316"/>
    </row>
    <row r="64" spans="6:17">
      <c r="F64" s="298"/>
      <c r="G64" s="298"/>
      <c r="H64" s="298"/>
      <c r="I64" s="298"/>
      <c r="J64" s="298"/>
      <c r="K64" s="298"/>
      <c r="L64" s="298"/>
      <c r="M64" s="298"/>
      <c r="N64" s="298"/>
      <c r="O64" s="298"/>
      <c r="P64" s="298"/>
      <c r="Q64" s="298" t="e">
        <f>#REF!-Q40</f>
        <v>#REF!</v>
      </c>
    </row>
    <row r="65" spans="6:6">
      <c r="F65" s="298"/>
    </row>
    <row r="66" spans="6:6">
      <c r="F66" s="298"/>
    </row>
    <row r="67" spans="6:6">
      <c r="F67" s="298"/>
    </row>
  </sheetData>
  <mergeCells count="5">
    <mergeCell ref="A4:T4"/>
    <mergeCell ref="A5:T5"/>
    <mergeCell ref="R7:T7"/>
    <mergeCell ref="N7:P7"/>
    <mergeCell ref="F7:L7"/>
  </mergeCells>
  <phoneticPr fontId="11" type="noConversion"/>
  <printOptions horizontalCentered="1"/>
  <pageMargins left="0.5" right="0.5" top="0.75" bottom="0.75" header="0.5" footer="0.5"/>
  <pageSetup scale="59" orientation="landscape" r:id="rId1"/>
  <headerFooter alignWithMargins="0">
    <oddHeader>&amp;R&amp;"Arial,Bold"Schedule 9.1
Page &amp;P of &amp;N</oddHeader>
    <oddFooter xml:space="preserve">&amp;C&amp;8
</oddFooter>
  </headerFooter>
  <ignoredErrors>
    <ignoredError sqref="A5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81166-1637-4919-9102-AB410BB63DF8}">
  <sheetPr>
    <pageSetUpPr fitToPage="1"/>
  </sheetPr>
  <dimension ref="A1:Y442"/>
  <sheetViews>
    <sheetView tabSelected="1" zoomScale="80" zoomScaleNormal="80" zoomScaleSheetLayoutView="85" workbookViewId="0">
      <pane xSplit="2" ySplit="8" topLeftCell="C45" activePane="bottomRight" state="frozen"/>
      <selection pane="topRight" activeCell="C1" sqref="C1"/>
      <selection pane="bottomLeft" activeCell="A9" sqref="A9"/>
      <selection pane="bottomRight" activeCell="P63" sqref="P63"/>
    </sheetView>
  </sheetViews>
  <sheetFormatPr defaultColWidth="9" defaultRowHeight="14"/>
  <cols>
    <col min="1" max="1" width="7" style="350" bestFit="1" customWidth="1"/>
    <col min="2" max="2" width="52.7265625" style="350" customWidth="1"/>
    <col min="3" max="3" width="17.7265625" style="350" customWidth="1"/>
    <col min="4" max="10" width="12.1796875" style="350" customWidth="1"/>
    <col min="11" max="11" width="2" style="350" customWidth="1"/>
    <col min="12" max="12" width="12.81640625" style="350" customWidth="1"/>
    <col min="13" max="13" width="2.453125" style="350" customWidth="1"/>
    <col min="14" max="14" width="12.7265625" style="350" customWidth="1"/>
    <col min="15" max="15" width="2" style="350" customWidth="1"/>
    <col min="16" max="16" width="12.81640625" style="350" customWidth="1"/>
    <col min="17" max="17" width="2" style="350" customWidth="1"/>
    <col min="18" max="18" width="12.54296875" style="350" customWidth="1"/>
    <col min="19" max="19" width="2" style="350" customWidth="1"/>
    <col min="20" max="20" width="11" style="350" bestFit="1" customWidth="1"/>
    <col min="21" max="16384" width="9" style="350"/>
  </cols>
  <sheetData>
    <row r="1" spans="1:20" ht="15.5">
      <c r="A1" s="537" t="s">
        <v>0</v>
      </c>
      <c r="B1" s="537"/>
      <c r="C1" s="537"/>
      <c r="D1" s="537"/>
      <c r="E1" s="537"/>
      <c r="F1" s="537"/>
      <c r="G1" s="537"/>
      <c r="H1" s="537"/>
      <c r="I1" s="537"/>
      <c r="J1" s="537"/>
      <c r="K1" s="537"/>
      <c r="L1" s="537"/>
      <c r="M1" s="537"/>
      <c r="N1" s="537"/>
      <c r="O1" s="537"/>
      <c r="P1" s="537"/>
      <c r="Q1" s="537"/>
      <c r="R1" s="537"/>
      <c r="S1" s="349"/>
    </row>
    <row r="2" spans="1:20" ht="15.5">
      <c r="A2" s="537" t="s">
        <v>1</v>
      </c>
      <c r="B2" s="537"/>
      <c r="C2" s="537"/>
      <c r="D2" s="537"/>
      <c r="E2" s="537"/>
      <c r="F2" s="537"/>
      <c r="G2" s="537"/>
      <c r="H2" s="537"/>
      <c r="I2" s="537"/>
      <c r="J2" s="537"/>
      <c r="K2" s="537"/>
      <c r="L2" s="537"/>
      <c r="M2" s="537"/>
      <c r="N2" s="537"/>
      <c r="O2" s="537"/>
      <c r="P2" s="537"/>
      <c r="Q2" s="537"/>
      <c r="R2" s="537"/>
      <c r="S2" s="349"/>
    </row>
    <row r="3" spans="1:20" ht="15.5">
      <c r="A3" s="348"/>
      <c r="B3" s="186"/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  <c r="O3" s="348"/>
      <c r="P3" s="348"/>
      <c r="Q3" s="348"/>
      <c r="R3" s="348"/>
      <c r="S3" s="349"/>
    </row>
    <row r="4" spans="1:20" ht="15.5">
      <c r="A4" s="537" t="s">
        <v>711</v>
      </c>
      <c r="B4" s="537"/>
      <c r="C4" s="537"/>
      <c r="D4" s="537"/>
      <c r="E4" s="537"/>
      <c r="F4" s="537"/>
      <c r="G4" s="537"/>
      <c r="H4" s="537"/>
      <c r="I4" s="537"/>
      <c r="J4" s="537"/>
      <c r="K4" s="537"/>
      <c r="L4" s="537"/>
      <c r="M4" s="537"/>
      <c r="N4" s="537"/>
      <c r="O4" s="537"/>
      <c r="P4" s="537"/>
      <c r="Q4" s="537"/>
      <c r="R4" s="537"/>
    </row>
    <row r="5" spans="1:20" ht="15.5">
      <c r="A5" s="536" t="s">
        <v>6</v>
      </c>
      <c r="B5" s="536"/>
      <c r="C5" s="536"/>
      <c r="D5" s="536"/>
      <c r="E5" s="536"/>
      <c r="F5" s="536"/>
      <c r="G5" s="536"/>
      <c r="H5" s="536"/>
      <c r="I5" s="536"/>
      <c r="J5" s="536"/>
      <c r="K5" s="536"/>
      <c r="L5" s="536"/>
      <c r="M5" s="536"/>
      <c r="N5" s="536"/>
      <c r="O5" s="536"/>
      <c r="P5" s="536"/>
      <c r="Q5" s="536"/>
      <c r="R5" s="536"/>
    </row>
    <row r="6" spans="1:20">
      <c r="F6" s="351"/>
      <c r="H6" s="351"/>
      <c r="J6" s="352"/>
      <c r="K6" s="352"/>
      <c r="L6" s="352"/>
      <c r="M6" s="352"/>
      <c r="N6" s="352"/>
    </row>
    <row r="7" spans="1:20">
      <c r="A7" s="354" t="s">
        <v>7</v>
      </c>
      <c r="C7" s="353" t="s">
        <v>8</v>
      </c>
      <c r="D7" s="538" t="s">
        <v>9</v>
      </c>
      <c r="E7" s="538"/>
      <c r="F7" s="538"/>
      <c r="G7" s="538"/>
      <c r="H7" s="538"/>
      <c r="I7" s="538"/>
      <c r="J7" s="538"/>
      <c r="K7" s="354"/>
      <c r="L7" s="539" t="s">
        <v>10</v>
      </c>
      <c r="M7" s="539"/>
      <c r="N7" s="539"/>
      <c r="O7" s="354"/>
      <c r="P7" s="538" t="s">
        <v>11</v>
      </c>
      <c r="Q7" s="538"/>
      <c r="R7" s="538"/>
    </row>
    <row r="8" spans="1:20">
      <c r="A8" s="355" t="s">
        <v>12</v>
      </c>
      <c r="B8" s="504" t="s">
        <v>712</v>
      </c>
      <c r="C8" s="356" t="s">
        <v>14</v>
      </c>
      <c r="D8" s="356">
        <v>2016</v>
      </c>
      <c r="E8" s="364">
        <v>2017</v>
      </c>
      <c r="F8" s="227">
        <v>2018</v>
      </c>
      <c r="G8" s="227">
        <v>2019</v>
      </c>
      <c r="H8" s="227">
        <v>2020</v>
      </c>
      <c r="I8" s="227">
        <v>2021</v>
      </c>
      <c r="J8" s="227">
        <v>2022</v>
      </c>
      <c r="K8" s="243"/>
      <c r="L8" s="226">
        <v>2023</v>
      </c>
      <c r="M8" s="226"/>
      <c r="N8" s="226">
        <v>2024</v>
      </c>
      <c r="O8" s="221"/>
      <c r="P8" s="226" t="s">
        <v>713</v>
      </c>
      <c r="Q8" s="221"/>
      <c r="R8" s="226" t="s">
        <v>714</v>
      </c>
    </row>
    <row r="9" spans="1:20">
      <c r="A9" s="354"/>
      <c r="B9" s="505"/>
      <c r="C9" s="353"/>
      <c r="D9" s="353"/>
      <c r="E9" s="374"/>
      <c r="F9" s="243"/>
      <c r="G9" s="243"/>
      <c r="H9" s="243"/>
      <c r="I9" s="243"/>
      <c r="J9" s="243"/>
      <c r="K9" s="243"/>
      <c r="L9" s="243"/>
      <c r="M9" s="243"/>
      <c r="N9" s="243"/>
      <c r="O9" s="221"/>
      <c r="P9" s="243"/>
      <c r="Q9" s="221"/>
      <c r="R9" s="243"/>
    </row>
    <row r="10" spans="1:20">
      <c r="A10" s="365">
        <v>1</v>
      </c>
      <c r="B10" s="505" t="s">
        <v>540</v>
      </c>
      <c r="F10" s="352"/>
      <c r="G10" s="352"/>
      <c r="H10" s="352"/>
      <c r="I10" s="352"/>
      <c r="J10" s="352"/>
      <c r="K10" s="352"/>
      <c r="L10" s="352"/>
      <c r="M10" s="352"/>
      <c r="N10" s="352"/>
      <c r="O10" s="352"/>
      <c r="P10" s="223"/>
      <c r="Q10" s="223"/>
      <c r="R10" s="223"/>
      <c r="S10" s="352"/>
    </row>
    <row r="11" spans="1:20">
      <c r="A11" s="365">
        <f t="shared" ref="A11:A74" si="0">A10+1</f>
        <v>2</v>
      </c>
      <c r="B11" s="506" t="s">
        <v>715</v>
      </c>
      <c r="C11" s="219"/>
      <c r="D11" s="219">
        <v>0</v>
      </c>
      <c r="E11" s="219">
        <v>0</v>
      </c>
      <c r="F11" s="219">
        <v>0</v>
      </c>
      <c r="G11" s="219">
        <v>0</v>
      </c>
      <c r="H11" s="219">
        <v>0</v>
      </c>
      <c r="I11" s="219">
        <v>0</v>
      </c>
      <c r="J11" s="219">
        <v>0</v>
      </c>
      <c r="K11" s="219"/>
      <c r="L11" s="219">
        <v>0</v>
      </c>
      <c r="M11" s="222"/>
      <c r="N11" s="219">
        <v>527.36</v>
      </c>
      <c r="O11" s="224"/>
      <c r="P11" s="396">
        <v>0</v>
      </c>
      <c r="Q11" s="223"/>
      <c r="R11" s="396">
        <v>0</v>
      </c>
      <c r="T11" s="352"/>
    </row>
    <row r="12" spans="1:20">
      <c r="A12" s="365">
        <f t="shared" si="0"/>
        <v>3</v>
      </c>
      <c r="B12" s="506" t="s">
        <v>716</v>
      </c>
      <c r="C12" s="219"/>
      <c r="D12" s="219">
        <v>0</v>
      </c>
      <c r="E12" s="219">
        <v>0</v>
      </c>
      <c r="F12" s="219">
        <v>0</v>
      </c>
      <c r="G12" s="219">
        <v>0</v>
      </c>
      <c r="H12" s="219">
        <v>0</v>
      </c>
      <c r="I12" s="219">
        <v>0</v>
      </c>
      <c r="J12" s="219">
        <v>0</v>
      </c>
      <c r="K12" s="219"/>
      <c r="L12" s="219">
        <v>452.06456000000003</v>
      </c>
      <c r="M12" s="222"/>
      <c r="N12" s="219">
        <v>0</v>
      </c>
      <c r="O12" s="224"/>
      <c r="P12" s="396">
        <v>0</v>
      </c>
      <c r="Q12" s="223"/>
      <c r="R12" s="396">
        <v>0</v>
      </c>
      <c r="T12" s="352"/>
    </row>
    <row r="13" spans="1:20">
      <c r="A13" s="365">
        <f t="shared" si="0"/>
        <v>4</v>
      </c>
      <c r="B13" s="506" t="s">
        <v>717</v>
      </c>
      <c r="C13" s="219"/>
      <c r="D13" s="219">
        <v>0</v>
      </c>
      <c r="E13" s="219">
        <v>0</v>
      </c>
      <c r="F13" s="219">
        <v>0</v>
      </c>
      <c r="G13" s="219">
        <v>0</v>
      </c>
      <c r="H13" s="219">
        <v>0</v>
      </c>
      <c r="I13" s="219">
        <v>0</v>
      </c>
      <c r="J13" s="219">
        <v>0</v>
      </c>
      <c r="K13" s="219"/>
      <c r="L13" s="219">
        <v>385</v>
      </c>
      <c r="M13" s="222"/>
      <c r="N13" s="219">
        <v>0</v>
      </c>
      <c r="O13" s="224"/>
      <c r="P13" s="396">
        <v>0</v>
      </c>
      <c r="Q13" s="223"/>
      <c r="R13" s="396">
        <v>0</v>
      </c>
      <c r="T13" s="352"/>
    </row>
    <row r="14" spans="1:20">
      <c r="A14" s="365">
        <f t="shared" si="0"/>
        <v>5</v>
      </c>
      <c r="B14" s="506" t="s">
        <v>718</v>
      </c>
      <c r="C14" s="219"/>
      <c r="D14" s="219">
        <v>0</v>
      </c>
      <c r="E14" s="219">
        <v>0</v>
      </c>
      <c r="F14" s="219">
        <v>0</v>
      </c>
      <c r="G14" s="219">
        <v>0</v>
      </c>
      <c r="H14" s="219">
        <v>0</v>
      </c>
      <c r="I14" s="219">
        <v>0</v>
      </c>
      <c r="J14" s="219">
        <v>0</v>
      </c>
      <c r="K14" s="219"/>
      <c r="L14" s="219">
        <v>153.31855000000002</v>
      </c>
      <c r="M14" s="222"/>
      <c r="N14" s="219">
        <v>0</v>
      </c>
      <c r="O14" s="224"/>
      <c r="P14" s="396">
        <v>0</v>
      </c>
      <c r="Q14" s="223"/>
      <c r="R14" s="396">
        <v>0</v>
      </c>
      <c r="T14" s="352"/>
    </row>
    <row r="15" spans="1:20">
      <c r="A15" s="365">
        <f t="shared" si="0"/>
        <v>6</v>
      </c>
      <c r="B15" s="506" t="s">
        <v>719</v>
      </c>
      <c r="C15" s="219"/>
      <c r="D15" s="219">
        <v>286.13986426135153</v>
      </c>
      <c r="E15" s="219">
        <v>165.65555364040247</v>
      </c>
      <c r="F15" s="219">
        <v>539.73017405619055</v>
      </c>
      <c r="G15" s="219">
        <v>-17.32787312956345</v>
      </c>
      <c r="H15" s="219">
        <v>0</v>
      </c>
      <c r="I15" s="219">
        <v>0</v>
      </c>
      <c r="J15" s="219">
        <v>0</v>
      </c>
      <c r="K15" s="219"/>
      <c r="L15" s="219">
        <v>0</v>
      </c>
      <c r="M15" s="222"/>
      <c r="N15" s="219">
        <v>0</v>
      </c>
      <c r="O15" s="224"/>
      <c r="P15" s="396">
        <v>20</v>
      </c>
      <c r="Q15" s="223"/>
      <c r="R15" s="396">
        <v>589</v>
      </c>
      <c r="T15" s="352"/>
    </row>
    <row r="16" spans="1:20">
      <c r="A16" s="365">
        <f t="shared" si="0"/>
        <v>7</v>
      </c>
      <c r="B16" s="506" t="s">
        <v>720</v>
      </c>
      <c r="C16" s="219"/>
      <c r="D16" s="219">
        <v>412.07016093148746</v>
      </c>
      <c r="E16" s="219">
        <v>-150.19648740730395</v>
      </c>
      <c r="F16" s="219">
        <v>0</v>
      </c>
      <c r="G16" s="219">
        <v>0</v>
      </c>
      <c r="H16" s="219">
        <v>0</v>
      </c>
      <c r="I16" s="219">
        <v>0</v>
      </c>
      <c r="J16" s="219">
        <v>0</v>
      </c>
      <c r="K16" s="219"/>
      <c r="L16" s="219">
        <v>0</v>
      </c>
      <c r="M16" s="222"/>
      <c r="N16" s="219">
        <v>0</v>
      </c>
      <c r="O16" s="224"/>
      <c r="P16" s="396">
        <v>0</v>
      </c>
      <c r="Q16" s="223"/>
      <c r="R16" s="396">
        <v>0</v>
      </c>
      <c r="T16" s="352"/>
    </row>
    <row r="17" spans="1:20">
      <c r="A17" s="365">
        <f t="shared" si="0"/>
        <v>8</v>
      </c>
      <c r="B17" s="506" t="s">
        <v>721</v>
      </c>
      <c r="C17" s="219"/>
      <c r="D17" s="219">
        <v>2.0436921261405518</v>
      </c>
      <c r="E17" s="219">
        <v>0.87023345589939616</v>
      </c>
      <c r="F17" s="219">
        <v>114.63512954716799</v>
      </c>
      <c r="G17" s="219">
        <v>-25.93545444531955</v>
      </c>
      <c r="H17" s="219">
        <v>11.11621897049039</v>
      </c>
      <c r="I17" s="219">
        <v>0</v>
      </c>
      <c r="J17" s="219">
        <v>0</v>
      </c>
      <c r="K17" s="219"/>
      <c r="L17" s="219">
        <v>0</v>
      </c>
      <c r="M17" s="222"/>
      <c r="N17" s="219">
        <v>0</v>
      </c>
      <c r="O17" s="224"/>
      <c r="P17" s="396">
        <v>0</v>
      </c>
      <c r="Q17" s="223"/>
      <c r="R17" s="396">
        <v>30</v>
      </c>
      <c r="T17" s="352"/>
    </row>
    <row r="18" spans="1:20">
      <c r="A18" s="365">
        <f t="shared" si="0"/>
        <v>9</v>
      </c>
      <c r="B18" s="506" t="s">
        <v>722</v>
      </c>
      <c r="C18" s="219"/>
      <c r="D18" s="219">
        <v>0</v>
      </c>
      <c r="E18" s="219">
        <v>30.185324167971018</v>
      </c>
      <c r="F18" s="219">
        <v>0.25355321242518902</v>
      </c>
      <c r="G18" s="219">
        <v>220.07294049806757</v>
      </c>
      <c r="H18" s="219">
        <v>526.91291294916596</v>
      </c>
      <c r="I18" s="219">
        <v>-5.4748432704687957</v>
      </c>
      <c r="J18" s="219">
        <v>0</v>
      </c>
      <c r="K18" s="219"/>
      <c r="L18" s="219">
        <v>0</v>
      </c>
      <c r="M18" s="222"/>
      <c r="N18" s="219">
        <v>0</v>
      </c>
      <c r="O18" s="224"/>
      <c r="P18" s="396">
        <v>0</v>
      </c>
      <c r="Q18" s="223"/>
      <c r="R18" s="396">
        <v>411</v>
      </c>
      <c r="T18" s="352"/>
    </row>
    <row r="19" spans="1:20">
      <c r="A19" s="365">
        <f t="shared" si="0"/>
        <v>10</v>
      </c>
      <c r="B19" s="506" t="s">
        <v>723</v>
      </c>
      <c r="C19" s="219"/>
      <c r="D19" s="219">
        <v>97.822875737752469</v>
      </c>
      <c r="E19" s="219">
        <v>11.268401383764123</v>
      </c>
      <c r="F19" s="219">
        <v>-111.72253869893606</v>
      </c>
      <c r="G19" s="219">
        <v>0</v>
      </c>
      <c r="H19" s="219">
        <v>0</v>
      </c>
      <c r="I19" s="219">
        <v>0</v>
      </c>
      <c r="J19" s="219">
        <v>0</v>
      </c>
      <c r="K19" s="219"/>
      <c r="L19" s="219">
        <v>34.843279999999993</v>
      </c>
      <c r="M19" s="222"/>
      <c r="N19" s="219">
        <v>0</v>
      </c>
      <c r="O19" s="224"/>
      <c r="P19" s="396">
        <v>100</v>
      </c>
      <c r="Q19" s="223"/>
      <c r="R19" s="396">
        <v>0</v>
      </c>
      <c r="T19" s="352"/>
    </row>
    <row r="20" spans="1:20">
      <c r="A20" s="365">
        <f t="shared" si="0"/>
        <v>11</v>
      </c>
      <c r="B20" s="506" t="s">
        <v>724</v>
      </c>
      <c r="C20" s="219"/>
      <c r="D20" s="219">
        <v>0</v>
      </c>
      <c r="E20" s="219">
        <v>0</v>
      </c>
      <c r="F20" s="219">
        <v>0</v>
      </c>
      <c r="G20" s="219">
        <v>0</v>
      </c>
      <c r="H20" s="219">
        <v>0</v>
      </c>
      <c r="I20" s="219">
        <v>0</v>
      </c>
      <c r="J20" s="219">
        <v>66.169241923515315</v>
      </c>
      <c r="K20" s="219"/>
      <c r="L20" s="219">
        <v>0</v>
      </c>
      <c r="M20" s="222"/>
      <c r="N20" s="219">
        <v>0</v>
      </c>
      <c r="O20" s="224"/>
      <c r="P20" s="396">
        <v>0</v>
      </c>
      <c r="Q20" s="223"/>
      <c r="R20" s="396">
        <v>0</v>
      </c>
      <c r="T20" s="352"/>
    </row>
    <row r="21" spans="1:20">
      <c r="A21" s="365">
        <f t="shared" si="0"/>
        <v>12</v>
      </c>
      <c r="B21" s="506" t="s">
        <v>725</v>
      </c>
      <c r="C21" s="219"/>
      <c r="D21" s="219">
        <v>0</v>
      </c>
      <c r="E21" s="219">
        <v>0</v>
      </c>
      <c r="F21" s="219">
        <v>0</v>
      </c>
      <c r="G21" s="219">
        <v>0</v>
      </c>
      <c r="H21" s="219">
        <v>0</v>
      </c>
      <c r="I21" s="219">
        <v>0</v>
      </c>
      <c r="J21" s="219">
        <v>0</v>
      </c>
      <c r="K21" s="219"/>
      <c r="L21" s="219">
        <v>37.07967</v>
      </c>
      <c r="M21" s="222"/>
      <c r="N21" s="219">
        <v>0</v>
      </c>
      <c r="O21" s="224"/>
      <c r="P21" s="396">
        <v>0</v>
      </c>
      <c r="Q21" s="223"/>
      <c r="R21" s="396">
        <v>0</v>
      </c>
      <c r="T21" s="352"/>
    </row>
    <row r="22" spans="1:20">
      <c r="A22" s="365">
        <f t="shared" si="0"/>
        <v>13</v>
      </c>
      <c r="B22" s="506" t="s">
        <v>726</v>
      </c>
      <c r="C22" s="219"/>
      <c r="D22" s="219">
        <v>0</v>
      </c>
      <c r="E22" s="219">
        <v>0</v>
      </c>
      <c r="F22" s="219">
        <v>0</v>
      </c>
      <c r="G22" s="219">
        <v>0</v>
      </c>
      <c r="H22" s="219">
        <v>0</v>
      </c>
      <c r="I22" s="219">
        <v>43.283413707077749</v>
      </c>
      <c r="J22" s="219">
        <v>15.516494070275929</v>
      </c>
      <c r="K22" s="219"/>
      <c r="L22" s="219">
        <v>0</v>
      </c>
      <c r="M22" s="222"/>
      <c r="N22" s="219">
        <v>0</v>
      </c>
      <c r="O22" s="224"/>
      <c r="P22" s="396">
        <v>0</v>
      </c>
      <c r="Q22" s="223"/>
      <c r="R22" s="396">
        <v>0</v>
      </c>
      <c r="T22" s="352"/>
    </row>
    <row r="23" spans="1:20">
      <c r="A23" s="365">
        <f t="shared" si="0"/>
        <v>14</v>
      </c>
      <c r="B23" s="506" t="s">
        <v>727</v>
      </c>
      <c r="C23" s="219"/>
      <c r="D23" s="219">
        <v>0</v>
      </c>
      <c r="E23" s="219">
        <v>0</v>
      </c>
      <c r="F23" s="219">
        <v>0</v>
      </c>
      <c r="G23" s="219">
        <v>47.818111131958659</v>
      </c>
      <c r="H23" s="219">
        <v>5.6296005916664766</v>
      </c>
      <c r="I23" s="219">
        <v>0</v>
      </c>
      <c r="J23" s="219">
        <v>0</v>
      </c>
      <c r="K23" s="219"/>
      <c r="L23" s="219">
        <v>0</v>
      </c>
      <c r="M23" s="222"/>
      <c r="N23" s="219">
        <v>0</v>
      </c>
      <c r="O23" s="224"/>
      <c r="P23" s="396">
        <v>0</v>
      </c>
      <c r="Q23" s="223"/>
      <c r="R23" s="396">
        <v>0</v>
      </c>
      <c r="T23" s="352"/>
    </row>
    <row r="24" spans="1:20">
      <c r="A24" s="365">
        <f t="shared" si="0"/>
        <v>15</v>
      </c>
      <c r="B24" s="506" t="s">
        <v>728</v>
      </c>
      <c r="C24" s="219"/>
      <c r="D24" s="219">
        <v>0</v>
      </c>
      <c r="E24" s="219">
        <v>0</v>
      </c>
      <c r="F24" s="219">
        <v>48.054577061249404</v>
      </c>
      <c r="G24" s="219">
        <v>-0.74475817497069641</v>
      </c>
      <c r="H24" s="219">
        <v>0</v>
      </c>
      <c r="I24" s="219">
        <v>0</v>
      </c>
      <c r="J24" s="219">
        <v>0</v>
      </c>
      <c r="K24" s="219"/>
      <c r="L24" s="219">
        <v>0</v>
      </c>
      <c r="M24" s="222"/>
      <c r="N24" s="219">
        <v>0</v>
      </c>
      <c r="O24" s="224"/>
      <c r="P24" s="396">
        <v>0</v>
      </c>
      <c r="Q24" s="223"/>
      <c r="R24" s="396">
        <v>0</v>
      </c>
      <c r="T24" s="352"/>
    </row>
    <row r="25" spans="1:20">
      <c r="A25" s="365">
        <f t="shared" si="0"/>
        <v>16</v>
      </c>
      <c r="B25" s="506" t="s">
        <v>729</v>
      </c>
      <c r="C25" s="219"/>
      <c r="D25" s="219">
        <v>0</v>
      </c>
      <c r="E25" s="219">
        <v>0</v>
      </c>
      <c r="F25" s="219">
        <v>0</v>
      </c>
      <c r="G25" s="219">
        <v>0</v>
      </c>
      <c r="H25" s="219">
        <v>0</v>
      </c>
      <c r="I25" s="219">
        <v>0</v>
      </c>
      <c r="J25" s="219">
        <v>0</v>
      </c>
      <c r="K25" s="219"/>
      <c r="L25" s="219">
        <v>0</v>
      </c>
      <c r="M25" s="222"/>
      <c r="N25" s="219">
        <v>52.53</v>
      </c>
      <c r="O25" s="224"/>
      <c r="P25" s="396">
        <v>0</v>
      </c>
      <c r="Q25" s="223"/>
      <c r="R25" s="396">
        <v>0</v>
      </c>
      <c r="T25" s="352"/>
    </row>
    <row r="26" spans="1:20">
      <c r="A26" s="365">
        <f t="shared" si="0"/>
        <v>17</v>
      </c>
      <c r="B26" s="506" t="s">
        <v>730</v>
      </c>
      <c r="C26" s="219"/>
      <c r="D26" s="219">
        <v>0</v>
      </c>
      <c r="E26" s="219">
        <v>0</v>
      </c>
      <c r="F26" s="219">
        <v>0</v>
      </c>
      <c r="G26" s="219">
        <v>0</v>
      </c>
      <c r="H26" s="219">
        <v>0</v>
      </c>
      <c r="I26" s="219">
        <v>0</v>
      </c>
      <c r="J26" s="219">
        <v>23.814298489495528</v>
      </c>
      <c r="K26" s="219"/>
      <c r="L26" s="219">
        <v>88.928770000000014</v>
      </c>
      <c r="M26" s="222"/>
      <c r="N26" s="219">
        <v>0</v>
      </c>
      <c r="O26" s="224"/>
      <c r="P26" s="396">
        <v>0</v>
      </c>
      <c r="Q26" s="223"/>
      <c r="R26" s="396">
        <v>0</v>
      </c>
      <c r="T26" s="352"/>
    </row>
    <row r="27" spans="1:20">
      <c r="A27" s="365">
        <f t="shared" si="0"/>
        <v>18</v>
      </c>
      <c r="B27" s="506" t="s">
        <v>731</v>
      </c>
      <c r="C27" s="219"/>
      <c r="D27" s="219">
        <v>0</v>
      </c>
      <c r="E27" s="219">
        <v>0</v>
      </c>
      <c r="F27" s="219">
        <v>0</v>
      </c>
      <c r="G27" s="219">
        <v>0</v>
      </c>
      <c r="H27" s="219">
        <v>0</v>
      </c>
      <c r="I27" s="219">
        <v>0</v>
      </c>
      <c r="J27" s="219">
        <v>0</v>
      </c>
      <c r="K27" s="219"/>
      <c r="L27" s="219">
        <v>35</v>
      </c>
      <c r="M27" s="222"/>
      <c r="N27" s="219">
        <v>0</v>
      </c>
      <c r="O27" s="224"/>
      <c r="P27" s="396">
        <v>0</v>
      </c>
      <c r="Q27" s="223"/>
      <c r="R27" s="396">
        <v>0</v>
      </c>
      <c r="T27" s="352"/>
    </row>
    <row r="28" spans="1:20">
      <c r="A28" s="365">
        <f t="shared" si="0"/>
        <v>19</v>
      </c>
      <c r="B28" s="506" t="s">
        <v>732</v>
      </c>
      <c r="C28" s="219"/>
      <c r="D28" s="219">
        <v>0</v>
      </c>
      <c r="E28" s="219">
        <v>0</v>
      </c>
      <c r="F28" s="219">
        <v>0</v>
      </c>
      <c r="G28" s="219">
        <v>0</v>
      </c>
      <c r="H28" s="219">
        <v>0</v>
      </c>
      <c r="I28" s="219">
        <v>0</v>
      </c>
      <c r="J28" s="219">
        <v>0</v>
      </c>
      <c r="K28" s="219"/>
      <c r="L28" s="219">
        <v>0</v>
      </c>
      <c r="M28" s="222"/>
      <c r="N28" s="219">
        <v>38.933999999999997</v>
      </c>
      <c r="O28" s="224"/>
      <c r="P28" s="396">
        <v>0</v>
      </c>
      <c r="Q28" s="223"/>
      <c r="R28" s="396">
        <v>0</v>
      </c>
      <c r="T28" s="352"/>
    </row>
    <row r="29" spans="1:20">
      <c r="A29" s="365">
        <f t="shared" si="0"/>
        <v>20</v>
      </c>
      <c r="B29" s="506" t="s">
        <v>733</v>
      </c>
      <c r="C29" s="219"/>
      <c r="D29" s="219">
        <v>0</v>
      </c>
      <c r="E29" s="219">
        <v>0</v>
      </c>
      <c r="F29" s="219">
        <v>0</v>
      </c>
      <c r="G29" s="219">
        <v>0</v>
      </c>
      <c r="H29" s="219">
        <v>0</v>
      </c>
      <c r="I29" s="219">
        <v>0</v>
      </c>
      <c r="J29" s="219">
        <v>138.19538241441984</v>
      </c>
      <c r="K29" s="219"/>
      <c r="L29" s="219">
        <v>0</v>
      </c>
      <c r="M29" s="222"/>
      <c r="N29" s="219">
        <v>0</v>
      </c>
      <c r="O29" s="224"/>
      <c r="P29" s="396">
        <v>0</v>
      </c>
      <c r="Q29" s="223"/>
      <c r="R29" s="396">
        <v>0</v>
      </c>
      <c r="T29" s="352"/>
    </row>
    <row r="30" spans="1:20">
      <c r="A30" s="365">
        <f t="shared" si="0"/>
        <v>21</v>
      </c>
      <c r="B30" s="506" t="s">
        <v>734</v>
      </c>
      <c r="C30" s="219"/>
      <c r="D30" s="219">
        <v>9.9630459754841372</v>
      </c>
      <c r="E30" s="219">
        <v>106.46111192455902</v>
      </c>
      <c r="F30" s="219">
        <v>0.65282261771939476</v>
      </c>
      <c r="G30" s="219">
        <v>24.139049223036039</v>
      </c>
      <c r="H30" s="219">
        <v>-5.5906855318963451E-2</v>
      </c>
      <c r="I30" s="219">
        <v>-5.2769775526322026E-3</v>
      </c>
      <c r="J30" s="219">
        <v>0</v>
      </c>
      <c r="K30" s="219"/>
      <c r="L30" s="219">
        <v>25.819569999999995</v>
      </c>
      <c r="M30" s="222"/>
      <c r="N30" s="219">
        <v>81.37</v>
      </c>
      <c r="O30" s="224"/>
      <c r="P30" s="396">
        <v>25</v>
      </c>
      <c r="Q30" s="223"/>
      <c r="R30" s="396">
        <v>25</v>
      </c>
      <c r="T30" s="352"/>
    </row>
    <row r="31" spans="1:20">
      <c r="A31" s="365">
        <f t="shared" si="0"/>
        <v>22</v>
      </c>
      <c r="B31" s="506" t="s">
        <v>735</v>
      </c>
      <c r="C31" s="219"/>
      <c r="D31" s="219">
        <v>19.590402709055574</v>
      </c>
      <c r="E31" s="219">
        <v>15.728220658008105</v>
      </c>
      <c r="F31" s="219">
        <v>15.867350439718162</v>
      </c>
      <c r="G31" s="219">
        <v>3.0718774326798726</v>
      </c>
      <c r="H31" s="219">
        <v>3.8007446757569019</v>
      </c>
      <c r="I31" s="219">
        <v>2.9777021071696299</v>
      </c>
      <c r="J31" s="219">
        <v>-70.639130675916974</v>
      </c>
      <c r="K31" s="219"/>
      <c r="L31" s="219">
        <v>0</v>
      </c>
      <c r="M31" s="222"/>
      <c r="N31" s="219">
        <v>0</v>
      </c>
      <c r="O31" s="224"/>
      <c r="P31" s="396">
        <v>0</v>
      </c>
      <c r="Q31" s="223"/>
      <c r="R31" s="396">
        <v>0</v>
      </c>
      <c r="T31" s="352"/>
    </row>
    <row r="32" spans="1:20">
      <c r="A32" s="365">
        <f t="shared" si="0"/>
        <v>23</v>
      </c>
      <c r="B32" s="507" t="s">
        <v>736</v>
      </c>
      <c r="C32" s="219"/>
      <c r="D32" s="219">
        <v>2601.2559750442783</v>
      </c>
      <c r="E32" s="219">
        <v>167.64696491118298</v>
      </c>
      <c r="F32" s="219">
        <v>30.203818373389701</v>
      </c>
      <c r="G32" s="219">
        <v>5.6217998096874666E-3</v>
      </c>
      <c r="H32" s="219">
        <v>0</v>
      </c>
      <c r="I32" s="219">
        <v>29.380619543635472</v>
      </c>
      <c r="J32" s="219">
        <v>-27.290728407405254</v>
      </c>
      <c r="K32" s="219"/>
      <c r="L32" s="219">
        <v>0</v>
      </c>
      <c r="M32" s="222"/>
      <c r="N32" s="219">
        <v>0</v>
      </c>
      <c r="O32" s="224"/>
      <c r="P32" s="396">
        <v>2908</v>
      </c>
      <c r="Q32" s="223"/>
      <c r="R32" s="396">
        <v>0</v>
      </c>
      <c r="T32" s="352"/>
    </row>
    <row r="33" spans="1:20">
      <c r="A33" s="365">
        <f t="shared" si="0"/>
        <v>24</v>
      </c>
      <c r="B33" s="507" t="s">
        <v>737</v>
      </c>
      <c r="C33" s="219"/>
      <c r="D33" s="219">
        <v>0</v>
      </c>
      <c r="E33" s="219">
        <v>0</v>
      </c>
      <c r="F33" s="219">
        <v>0</v>
      </c>
      <c r="G33" s="219">
        <v>0</v>
      </c>
      <c r="H33" s="219">
        <v>0</v>
      </c>
      <c r="I33" s="219">
        <v>0</v>
      </c>
      <c r="J33" s="219">
        <v>0</v>
      </c>
      <c r="K33" s="219"/>
      <c r="L33" s="219">
        <v>0</v>
      </c>
      <c r="M33" s="222"/>
      <c r="N33" s="219">
        <v>0</v>
      </c>
      <c r="O33" s="224"/>
      <c r="P33" s="396">
        <v>40</v>
      </c>
      <c r="Q33" s="223"/>
      <c r="R33" s="396">
        <v>0</v>
      </c>
      <c r="T33" s="352"/>
    </row>
    <row r="34" spans="1:20">
      <c r="A34" s="365">
        <f t="shared" si="0"/>
        <v>25</v>
      </c>
      <c r="B34" s="507"/>
      <c r="C34" s="219"/>
      <c r="D34" s="219"/>
      <c r="E34" s="219"/>
      <c r="F34" s="219"/>
      <c r="G34" s="219"/>
      <c r="H34" s="219"/>
      <c r="I34" s="219"/>
      <c r="J34" s="219"/>
      <c r="K34" s="219"/>
      <c r="L34" s="219"/>
      <c r="M34" s="222"/>
      <c r="N34" s="219"/>
      <c r="O34" s="224"/>
      <c r="P34" s="326"/>
      <c r="Q34" s="223"/>
      <c r="R34" s="326"/>
      <c r="T34" s="352"/>
    </row>
    <row r="35" spans="1:20">
      <c r="A35" s="365">
        <f t="shared" si="0"/>
        <v>26</v>
      </c>
      <c r="B35" s="506" t="s">
        <v>738</v>
      </c>
      <c r="C35" s="219"/>
      <c r="D35" s="219">
        <v>0</v>
      </c>
      <c r="E35" s="219">
        <v>0</v>
      </c>
      <c r="F35" s="219">
        <v>0</v>
      </c>
      <c r="G35" s="219">
        <v>0</v>
      </c>
      <c r="H35" s="219">
        <v>0</v>
      </c>
      <c r="I35" s="219">
        <v>0</v>
      </c>
      <c r="J35" s="219">
        <v>0</v>
      </c>
      <c r="K35" s="219"/>
      <c r="L35" s="219">
        <v>102.49999999999999</v>
      </c>
      <c r="M35" s="222"/>
      <c r="N35" s="219">
        <v>0</v>
      </c>
      <c r="O35" s="224"/>
      <c r="P35" s="396">
        <v>0</v>
      </c>
      <c r="Q35" s="223"/>
      <c r="R35" s="396">
        <v>0</v>
      </c>
      <c r="T35" s="352"/>
    </row>
    <row r="36" spans="1:20">
      <c r="A36" s="365">
        <f t="shared" si="0"/>
        <v>27</v>
      </c>
      <c r="B36" s="506" t="s">
        <v>739</v>
      </c>
      <c r="C36" s="219"/>
      <c r="D36" s="219">
        <v>0</v>
      </c>
      <c r="E36" s="219">
        <v>0</v>
      </c>
      <c r="F36" s="219">
        <v>0</v>
      </c>
      <c r="G36" s="219">
        <v>0</v>
      </c>
      <c r="H36" s="219">
        <v>0</v>
      </c>
      <c r="I36" s="219">
        <v>0</v>
      </c>
      <c r="J36" s="219">
        <v>0</v>
      </c>
      <c r="K36" s="219"/>
      <c r="L36" s="219">
        <v>25</v>
      </c>
      <c r="M36" s="222"/>
      <c r="N36" s="219">
        <v>0</v>
      </c>
      <c r="O36" s="224"/>
      <c r="P36" s="396">
        <v>0</v>
      </c>
      <c r="Q36" s="223"/>
      <c r="R36" s="396">
        <v>0</v>
      </c>
      <c r="T36" s="352"/>
    </row>
    <row r="37" spans="1:20">
      <c r="A37" s="365">
        <f t="shared" si="0"/>
        <v>28</v>
      </c>
      <c r="B37" s="506" t="s">
        <v>740</v>
      </c>
      <c r="C37" s="219"/>
      <c r="D37" s="219">
        <v>0</v>
      </c>
      <c r="E37" s="219">
        <v>0</v>
      </c>
      <c r="F37" s="219">
        <v>0</v>
      </c>
      <c r="G37" s="219">
        <v>0</v>
      </c>
      <c r="H37" s="219">
        <v>0</v>
      </c>
      <c r="I37" s="219">
        <v>0</v>
      </c>
      <c r="J37" s="219">
        <v>0</v>
      </c>
      <c r="K37" s="219"/>
      <c r="L37" s="219">
        <v>50</v>
      </c>
      <c r="M37" s="222"/>
      <c r="N37" s="219">
        <v>0</v>
      </c>
      <c r="O37" s="224"/>
      <c r="P37" s="396">
        <v>0</v>
      </c>
      <c r="Q37" s="223"/>
      <c r="R37" s="396">
        <v>0</v>
      </c>
      <c r="T37" s="352"/>
    </row>
    <row r="38" spans="1:20">
      <c r="A38" s="365">
        <f t="shared" si="0"/>
        <v>29</v>
      </c>
      <c r="B38" s="506" t="s">
        <v>741</v>
      </c>
      <c r="C38" s="219"/>
      <c r="D38" s="219">
        <v>0</v>
      </c>
      <c r="E38" s="219">
        <v>0</v>
      </c>
      <c r="F38" s="219">
        <v>0</v>
      </c>
      <c r="G38" s="219">
        <v>0</v>
      </c>
      <c r="H38" s="219">
        <v>0</v>
      </c>
      <c r="I38" s="219">
        <v>0</v>
      </c>
      <c r="J38" s="219">
        <v>25.358258300762241</v>
      </c>
      <c r="K38" s="219"/>
      <c r="L38" s="219">
        <v>152.48045999999999</v>
      </c>
      <c r="M38" s="222"/>
      <c r="N38" s="219">
        <v>0</v>
      </c>
      <c r="O38" s="224"/>
      <c r="P38" s="396">
        <v>0</v>
      </c>
      <c r="Q38" s="223"/>
      <c r="R38" s="396">
        <v>0</v>
      </c>
      <c r="T38" s="352"/>
    </row>
    <row r="39" spans="1:20">
      <c r="A39" s="365">
        <f t="shared" si="0"/>
        <v>30</v>
      </c>
      <c r="B39" s="506" t="s">
        <v>742</v>
      </c>
      <c r="C39" s="219"/>
      <c r="D39" s="219">
        <v>0</v>
      </c>
      <c r="E39" s="219">
        <v>0</v>
      </c>
      <c r="F39" s="219">
        <v>0</v>
      </c>
      <c r="G39" s="219">
        <v>0</v>
      </c>
      <c r="H39" s="219">
        <v>0</v>
      </c>
      <c r="I39" s="219">
        <v>0</v>
      </c>
      <c r="J39" s="219">
        <v>0</v>
      </c>
      <c r="K39" s="219"/>
      <c r="L39" s="219">
        <v>230.55623</v>
      </c>
      <c r="M39" s="222"/>
      <c r="N39" s="219">
        <v>0</v>
      </c>
      <c r="O39" s="224"/>
      <c r="P39" s="396">
        <v>0</v>
      </c>
      <c r="Q39" s="223"/>
      <c r="R39" s="396">
        <v>0</v>
      </c>
      <c r="T39" s="352"/>
    </row>
    <row r="40" spans="1:20">
      <c r="A40" s="365">
        <f t="shared" si="0"/>
        <v>31</v>
      </c>
      <c r="B40" s="506" t="s">
        <v>743</v>
      </c>
      <c r="C40" s="219"/>
      <c r="D40" s="219">
        <v>0</v>
      </c>
      <c r="E40" s="219">
        <v>0</v>
      </c>
      <c r="F40" s="219">
        <v>0</v>
      </c>
      <c r="G40" s="219">
        <v>0</v>
      </c>
      <c r="H40" s="219">
        <v>0</v>
      </c>
      <c r="I40" s="219">
        <v>0</v>
      </c>
      <c r="J40" s="219">
        <v>0</v>
      </c>
      <c r="K40" s="219"/>
      <c r="L40" s="219">
        <v>135.88132785412768</v>
      </c>
      <c r="M40" s="222"/>
      <c r="N40" s="219">
        <v>0</v>
      </c>
      <c r="O40" s="224"/>
      <c r="P40" s="396">
        <v>0</v>
      </c>
      <c r="Q40" s="223"/>
      <c r="R40" s="396">
        <v>0</v>
      </c>
      <c r="T40" s="352"/>
    </row>
    <row r="41" spans="1:20">
      <c r="A41" s="365">
        <f t="shared" si="0"/>
        <v>32</v>
      </c>
      <c r="B41" s="506" t="s">
        <v>744</v>
      </c>
      <c r="C41" s="219"/>
      <c r="D41" s="219">
        <v>0</v>
      </c>
      <c r="E41" s="219">
        <v>0</v>
      </c>
      <c r="F41" s="219">
        <v>0</v>
      </c>
      <c r="G41" s="219">
        <v>0</v>
      </c>
      <c r="H41" s="219">
        <v>0</v>
      </c>
      <c r="I41" s="219">
        <v>0</v>
      </c>
      <c r="J41" s="219">
        <v>0</v>
      </c>
      <c r="K41" s="219"/>
      <c r="L41" s="219">
        <v>25</v>
      </c>
      <c r="M41" s="222"/>
      <c r="N41" s="219">
        <v>0</v>
      </c>
      <c r="O41" s="224"/>
      <c r="P41" s="396">
        <v>0</v>
      </c>
      <c r="Q41" s="223"/>
      <c r="R41" s="396">
        <v>0</v>
      </c>
      <c r="T41" s="352"/>
    </row>
    <row r="42" spans="1:20">
      <c r="A42" s="365">
        <f t="shared" si="0"/>
        <v>33</v>
      </c>
      <c r="B42" s="506" t="s">
        <v>745</v>
      </c>
      <c r="C42" s="219"/>
      <c r="D42" s="219">
        <v>0</v>
      </c>
      <c r="E42" s="219">
        <v>0</v>
      </c>
      <c r="F42" s="219">
        <v>0</v>
      </c>
      <c r="G42" s="219">
        <v>0</v>
      </c>
      <c r="H42" s="219">
        <v>0</v>
      </c>
      <c r="I42" s="219">
        <v>0</v>
      </c>
      <c r="J42" s="219">
        <v>0</v>
      </c>
      <c r="K42" s="219"/>
      <c r="L42" s="219">
        <v>100.41630000000001</v>
      </c>
      <c r="M42" s="222"/>
      <c r="N42" s="219">
        <v>0</v>
      </c>
      <c r="O42" s="224"/>
      <c r="P42" s="396">
        <v>0</v>
      </c>
      <c r="Q42" s="223"/>
      <c r="R42" s="396">
        <v>0</v>
      </c>
      <c r="T42" s="352"/>
    </row>
    <row r="43" spans="1:20">
      <c r="A43" s="365">
        <f t="shared" si="0"/>
        <v>34</v>
      </c>
      <c r="B43" s="506" t="s">
        <v>746</v>
      </c>
      <c r="C43" s="219"/>
      <c r="D43" s="219">
        <v>0</v>
      </c>
      <c r="E43" s="219">
        <v>0</v>
      </c>
      <c r="F43" s="219">
        <v>0</v>
      </c>
      <c r="G43" s="219">
        <v>0</v>
      </c>
      <c r="H43" s="219">
        <v>0</v>
      </c>
      <c r="I43" s="219">
        <v>0</v>
      </c>
      <c r="J43" s="219">
        <v>0</v>
      </c>
      <c r="K43" s="219"/>
      <c r="L43" s="219">
        <v>100.20815</v>
      </c>
      <c r="M43" s="222"/>
      <c r="N43" s="219">
        <v>0</v>
      </c>
      <c r="O43" s="224"/>
      <c r="P43" s="396">
        <v>0</v>
      </c>
      <c r="Q43" s="223"/>
      <c r="R43" s="396">
        <v>0</v>
      </c>
      <c r="T43" s="352"/>
    </row>
    <row r="44" spans="1:20">
      <c r="A44" s="365">
        <f t="shared" si="0"/>
        <v>35</v>
      </c>
      <c r="B44" s="506" t="s">
        <v>747</v>
      </c>
      <c r="C44" s="219"/>
      <c r="D44" s="219">
        <v>0</v>
      </c>
      <c r="E44" s="219">
        <v>0</v>
      </c>
      <c r="F44" s="219">
        <v>0</v>
      </c>
      <c r="G44" s="219">
        <v>418.41981926778465</v>
      </c>
      <c r="H44" s="219">
        <v>1278.249083072908</v>
      </c>
      <c r="I44" s="219">
        <v>130.33642189161523</v>
      </c>
      <c r="J44" s="219">
        <v>0</v>
      </c>
      <c r="K44" s="219"/>
      <c r="L44" s="219">
        <v>0</v>
      </c>
      <c r="M44" s="222"/>
      <c r="N44" s="219">
        <v>0</v>
      </c>
      <c r="O44" s="224"/>
      <c r="P44" s="396">
        <v>0</v>
      </c>
      <c r="Q44" s="223"/>
      <c r="R44" s="396">
        <v>0</v>
      </c>
      <c r="T44" s="352"/>
    </row>
    <row r="45" spans="1:20">
      <c r="A45" s="365">
        <f t="shared" si="0"/>
        <v>36</v>
      </c>
      <c r="B45" s="506" t="s">
        <v>748</v>
      </c>
      <c r="C45" s="219"/>
      <c r="D45" s="219">
        <v>0</v>
      </c>
      <c r="E45" s="219">
        <v>0</v>
      </c>
      <c r="F45" s="219">
        <v>0</v>
      </c>
      <c r="G45" s="219">
        <v>0</v>
      </c>
      <c r="H45" s="219">
        <v>0</v>
      </c>
      <c r="I45" s="219">
        <v>0</v>
      </c>
      <c r="J45" s="219">
        <v>0</v>
      </c>
      <c r="K45" s="219"/>
      <c r="L45" s="219">
        <v>375</v>
      </c>
      <c r="M45" s="222"/>
      <c r="N45" s="219">
        <v>0</v>
      </c>
      <c r="O45" s="224"/>
      <c r="P45" s="396">
        <v>0</v>
      </c>
      <c r="Q45" s="223"/>
      <c r="R45" s="396">
        <v>0</v>
      </c>
      <c r="T45" s="352"/>
    </row>
    <row r="46" spans="1:20">
      <c r="A46" s="365">
        <f t="shared" si="0"/>
        <v>37</v>
      </c>
      <c r="B46" s="506" t="s">
        <v>749</v>
      </c>
      <c r="C46" s="219"/>
      <c r="D46" s="219">
        <v>0</v>
      </c>
      <c r="E46" s="219">
        <v>0</v>
      </c>
      <c r="F46" s="219">
        <v>435.691661745646</v>
      </c>
      <c r="G46" s="219">
        <v>1212.6699610972239</v>
      </c>
      <c r="H46" s="219">
        <v>240.92439068791214</v>
      </c>
      <c r="I46" s="219">
        <v>0</v>
      </c>
      <c r="J46" s="219">
        <v>0</v>
      </c>
      <c r="K46" s="219"/>
      <c r="L46" s="219">
        <v>0</v>
      </c>
      <c r="M46" s="222"/>
      <c r="N46" s="219">
        <v>0</v>
      </c>
      <c r="O46" s="224"/>
      <c r="P46" s="396">
        <v>0</v>
      </c>
      <c r="Q46" s="223"/>
      <c r="R46" s="396">
        <v>0</v>
      </c>
      <c r="T46" s="352"/>
    </row>
    <row r="47" spans="1:20">
      <c r="A47" s="365">
        <f t="shared" si="0"/>
        <v>38</v>
      </c>
      <c r="B47" s="506" t="s">
        <v>750</v>
      </c>
      <c r="C47" s="219"/>
      <c r="D47" s="219">
        <v>0</v>
      </c>
      <c r="E47" s="219">
        <v>0</v>
      </c>
      <c r="F47" s="219">
        <v>371.01930904206512</v>
      </c>
      <c r="G47" s="219">
        <v>-2.0408848352132201</v>
      </c>
      <c r="H47" s="219">
        <v>0</v>
      </c>
      <c r="I47" s="219">
        <v>0</v>
      </c>
      <c r="J47" s="219">
        <v>0</v>
      </c>
      <c r="K47" s="219"/>
      <c r="L47" s="219">
        <v>0</v>
      </c>
      <c r="M47" s="222"/>
      <c r="N47" s="219">
        <v>515</v>
      </c>
      <c r="O47" s="224"/>
      <c r="P47" s="396">
        <v>0</v>
      </c>
      <c r="Q47" s="223"/>
      <c r="R47" s="396">
        <v>0</v>
      </c>
      <c r="T47" s="352"/>
    </row>
    <row r="48" spans="1:20">
      <c r="A48" s="365">
        <f t="shared" si="0"/>
        <v>39</v>
      </c>
      <c r="B48" s="506" t="s">
        <v>751</v>
      </c>
      <c r="C48" s="219"/>
      <c r="D48" s="219">
        <v>0</v>
      </c>
      <c r="E48" s="219">
        <v>0</v>
      </c>
      <c r="F48" s="219">
        <v>0</v>
      </c>
      <c r="G48" s="219">
        <v>0</v>
      </c>
      <c r="H48" s="219">
        <v>0</v>
      </c>
      <c r="I48" s="219">
        <v>176.6201874019545</v>
      </c>
      <c r="J48" s="219">
        <v>-25.542395344474155</v>
      </c>
      <c r="K48" s="219"/>
      <c r="L48" s="219">
        <v>0</v>
      </c>
      <c r="M48" s="222"/>
      <c r="N48" s="219">
        <v>0</v>
      </c>
      <c r="O48" s="224"/>
      <c r="P48" s="396">
        <v>0</v>
      </c>
      <c r="Q48" s="223"/>
      <c r="R48" s="396">
        <v>0</v>
      </c>
      <c r="T48" s="352"/>
    </row>
    <row r="49" spans="1:20">
      <c r="A49" s="365">
        <f t="shared" si="0"/>
        <v>40</v>
      </c>
      <c r="B49" s="506" t="s">
        <v>752</v>
      </c>
      <c r="C49" s="219"/>
      <c r="D49" s="219">
        <v>0</v>
      </c>
      <c r="E49" s="219">
        <v>0</v>
      </c>
      <c r="F49" s="219">
        <v>0</v>
      </c>
      <c r="G49" s="219">
        <v>0</v>
      </c>
      <c r="H49" s="219">
        <v>0</v>
      </c>
      <c r="I49" s="219">
        <v>0</v>
      </c>
      <c r="J49" s="219">
        <v>438.06408714111251</v>
      </c>
      <c r="K49" s="219"/>
      <c r="L49" s="219">
        <v>41.337729999999993</v>
      </c>
      <c r="M49" s="222"/>
      <c r="N49" s="219">
        <v>0</v>
      </c>
      <c r="O49" s="224"/>
      <c r="P49" s="396">
        <v>0</v>
      </c>
      <c r="Q49" s="223"/>
      <c r="R49" s="396">
        <v>0</v>
      </c>
      <c r="T49" s="352"/>
    </row>
    <row r="50" spans="1:20">
      <c r="A50" s="365">
        <f t="shared" si="0"/>
        <v>41</v>
      </c>
      <c r="B50" s="506" t="s">
        <v>753</v>
      </c>
      <c r="C50" s="219"/>
      <c r="D50" s="219">
        <v>0</v>
      </c>
      <c r="E50" s="219">
        <v>0</v>
      </c>
      <c r="F50" s="219">
        <v>0</v>
      </c>
      <c r="G50" s="219">
        <v>0</v>
      </c>
      <c r="H50" s="219">
        <v>828.38254829595223</v>
      </c>
      <c r="I50" s="219">
        <v>900.89852561261455</v>
      </c>
      <c r="J50" s="219">
        <v>140.33999297848376</v>
      </c>
      <c r="K50" s="219"/>
      <c r="L50" s="219">
        <v>0</v>
      </c>
      <c r="M50" s="222"/>
      <c r="N50" s="219">
        <v>0</v>
      </c>
      <c r="O50" s="224"/>
      <c r="P50" s="396">
        <v>0</v>
      </c>
      <c r="Q50" s="223"/>
      <c r="R50" s="396">
        <v>0</v>
      </c>
      <c r="T50" s="352"/>
    </row>
    <row r="51" spans="1:20">
      <c r="A51" s="365">
        <f t="shared" si="0"/>
        <v>42</v>
      </c>
      <c r="B51" s="506" t="s">
        <v>754</v>
      </c>
      <c r="C51" s="219"/>
      <c r="D51" s="219">
        <v>0</v>
      </c>
      <c r="E51" s="219">
        <v>0</v>
      </c>
      <c r="F51" s="219">
        <v>0</v>
      </c>
      <c r="G51" s="219">
        <v>0</v>
      </c>
      <c r="H51" s="219">
        <v>0</v>
      </c>
      <c r="I51" s="219">
        <v>0</v>
      </c>
      <c r="J51" s="219">
        <v>0</v>
      </c>
      <c r="K51" s="219"/>
      <c r="L51" s="219">
        <v>150</v>
      </c>
      <c r="M51" s="222"/>
      <c r="N51" s="219">
        <v>0</v>
      </c>
      <c r="O51" s="224"/>
      <c r="P51" s="396">
        <v>0</v>
      </c>
      <c r="Q51" s="223"/>
      <c r="R51" s="396">
        <v>0</v>
      </c>
      <c r="T51" s="352"/>
    </row>
    <row r="52" spans="1:20">
      <c r="A52" s="365">
        <f t="shared" si="0"/>
        <v>43</v>
      </c>
      <c r="B52" s="506" t="s">
        <v>755</v>
      </c>
      <c r="C52" s="219"/>
      <c r="D52" s="219">
        <v>0</v>
      </c>
      <c r="E52" s="219">
        <v>0</v>
      </c>
      <c r="F52" s="219">
        <v>0</v>
      </c>
      <c r="G52" s="219">
        <v>22.68884360118571</v>
      </c>
      <c r="H52" s="219">
        <v>0</v>
      </c>
      <c r="I52" s="219">
        <v>0</v>
      </c>
      <c r="J52" s="219">
        <v>0</v>
      </c>
      <c r="K52" s="219"/>
      <c r="L52" s="219">
        <v>0</v>
      </c>
      <c r="M52" s="222"/>
      <c r="N52" s="219">
        <v>0</v>
      </c>
      <c r="O52" s="224"/>
      <c r="P52" s="396">
        <v>0</v>
      </c>
      <c r="Q52" s="223"/>
      <c r="R52" s="396">
        <v>0</v>
      </c>
      <c r="T52" s="352"/>
    </row>
    <row r="53" spans="1:20">
      <c r="A53" s="365">
        <f t="shared" si="0"/>
        <v>44</v>
      </c>
      <c r="B53" s="506" t="s">
        <v>756</v>
      </c>
      <c r="C53" s="219"/>
      <c r="D53" s="219">
        <v>0</v>
      </c>
      <c r="E53" s="219">
        <v>0</v>
      </c>
      <c r="F53" s="219">
        <v>16.623345832817169</v>
      </c>
      <c r="G53" s="219">
        <v>128.22770121720893</v>
      </c>
      <c r="H53" s="219">
        <v>0</v>
      </c>
      <c r="I53" s="219">
        <v>0</v>
      </c>
      <c r="J53" s="219">
        <v>0</v>
      </c>
      <c r="K53" s="219"/>
      <c r="L53" s="219">
        <v>0</v>
      </c>
      <c r="M53" s="222"/>
      <c r="N53" s="219">
        <v>0</v>
      </c>
      <c r="O53" s="224"/>
      <c r="P53" s="396">
        <v>0</v>
      </c>
      <c r="Q53" s="223"/>
      <c r="R53" s="396">
        <v>0</v>
      </c>
      <c r="T53" s="352"/>
    </row>
    <row r="54" spans="1:20">
      <c r="A54" s="365">
        <f t="shared" si="0"/>
        <v>45</v>
      </c>
      <c r="B54" s="506" t="s">
        <v>757</v>
      </c>
      <c r="C54" s="219"/>
      <c r="D54" s="219">
        <v>0</v>
      </c>
      <c r="E54" s="219">
        <v>0</v>
      </c>
      <c r="F54" s="219">
        <v>0</v>
      </c>
      <c r="G54" s="219">
        <v>51.017447245687087</v>
      </c>
      <c r="H54" s="219">
        <v>0</v>
      </c>
      <c r="I54" s="219">
        <v>0</v>
      </c>
      <c r="J54" s="219">
        <v>0</v>
      </c>
      <c r="K54" s="219"/>
      <c r="L54" s="219">
        <v>0</v>
      </c>
      <c r="M54" s="222"/>
      <c r="N54" s="219">
        <v>0</v>
      </c>
      <c r="O54" s="224"/>
      <c r="P54" s="396">
        <v>0</v>
      </c>
      <c r="Q54" s="223"/>
      <c r="R54" s="396">
        <v>0</v>
      </c>
      <c r="T54" s="352"/>
    </row>
    <row r="55" spans="1:20">
      <c r="A55" s="365">
        <f t="shared" si="0"/>
        <v>46</v>
      </c>
      <c r="B55" s="506" t="s">
        <v>758</v>
      </c>
      <c r="C55" s="219"/>
      <c r="D55" s="219">
        <v>0</v>
      </c>
      <c r="E55" s="219">
        <v>0</v>
      </c>
      <c r="F55" s="219">
        <v>0</v>
      </c>
      <c r="G55" s="219">
        <v>0</v>
      </c>
      <c r="H55" s="219">
        <v>0</v>
      </c>
      <c r="I55" s="219">
        <v>0</v>
      </c>
      <c r="J55" s="219">
        <v>0</v>
      </c>
      <c r="K55" s="219"/>
      <c r="L55" s="219">
        <v>0</v>
      </c>
      <c r="M55" s="222"/>
      <c r="N55" s="219">
        <v>0</v>
      </c>
      <c r="O55" s="224"/>
      <c r="P55" s="396">
        <v>0</v>
      </c>
      <c r="Q55" s="223"/>
      <c r="R55" s="396">
        <v>102</v>
      </c>
      <c r="T55" s="352"/>
    </row>
    <row r="56" spans="1:20">
      <c r="A56" s="365">
        <f t="shared" si="0"/>
        <v>47</v>
      </c>
      <c r="B56" s="506" t="s">
        <v>759</v>
      </c>
      <c r="C56" s="219"/>
      <c r="D56" s="219">
        <v>0</v>
      </c>
      <c r="E56" s="219">
        <v>61.829520075025705</v>
      </c>
      <c r="F56" s="219">
        <v>105.76918916383087</v>
      </c>
      <c r="G56" s="219">
        <v>-1.8489075629583915</v>
      </c>
      <c r="H56" s="219">
        <v>0</v>
      </c>
      <c r="I56" s="219">
        <v>0</v>
      </c>
      <c r="J56" s="219">
        <v>0</v>
      </c>
      <c r="K56" s="219"/>
      <c r="L56" s="219">
        <v>0</v>
      </c>
      <c r="M56" s="222"/>
      <c r="N56" s="219">
        <v>0</v>
      </c>
      <c r="O56" s="224"/>
      <c r="P56" s="396">
        <v>0</v>
      </c>
      <c r="Q56" s="223"/>
      <c r="R56" s="396">
        <v>0</v>
      </c>
      <c r="T56" s="352"/>
    </row>
    <row r="57" spans="1:20">
      <c r="A57" s="365">
        <f t="shared" si="0"/>
        <v>48</v>
      </c>
      <c r="B57" s="506" t="s">
        <v>760</v>
      </c>
      <c r="C57" s="219"/>
      <c r="D57" s="219">
        <v>0</v>
      </c>
      <c r="E57" s="219">
        <v>0</v>
      </c>
      <c r="F57" s="219">
        <v>0</v>
      </c>
      <c r="G57" s="219">
        <v>0</v>
      </c>
      <c r="H57" s="219">
        <v>0</v>
      </c>
      <c r="I57" s="219">
        <v>1.100364991852939</v>
      </c>
      <c r="J57" s="219">
        <v>147.33056876085257</v>
      </c>
      <c r="K57" s="219"/>
      <c r="L57" s="219">
        <v>0</v>
      </c>
      <c r="M57" s="222"/>
      <c r="N57" s="219">
        <v>0</v>
      </c>
      <c r="O57" s="224"/>
      <c r="P57" s="396">
        <v>0</v>
      </c>
      <c r="Q57" s="223"/>
      <c r="R57" s="396">
        <v>0</v>
      </c>
      <c r="T57" s="352"/>
    </row>
    <row r="58" spans="1:20">
      <c r="A58" s="365">
        <f t="shared" si="0"/>
        <v>49</v>
      </c>
      <c r="B58" s="506" t="s">
        <v>761</v>
      </c>
      <c r="C58" s="219"/>
      <c r="D58" s="219">
        <v>0</v>
      </c>
      <c r="E58" s="219">
        <v>0</v>
      </c>
      <c r="F58" s="219">
        <v>0</v>
      </c>
      <c r="G58" s="219">
        <v>0</v>
      </c>
      <c r="H58" s="219">
        <v>0</v>
      </c>
      <c r="I58" s="219">
        <v>0</v>
      </c>
      <c r="J58" s="219">
        <v>23.792697010958115</v>
      </c>
      <c r="K58" s="219"/>
      <c r="L58" s="219">
        <v>0</v>
      </c>
      <c r="M58" s="222"/>
      <c r="N58" s="219">
        <v>0</v>
      </c>
      <c r="O58" s="224"/>
      <c r="P58" s="396">
        <v>0</v>
      </c>
      <c r="Q58" s="223"/>
      <c r="R58" s="396">
        <v>0</v>
      </c>
      <c r="T58" s="352"/>
    </row>
    <row r="59" spans="1:20">
      <c r="A59" s="365">
        <f t="shared" si="0"/>
        <v>50</v>
      </c>
      <c r="B59" s="506" t="s">
        <v>762</v>
      </c>
      <c r="C59" s="219"/>
      <c r="D59" s="219">
        <v>0</v>
      </c>
      <c r="E59" s="219">
        <v>0</v>
      </c>
      <c r="F59" s="219">
        <v>0</v>
      </c>
      <c r="G59" s="219">
        <v>34.49824166797022</v>
      </c>
      <c r="H59" s="219">
        <v>-0.62668131771865654</v>
      </c>
      <c r="I59" s="219">
        <v>0</v>
      </c>
      <c r="J59" s="219">
        <v>0</v>
      </c>
      <c r="K59" s="219"/>
      <c r="L59" s="219">
        <v>0</v>
      </c>
      <c r="M59" s="222"/>
      <c r="N59" s="219">
        <v>0</v>
      </c>
      <c r="O59" s="224"/>
      <c r="P59" s="396">
        <v>0</v>
      </c>
      <c r="Q59" s="223"/>
      <c r="R59" s="396">
        <v>0</v>
      </c>
      <c r="T59" s="352"/>
    </row>
    <row r="60" spans="1:20">
      <c r="A60" s="365">
        <f t="shared" si="0"/>
        <v>51</v>
      </c>
      <c r="B60" s="506" t="s">
        <v>763</v>
      </c>
      <c r="C60" s="219"/>
      <c r="D60" s="219">
        <v>0</v>
      </c>
      <c r="E60" s="219">
        <v>27.818959667587169</v>
      </c>
      <c r="F60" s="219">
        <v>0.91081359860066391</v>
      </c>
      <c r="G60" s="219">
        <v>0</v>
      </c>
      <c r="H60" s="219">
        <v>0</v>
      </c>
      <c r="I60" s="219">
        <v>0</v>
      </c>
      <c r="J60" s="219">
        <v>0</v>
      </c>
      <c r="K60" s="219"/>
      <c r="L60" s="219">
        <v>0</v>
      </c>
      <c r="M60" s="222"/>
      <c r="N60" s="219">
        <v>0</v>
      </c>
      <c r="O60" s="224"/>
      <c r="P60" s="396">
        <v>0</v>
      </c>
      <c r="Q60" s="223"/>
      <c r="R60" s="396">
        <v>0</v>
      </c>
      <c r="T60" s="352"/>
    </row>
    <row r="61" spans="1:20">
      <c r="A61" s="365">
        <f t="shared" si="0"/>
        <v>52</v>
      </c>
      <c r="B61" s="506" t="s">
        <v>764</v>
      </c>
      <c r="C61" s="219"/>
      <c r="D61" s="219">
        <v>0</v>
      </c>
      <c r="E61" s="219">
        <v>22.239714353237403</v>
      </c>
      <c r="F61" s="219">
        <v>0.72814260894619243</v>
      </c>
      <c r="G61" s="219">
        <v>0</v>
      </c>
      <c r="H61" s="219">
        <v>0</v>
      </c>
      <c r="I61" s="219">
        <v>0</v>
      </c>
      <c r="J61" s="219">
        <v>0</v>
      </c>
      <c r="K61" s="219"/>
      <c r="L61" s="219">
        <v>0</v>
      </c>
      <c r="M61" s="222"/>
      <c r="N61" s="219">
        <v>0</v>
      </c>
      <c r="O61" s="224"/>
      <c r="P61" s="396">
        <v>0</v>
      </c>
      <c r="Q61" s="223"/>
      <c r="R61" s="396">
        <v>0</v>
      </c>
      <c r="T61" s="352"/>
    </row>
    <row r="62" spans="1:20">
      <c r="A62" s="365">
        <f t="shared" si="0"/>
        <v>53</v>
      </c>
      <c r="B62" s="506" t="s">
        <v>765</v>
      </c>
      <c r="C62" s="219"/>
      <c r="D62" s="219">
        <v>0</v>
      </c>
      <c r="E62" s="219">
        <v>0</v>
      </c>
      <c r="F62" s="219">
        <v>42.49253002019713</v>
      </c>
      <c r="G62" s="219">
        <v>6.4500518491174352</v>
      </c>
      <c r="H62" s="219">
        <v>4.0723602490625641</v>
      </c>
      <c r="I62" s="219">
        <v>2.3121119027632226</v>
      </c>
      <c r="J62" s="219">
        <v>2.5317402221374548</v>
      </c>
      <c r="K62" s="219"/>
      <c r="L62" s="219">
        <v>0</v>
      </c>
      <c r="M62" s="222"/>
      <c r="N62" s="219">
        <v>0</v>
      </c>
      <c r="O62" s="224"/>
      <c r="P62" s="396">
        <v>0</v>
      </c>
      <c r="Q62" s="223"/>
      <c r="R62" s="396">
        <v>0</v>
      </c>
      <c r="T62" s="352"/>
    </row>
    <row r="63" spans="1:20">
      <c r="A63" s="365">
        <f t="shared" si="0"/>
        <v>54</v>
      </c>
      <c r="B63" s="506" t="s">
        <v>766</v>
      </c>
      <c r="C63" s="219"/>
      <c r="D63" s="219">
        <v>1053.8831648801533</v>
      </c>
      <c r="E63" s="219">
        <v>270.14767071750344</v>
      </c>
      <c r="F63" s="219">
        <v>0</v>
      </c>
      <c r="G63" s="219">
        <v>0</v>
      </c>
      <c r="H63" s="219">
        <v>0</v>
      </c>
      <c r="I63" s="219">
        <v>0</v>
      </c>
      <c r="J63" s="219">
        <v>0</v>
      </c>
      <c r="K63" s="219"/>
      <c r="L63" s="219">
        <v>0</v>
      </c>
      <c r="M63" s="222"/>
      <c r="N63" s="219">
        <v>0</v>
      </c>
      <c r="O63" s="224"/>
      <c r="P63" s="396">
        <v>1387</v>
      </c>
      <c r="Q63" s="223"/>
      <c r="R63" s="396">
        <v>0</v>
      </c>
      <c r="T63" s="352"/>
    </row>
    <row r="64" spans="1:20">
      <c r="A64" s="365">
        <f t="shared" si="0"/>
        <v>55</v>
      </c>
      <c r="B64" s="506"/>
      <c r="C64" s="219"/>
      <c r="D64" s="219"/>
      <c r="E64" s="219"/>
      <c r="F64" s="219"/>
      <c r="G64" s="219"/>
      <c r="H64" s="219"/>
      <c r="I64" s="219"/>
      <c r="J64" s="219"/>
      <c r="K64" s="219"/>
      <c r="L64" s="219"/>
      <c r="M64" s="222"/>
      <c r="N64" s="219"/>
      <c r="O64" s="224"/>
      <c r="P64" s="396"/>
      <c r="Q64" s="223"/>
      <c r="R64" s="396"/>
      <c r="T64" s="352"/>
    </row>
    <row r="65" spans="1:20">
      <c r="A65" s="365">
        <f t="shared" si="0"/>
        <v>56</v>
      </c>
      <c r="B65" s="506" t="s">
        <v>767</v>
      </c>
      <c r="C65" s="219"/>
      <c r="D65" s="219">
        <v>0</v>
      </c>
      <c r="E65" s="219">
        <v>0</v>
      </c>
      <c r="F65" s="219">
        <v>0</v>
      </c>
      <c r="G65" s="219">
        <v>0</v>
      </c>
      <c r="H65" s="219">
        <v>0</v>
      </c>
      <c r="I65" s="219">
        <v>0</v>
      </c>
      <c r="J65" s="219">
        <v>0</v>
      </c>
      <c r="K65" s="219"/>
      <c r="L65" s="219">
        <v>25</v>
      </c>
      <c r="M65" s="222"/>
      <c r="N65" s="219">
        <v>103</v>
      </c>
      <c r="O65" s="224"/>
      <c r="P65" s="396">
        <v>0</v>
      </c>
      <c r="Q65" s="223"/>
      <c r="R65" s="396">
        <v>0</v>
      </c>
      <c r="T65" s="352"/>
    </row>
    <row r="66" spans="1:20">
      <c r="A66" s="365">
        <f t="shared" si="0"/>
        <v>57</v>
      </c>
      <c r="B66" s="506" t="s">
        <v>768</v>
      </c>
      <c r="C66" s="219"/>
      <c r="D66" s="219">
        <v>0</v>
      </c>
      <c r="E66" s="219">
        <v>0</v>
      </c>
      <c r="F66" s="219">
        <v>0</v>
      </c>
      <c r="G66" s="219">
        <v>0</v>
      </c>
      <c r="H66" s="219">
        <v>0</v>
      </c>
      <c r="I66" s="219">
        <v>0</v>
      </c>
      <c r="J66" s="219">
        <v>0</v>
      </c>
      <c r="K66" s="219"/>
      <c r="L66" s="219">
        <v>25</v>
      </c>
      <c r="M66" s="222"/>
      <c r="N66" s="219">
        <v>0</v>
      </c>
      <c r="O66" s="224"/>
      <c r="P66" s="396">
        <v>0</v>
      </c>
      <c r="Q66" s="223"/>
      <c r="R66" s="396">
        <v>0</v>
      </c>
      <c r="T66" s="352"/>
    </row>
    <row r="67" spans="1:20">
      <c r="A67" s="365">
        <f t="shared" si="0"/>
        <v>58</v>
      </c>
      <c r="B67" s="506" t="s">
        <v>769</v>
      </c>
      <c r="C67" s="219"/>
      <c r="D67" s="219">
        <v>0</v>
      </c>
      <c r="E67" s="219">
        <v>0</v>
      </c>
      <c r="F67" s="219">
        <v>0</v>
      </c>
      <c r="G67" s="219">
        <v>0</v>
      </c>
      <c r="H67" s="219">
        <v>0</v>
      </c>
      <c r="I67" s="219">
        <v>0</v>
      </c>
      <c r="J67" s="219">
        <v>0</v>
      </c>
      <c r="K67" s="219"/>
      <c r="L67" s="219">
        <v>0</v>
      </c>
      <c r="M67" s="222"/>
      <c r="N67" s="219">
        <v>231.75</v>
      </c>
      <c r="O67" s="224"/>
      <c r="P67" s="396">
        <v>0</v>
      </c>
      <c r="Q67" s="223"/>
      <c r="R67" s="396">
        <v>0</v>
      </c>
      <c r="T67" s="352"/>
    </row>
    <row r="68" spans="1:20">
      <c r="A68" s="365">
        <f t="shared" si="0"/>
        <v>59</v>
      </c>
      <c r="B68" s="506" t="s">
        <v>770</v>
      </c>
      <c r="C68" s="219"/>
      <c r="D68" s="219">
        <v>0</v>
      </c>
      <c r="E68" s="219">
        <v>0</v>
      </c>
      <c r="F68" s="219">
        <v>0</v>
      </c>
      <c r="G68" s="219">
        <v>0</v>
      </c>
      <c r="H68" s="219">
        <v>474.65307999989369</v>
      </c>
      <c r="I68" s="219">
        <v>-9.7131148011041155</v>
      </c>
      <c r="J68" s="219">
        <v>0</v>
      </c>
      <c r="K68" s="219"/>
      <c r="L68" s="219">
        <v>0</v>
      </c>
      <c r="M68" s="222"/>
      <c r="N68" s="219">
        <v>0</v>
      </c>
      <c r="O68" s="224"/>
      <c r="P68" s="396">
        <v>0</v>
      </c>
      <c r="Q68" s="223"/>
      <c r="R68" s="396">
        <v>0</v>
      </c>
      <c r="T68" s="352"/>
    </row>
    <row r="69" spans="1:20">
      <c r="A69" s="365">
        <f t="shared" si="0"/>
        <v>60</v>
      </c>
      <c r="B69" s="506" t="s">
        <v>771</v>
      </c>
      <c r="C69" s="219"/>
      <c r="D69" s="219">
        <v>0</v>
      </c>
      <c r="E69" s="219">
        <v>0</v>
      </c>
      <c r="F69" s="219">
        <v>0</v>
      </c>
      <c r="G69" s="219">
        <v>191.90777717220578</v>
      </c>
      <c r="H69" s="219">
        <v>-17.068845949527805</v>
      </c>
      <c r="I69" s="219">
        <v>0</v>
      </c>
      <c r="J69" s="219">
        <v>0</v>
      </c>
      <c r="K69" s="219"/>
      <c r="L69" s="219">
        <v>0</v>
      </c>
      <c r="M69" s="222"/>
      <c r="N69" s="219">
        <v>0</v>
      </c>
      <c r="O69" s="224"/>
      <c r="P69" s="396">
        <v>0</v>
      </c>
      <c r="Q69" s="223"/>
      <c r="R69" s="396">
        <v>0</v>
      </c>
      <c r="T69" s="352"/>
    </row>
    <row r="70" spans="1:20">
      <c r="A70" s="365">
        <f t="shared" si="0"/>
        <v>61</v>
      </c>
      <c r="B70" s="506" t="s">
        <v>772</v>
      </c>
      <c r="C70" s="219"/>
      <c r="D70" s="219">
        <v>0</v>
      </c>
      <c r="E70" s="219">
        <v>0</v>
      </c>
      <c r="F70" s="219">
        <v>0</v>
      </c>
      <c r="G70" s="219">
        <v>0</v>
      </c>
      <c r="H70" s="219">
        <v>0</v>
      </c>
      <c r="I70" s="219">
        <v>269.73163964305229</v>
      </c>
      <c r="J70" s="219">
        <v>-189.98736591987648</v>
      </c>
      <c r="K70" s="219"/>
      <c r="L70" s="219">
        <v>0</v>
      </c>
      <c r="M70" s="222"/>
      <c r="N70" s="219">
        <v>0</v>
      </c>
      <c r="O70" s="224"/>
      <c r="P70" s="396">
        <v>0</v>
      </c>
      <c r="Q70" s="223"/>
      <c r="R70" s="396">
        <v>0</v>
      </c>
      <c r="T70" s="352"/>
    </row>
    <row r="71" spans="1:20">
      <c r="A71" s="365">
        <f t="shared" si="0"/>
        <v>62</v>
      </c>
      <c r="B71" s="506" t="s">
        <v>773</v>
      </c>
      <c r="C71" s="219"/>
      <c r="D71" s="219">
        <v>0</v>
      </c>
      <c r="E71" s="219">
        <v>0</v>
      </c>
      <c r="F71" s="219">
        <v>0</v>
      </c>
      <c r="G71" s="219">
        <v>0</v>
      </c>
      <c r="H71" s="219">
        <v>0</v>
      </c>
      <c r="I71" s="219">
        <v>0</v>
      </c>
      <c r="J71" s="219">
        <v>252.23277120397537</v>
      </c>
      <c r="K71" s="219"/>
      <c r="L71" s="219">
        <v>0</v>
      </c>
      <c r="M71" s="222"/>
      <c r="N71" s="219">
        <v>0</v>
      </c>
      <c r="O71" s="224"/>
      <c r="P71" s="396">
        <v>0</v>
      </c>
      <c r="Q71" s="223"/>
      <c r="R71" s="396">
        <v>0</v>
      </c>
      <c r="T71" s="352"/>
    </row>
    <row r="72" spans="1:20">
      <c r="A72" s="365">
        <f t="shared" si="0"/>
        <v>63</v>
      </c>
      <c r="B72" s="506" t="s">
        <v>774</v>
      </c>
      <c r="C72" s="219"/>
      <c r="D72" s="219">
        <v>0</v>
      </c>
      <c r="E72" s="219">
        <v>0</v>
      </c>
      <c r="F72" s="219">
        <v>0</v>
      </c>
      <c r="G72" s="219">
        <v>0</v>
      </c>
      <c r="H72" s="219">
        <v>0</v>
      </c>
      <c r="I72" s="219">
        <v>0</v>
      </c>
      <c r="J72" s="219">
        <v>70.518348105559284</v>
      </c>
      <c r="K72" s="219"/>
      <c r="L72" s="219">
        <v>0</v>
      </c>
      <c r="M72" s="222"/>
      <c r="N72" s="219">
        <v>0</v>
      </c>
      <c r="O72" s="224"/>
      <c r="P72" s="396">
        <v>0</v>
      </c>
      <c r="Q72" s="223"/>
      <c r="R72" s="396">
        <v>0</v>
      </c>
      <c r="T72" s="352"/>
    </row>
    <row r="73" spans="1:20">
      <c r="A73" s="365">
        <f t="shared" si="0"/>
        <v>64</v>
      </c>
      <c r="B73" s="507" t="s">
        <v>775</v>
      </c>
      <c r="C73" s="219"/>
      <c r="D73" s="219">
        <v>39.094828642512894</v>
      </c>
      <c r="E73" s="219">
        <v>0</v>
      </c>
      <c r="F73" s="219">
        <v>0</v>
      </c>
      <c r="G73" s="219">
        <v>0</v>
      </c>
      <c r="H73" s="219">
        <v>0</v>
      </c>
      <c r="I73" s="219">
        <v>0</v>
      </c>
      <c r="J73" s="219">
        <v>0</v>
      </c>
      <c r="K73" s="219"/>
      <c r="L73" s="219">
        <v>0</v>
      </c>
      <c r="M73" s="222"/>
      <c r="N73" s="219">
        <v>0</v>
      </c>
      <c r="O73" s="224"/>
      <c r="P73" s="396">
        <v>75</v>
      </c>
      <c r="Q73" s="223"/>
      <c r="R73" s="396">
        <v>0</v>
      </c>
      <c r="T73" s="352"/>
    </row>
    <row r="74" spans="1:20">
      <c r="A74" s="365">
        <f t="shared" si="0"/>
        <v>65</v>
      </c>
      <c r="B74" s="506" t="s">
        <v>776</v>
      </c>
      <c r="C74" s="219"/>
      <c r="D74" s="219">
        <v>0</v>
      </c>
      <c r="E74" s="219">
        <v>0</v>
      </c>
      <c r="F74" s="219">
        <v>0</v>
      </c>
      <c r="G74" s="219">
        <v>0</v>
      </c>
      <c r="H74" s="219">
        <v>22.798736614564866</v>
      </c>
      <c r="I74" s="219">
        <v>-1.6628656704989964</v>
      </c>
      <c r="J74" s="219">
        <v>0</v>
      </c>
      <c r="K74" s="219"/>
      <c r="L74" s="219">
        <v>0</v>
      </c>
      <c r="M74" s="222"/>
      <c r="N74" s="219">
        <v>0</v>
      </c>
      <c r="O74" s="224"/>
      <c r="P74" s="396">
        <v>0</v>
      </c>
      <c r="Q74" s="223"/>
      <c r="R74" s="396">
        <v>0</v>
      </c>
      <c r="T74" s="352"/>
    </row>
    <row r="75" spans="1:20">
      <c r="A75" s="365">
        <f t="shared" ref="A75:A95" si="1">A74+1</f>
        <v>66</v>
      </c>
      <c r="B75" s="506" t="s">
        <v>777</v>
      </c>
      <c r="C75" s="219"/>
      <c r="D75" s="219">
        <v>0</v>
      </c>
      <c r="E75" s="219">
        <v>0</v>
      </c>
      <c r="F75" s="219">
        <v>0</v>
      </c>
      <c r="G75" s="219">
        <v>0</v>
      </c>
      <c r="H75" s="219">
        <v>22.224083810272905</v>
      </c>
      <c r="I75" s="219">
        <v>0</v>
      </c>
      <c r="J75" s="219">
        <v>0</v>
      </c>
      <c r="K75" s="219"/>
      <c r="L75" s="219">
        <v>0</v>
      </c>
      <c r="M75" s="222"/>
      <c r="N75" s="219">
        <v>0</v>
      </c>
      <c r="O75" s="224"/>
      <c r="P75" s="396">
        <v>0</v>
      </c>
      <c r="Q75" s="223"/>
      <c r="R75" s="396">
        <v>0</v>
      </c>
      <c r="T75" s="352"/>
    </row>
    <row r="76" spans="1:20">
      <c r="A76" s="365">
        <f t="shared" si="1"/>
        <v>67</v>
      </c>
      <c r="B76" s="506" t="s">
        <v>778</v>
      </c>
      <c r="C76" s="219"/>
      <c r="D76" s="219">
        <v>369.41047768629983</v>
      </c>
      <c r="E76" s="219">
        <v>49.766410854417842</v>
      </c>
      <c r="F76" s="219">
        <v>-117.71115265360402</v>
      </c>
      <c r="G76" s="219">
        <v>2.3888266992017417</v>
      </c>
      <c r="H76" s="219">
        <v>5.6376003047079495</v>
      </c>
      <c r="I76" s="219">
        <v>489.01374053274583</v>
      </c>
      <c r="J76" s="219">
        <v>-84.80332321143446</v>
      </c>
      <c r="K76" s="219"/>
      <c r="L76" s="219">
        <v>149.62995999999998</v>
      </c>
      <c r="M76" s="222"/>
      <c r="N76" s="219">
        <v>0</v>
      </c>
      <c r="O76" s="224"/>
      <c r="P76" s="396">
        <v>0</v>
      </c>
      <c r="Q76" s="223"/>
      <c r="R76" s="396">
        <v>249</v>
      </c>
      <c r="T76" s="352"/>
    </row>
    <row r="77" spans="1:20">
      <c r="A77" s="365">
        <f t="shared" si="1"/>
        <v>68</v>
      </c>
      <c r="B77" s="506" t="s">
        <v>779</v>
      </c>
      <c r="C77" s="219"/>
      <c r="D77" s="219">
        <v>1085.0683229057036</v>
      </c>
      <c r="E77" s="219">
        <v>8.0678249519026934</v>
      </c>
      <c r="F77" s="219">
        <v>0</v>
      </c>
      <c r="G77" s="219">
        <v>0</v>
      </c>
      <c r="H77" s="219">
        <v>0</v>
      </c>
      <c r="I77" s="219">
        <v>0</v>
      </c>
      <c r="J77" s="219">
        <v>0</v>
      </c>
      <c r="K77" s="219"/>
      <c r="L77" s="219">
        <v>0</v>
      </c>
      <c r="M77" s="222"/>
      <c r="N77" s="219">
        <v>0</v>
      </c>
      <c r="O77" s="224"/>
      <c r="P77" s="396">
        <v>1046</v>
      </c>
      <c r="Q77" s="223"/>
      <c r="R77" s="396">
        <v>0</v>
      </c>
      <c r="T77" s="352"/>
    </row>
    <row r="78" spans="1:20">
      <c r="A78" s="365">
        <f>A77+1</f>
        <v>69</v>
      </c>
      <c r="B78" s="506" t="s">
        <v>780</v>
      </c>
      <c r="C78" s="219"/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/>
      <c r="L78" s="219">
        <v>0</v>
      </c>
      <c r="M78" s="222"/>
      <c r="N78" s="219">
        <v>0</v>
      </c>
      <c r="O78" s="224"/>
      <c r="P78" s="396">
        <v>0</v>
      </c>
      <c r="Q78" s="223"/>
      <c r="R78" s="396">
        <v>51</v>
      </c>
      <c r="T78" s="352"/>
    </row>
    <row r="79" spans="1:20">
      <c r="A79" s="365">
        <f t="shared" si="1"/>
        <v>70</v>
      </c>
      <c r="B79" s="506"/>
      <c r="C79" s="219"/>
      <c r="D79" s="219"/>
      <c r="E79" s="219"/>
      <c r="F79" s="219"/>
      <c r="G79" s="219"/>
      <c r="H79" s="219"/>
      <c r="I79" s="219"/>
      <c r="J79" s="219"/>
      <c r="K79" s="219"/>
      <c r="L79" s="219"/>
      <c r="M79" s="222"/>
      <c r="N79" s="219"/>
      <c r="O79" s="224"/>
      <c r="P79" s="396"/>
      <c r="Q79" s="223"/>
      <c r="R79" s="396"/>
      <c r="T79" s="352"/>
    </row>
    <row r="80" spans="1:20">
      <c r="A80" s="365">
        <f>A79+1</f>
        <v>71</v>
      </c>
      <c r="B80" s="506" t="s">
        <v>781</v>
      </c>
      <c r="C80" s="219"/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323.41141989693961</v>
      </c>
      <c r="J80" s="219">
        <v>-5.8627947608520978</v>
      </c>
      <c r="K80" s="219"/>
      <c r="L80" s="219">
        <v>0</v>
      </c>
      <c r="M80" s="222"/>
      <c r="N80" s="219">
        <v>0</v>
      </c>
      <c r="O80" s="224"/>
      <c r="P80" s="396">
        <v>0</v>
      </c>
      <c r="Q80" s="223"/>
      <c r="R80" s="396">
        <v>0</v>
      </c>
      <c r="T80" s="352"/>
    </row>
    <row r="81" spans="1:20">
      <c r="A81" s="365">
        <f>A80+1</f>
        <v>72</v>
      </c>
      <c r="B81" s="506" t="s">
        <v>782</v>
      </c>
      <c r="C81" s="219"/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/>
      <c r="L81" s="219">
        <v>100</v>
      </c>
      <c r="M81" s="222"/>
      <c r="N81" s="219">
        <v>0</v>
      </c>
      <c r="O81" s="224"/>
      <c r="P81" s="396">
        <v>0</v>
      </c>
      <c r="Q81" s="223"/>
      <c r="R81" s="396">
        <v>0</v>
      </c>
      <c r="T81" s="352"/>
    </row>
    <row r="82" spans="1:20">
      <c r="A82" s="365">
        <f>A81+1</f>
        <v>73</v>
      </c>
      <c r="B82" s="506" t="s">
        <v>783</v>
      </c>
      <c r="C82" s="219"/>
      <c r="D82" s="219">
        <v>0</v>
      </c>
      <c r="E82" s="219">
        <v>0</v>
      </c>
      <c r="F82" s="219">
        <v>0</v>
      </c>
      <c r="G82" s="219">
        <v>0</v>
      </c>
      <c r="H82" s="219">
        <v>0</v>
      </c>
      <c r="I82" s="219">
        <v>0</v>
      </c>
      <c r="J82" s="219">
        <v>0</v>
      </c>
      <c r="K82" s="219"/>
      <c r="L82" s="219">
        <v>100</v>
      </c>
      <c r="M82" s="222"/>
      <c r="N82" s="219">
        <v>0</v>
      </c>
      <c r="O82" s="224"/>
      <c r="P82" s="396">
        <v>0</v>
      </c>
      <c r="Q82" s="223"/>
      <c r="R82" s="396">
        <v>0</v>
      </c>
      <c r="T82" s="352"/>
    </row>
    <row r="83" spans="1:20">
      <c r="A83" s="365">
        <f>A82+1</f>
        <v>74</v>
      </c>
      <c r="B83" s="506" t="s">
        <v>784</v>
      </c>
      <c r="C83" s="219"/>
      <c r="D83" s="219">
        <v>0</v>
      </c>
      <c r="E83" s="219">
        <v>0</v>
      </c>
      <c r="F83" s="219">
        <v>0</v>
      </c>
      <c r="G83" s="219">
        <v>0</v>
      </c>
      <c r="H83" s="219">
        <v>0</v>
      </c>
      <c r="I83" s="219">
        <v>306.59092998083315</v>
      </c>
      <c r="J83" s="219">
        <v>-131.96158855544235</v>
      </c>
      <c r="K83" s="219"/>
      <c r="L83" s="219">
        <v>0</v>
      </c>
      <c r="M83" s="222"/>
      <c r="N83" s="219">
        <v>0</v>
      </c>
      <c r="O83" s="224"/>
      <c r="P83" s="396">
        <v>0</v>
      </c>
      <c r="Q83" s="223"/>
      <c r="R83" s="396">
        <v>0</v>
      </c>
      <c r="T83" s="352"/>
    </row>
    <row r="84" spans="1:20">
      <c r="A84" s="365">
        <f>A83+1</f>
        <v>75</v>
      </c>
      <c r="B84" s="506" t="s">
        <v>785</v>
      </c>
      <c r="C84" s="219"/>
      <c r="D84" s="219">
        <v>0</v>
      </c>
      <c r="E84" s="219">
        <v>0</v>
      </c>
      <c r="F84" s="219">
        <v>127.1131501683947</v>
      </c>
      <c r="G84" s="219">
        <v>-1.2192916325285013</v>
      </c>
      <c r="H84" s="219">
        <v>0</v>
      </c>
      <c r="I84" s="219">
        <v>0</v>
      </c>
      <c r="J84" s="219">
        <v>0</v>
      </c>
      <c r="K84" s="219"/>
      <c r="L84" s="219">
        <v>0</v>
      </c>
      <c r="M84" s="222"/>
      <c r="N84" s="219">
        <v>0</v>
      </c>
      <c r="O84" s="224"/>
      <c r="P84" s="396">
        <v>0</v>
      </c>
      <c r="Q84" s="223"/>
      <c r="R84" s="396">
        <v>0</v>
      </c>
      <c r="T84" s="352"/>
    </row>
    <row r="85" spans="1:20">
      <c r="A85" s="365">
        <f t="shared" si="1"/>
        <v>76</v>
      </c>
      <c r="B85" s="506" t="s">
        <v>786</v>
      </c>
      <c r="C85" s="219"/>
      <c r="D85" s="219">
        <v>0</v>
      </c>
      <c r="E85" s="219">
        <v>0</v>
      </c>
      <c r="F85" s="219">
        <v>0</v>
      </c>
      <c r="G85" s="219">
        <v>0</v>
      </c>
      <c r="H85" s="219">
        <v>0</v>
      </c>
      <c r="I85" s="219">
        <v>0</v>
      </c>
      <c r="J85" s="219">
        <v>0</v>
      </c>
      <c r="K85" s="219"/>
      <c r="L85" s="219">
        <v>20</v>
      </c>
      <c r="M85" s="222"/>
      <c r="N85" s="219">
        <v>0</v>
      </c>
      <c r="O85" s="224"/>
      <c r="P85" s="396">
        <v>0</v>
      </c>
      <c r="Q85" s="223"/>
      <c r="R85" s="396">
        <v>0</v>
      </c>
      <c r="T85" s="352"/>
    </row>
    <row r="86" spans="1:20">
      <c r="A86" s="365">
        <f t="shared" si="1"/>
        <v>77</v>
      </c>
      <c r="B86" s="506" t="s">
        <v>787</v>
      </c>
      <c r="C86" s="219"/>
      <c r="D86" s="219">
        <v>0</v>
      </c>
      <c r="E86" s="219">
        <v>0</v>
      </c>
      <c r="F86" s="219">
        <v>0</v>
      </c>
      <c r="G86" s="219">
        <v>0</v>
      </c>
      <c r="H86" s="219">
        <v>0</v>
      </c>
      <c r="I86" s="219">
        <v>0</v>
      </c>
      <c r="J86" s="219">
        <v>0</v>
      </c>
      <c r="K86" s="219"/>
      <c r="L86" s="219">
        <v>317.75425999999999</v>
      </c>
      <c r="M86" s="222"/>
      <c r="N86" s="219">
        <v>0</v>
      </c>
      <c r="O86" s="224"/>
      <c r="P86" s="396">
        <v>0</v>
      </c>
      <c r="Q86" s="223"/>
      <c r="R86" s="396">
        <v>0</v>
      </c>
      <c r="T86" s="352"/>
    </row>
    <row r="87" spans="1:20">
      <c r="A87" s="365">
        <f>A86+1</f>
        <v>78</v>
      </c>
      <c r="B87" s="507"/>
      <c r="C87" s="219"/>
      <c r="D87" s="219"/>
      <c r="E87" s="219"/>
      <c r="F87" s="219"/>
      <c r="G87" s="219"/>
      <c r="H87" s="219"/>
      <c r="I87" s="219"/>
      <c r="J87" s="219"/>
      <c r="K87" s="219"/>
      <c r="L87" s="219"/>
      <c r="M87" s="222"/>
      <c r="N87" s="219"/>
      <c r="O87" s="224"/>
      <c r="P87" s="396"/>
      <c r="Q87" s="223"/>
      <c r="R87" s="396"/>
      <c r="T87" s="352"/>
    </row>
    <row r="88" spans="1:20">
      <c r="A88" s="365">
        <f t="shared" si="1"/>
        <v>79</v>
      </c>
      <c r="B88" s="506" t="s">
        <v>788</v>
      </c>
      <c r="C88" s="219"/>
      <c r="D88" s="219"/>
      <c r="E88" s="219">
        <v>0</v>
      </c>
      <c r="F88" s="219">
        <v>0</v>
      </c>
      <c r="G88" s="219">
        <v>0</v>
      </c>
      <c r="H88" s="219">
        <v>0</v>
      </c>
      <c r="I88" s="219">
        <v>181.25140529677682</v>
      </c>
      <c r="J88" s="219">
        <v>-7.3174574883273671</v>
      </c>
      <c r="K88" s="219"/>
      <c r="L88" s="219">
        <v>0</v>
      </c>
      <c r="M88" s="222"/>
      <c r="N88" s="219">
        <v>0</v>
      </c>
      <c r="O88" s="224"/>
      <c r="P88" s="396">
        <v>0</v>
      </c>
      <c r="Q88" s="223"/>
      <c r="R88" s="396">
        <v>0</v>
      </c>
      <c r="T88" s="352"/>
    </row>
    <row r="89" spans="1:20">
      <c r="A89" s="365">
        <f t="shared" si="1"/>
        <v>80</v>
      </c>
      <c r="B89" s="506" t="s">
        <v>789</v>
      </c>
      <c r="C89" s="219"/>
      <c r="D89" s="219">
        <v>132.93466623877021</v>
      </c>
      <c r="E89" s="219">
        <v>7.3045651436601728</v>
      </c>
      <c r="F89" s="219">
        <v>0</v>
      </c>
      <c r="G89" s="219">
        <v>0</v>
      </c>
      <c r="H89" s="219">
        <v>0</v>
      </c>
      <c r="I89" s="219">
        <v>0</v>
      </c>
      <c r="J89" s="219">
        <v>0</v>
      </c>
      <c r="K89" s="219"/>
      <c r="L89" s="219">
        <v>0</v>
      </c>
      <c r="M89" s="222"/>
      <c r="N89" s="219">
        <v>0</v>
      </c>
      <c r="O89" s="224"/>
      <c r="P89" s="396">
        <v>0</v>
      </c>
      <c r="Q89" s="223"/>
      <c r="R89" s="396">
        <v>0</v>
      </c>
      <c r="T89" s="352"/>
    </row>
    <row r="90" spans="1:20">
      <c r="A90" s="365">
        <f t="shared" si="1"/>
        <v>81</v>
      </c>
      <c r="B90" s="506" t="s">
        <v>790</v>
      </c>
      <c r="C90" s="219"/>
      <c r="D90" s="219">
        <v>5.2869255169658169</v>
      </c>
      <c r="E90" s="219">
        <v>28.248889254061446</v>
      </c>
      <c r="F90" s="219">
        <v>0</v>
      </c>
      <c r="G90" s="219">
        <v>0</v>
      </c>
      <c r="H90" s="219">
        <v>0</v>
      </c>
      <c r="I90" s="219">
        <v>0</v>
      </c>
      <c r="J90" s="219">
        <v>0</v>
      </c>
      <c r="K90" s="219"/>
      <c r="L90" s="219">
        <v>0</v>
      </c>
      <c r="M90" s="222"/>
      <c r="N90" s="219">
        <v>0</v>
      </c>
      <c r="O90" s="224"/>
      <c r="P90" s="396">
        <v>0</v>
      </c>
      <c r="Q90" s="223"/>
      <c r="R90" s="396">
        <v>0</v>
      </c>
      <c r="T90" s="352"/>
    </row>
    <row r="91" spans="1:20">
      <c r="A91" s="365">
        <f t="shared" si="1"/>
        <v>82</v>
      </c>
      <c r="B91" s="506" t="s">
        <v>791</v>
      </c>
      <c r="C91" s="219"/>
      <c r="D91" s="219">
        <v>14.700884243312913</v>
      </c>
      <c r="E91" s="219">
        <v>252.05414501571218</v>
      </c>
      <c r="F91" s="219">
        <v>13.009862992600572</v>
      </c>
      <c r="G91" s="219">
        <v>0</v>
      </c>
      <c r="H91" s="219">
        <v>0</v>
      </c>
      <c r="I91" s="219">
        <v>0</v>
      </c>
      <c r="J91" s="219">
        <v>0</v>
      </c>
      <c r="K91" s="219"/>
      <c r="L91" s="219">
        <v>0</v>
      </c>
      <c r="M91" s="222"/>
      <c r="N91" s="219">
        <v>0</v>
      </c>
      <c r="O91" s="224"/>
      <c r="P91" s="396">
        <v>0</v>
      </c>
      <c r="Q91" s="223"/>
      <c r="R91" s="396">
        <v>305</v>
      </c>
      <c r="T91" s="352"/>
    </row>
    <row r="92" spans="1:20">
      <c r="A92" s="365">
        <f t="shared" si="1"/>
        <v>83</v>
      </c>
      <c r="B92" s="506" t="s">
        <v>792</v>
      </c>
      <c r="C92" s="219"/>
      <c r="D92" s="219">
        <v>537.57360239490242</v>
      </c>
      <c r="E92" s="219">
        <v>8.7693006078899689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/>
      <c r="L92" s="219">
        <v>0</v>
      </c>
      <c r="M92" s="222"/>
      <c r="N92" s="219">
        <v>0</v>
      </c>
      <c r="O92" s="224"/>
      <c r="P92" s="396">
        <v>620</v>
      </c>
      <c r="Q92" s="223"/>
      <c r="R92" s="396">
        <v>0</v>
      </c>
      <c r="T92" s="352"/>
    </row>
    <row r="93" spans="1:20">
      <c r="A93" s="365">
        <f t="shared" si="1"/>
        <v>84</v>
      </c>
      <c r="B93" s="506" t="s">
        <v>793</v>
      </c>
      <c r="C93" s="219"/>
      <c r="D93" s="219">
        <v>54.758218695858638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/>
      <c r="L93" s="219">
        <v>0</v>
      </c>
      <c r="M93" s="222"/>
      <c r="N93" s="219">
        <v>0</v>
      </c>
      <c r="O93" s="224"/>
      <c r="P93" s="396">
        <v>106</v>
      </c>
      <c r="Q93" s="223"/>
      <c r="R93" s="396">
        <v>0</v>
      </c>
      <c r="T93" s="352"/>
    </row>
    <row r="94" spans="1:20">
      <c r="A94" s="365">
        <f t="shared" si="1"/>
        <v>85</v>
      </c>
      <c r="B94" s="506" t="s">
        <v>794</v>
      </c>
      <c r="C94" s="219"/>
      <c r="D94" s="219">
        <v>0</v>
      </c>
      <c r="E94" s="219">
        <v>0</v>
      </c>
      <c r="F94" s="219">
        <v>0</v>
      </c>
      <c r="G94" s="219">
        <v>0</v>
      </c>
      <c r="H94" s="219">
        <v>0</v>
      </c>
      <c r="I94" s="219">
        <v>111.52211494906969</v>
      </c>
      <c r="J94" s="219">
        <v>-15.691959911124796</v>
      </c>
      <c r="K94" s="219"/>
      <c r="L94" s="219">
        <v>0</v>
      </c>
      <c r="M94" s="222"/>
      <c r="N94" s="219">
        <v>0</v>
      </c>
      <c r="O94" s="224"/>
      <c r="P94" s="396">
        <v>0</v>
      </c>
      <c r="Q94" s="223"/>
      <c r="R94" s="396">
        <v>0</v>
      </c>
      <c r="T94" s="352"/>
    </row>
    <row r="95" spans="1:20">
      <c r="A95" s="365">
        <f t="shared" si="1"/>
        <v>86</v>
      </c>
      <c r="B95" s="506" t="s">
        <v>795</v>
      </c>
      <c r="C95" s="219"/>
      <c r="D95" s="219"/>
      <c r="E95" s="219">
        <v>0</v>
      </c>
      <c r="F95" s="219">
        <v>0</v>
      </c>
      <c r="G95" s="219">
        <v>0</v>
      </c>
      <c r="H95" s="219">
        <v>0</v>
      </c>
      <c r="I95" s="219">
        <v>0</v>
      </c>
      <c r="J95" s="219">
        <v>0</v>
      </c>
      <c r="K95" s="219"/>
      <c r="L95" s="219">
        <v>0</v>
      </c>
      <c r="M95" s="222"/>
      <c r="N95" s="219">
        <v>309</v>
      </c>
      <c r="O95" s="224"/>
      <c r="P95" s="396">
        <v>0</v>
      </c>
      <c r="Q95" s="223"/>
      <c r="R95" s="396">
        <v>0</v>
      </c>
      <c r="T95" s="352"/>
    </row>
    <row r="96" spans="1:20">
      <c r="A96" s="365">
        <f t="shared" ref="A96:A159" si="2">A95+1</f>
        <v>87</v>
      </c>
      <c r="B96" s="220"/>
      <c r="C96" s="217"/>
      <c r="D96" s="217"/>
      <c r="E96" s="217"/>
      <c r="F96" s="219"/>
      <c r="G96" s="219"/>
      <c r="H96" s="219"/>
      <c r="I96" s="219"/>
      <c r="J96" s="219"/>
      <c r="K96" s="219"/>
      <c r="L96" s="219"/>
      <c r="M96" s="219"/>
      <c r="N96" s="219"/>
      <c r="O96" s="219"/>
      <c r="P96" s="396"/>
      <c r="Q96" s="412"/>
      <c r="R96" s="396"/>
      <c r="S96" s="352"/>
      <c r="T96" s="352"/>
    </row>
    <row r="97" spans="1:20">
      <c r="A97" s="365">
        <f t="shared" si="2"/>
        <v>88</v>
      </c>
      <c r="B97" s="507" t="s">
        <v>796</v>
      </c>
      <c r="C97" s="219"/>
      <c r="D97" s="219">
        <v>0</v>
      </c>
      <c r="E97" s="219">
        <v>142.921094034004</v>
      </c>
      <c r="F97" s="219">
        <v>119.49905293250309</v>
      </c>
      <c r="G97" s="219">
        <v>-3.5772739796955717</v>
      </c>
      <c r="H97" s="219">
        <v>0</v>
      </c>
      <c r="I97" s="219">
        <v>0</v>
      </c>
      <c r="J97" s="219">
        <v>0</v>
      </c>
      <c r="K97" s="219"/>
      <c r="L97" s="219">
        <v>0</v>
      </c>
      <c r="M97" s="413"/>
      <c r="N97" s="219">
        <v>0</v>
      </c>
      <c r="O97" s="415"/>
      <c r="P97" s="396">
        <v>0</v>
      </c>
      <c r="Q97" s="223"/>
      <c r="R97" s="396">
        <v>152</v>
      </c>
      <c r="S97" s="352"/>
      <c r="T97" s="352"/>
    </row>
    <row r="98" spans="1:20">
      <c r="A98" s="365">
        <f t="shared" si="2"/>
        <v>89</v>
      </c>
      <c r="B98" s="507" t="s">
        <v>797</v>
      </c>
      <c r="C98" s="219"/>
      <c r="D98" s="219">
        <v>0</v>
      </c>
      <c r="E98" s="219">
        <v>0</v>
      </c>
      <c r="F98" s="219">
        <v>0</v>
      </c>
      <c r="G98" s="219">
        <v>0</v>
      </c>
      <c r="H98" s="219">
        <v>0</v>
      </c>
      <c r="I98" s="219">
        <v>0</v>
      </c>
      <c r="J98" s="219">
        <v>0</v>
      </c>
      <c r="K98" s="219"/>
      <c r="L98" s="219">
        <v>0</v>
      </c>
      <c r="M98" s="413"/>
      <c r="N98" s="219">
        <v>0</v>
      </c>
      <c r="O98" s="415"/>
      <c r="P98" s="396">
        <v>0</v>
      </c>
      <c r="Q98" s="223"/>
      <c r="R98" s="396">
        <v>25</v>
      </c>
      <c r="S98" s="352"/>
      <c r="T98" s="352"/>
    </row>
    <row r="99" spans="1:20">
      <c r="A99" s="365">
        <f t="shared" si="2"/>
        <v>90</v>
      </c>
      <c r="B99" s="507" t="s">
        <v>798</v>
      </c>
      <c r="C99" s="219"/>
      <c r="D99" s="219">
        <v>0</v>
      </c>
      <c r="E99" s="219">
        <v>0</v>
      </c>
      <c r="F99" s="219">
        <v>0</v>
      </c>
      <c r="G99" s="219">
        <v>0</v>
      </c>
      <c r="H99" s="219">
        <v>0</v>
      </c>
      <c r="I99" s="219">
        <v>0</v>
      </c>
      <c r="J99" s="219">
        <v>0</v>
      </c>
      <c r="K99" s="219"/>
      <c r="L99" s="219">
        <v>0</v>
      </c>
      <c r="M99" s="413"/>
      <c r="N99" s="219">
        <v>0</v>
      </c>
      <c r="O99" s="415"/>
      <c r="P99" s="396">
        <v>0</v>
      </c>
      <c r="Q99" s="223"/>
      <c r="R99" s="396">
        <v>20</v>
      </c>
      <c r="S99" s="352"/>
      <c r="T99" s="352"/>
    </row>
    <row r="100" spans="1:20">
      <c r="A100" s="365">
        <f t="shared" si="2"/>
        <v>91</v>
      </c>
      <c r="B100" s="507"/>
      <c r="C100" s="219"/>
      <c r="D100" s="219"/>
      <c r="E100" s="219"/>
      <c r="F100" s="219"/>
      <c r="G100" s="219"/>
      <c r="H100" s="219"/>
      <c r="I100" s="219"/>
      <c r="J100" s="219"/>
      <c r="K100" s="219"/>
      <c r="L100" s="219"/>
      <c r="M100" s="222"/>
      <c r="N100" s="219"/>
      <c r="O100" s="224"/>
      <c r="P100" s="396"/>
      <c r="Q100" s="223"/>
      <c r="R100" s="396"/>
      <c r="T100" s="352"/>
    </row>
    <row r="101" spans="1:20">
      <c r="A101" s="365">
        <f t="shared" si="2"/>
        <v>92</v>
      </c>
      <c r="B101" s="507" t="s">
        <v>799</v>
      </c>
      <c r="C101" s="219"/>
      <c r="D101" s="219">
        <v>71.381934310538696</v>
      </c>
      <c r="E101" s="219">
        <v>0</v>
      </c>
      <c r="F101" s="219">
        <v>0</v>
      </c>
      <c r="G101" s="219">
        <v>0</v>
      </c>
      <c r="H101" s="219">
        <v>0</v>
      </c>
      <c r="I101" s="219">
        <v>0</v>
      </c>
      <c r="J101" s="219">
        <v>0</v>
      </c>
      <c r="K101" s="219"/>
      <c r="L101" s="219">
        <v>0</v>
      </c>
      <c r="M101" s="222"/>
      <c r="N101" s="219">
        <v>0</v>
      </c>
      <c r="O101" s="224"/>
      <c r="P101" s="396">
        <v>95</v>
      </c>
      <c r="Q101" s="223"/>
      <c r="R101" s="396">
        <v>0</v>
      </c>
      <c r="T101" s="352"/>
    </row>
    <row r="102" spans="1:20">
      <c r="A102" s="365">
        <f t="shared" si="2"/>
        <v>93</v>
      </c>
      <c r="B102" s="507" t="s">
        <v>800</v>
      </c>
      <c r="C102" s="219"/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/>
      <c r="L102" s="219">
        <v>0</v>
      </c>
      <c r="M102" s="222"/>
      <c r="N102" s="219">
        <v>0</v>
      </c>
      <c r="O102" s="224"/>
      <c r="P102" s="396">
        <v>25</v>
      </c>
      <c r="Q102" s="223"/>
      <c r="R102" s="396">
        <v>0</v>
      </c>
      <c r="T102" s="352"/>
    </row>
    <row r="103" spans="1:20">
      <c r="A103" s="365">
        <f t="shared" si="2"/>
        <v>94</v>
      </c>
      <c r="B103" s="507"/>
      <c r="C103" s="219"/>
      <c r="D103" s="219"/>
      <c r="E103" s="219"/>
      <c r="F103" s="219"/>
      <c r="G103" s="219"/>
      <c r="H103" s="219"/>
      <c r="I103" s="219"/>
      <c r="J103" s="219"/>
      <c r="K103" s="219"/>
      <c r="L103" s="219"/>
      <c r="M103" s="413"/>
      <c r="N103" s="219"/>
      <c r="O103" s="415"/>
      <c r="P103" s="396"/>
      <c r="Q103" s="223"/>
      <c r="R103" s="396"/>
      <c r="T103" s="352"/>
    </row>
    <row r="104" spans="1:20">
      <c r="A104" s="365">
        <f t="shared" si="2"/>
        <v>95</v>
      </c>
      <c r="B104" s="507" t="s">
        <v>801</v>
      </c>
      <c r="C104" s="219"/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224.58888872374101</v>
      </c>
      <c r="K104" s="219"/>
      <c r="L104" s="219">
        <v>2.1716500000000001</v>
      </c>
      <c r="M104" s="222"/>
      <c r="N104" s="219">
        <v>0</v>
      </c>
      <c r="O104" s="224"/>
      <c r="P104" s="396">
        <v>0</v>
      </c>
      <c r="Q104" s="223"/>
      <c r="R104" s="396">
        <v>0</v>
      </c>
      <c r="T104" s="352"/>
    </row>
    <row r="105" spans="1:20">
      <c r="A105" s="365">
        <f t="shared" si="2"/>
        <v>96</v>
      </c>
      <c r="B105" s="507" t="s">
        <v>802</v>
      </c>
      <c r="C105" s="219"/>
      <c r="D105" s="219">
        <v>36.432587135624878</v>
      </c>
      <c r="E105" s="219">
        <v>82.312424611674217</v>
      </c>
      <c r="F105" s="219">
        <v>4.0933794729997706</v>
      </c>
      <c r="G105" s="219">
        <v>0</v>
      </c>
      <c r="H105" s="219">
        <v>0</v>
      </c>
      <c r="I105" s="219">
        <v>0</v>
      </c>
      <c r="J105" s="219">
        <v>0</v>
      </c>
      <c r="K105" s="219"/>
      <c r="L105" s="219">
        <v>0</v>
      </c>
      <c r="M105" s="222"/>
      <c r="N105" s="219">
        <v>0</v>
      </c>
      <c r="O105" s="224"/>
      <c r="P105" s="396">
        <v>80</v>
      </c>
      <c r="Q105" s="223"/>
      <c r="R105" s="396">
        <v>61</v>
      </c>
      <c r="T105" s="352"/>
    </row>
    <row r="106" spans="1:20">
      <c r="A106" s="365">
        <f t="shared" si="2"/>
        <v>97</v>
      </c>
      <c r="B106" s="507" t="s">
        <v>803</v>
      </c>
      <c r="C106" s="219"/>
      <c r="D106" s="219">
        <v>0</v>
      </c>
      <c r="E106" s="219">
        <v>0</v>
      </c>
      <c r="F106" s="219">
        <v>0</v>
      </c>
      <c r="G106" s="219">
        <v>37.837142646297984</v>
      </c>
      <c r="H106" s="219">
        <v>0</v>
      </c>
      <c r="I106" s="219">
        <v>0</v>
      </c>
      <c r="J106" s="219">
        <v>0</v>
      </c>
      <c r="K106" s="219"/>
      <c r="L106" s="219">
        <v>0</v>
      </c>
      <c r="M106" s="413"/>
      <c r="N106" s="219">
        <v>0</v>
      </c>
      <c r="O106" s="415"/>
      <c r="P106" s="396">
        <v>0</v>
      </c>
      <c r="Q106" s="223"/>
      <c r="R106" s="396">
        <v>0</v>
      </c>
      <c r="T106" s="352"/>
    </row>
    <row r="107" spans="1:20">
      <c r="A107" s="365">
        <f t="shared" si="2"/>
        <v>98</v>
      </c>
      <c r="B107" s="507" t="s">
        <v>804</v>
      </c>
      <c r="C107" s="219"/>
      <c r="D107" s="219">
        <v>0</v>
      </c>
      <c r="E107" s="219">
        <v>0</v>
      </c>
      <c r="F107" s="219">
        <v>0</v>
      </c>
      <c r="G107" s="219">
        <v>23.264609617056305</v>
      </c>
      <c r="H107" s="219">
        <v>0</v>
      </c>
      <c r="I107" s="219">
        <v>0</v>
      </c>
      <c r="J107" s="219">
        <v>0</v>
      </c>
      <c r="K107" s="219"/>
      <c r="L107" s="219">
        <v>0</v>
      </c>
      <c r="M107" s="222"/>
      <c r="N107" s="219">
        <v>0</v>
      </c>
      <c r="O107" s="224"/>
      <c r="P107" s="396">
        <v>0</v>
      </c>
      <c r="Q107" s="223"/>
      <c r="R107" s="396">
        <v>0</v>
      </c>
      <c r="T107" s="352"/>
    </row>
    <row r="108" spans="1:20">
      <c r="A108" s="365">
        <f t="shared" si="2"/>
        <v>99</v>
      </c>
      <c r="B108" s="507" t="s">
        <v>805</v>
      </c>
      <c r="C108" s="219"/>
      <c r="D108" s="219">
        <v>0</v>
      </c>
      <c r="E108" s="219">
        <v>0</v>
      </c>
      <c r="F108" s="219">
        <v>0</v>
      </c>
      <c r="G108" s="219">
        <v>0</v>
      </c>
      <c r="H108" s="219">
        <v>52.341849022454248</v>
      </c>
      <c r="I108" s="219">
        <v>7.8774385859499709</v>
      </c>
      <c r="J108" s="219">
        <v>0</v>
      </c>
      <c r="K108" s="219"/>
      <c r="L108" s="219">
        <v>0</v>
      </c>
      <c r="M108" s="222"/>
      <c r="N108" s="219">
        <v>0</v>
      </c>
      <c r="O108" s="224"/>
      <c r="P108" s="396">
        <v>0</v>
      </c>
      <c r="Q108" s="223"/>
      <c r="R108" s="396">
        <v>0</v>
      </c>
      <c r="T108" s="352"/>
    </row>
    <row r="109" spans="1:20">
      <c r="A109" s="365">
        <f t="shared" si="2"/>
        <v>100</v>
      </c>
      <c r="B109" s="507"/>
      <c r="C109" s="219"/>
      <c r="D109" s="219"/>
      <c r="E109" s="219"/>
      <c r="F109" s="219"/>
      <c r="G109" s="219"/>
      <c r="H109" s="219"/>
      <c r="I109" s="219"/>
      <c r="J109" s="219"/>
      <c r="K109" s="219"/>
      <c r="L109" s="219"/>
      <c r="M109" s="222"/>
      <c r="N109" s="219"/>
      <c r="O109" s="224"/>
      <c r="P109" s="396"/>
      <c r="Q109" s="223"/>
      <c r="R109" s="396"/>
      <c r="T109" s="352"/>
    </row>
    <row r="110" spans="1:20">
      <c r="A110" s="365">
        <f t="shared" si="2"/>
        <v>101</v>
      </c>
      <c r="B110" s="507" t="s">
        <v>806</v>
      </c>
      <c r="C110" s="219"/>
      <c r="D110" s="219">
        <v>0</v>
      </c>
      <c r="E110" s="219">
        <v>12.588274514777458</v>
      </c>
      <c r="F110" s="219">
        <v>-14.431034409386477</v>
      </c>
      <c r="G110" s="219">
        <v>1.2015623233764694</v>
      </c>
      <c r="H110" s="219">
        <v>0</v>
      </c>
      <c r="I110" s="219">
        <v>0</v>
      </c>
      <c r="J110" s="219">
        <v>0</v>
      </c>
      <c r="K110" s="219"/>
      <c r="L110" s="219">
        <v>0</v>
      </c>
      <c r="M110" s="222"/>
      <c r="N110" s="219">
        <v>0</v>
      </c>
      <c r="O110" s="224"/>
      <c r="P110" s="396">
        <v>0</v>
      </c>
      <c r="Q110" s="223"/>
      <c r="R110" s="396">
        <v>102</v>
      </c>
      <c r="T110" s="352"/>
    </row>
    <row r="111" spans="1:20">
      <c r="A111" s="365">
        <f t="shared" si="2"/>
        <v>102</v>
      </c>
      <c r="B111" s="507" t="s">
        <v>807</v>
      </c>
      <c r="C111" s="219"/>
      <c r="D111" s="219">
        <v>0</v>
      </c>
      <c r="E111" s="219">
        <v>41.148570581742383</v>
      </c>
      <c r="F111" s="219">
        <v>386.68004884525993</v>
      </c>
      <c r="G111" s="219">
        <v>-0.9374401134496384</v>
      </c>
      <c r="H111" s="219">
        <v>0</v>
      </c>
      <c r="I111" s="219">
        <v>0</v>
      </c>
      <c r="J111" s="219">
        <v>0</v>
      </c>
      <c r="K111" s="219"/>
      <c r="L111" s="219">
        <v>0</v>
      </c>
      <c r="M111" s="222"/>
      <c r="N111" s="219">
        <v>0</v>
      </c>
      <c r="O111" s="224"/>
      <c r="P111" s="396">
        <v>0</v>
      </c>
      <c r="Q111" s="223"/>
      <c r="R111" s="396">
        <v>105</v>
      </c>
      <c r="T111" s="352"/>
    </row>
    <row r="112" spans="1:20">
      <c r="A112" s="365">
        <f t="shared" si="2"/>
        <v>103</v>
      </c>
      <c r="B112" s="507" t="s">
        <v>808</v>
      </c>
      <c r="C112" s="219"/>
      <c r="D112" s="219">
        <v>0</v>
      </c>
      <c r="E112" s="219">
        <v>0</v>
      </c>
      <c r="F112" s="219">
        <v>0</v>
      </c>
      <c r="G112" s="219">
        <v>33.941834798190776</v>
      </c>
      <c r="H112" s="219">
        <v>-0.10908975771620978</v>
      </c>
      <c r="I112" s="219">
        <v>0</v>
      </c>
      <c r="J112" s="219">
        <v>0</v>
      </c>
      <c r="K112" s="219"/>
      <c r="L112" s="219">
        <v>0</v>
      </c>
      <c r="M112" s="222"/>
      <c r="N112" s="219">
        <v>0</v>
      </c>
      <c r="O112" s="224"/>
      <c r="P112" s="396">
        <v>0</v>
      </c>
      <c r="Q112" s="223"/>
      <c r="R112" s="396">
        <v>0</v>
      </c>
      <c r="T112" s="352"/>
    </row>
    <row r="113" spans="1:20">
      <c r="A113" s="365">
        <f t="shared" si="2"/>
        <v>104</v>
      </c>
      <c r="B113" s="507" t="s">
        <v>809</v>
      </c>
      <c r="C113" s="219"/>
      <c r="D113" s="219">
        <v>0</v>
      </c>
      <c r="E113" s="219">
        <v>0</v>
      </c>
      <c r="F113" s="219">
        <v>0</v>
      </c>
      <c r="G113" s="219">
        <v>0</v>
      </c>
      <c r="H113" s="219">
        <v>21.717600712557164</v>
      </c>
      <c r="I113" s="219">
        <v>0</v>
      </c>
      <c r="J113" s="219">
        <v>0</v>
      </c>
      <c r="K113" s="219"/>
      <c r="L113" s="219">
        <v>0</v>
      </c>
      <c r="M113" s="222"/>
      <c r="N113" s="219">
        <v>0</v>
      </c>
      <c r="O113" s="224"/>
      <c r="P113" s="396">
        <v>0</v>
      </c>
      <c r="Q113" s="223"/>
      <c r="R113" s="396">
        <v>0</v>
      </c>
      <c r="T113" s="352"/>
    </row>
    <row r="114" spans="1:20">
      <c r="A114" s="365">
        <f t="shared" si="2"/>
        <v>105</v>
      </c>
      <c r="B114" s="507"/>
      <c r="C114" s="219"/>
      <c r="D114" s="219"/>
      <c r="E114" s="219"/>
      <c r="F114" s="219"/>
      <c r="G114" s="219"/>
      <c r="H114" s="219"/>
      <c r="I114" s="219"/>
      <c r="J114" s="219"/>
      <c r="K114" s="219"/>
      <c r="L114" s="219"/>
      <c r="M114" s="222"/>
      <c r="N114" s="219"/>
      <c r="O114" s="224"/>
      <c r="P114" s="396"/>
      <c r="Q114" s="223"/>
      <c r="R114" s="396"/>
      <c r="T114" s="352"/>
    </row>
    <row r="115" spans="1:20">
      <c r="A115" s="365">
        <f t="shared" si="2"/>
        <v>106</v>
      </c>
      <c r="B115" s="507" t="s">
        <v>810</v>
      </c>
      <c r="C115" s="219"/>
      <c r="D115" s="219">
        <v>0</v>
      </c>
      <c r="E115" s="219">
        <v>0</v>
      </c>
      <c r="F115" s="219">
        <v>0</v>
      </c>
      <c r="G115" s="219">
        <v>0</v>
      </c>
      <c r="H115" s="219">
        <v>0</v>
      </c>
      <c r="I115" s="219">
        <v>0</v>
      </c>
      <c r="J115" s="219">
        <v>0</v>
      </c>
      <c r="K115" s="219"/>
      <c r="L115" s="219">
        <v>0</v>
      </c>
      <c r="M115" s="222"/>
      <c r="N115" s="219">
        <v>0</v>
      </c>
      <c r="O115" s="224"/>
      <c r="P115" s="396">
        <v>0</v>
      </c>
      <c r="Q115" s="223"/>
      <c r="R115" s="396">
        <v>30</v>
      </c>
      <c r="T115" s="352"/>
    </row>
    <row r="116" spans="1:20">
      <c r="A116" s="365">
        <f t="shared" si="2"/>
        <v>107</v>
      </c>
      <c r="B116" s="507" t="s">
        <v>811</v>
      </c>
      <c r="C116" s="219"/>
      <c r="D116" s="219">
        <v>0</v>
      </c>
      <c r="E116" s="219">
        <v>0</v>
      </c>
      <c r="F116" s="219">
        <v>0</v>
      </c>
      <c r="G116" s="219">
        <v>0</v>
      </c>
      <c r="H116" s="219">
        <v>0</v>
      </c>
      <c r="I116" s="219">
        <v>19.808653421870712</v>
      </c>
      <c r="J116" s="219">
        <v>2.8909859731371563</v>
      </c>
      <c r="K116" s="219"/>
      <c r="L116" s="219">
        <v>0</v>
      </c>
      <c r="M116" s="222"/>
      <c r="N116" s="219">
        <v>0</v>
      </c>
      <c r="O116" s="224"/>
      <c r="P116" s="396">
        <v>0</v>
      </c>
      <c r="Q116" s="223"/>
      <c r="R116" s="396">
        <v>0</v>
      </c>
      <c r="T116" s="352"/>
    </row>
    <row r="117" spans="1:20">
      <c r="A117" s="365">
        <f t="shared" si="2"/>
        <v>108</v>
      </c>
      <c r="B117" s="507" t="s">
        <v>812</v>
      </c>
      <c r="C117" s="219"/>
      <c r="D117" s="219">
        <v>0</v>
      </c>
      <c r="E117" s="219">
        <v>0</v>
      </c>
      <c r="F117" s="219">
        <v>0</v>
      </c>
      <c r="G117" s="219">
        <v>0</v>
      </c>
      <c r="H117" s="219">
        <v>0</v>
      </c>
      <c r="I117" s="219">
        <v>4.4398332267974654</v>
      </c>
      <c r="J117" s="219">
        <v>36.203353557750361</v>
      </c>
      <c r="K117" s="219"/>
      <c r="L117" s="219">
        <v>0</v>
      </c>
      <c r="M117" s="222"/>
      <c r="N117" s="219">
        <v>0</v>
      </c>
      <c r="O117" s="224"/>
      <c r="P117" s="396">
        <v>0</v>
      </c>
      <c r="Q117" s="223"/>
      <c r="R117" s="396">
        <v>0</v>
      </c>
      <c r="T117" s="352"/>
    </row>
    <row r="118" spans="1:20">
      <c r="A118" s="365">
        <f t="shared" si="2"/>
        <v>109</v>
      </c>
      <c r="B118" s="507"/>
      <c r="C118" s="219"/>
      <c r="D118" s="219"/>
      <c r="E118" s="219"/>
      <c r="F118" s="219"/>
      <c r="G118" s="219"/>
      <c r="H118" s="219"/>
      <c r="I118" s="219"/>
      <c r="J118" s="219"/>
      <c r="K118" s="219"/>
      <c r="L118" s="219"/>
      <c r="M118" s="222"/>
      <c r="N118" s="219"/>
      <c r="O118" s="224"/>
      <c r="P118" s="396"/>
      <c r="Q118" s="223"/>
      <c r="R118" s="396"/>
      <c r="T118" s="352"/>
    </row>
    <row r="119" spans="1:20">
      <c r="A119" s="365">
        <f t="shared" si="2"/>
        <v>110</v>
      </c>
      <c r="B119" s="507" t="s">
        <v>813</v>
      </c>
      <c r="C119" s="219"/>
      <c r="D119" s="219">
        <v>0</v>
      </c>
      <c r="E119" s="219">
        <v>0</v>
      </c>
      <c r="F119" s="219">
        <v>0</v>
      </c>
      <c r="G119" s="219">
        <v>11.215731103886721</v>
      </c>
      <c r="H119" s="219">
        <v>31.196997385009542</v>
      </c>
      <c r="I119" s="219">
        <v>7.5013282930022447</v>
      </c>
      <c r="J119" s="219">
        <v>2.306990970240971</v>
      </c>
      <c r="K119" s="219"/>
      <c r="L119" s="219">
        <v>0.77657999999999994</v>
      </c>
      <c r="M119" s="222"/>
      <c r="N119" s="219">
        <v>772.5</v>
      </c>
      <c r="O119" s="224"/>
      <c r="P119" s="396">
        <v>0</v>
      </c>
      <c r="Q119" s="223"/>
      <c r="R119" s="396">
        <v>0</v>
      </c>
      <c r="T119" s="352"/>
    </row>
    <row r="120" spans="1:20">
      <c r="A120" s="365">
        <f t="shared" si="2"/>
        <v>111</v>
      </c>
      <c r="B120" s="507"/>
      <c r="C120" s="219"/>
      <c r="D120" s="219"/>
      <c r="E120" s="219"/>
      <c r="F120" s="219"/>
      <c r="G120" s="219"/>
      <c r="H120" s="219"/>
      <c r="I120" s="219"/>
      <c r="J120" s="219"/>
      <c r="K120" s="219"/>
      <c r="L120" s="219"/>
      <c r="M120" s="222"/>
      <c r="N120" s="219"/>
      <c r="O120" s="224"/>
      <c r="P120" s="396"/>
      <c r="Q120" s="223"/>
      <c r="R120" s="396"/>
      <c r="T120" s="352"/>
    </row>
    <row r="121" spans="1:20">
      <c r="A121" s="365">
        <f t="shared" si="2"/>
        <v>112</v>
      </c>
      <c r="B121" s="507" t="s">
        <v>814</v>
      </c>
      <c r="C121" s="219"/>
      <c r="D121" s="219">
        <v>0</v>
      </c>
      <c r="E121" s="219">
        <v>0</v>
      </c>
      <c r="F121" s="219">
        <v>0</v>
      </c>
      <c r="G121" s="219">
        <v>0</v>
      </c>
      <c r="H121" s="219">
        <v>0</v>
      </c>
      <c r="I121" s="219">
        <v>0</v>
      </c>
      <c r="J121" s="219">
        <v>0</v>
      </c>
      <c r="K121" s="219"/>
      <c r="L121" s="219">
        <v>100</v>
      </c>
      <c r="M121" s="222"/>
      <c r="N121" s="219">
        <v>0</v>
      </c>
      <c r="O121" s="224"/>
      <c r="P121" s="396">
        <v>0</v>
      </c>
      <c r="Q121" s="223"/>
      <c r="R121" s="396">
        <v>0</v>
      </c>
      <c r="T121" s="352"/>
    </row>
    <row r="122" spans="1:20">
      <c r="A122" s="365">
        <f t="shared" si="2"/>
        <v>113</v>
      </c>
      <c r="B122" s="507" t="s">
        <v>815</v>
      </c>
      <c r="C122" s="219"/>
      <c r="D122" s="219">
        <v>0</v>
      </c>
      <c r="E122" s="219">
        <v>0</v>
      </c>
      <c r="F122" s="219">
        <v>0</v>
      </c>
      <c r="G122" s="219">
        <v>14.031935938972836</v>
      </c>
      <c r="H122" s="219">
        <v>16.14584614715579</v>
      </c>
      <c r="I122" s="219">
        <v>0</v>
      </c>
      <c r="J122" s="219">
        <v>0</v>
      </c>
      <c r="K122" s="219"/>
      <c r="L122" s="219">
        <v>0</v>
      </c>
      <c r="M122" s="222"/>
      <c r="N122" s="219">
        <v>0</v>
      </c>
      <c r="O122" s="224"/>
      <c r="P122" s="396">
        <v>0</v>
      </c>
      <c r="Q122" s="223"/>
      <c r="R122" s="396">
        <v>0</v>
      </c>
      <c r="T122" s="352"/>
    </row>
    <row r="123" spans="1:20">
      <c r="A123" s="365">
        <f t="shared" si="2"/>
        <v>114</v>
      </c>
      <c r="B123" s="507" t="s">
        <v>816</v>
      </c>
      <c r="C123" s="219"/>
      <c r="D123" s="219">
        <v>0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/>
      <c r="L123" s="219">
        <v>0</v>
      </c>
      <c r="M123" s="222"/>
      <c r="N123" s="219">
        <v>94.090499999999992</v>
      </c>
      <c r="O123" s="224"/>
      <c r="P123" s="396">
        <v>0</v>
      </c>
      <c r="Q123" s="223"/>
      <c r="R123" s="396">
        <v>0</v>
      </c>
      <c r="T123" s="352"/>
    </row>
    <row r="124" spans="1:20">
      <c r="A124" s="365">
        <f t="shared" si="2"/>
        <v>115</v>
      </c>
      <c r="B124" s="507" t="s">
        <v>817</v>
      </c>
      <c r="C124" s="219"/>
      <c r="D124" s="219">
        <v>0</v>
      </c>
      <c r="E124" s="219">
        <v>0</v>
      </c>
      <c r="F124" s="219">
        <v>0</v>
      </c>
      <c r="G124" s="219">
        <v>110.91813170348401</v>
      </c>
      <c r="H124" s="219">
        <v>-1.2415453378178167</v>
      </c>
      <c r="I124" s="219">
        <v>0</v>
      </c>
      <c r="J124" s="219">
        <v>0</v>
      </c>
      <c r="K124" s="219"/>
      <c r="L124" s="219">
        <v>0</v>
      </c>
      <c r="M124" s="222"/>
      <c r="N124" s="219">
        <v>0</v>
      </c>
      <c r="O124" s="224"/>
      <c r="P124" s="396">
        <v>0</v>
      </c>
      <c r="Q124" s="223"/>
      <c r="R124" s="396">
        <v>0</v>
      </c>
      <c r="T124" s="352"/>
    </row>
    <row r="125" spans="1:20">
      <c r="A125" s="365">
        <f t="shared" si="2"/>
        <v>116</v>
      </c>
      <c r="B125" s="507" t="s">
        <v>818</v>
      </c>
      <c r="C125" s="219"/>
      <c r="D125" s="219">
        <v>0</v>
      </c>
      <c r="E125" s="219">
        <v>75.968440445708751</v>
      </c>
      <c r="F125" s="219">
        <v>-2.8294003757699779</v>
      </c>
      <c r="G125" s="219">
        <v>-0.73654003913782262</v>
      </c>
      <c r="H125" s="219">
        <v>0</v>
      </c>
      <c r="I125" s="219">
        <v>0</v>
      </c>
      <c r="J125" s="219">
        <v>0</v>
      </c>
      <c r="K125" s="219"/>
      <c r="L125" s="219">
        <v>0</v>
      </c>
      <c r="M125" s="222"/>
      <c r="N125" s="219">
        <v>0</v>
      </c>
      <c r="O125" s="224"/>
      <c r="P125" s="396">
        <v>0</v>
      </c>
      <c r="Q125" s="223"/>
      <c r="R125" s="396">
        <v>103</v>
      </c>
      <c r="T125" s="352"/>
    </row>
    <row r="126" spans="1:20">
      <c r="A126" s="365">
        <f t="shared" si="2"/>
        <v>117</v>
      </c>
      <c r="B126" s="507" t="s">
        <v>819</v>
      </c>
      <c r="C126" s="219"/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/>
      <c r="L126" s="219">
        <v>0</v>
      </c>
      <c r="M126" s="222"/>
      <c r="N126" s="219">
        <v>51.5</v>
      </c>
      <c r="O126" s="224"/>
      <c r="P126" s="396">
        <v>0</v>
      </c>
      <c r="Q126" s="223"/>
      <c r="R126" s="396">
        <v>0</v>
      </c>
      <c r="T126" s="352"/>
    </row>
    <row r="127" spans="1:20">
      <c r="A127" s="365">
        <f t="shared" si="2"/>
        <v>118</v>
      </c>
      <c r="B127" s="507" t="s">
        <v>820</v>
      </c>
      <c r="C127" s="219"/>
      <c r="D127" s="219">
        <v>0</v>
      </c>
      <c r="E127" s="219">
        <v>27.488262352816559</v>
      </c>
      <c r="F127" s="219">
        <v>-0.98154415176382692</v>
      </c>
      <c r="G127" s="219">
        <v>-2.3514164342683821</v>
      </c>
      <c r="H127" s="219">
        <v>0</v>
      </c>
      <c r="I127" s="219">
        <v>0</v>
      </c>
      <c r="J127" s="219">
        <v>0</v>
      </c>
      <c r="K127" s="219"/>
      <c r="L127" s="219">
        <v>0</v>
      </c>
      <c r="M127" s="222"/>
      <c r="N127" s="219">
        <v>0</v>
      </c>
      <c r="O127" s="224"/>
      <c r="P127" s="396">
        <v>0</v>
      </c>
      <c r="Q127" s="223"/>
      <c r="R127" s="396">
        <v>0</v>
      </c>
      <c r="T127" s="352"/>
    </row>
    <row r="128" spans="1:20">
      <c r="A128" s="365">
        <f t="shared" si="2"/>
        <v>119</v>
      </c>
      <c r="B128" s="507" t="s">
        <v>821</v>
      </c>
      <c r="C128" s="219"/>
      <c r="D128" s="219">
        <v>6.9884271166130105</v>
      </c>
      <c r="E128" s="219">
        <v>0.27389575543917183</v>
      </c>
      <c r="F128" s="219">
        <v>0</v>
      </c>
      <c r="G128" s="219">
        <v>0</v>
      </c>
      <c r="H128" s="219">
        <v>0</v>
      </c>
      <c r="I128" s="219">
        <v>0</v>
      </c>
      <c r="J128" s="219">
        <v>0</v>
      </c>
      <c r="K128" s="219"/>
      <c r="L128" s="219">
        <v>0</v>
      </c>
      <c r="M128" s="222"/>
      <c r="N128" s="219">
        <v>0</v>
      </c>
      <c r="O128" s="224"/>
      <c r="P128" s="396">
        <v>35</v>
      </c>
      <c r="Q128" s="223"/>
      <c r="R128" s="396">
        <v>0</v>
      </c>
      <c r="T128" s="352"/>
    </row>
    <row r="129" spans="1:20">
      <c r="A129" s="365">
        <f t="shared" si="2"/>
        <v>120</v>
      </c>
      <c r="B129" s="507" t="s">
        <v>822</v>
      </c>
      <c r="C129" s="219"/>
      <c r="D129" s="219">
        <v>5.5368550216127277</v>
      </c>
      <c r="E129" s="219">
        <v>10.380744587135363</v>
      </c>
      <c r="F129" s="219">
        <v>0</v>
      </c>
      <c r="G129" s="219">
        <v>0</v>
      </c>
      <c r="H129" s="219">
        <v>0</v>
      </c>
      <c r="I129" s="219">
        <v>0</v>
      </c>
      <c r="J129" s="219">
        <v>0</v>
      </c>
      <c r="K129" s="219"/>
      <c r="L129" s="219">
        <v>0</v>
      </c>
      <c r="M129" s="222"/>
      <c r="N129" s="219">
        <v>0</v>
      </c>
      <c r="O129" s="224"/>
      <c r="P129" s="396">
        <v>20</v>
      </c>
      <c r="Q129" s="223"/>
      <c r="R129" s="396">
        <v>0</v>
      </c>
      <c r="T129" s="352"/>
    </row>
    <row r="130" spans="1:20">
      <c r="A130" s="365">
        <f t="shared" si="2"/>
        <v>121</v>
      </c>
      <c r="B130" s="507" t="s">
        <v>823</v>
      </c>
      <c r="C130" s="219"/>
      <c r="D130" s="219">
        <v>0</v>
      </c>
      <c r="E130" s="219">
        <v>38.37697966611703</v>
      </c>
      <c r="F130" s="219">
        <v>2.1002673071888527</v>
      </c>
      <c r="G130" s="219">
        <v>0</v>
      </c>
      <c r="H130" s="219">
        <v>0</v>
      </c>
      <c r="I130" s="219">
        <v>0</v>
      </c>
      <c r="J130" s="219">
        <v>0</v>
      </c>
      <c r="K130" s="219"/>
      <c r="L130" s="219">
        <v>0</v>
      </c>
      <c r="M130" s="222"/>
      <c r="N130" s="219">
        <v>0</v>
      </c>
      <c r="O130" s="224"/>
      <c r="P130" s="396">
        <v>0</v>
      </c>
      <c r="Q130" s="223"/>
      <c r="R130" s="396">
        <v>19</v>
      </c>
      <c r="T130" s="352"/>
    </row>
    <row r="131" spans="1:20">
      <c r="A131" s="365">
        <f t="shared" si="2"/>
        <v>122</v>
      </c>
      <c r="B131" s="507" t="s">
        <v>824</v>
      </c>
      <c r="C131" s="219"/>
      <c r="D131" s="219">
        <v>0</v>
      </c>
      <c r="E131" s="219">
        <v>0</v>
      </c>
      <c r="F131" s="219">
        <v>0</v>
      </c>
      <c r="G131" s="219">
        <v>0</v>
      </c>
      <c r="H131" s="219">
        <v>0</v>
      </c>
      <c r="I131" s="219">
        <v>0</v>
      </c>
      <c r="J131" s="219">
        <v>0</v>
      </c>
      <c r="K131" s="219"/>
      <c r="L131" s="219">
        <v>0</v>
      </c>
      <c r="M131" s="222"/>
      <c r="N131" s="219">
        <v>51.5</v>
      </c>
      <c r="O131" s="224"/>
      <c r="P131" s="396">
        <v>0</v>
      </c>
      <c r="Q131" s="223"/>
      <c r="R131" s="396">
        <v>0</v>
      </c>
      <c r="T131" s="352"/>
    </row>
    <row r="132" spans="1:20">
      <c r="A132" s="365">
        <f t="shared" si="2"/>
        <v>123</v>
      </c>
      <c r="B132" s="507" t="s">
        <v>825</v>
      </c>
      <c r="C132" s="219"/>
      <c r="D132" s="219">
        <v>0</v>
      </c>
      <c r="E132" s="219">
        <v>0</v>
      </c>
      <c r="F132" s="219">
        <v>0</v>
      </c>
      <c r="G132" s="219">
        <v>0</v>
      </c>
      <c r="H132" s="219">
        <v>0</v>
      </c>
      <c r="I132" s="219">
        <v>0</v>
      </c>
      <c r="J132" s="219">
        <v>0</v>
      </c>
      <c r="K132" s="219"/>
      <c r="L132" s="219">
        <v>100</v>
      </c>
      <c r="M132" s="222"/>
      <c r="N132" s="219">
        <v>0</v>
      </c>
      <c r="O132" s="224"/>
      <c r="P132" s="396">
        <v>0</v>
      </c>
      <c r="Q132" s="223"/>
      <c r="R132" s="396">
        <v>0</v>
      </c>
      <c r="T132" s="352"/>
    </row>
    <row r="133" spans="1:20">
      <c r="A133" s="365">
        <f t="shared" si="2"/>
        <v>124</v>
      </c>
      <c r="B133" s="507" t="s">
        <v>826</v>
      </c>
      <c r="C133" s="219"/>
      <c r="D133" s="219">
        <v>0</v>
      </c>
      <c r="E133" s="219">
        <v>0</v>
      </c>
      <c r="F133" s="219">
        <v>0</v>
      </c>
      <c r="G133" s="219">
        <v>0</v>
      </c>
      <c r="H133" s="219">
        <v>0</v>
      </c>
      <c r="I133" s="219">
        <v>0</v>
      </c>
      <c r="J133" s="219">
        <v>0</v>
      </c>
      <c r="K133" s="219"/>
      <c r="L133" s="219">
        <v>0</v>
      </c>
      <c r="M133" s="222"/>
      <c r="N133" s="219">
        <v>317.24</v>
      </c>
      <c r="O133" s="224"/>
      <c r="P133" s="396">
        <v>0</v>
      </c>
      <c r="Q133" s="223"/>
      <c r="R133" s="396">
        <v>0</v>
      </c>
      <c r="T133" s="352"/>
    </row>
    <row r="134" spans="1:20">
      <c r="A134" s="365">
        <f t="shared" si="2"/>
        <v>125</v>
      </c>
      <c r="B134" s="507" t="s">
        <v>827</v>
      </c>
      <c r="C134" s="219"/>
      <c r="D134" s="219">
        <v>0</v>
      </c>
      <c r="E134" s="219">
        <v>0</v>
      </c>
      <c r="F134" s="219">
        <v>0</v>
      </c>
      <c r="G134" s="219">
        <v>0</v>
      </c>
      <c r="H134" s="219">
        <v>0</v>
      </c>
      <c r="I134" s="219">
        <v>0</v>
      </c>
      <c r="J134" s="219">
        <v>0</v>
      </c>
      <c r="K134" s="219"/>
      <c r="L134" s="219">
        <v>0</v>
      </c>
      <c r="M134" s="222"/>
      <c r="N134" s="219">
        <v>154.5</v>
      </c>
      <c r="O134" s="224"/>
      <c r="P134" s="328">
        <v>0</v>
      </c>
      <c r="Q134" s="223"/>
      <c r="R134" s="328">
        <v>0</v>
      </c>
      <c r="T134" s="352"/>
    </row>
    <row r="135" spans="1:20">
      <c r="A135" s="365">
        <f t="shared" si="2"/>
        <v>126</v>
      </c>
      <c r="B135" s="507" t="s">
        <v>828</v>
      </c>
      <c r="C135" s="219"/>
      <c r="D135" s="219"/>
      <c r="E135" s="219"/>
      <c r="F135" s="219"/>
      <c r="G135" s="219"/>
      <c r="H135" s="219"/>
      <c r="I135" s="219"/>
      <c r="J135" s="219"/>
      <c r="K135" s="219"/>
      <c r="L135" s="219"/>
      <c r="M135" s="222"/>
      <c r="N135" s="219"/>
      <c r="O135" s="224"/>
      <c r="P135" s="396">
        <v>0</v>
      </c>
      <c r="Q135" s="223"/>
      <c r="R135" s="396">
        <v>99</v>
      </c>
      <c r="T135" s="352"/>
    </row>
    <row r="136" spans="1:20">
      <c r="A136" s="365">
        <f t="shared" si="2"/>
        <v>127</v>
      </c>
      <c r="B136" s="507" t="s">
        <v>829</v>
      </c>
      <c r="C136" s="219"/>
      <c r="D136" s="219"/>
      <c r="E136" s="219"/>
      <c r="F136" s="219"/>
      <c r="G136" s="219"/>
      <c r="H136" s="219"/>
      <c r="I136" s="219"/>
      <c r="J136" s="219"/>
      <c r="K136" s="219"/>
      <c r="L136" s="219"/>
      <c r="M136" s="222"/>
      <c r="N136" s="219"/>
      <c r="O136" s="224"/>
      <c r="P136" s="396">
        <v>0</v>
      </c>
      <c r="Q136" s="223"/>
      <c r="R136" s="396">
        <v>22</v>
      </c>
      <c r="T136" s="352"/>
    </row>
    <row r="137" spans="1:20">
      <c r="A137" s="365">
        <f t="shared" si="2"/>
        <v>128</v>
      </c>
      <c r="B137" s="507"/>
      <c r="C137" s="219"/>
      <c r="D137" s="219"/>
      <c r="E137" s="219"/>
      <c r="F137" s="219"/>
      <c r="G137" s="219"/>
      <c r="H137" s="219"/>
      <c r="I137" s="219"/>
      <c r="J137" s="219"/>
      <c r="K137" s="219"/>
      <c r="L137" s="219"/>
      <c r="M137" s="222"/>
      <c r="N137" s="219"/>
      <c r="O137" s="224"/>
      <c r="P137" s="396"/>
      <c r="Q137" s="223"/>
      <c r="R137" s="396"/>
      <c r="T137" s="352"/>
    </row>
    <row r="138" spans="1:20">
      <c r="A138" s="365">
        <f t="shared" si="2"/>
        <v>129</v>
      </c>
      <c r="B138" s="507" t="s">
        <v>830</v>
      </c>
      <c r="C138" s="219"/>
      <c r="D138" s="219">
        <v>102.17367546739908</v>
      </c>
      <c r="E138" s="219">
        <v>-552.80553435482102</v>
      </c>
      <c r="F138" s="219">
        <v>19.316806757614636</v>
      </c>
      <c r="G138" s="219">
        <v>96.001707115026306</v>
      </c>
      <c r="H138" s="219">
        <v>70.095085612008745</v>
      </c>
      <c r="I138" s="219">
        <v>59.069847518848235</v>
      </c>
      <c r="J138" s="219">
        <v>126.88442122253436</v>
      </c>
      <c r="K138" s="219"/>
      <c r="L138" s="219">
        <f>77.23697+5.09554</f>
        <v>82.332509999999999</v>
      </c>
      <c r="M138" s="222"/>
      <c r="N138" s="219">
        <v>51.5</v>
      </c>
      <c r="O138" s="224"/>
      <c r="P138" s="328">
        <v>20</v>
      </c>
      <c r="Q138" s="223"/>
      <c r="R138" s="328">
        <v>29</v>
      </c>
      <c r="T138" s="352"/>
    </row>
    <row r="139" spans="1:20">
      <c r="A139" s="365">
        <f t="shared" si="2"/>
        <v>130</v>
      </c>
      <c r="B139" s="507"/>
      <c r="C139" s="219"/>
      <c r="D139" s="219"/>
      <c r="E139" s="219"/>
      <c r="F139" s="219"/>
      <c r="G139" s="219"/>
      <c r="H139" s="219"/>
      <c r="I139" s="219"/>
      <c r="J139" s="219"/>
      <c r="K139" s="219"/>
      <c r="L139" s="219"/>
      <c r="M139" s="222"/>
      <c r="N139" s="219"/>
      <c r="O139" s="224"/>
      <c r="P139" s="328"/>
      <c r="Q139" s="223"/>
      <c r="R139" s="328"/>
      <c r="T139" s="352"/>
    </row>
    <row r="140" spans="1:20">
      <c r="A140" s="365">
        <f t="shared" si="2"/>
        <v>131</v>
      </c>
      <c r="B140" s="220" t="s">
        <v>831</v>
      </c>
      <c r="C140" s="219"/>
      <c r="D140" s="416">
        <f t="shared" ref="D140:J140" si="3">SUM(D97:D139,D11:D94)</f>
        <v>6944.1105870418187</v>
      </c>
      <c r="E140" s="416">
        <f t="shared" si="3"/>
        <v>962.51947557007509</v>
      </c>
      <c r="F140" s="416">
        <f t="shared" si="3"/>
        <v>2146.7693155070651</v>
      </c>
      <c r="G140" s="416">
        <f t="shared" si="3"/>
        <v>2635.0690848023241</v>
      </c>
      <c r="H140" s="416">
        <f t="shared" si="3"/>
        <v>3596.7966698834407</v>
      </c>
      <c r="I140" s="416">
        <f t="shared" si="3"/>
        <v>3050.2715977849448</v>
      </c>
      <c r="J140" s="416">
        <f t="shared" si="3"/>
        <v>1177.6417767940977</v>
      </c>
      <c r="K140" s="412"/>
      <c r="L140" s="416">
        <f>SUM(L97:L139,L11:L94)</f>
        <v>3723.0995578541274</v>
      </c>
      <c r="M140" s="416"/>
      <c r="N140" s="416">
        <f>SUM(N97:N139,N11:N95)</f>
        <v>3351.7745000000004</v>
      </c>
      <c r="O140" s="412"/>
      <c r="P140" s="416">
        <f>SUM(P97:P139,P11:P94)</f>
        <v>6602</v>
      </c>
      <c r="Q140" s="416"/>
      <c r="R140" s="416">
        <f>SUM(R97:R139,R11:R94)</f>
        <v>2529</v>
      </c>
      <c r="T140" s="352"/>
    </row>
    <row r="141" spans="1:20">
      <c r="A141" s="365">
        <f t="shared" si="2"/>
        <v>132</v>
      </c>
      <c r="B141" s="507"/>
      <c r="C141" s="219"/>
      <c r="D141" s="219"/>
      <c r="E141" s="219"/>
      <c r="F141" s="219"/>
      <c r="G141" s="219"/>
      <c r="H141" s="219"/>
      <c r="I141" s="219"/>
      <c r="J141" s="219"/>
      <c r="K141" s="219"/>
      <c r="L141" s="219"/>
      <c r="M141" s="222"/>
      <c r="N141" s="219"/>
      <c r="O141" s="224"/>
      <c r="P141" s="328"/>
      <c r="Q141" s="223"/>
      <c r="R141" s="328"/>
      <c r="T141" s="352"/>
    </row>
    <row r="142" spans="1:20">
      <c r="A142" s="365">
        <f t="shared" si="2"/>
        <v>133</v>
      </c>
      <c r="B142" s="507" t="s">
        <v>832</v>
      </c>
      <c r="C142" s="219"/>
      <c r="D142" s="219">
        <v>0</v>
      </c>
      <c r="E142" s="219">
        <v>0</v>
      </c>
      <c r="F142" s="219">
        <v>0</v>
      </c>
      <c r="G142" s="219">
        <v>0</v>
      </c>
      <c r="H142" s="219">
        <v>12.149781895448909</v>
      </c>
      <c r="I142" s="219">
        <v>17.482951207870748</v>
      </c>
      <c r="J142" s="219">
        <v>1210.1934324764413</v>
      </c>
      <c r="K142" s="219"/>
      <c r="L142" s="219">
        <v>2215.0365999999999</v>
      </c>
      <c r="M142" s="222"/>
      <c r="N142" s="219">
        <v>749.84</v>
      </c>
      <c r="O142" s="224"/>
      <c r="P142" s="396">
        <v>0</v>
      </c>
      <c r="Q142" s="223"/>
      <c r="R142" s="396">
        <v>0</v>
      </c>
      <c r="T142" s="352"/>
    </row>
    <row r="143" spans="1:20">
      <c r="A143" s="365">
        <f t="shared" si="2"/>
        <v>134</v>
      </c>
      <c r="B143" s="507" t="s">
        <v>833</v>
      </c>
      <c r="C143" s="219"/>
      <c r="D143" s="219">
        <v>0</v>
      </c>
      <c r="E143" s="219">
        <v>0</v>
      </c>
      <c r="F143" s="219">
        <v>0</v>
      </c>
      <c r="G143" s="219">
        <v>1033.9827694598112</v>
      </c>
      <c r="H143" s="219">
        <v>1147.3339909186586</v>
      </c>
      <c r="I143" s="219">
        <v>1405.5074239531762</v>
      </c>
      <c r="J143" s="219">
        <v>33.547790028078005</v>
      </c>
      <c r="K143" s="219"/>
      <c r="L143" s="219">
        <v>0</v>
      </c>
      <c r="M143" s="222"/>
      <c r="N143" s="219">
        <v>0</v>
      </c>
      <c r="O143" s="224"/>
      <c r="P143" s="396">
        <v>0</v>
      </c>
      <c r="Q143" s="223"/>
      <c r="R143" s="396">
        <v>0</v>
      </c>
      <c r="T143" s="352"/>
    </row>
    <row r="144" spans="1:20">
      <c r="A144" s="365">
        <f t="shared" si="2"/>
        <v>135</v>
      </c>
      <c r="B144" s="507" t="s">
        <v>834</v>
      </c>
      <c r="C144" s="219"/>
      <c r="D144" s="219">
        <v>0</v>
      </c>
      <c r="E144" s="219">
        <v>0</v>
      </c>
      <c r="F144" s="219">
        <v>0</v>
      </c>
      <c r="G144" s="219">
        <v>0</v>
      </c>
      <c r="H144" s="219">
        <v>0</v>
      </c>
      <c r="I144" s="219">
        <v>17.76834774384227</v>
      </c>
      <c r="J144" s="219">
        <v>5.7422842038221509</v>
      </c>
      <c r="K144" s="219"/>
      <c r="L144" s="219">
        <v>75.286210000000011</v>
      </c>
      <c r="M144" s="222"/>
      <c r="N144" s="219">
        <v>0</v>
      </c>
      <c r="O144" s="224"/>
      <c r="P144" s="396">
        <v>0</v>
      </c>
      <c r="Q144" s="223"/>
      <c r="R144" s="396">
        <v>0</v>
      </c>
      <c r="T144" s="352"/>
    </row>
    <row r="145" spans="1:20">
      <c r="A145" s="365">
        <f t="shared" si="2"/>
        <v>136</v>
      </c>
      <c r="B145" s="507" t="s">
        <v>835</v>
      </c>
      <c r="C145" s="219"/>
      <c r="D145" s="219">
        <v>0</v>
      </c>
      <c r="E145" s="219">
        <v>0</v>
      </c>
      <c r="F145" s="219">
        <v>0</v>
      </c>
      <c r="G145" s="219">
        <v>0</v>
      </c>
      <c r="H145" s="219">
        <v>0</v>
      </c>
      <c r="I145" s="219">
        <v>64.309656407863429</v>
      </c>
      <c r="J145" s="219">
        <v>2500.1217971947999</v>
      </c>
      <c r="K145" s="219"/>
      <c r="L145" s="219">
        <v>3766.6919505200003</v>
      </c>
      <c r="M145" s="222"/>
      <c r="N145" s="219">
        <v>1686.1100000000001</v>
      </c>
      <c r="O145" s="224"/>
      <c r="P145" s="396">
        <v>0</v>
      </c>
      <c r="Q145" s="223"/>
      <c r="R145" s="396">
        <v>0</v>
      </c>
      <c r="T145" s="352"/>
    </row>
    <row r="146" spans="1:20">
      <c r="A146" s="365">
        <f t="shared" si="2"/>
        <v>137</v>
      </c>
      <c r="B146" s="507" t="s">
        <v>836</v>
      </c>
      <c r="C146" s="219"/>
      <c r="D146" s="219"/>
      <c r="E146" s="219">
        <v>208</v>
      </c>
      <c r="F146" s="219">
        <v>80</v>
      </c>
      <c r="G146" s="219">
        <v>-27</v>
      </c>
      <c r="H146" s="219">
        <v>-72</v>
      </c>
      <c r="I146" s="219">
        <f>-188+13</f>
        <v>-175</v>
      </c>
      <c r="J146" s="219">
        <v>-1</v>
      </c>
      <c r="K146" s="219"/>
      <c r="L146" s="219">
        <v>-13</v>
      </c>
      <c r="M146" s="222"/>
      <c r="N146" s="219"/>
      <c r="O146" s="224"/>
      <c r="P146" s="396"/>
      <c r="Q146" s="223"/>
      <c r="R146" s="396"/>
      <c r="T146" s="352"/>
    </row>
    <row r="147" spans="1:20">
      <c r="A147" s="365">
        <f t="shared" si="2"/>
        <v>138</v>
      </c>
      <c r="B147" s="220" t="s">
        <v>837</v>
      </c>
      <c r="C147" s="217"/>
      <c r="D147" s="416">
        <f t="shared" ref="D147:J147" si="4">SUBTOTAL(109,D142:D146)</f>
        <v>0</v>
      </c>
      <c r="E147" s="416">
        <f t="shared" si="4"/>
        <v>208</v>
      </c>
      <c r="F147" s="416">
        <f t="shared" si="4"/>
        <v>80</v>
      </c>
      <c r="G147" s="416">
        <f t="shared" si="4"/>
        <v>1006.9827694598112</v>
      </c>
      <c r="H147" s="416">
        <f t="shared" si="4"/>
        <v>1087.4837728141076</v>
      </c>
      <c r="I147" s="416">
        <f t="shared" si="4"/>
        <v>1330.0683793127525</v>
      </c>
      <c r="J147" s="416">
        <f t="shared" si="4"/>
        <v>3748.6053039031412</v>
      </c>
      <c r="K147" s="412"/>
      <c r="L147" s="416">
        <f>SUBTOTAL(109,L142:L146)</f>
        <v>6044.01476052</v>
      </c>
      <c r="M147" s="416"/>
      <c r="N147" s="416">
        <f>SUBTOTAL(109,N142:N146)</f>
        <v>2435.9500000000003</v>
      </c>
      <c r="O147" s="412"/>
      <c r="P147" s="416">
        <f>SUBTOTAL(109,P142:P146)</f>
        <v>0</v>
      </c>
      <c r="Q147" s="416"/>
      <c r="R147" s="416">
        <f>SUBTOTAL(109,R142:R146)</f>
        <v>0</v>
      </c>
      <c r="T147" s="352"/>
    </row>
    <row r="148" spans="1:20">
      <c r="A148" s="365">
        <f t="shared" si="2"/>
        <v>139</v>
      </c>
      <c r="B148" s="217"/>
      <c r="C148" s="217"/>
      <c r="D148" s="217"/>
      <c r="E148" s="217"/>
      <c r="F148" s="217"/>
      <c r="G148" s="217"/>
      <c r="H148" s="217"/>
      <c r="I148" s="217"/>
      <c r="J148" s="217"/>
      <c r="K148" s="217"/>
      <c r="L148" s="217"/>
      <c r="M148" s="217"/>
      <c r="N148" s="217"/>
      <c r="O148" s="217"/>
      <c r="P148" s="217"/>
      <c r="Q148" s="217"/>
      <c r="R148" s="217"/>
      <c r="T148" s="352"/>
    </row>
    <row r="149" spans="1:20">
      <c r="A149" s="365">
        <f t="shared" si="2"/>
        <v>140</v>
      </c>
      <c r="B149" s="220"/>
      <c r="C149" s="219"/>
      <c r="D149" s="219"/>
      <c r="E149" s="217"/>
      <c r="F149" s="223"/>
      <c r="G149" s="223"/>
      <c r="H149" s="223"/>
      <c r="I149" s="223"/>
      <c r="J149" s="223"/>
      <c r="K149" s="223"/>
      <c r="L149" s="223"/>
      <c r="M149" s="223"/>
      <c r="N149" s="223"/>
      <c r="O149" s="223"/>
      <c r="P149" s="397"/>
      <c r="Q149" s="223"/>
      <c r="R149" s="397"/>
      <c r="T149" s="352"/>
    </row>
    <row r="150" spans="1:20">
      <c r="A150" s="365">
        <f t="shared" si="2"/>
        <v>141</v>
      </c>
      <c r="B150" s="220" t="s">
        <v>680</v>
      </c>
      <c r="C150" s="219"/>
      <c r="D150" s="219"/>
      <c r="E150" s="217"/>
      <c r="F150" s="397"/>
      <c r="G150" s="397"/>
      <c r="H150" s="397"/>
      <c r="I150" s="397"/>
      <c r="J150" s="397"/>
      <c r="K150" s="412"/>
      <c r="L150" s="397"/>
      <c r="M150" s="412"/>
      <c r="N150" s="397"/>
      <c r="O150" s="412"/>
      <c r="P150" s="396"/>
      <c r="Q150" s="412"/>
      <c r="R150" s="396"/>
      <c r="T150" s="352"/>
    </row>
    <row r="151" spans="1:20">
      <c r="A151" s="365">
        <f t="shared" si="2"/>
        <v>142</v>
      </c>
      <c r="B151" s="507" t="s">
        <v>838</v>
      </c>
      <c r="C151" s="219"/>
      <c r="D151" s="219">
        <v>1746.5935032288919</v>
      </c>
      <c r="E151" s="219">
        <v>1600.3242059861282</v>
      </c>
      <c r="F151" s="219">
        <v>2555.1513902536803</v>
      </c>
      <c r="G151" s="219">
        <v>2701.4764752761107</v>
      </c>
      <c r="H151" s="219">
        <f>2482.56041148481-H168</f>
        <v>2445.7262172236592</v>
      </c>
      <c r="I151" s="219">
        <f>3872.51822781808-I168</f>
        <v>3845.794451699016</v>
      </c>
      <c r="J151" s="219">
        <v>2776.8095170423812</v>
      </c>
      <c r="K151" s="222"/>
      <c r="L151" s="219">
        <v>4218.7453229031626</v>
      </c>
      <c r="M151" s="222"/>
      <c r="N151" s="219">
        <v>4324.2139559757416</v>
      </c>
      <c r="O151" s="224"/>
      <c r="P151" s="396">
        <v>1995</v>
      </c>
      <c r="Q151" s="223"/>
      <c r="R151" s="396">
        <v>2032</v>
      </c>
      <c r="T151" s="352"/>
    </row>
    <row r="152" spans="1:20">
      <c r="A152" s="365">
        <f t="shared" si="2"/>
        <v>143</v>
      </c>
      <c r="B152" s="507" t="s">
        <v>839</v>
      </c>
      <c r="C152" s="219"/>
      <c r="D152" s="219">
        <v>115.5342394916059</v>
      </c>
      <c r="E152" s="219">
        <v>83.867979632818418</v>
      </c>
      <c r="F152" s="219">
        <v>65.607877838244107</v>
      </c>
      <c r="G152" s="219">
        <v>88.822735329890151</v>
      </c>
      <c r="H152" s="219">
        <v>81.278583181799874</v>
      </c>
      <c r="I152" s="219">
        <v>69.237463475569569</v>
      </c>
      <c r="J152" s="219">
        <v>67.275973319766237</v>
      </c>
      <c r="K152" s="222"/>
      <c r="L152" s="219">
        <v>101.73340999999999</v>
      </c>
      <c r="M152" s="222"/>
      <c r="N152" s="219">
        <v>82</v>
      </c>
      <c r="O152" s="224"/>
      <c r="P152" s="396">
        <v>120</v>
      </c>
      <c r="Q152" s="223"/>
      <c r="R152" s="396">
        <v>122</v>
      </c>
      <c r="T152" s="352"/>
    </row>
    <row r="153" spans="1:20">
      <c r="A153" s="365">
        <f t="shared" si="2"/>
        <v>144</v>
      </c>
      <c r="B153" s="507" t="s">
        <v>840</v>
      </c>
      <c r="C153" s="219"/>
      <c r="D153" s="219">
        <v>37.465462692110926</v>
      </c>
      <c r="E153" s="219">
        <v>34.567477930619447</v>
      </c>
      <c r="F153" s="219">
        <v>53.391960306922073</v>
      </c>
      <c r="G153" s="219">
        <v>42.405277908889708</v>
      </c>
      <c r="H153" s="219">
        <v>51.923939962679945</v>
      </c>
      <c r="I153" s="219">
        <v>48.661365806371826</v>
      </c>
      <c r="J153" s="219">
        <v>45.211068069687407</v>
      </c>
      <c r="K153" s="222"/>
      <c r="L153" s="219">
        <v>45.756672036181904</v>
      </c>
      <c r="M153" s="222"/>
      <c r="N153" s="219">
        <v>41</v>
      </c>
      <c r="O153" s="224"/>
      <c r="P153" s="396">
        <v>40</v>
      </c>
      <c r="Q153" s="223"/>
      <c r="R153" s="396">
        <v>41</v>
      </c>
      <c r="T153" s="352"/>
    </row>
    <row r="154" spans="1:20">
      <c r="A154" s="365">
        <f t="shared" si="2"/>
        <v>145</v>
      </c>
      <c r="B154" s="507"/>
      <c r="C154" s="219"/>
      <c r="D154" s="219"/>
      <c r="E154" s="219"/>
      <c r="F154" s="219"/>
      <c r="G154" s="219"/>
      <c r="H154" s="219"/>
      <c r="I154" s="219"/>
      <c r="J154" s="219"/>
      <c r="K154" s="413"/>
      <c r="L154" s="219"/>
      <c r="M154" s="413"/>
      <c r="N154" s="219"/>
      <c r="O154" s="224"/>
      <c r="P154" s="396"/>
      <c r="Q154" s="223"/>
      <c r="R154" s="396"/>
      <c r="T154" s="352"/>
    </row>
    <row r="155" spans="1:20">
      <c r="A155" s="365">
        <f t="shared" si="2"/>
        <v>146</v>
      </c>
      <c r="B155" s="507" t="s">
        <v>841</v>
      </c>
      <c r="C155" s="219"/>
      <c r="D155" s="219">
        <v>215.16325890115326</v>
      </c>
      <c r="E155" s="219">
        <v>690.40523662212968</v>
      </c>
      <c r="F155" s="219">
        <v>544.5180416163156</v>
      </c>
      <c r="G155" s="219">
        <v>479.33856988289847</v>
      </c>
      <c r="H155" s="219">
        <v>-19.569171449969247</v>
      </c>
      <c r="I155" s="219">
        <v>0</v>
      </c>
      <c r="J155" s="219">
        <v>0</v>
      </c>
      <c r="K155" s="219"/>
      <c r="L155" s="219">
        <v>0</v>
      </c>
      <c r="M155" s="219"/>
      <c r="N155" s="219">
        <v>0</v>
      </c>
      <c r="O155" s="224"/>
      <c r="P155" s="396">
        <v>0</v>
      </c>
      <c r="Q155" s="223"/>
      <c r="R155" s="396">
        <v>1173</v>
      </c>
      <c r="T155" s="352"/>
    </row>
    <row r="156" spans="1:20">
      <c r="A156" s="365">
        <f t="shared" si="2"/>
        <v>147</v>
      </c>
      <c r="B156" s="507" t="s">
        <v>842</v>
      </c>
      <c r="C156" s="219"/>
      <c r="D156" s="219">
        <v>0</v>
      </c>
      <c r="E156" s="219">
        <v>475.57888604058701</v>
      </c>
      <c r="F156" s="219">
        <v>729.19439090489527</v>
      </c>
      <c r="G156" s="219">
        <v>717.18015304936523</v>
      </c>
      <c r="H156" s="219">
        <v>-11.525085316662063</v>
      </c>
      <c r="I156" s="219">
        <v>0</v>
      </c>
      <c r="J156" s="219">
        <v>0</v>
      </c>
      <c r="K156" s="219"/>
      <c r="L156" s="219">
        <v>0</v>
      </c>
      <c r="M156" s="219"/>
      <c r="N156" s="219">
        <v>0</v>
      </c>
      <c r="O156" s="224"/>
      <c r="P156" s="396">
        <v>0</v>
      </c>
      <c r="Q156" s="223"/>
      <c r="R156" s="396">
        <v>0</v>
      </c>
      <c r="T156" s="352"/>
    </row>
    <row r="157" spans="1:20">
      <c r="A157" s="365">
        <f t="shared" si="2"/>
        <v>148</v>
      </c>
      <c r="B157" s="507" t="s">
        <v>843</v>
      </c>
      <c r="C157" s="219"/>
      <c r="D157" s="219">
        <v>0</v>
      </c>
      <c r="E157" s="219">
        <v>0</v>
      </c>
      <c r="F157" s="219">
        <v>-16.843953355522579</v>
      </c>
      <c r="G157" s="219">
        <v>745.06878091282726</v>
      </c>
      <c r="H157" s="219">
        <v>215.83266165396154</v>
      </c>
      <c r="I157" s="219">
        <v>0</v>
      </c>
      <c r="J157" s="219">
        <v>0</v>
      </c>
      <c r="K157" s="219"/>
      <c r="L157" s="219">
        <v>0</v>
      </c>
      <c r="M157" s="219"/>
      <c r="N157" s="219">
        <v>0</v>
      </c>
      <c r="O157" s="224"/>
      <c r="P157" s="396">
        <v>0</v>
      </c>
      <c r="Q157" s="223"/>
      <c r="R157" s="396">
        <v>0</v>
      </c>
      <c r="T157" s="352"/>
    </row>
    <row r="158" spans="1:20">
      <c r="A158" s="365">
        <f t="shared" si="2"/>
        <v>149</v>
      </c>
      <c r="B158" s="507" t="s">
        <v>844</v>
      </c>
      <c r="C158" s="219"/>
      <c r="D158" s="219">
        <v>0</v>
      </c>
      <c r="E158" s="219">
        <v>0</v>
      </c>
      <c r="F158" s="219">
        <v>0</v>
      </c>
      <c r="G158" s="219">
        <v>0</v>
      </c>
      <c r="H158" s="219">
        <v>433.42827631392407</v>
      </c>
      <c r="I158" s="219">
        <v>0</v>
      </c>
      <c r="J158" s="219">
        <v>0</v>
      </c>
      <c r="K158" s="219"/>
      <c r="L158" s="219">
        <v>285.15972999999997</v>
      </c>
      <c r="M158" s="219"/>
      <c r="N158" s="219">
        <v>0</v>
      </c>
      <c r="O158" s="224"/>
      <c r="P158" s="396">
        <v>0</v>
      </c>
      <c r="Q158" s="223"/>
      <c r="R158" s="396">
        <v>0</v>
      </c>
      <c r="T158" s="352"/>
    </row>
    <row r="159" spans="1:20">
      <c r="A159" s="365">
        <f t="shared" si="2"/>
        <v>150</v>
      </c>
      <c r="B159" s="507" t="s">
        <v>845</v>
      </c>
      <c r="C159" s="219"/>
      <c r="D159" s="219">
        <v>0</v>
      </c>
      <c r="E159" s="219">
        <v>0</v>
      </c>
      <c r="F159" s="219">
        <v>0</v>
      </c>
      <c r="G159" s="219">
        <v>0</v>
      </c>
      <c r="H159" s="219">
        <v>8.860877087279821</v>
      </c>
      <c r="I159" s="219">
        <v>0.1364370922387908</v>
      </c>
      <c r="J159" s="219">
        <v>350.52156346678595</v>
      </c>
      <c r="K159" s="219"/>
      <c r="L159" s="219">
        <v>460.33405116658912</v>
      </c>
      <c r="M159" s="219"/>
      <c r="N159" s="219">
        <v>0</v>
      </c>
      <c r="O159" s="224"/>
      <c r="P159" s="396">
        <v>0</v>
      </c>
      <c r="Q159" s="223"/>
      <c r="R159" s="396">
        <v>0</v>
      </c>
      <c r="T159" s="352"/>
    </row>
    <row r="160" spans="1:20">
      <c r="A160" s="365">
        <f t="shared" ref="A160:A223" si="5">A159+1</f>
        <v>151</v>
      </c>
      <c r="B160" s="507" t="s">
        <v>846</v>
      </c>
      <c r="C160" s="219"/>
      <c r="D160" s="219">
        <v>0</v>
      </c>
      <c r="E160" s="219">
        <v>0</v>
      </c>
      <c r="F160" s="219">
        <v>0</v>
      </c>
      <c r="G160" s="219">
        <v>0</v>
      </c>
      <c r="H160" s="219">
        <v>0</v>
      </c>
      <c r="I160" s="219">
        <v>0</v>
      </c>
      <c r="J160" s="219">
        <v>140.46373705093086</v>
      </c>
      <c r="K160" s="219"/>
      <c r="L160" s="219">
        <v>17.84177066667306</v>
      </c>
      <c r="M160" s="219"/>
      <c r="N160" s="219">
        <v>0</v>
      </c>
      <c r="O160" s="224"/>
      <c r="P160" s="396">
        <v>0</v>
      </c>
      <c r="Q160" s="223"/>
      <c r="R160" s="396">
        <v>0</v>
      </c>
      <c r="T160" s="352"/>
    </row>
    <row r="161" spans="1:20">
      <c r="A161" s="365">
        <f t="shared" si="5"/>
        <v>152</v>
      </c>
      <c r="B161" s="507" t="s">
        <v>847</v>
      </c>
      <c r="C161" s="219"/>
      <c r="D161" s="219">
        <v>0</v>
      </c>
      <c r="E161" s="219">
        <v>0</v>
      </c>
      <c r="F161" s="219">
        <v>0</v>
      </c>
      <c r="G161" s="219">
        <v>0</v>
      </c>
      <c r="H161" s="219">
        <v>0</v>
      </c>
      <c r="I161" s="219">
        <v>0</v>
      </c>
      <c r="J161" s="219">
        <v>0</v>
      </c>
      <c r="K161" s="219"/>
      <c r="L161" s="219">
        <v>683.21029999999996</v>
      </c>
      <c r="M161" s="219"/>
      <c r="N161" s="219">
        <v>458.35</v>
      </c>
      <c r="O161" s="224"/>
      <c r="P161" s="396">
        <v>0</v>
      </c>
      <c r="Q161" s="223"/>
      <c r="R161" s="396">
        <v>0</v>
      </c>
      <c r="T161" s="352"/>
    </row>
    <row r="162" spans="1:20">
      <c r="A162" s="365">
        <f t="shared" si="5"/>
        <v>153</v>
      </c>
      <c r="B162" s="507" t="s">
        <v>848</v>
      </c>
      <c r="C162" s="219"/>
      <c r="D162" s="219">
        <v>0</v>
      </c>
      <c r="E162" s="219">
        <v>0</v>
      </c>
      <c r="F162" s="219">
        <v>0</v>
      </c>
      <c r="G162" s="219">
        <v>0</v>
      </c>
      <c r="H162" s="219">
        <v>0</v>
      </c>
      <c r="I162" s="219">
        <v>0</v>
      </c>
      <c r="J162" s="219">
        <v>0</v>
      </c>
      <c r="K162" s="219"/>
      <c r="L162" s="219">
        <v>0</v>
      </c>
      <c r="M162" s="219"/>
      <c r="N162" s="219">
        <v>309</v>
      </c>
      <c r="O162" s="224"/>
      <c r="P162" s="396">
        <v>0</v>
      </c>
      <c r="Q162" s="223"/>
      <c r="R162" s="396">
        <v>0</v>
      </c>
      <c r="T162" s="352"/>
    </row>
    <row r="163" spans="1:20">
      <c r="A163" s="365">
        <f t="shared" si="5"/>
        <v>154</v>
      </c>
      <c r="B163" s="507" t="s">
        <v>849</v>
      </c>
      <c r="C163" s="219"/>
      <c r="D163" s="219">
        <v>0</v>
      </c>
      <c r="E163" s="219">
        <v>0</v>
      </c>
      <c r="F163" s="219">
        <v>0</v>
      </c>
      <c r="G163" s="219">
        <v>0</v>
      </c>
      <c r="H163" s="219">
        <v>136.11365684301418</v>
      </c>
      <c r="I163" s="219">
        <v>0</v>
      </c>
      <c r="J163" s="219">
        <v>234.2538131847806</v>
      </c>
      <c r="K163" s="219"/>
      <c r="L163" s="219">
        <v>0</v>
      </c>
      <c r="M163" s="219"/>
      <c r="N163" s="219">
        <v>0</v>
      </c>
      <c r="O163" s="224"/>
      <c r="P163" s="396">
        <v>0</v>
      </c>
      <c r="Q163" s="223"/>
      <c r="R163" s="396">
        <v>0</v>
      </c>
      <c r="T163" s="352"/>
    </row>
    <row r="164" spans="1:20">
      <c r="A164" s="365">
        <f t="shared" si="5"/>
        <v>155</v>
      </c>
      <c r="B164" s="507"/>
      <c r="C164" s="219"/>
      <c r="D164" s="219"/>
      <c r="E164" s="219"/>
      <c r="F164" s="219"/>
      <c r="G164" s="219"/>
      <c r="H164" s="219"/>
      <c r="I164" s="219"/>
      <c r="J164" s="219"/>
      <c r="K164" s="219"/>
      <c r="L164" s="219"/>
      <c r="M164" s="219"/>
      <c r="N164" s="219"/>
      <c r="O164" s="224"/>
      <c r="P164" s="328"/>
      <c r="Q164" s="223"/>
      <c r="R164" s="328"/>
      <c r="T164" s="352"/>
    </row>
    <row r="165" spans="1:20">
      <c r="A165" s="365">
        <f t="shared" si="5"/>
        <v>156</v>
      </c>
      <c r="B165" s="507" t="s">
        <v>850</v>
      </c>
      <c r="C165" s="219"/>
      <c r="D165" s="219">
        <v>0</v>
      </c>
      <c r="E165" s="219">
        <v>0</v>
      </c>
      <c r="F165" s="219">
        <v>0</v>
      </c>
      <c r="G165" s="219">
        <v>0</v>
      </c>
      <c r="H165" s="219">
        <v>122.98919683966928</v>
      </c>
      <c r="I165" s="219">
        <v>141.08949505908907</v>
      </c>
      <c r="J165" s="219">
        <v>0</v>
      </c>
      <c r="K165" s="219"/>
      <c r="L165" s="219">
        <v>0</v>
      </c>
      <c r="M165" s="219"/>
      <c r="N165" s="219">
        <v>0</v>
      </c>
      <c r="O165" s="224"/>
      <c r="P165" s="396">
        <v>0</v>
      </c>
      <c r="Q165" s="223"/>
      <c r="R165" s="396">
        <v>0</v>
      </c>
      <c r="T165" s="352"/>
    </row>
    <row r="166" spans="1:20">
      <c r="A166" s="365">
        <f t="shared" si="5"/>
        <v>157</v>
      </c>
      <c r="B166" s="507" t="s">
        <v>851</v>
      </c>
      <c r="C166" s="219"/>
      <c r="D166" s="219">
        <v>0</v>
      </c>
      <c r="E166" s="219">
        <v>112.38794292127379</v>
      </c>
      <c r="F166" s="219">
        <v>58.794849296494476</v>
      </c>
      <c r="G166" s="219">
        <v>25.448383313202509</v>
      </c>
      <c r="H166" s="219">
        <v>0</v>
      </c>
      <c r="I166" s="219">
        <v>0</v>
      </c>
      <c r="J166" s="219">
        <v>0</v>
      </c>
      <c r="K166" s="222"/>
      <c r="L166" s="219">
        <v>0</v>
      </c>
      <c r="M166" s="222"/>
      <c r="N166" s="219">
        <v>0</v>
      </c>
      <c r="O166" s="224"/>
      <c r="P166" s="396">
        <v>0</v>
      </c>
      <c r="Q166" s="223"/>
      <c r="R166" s="396">
        <v>0</v>
      </c>
      <c r="T166" s="352"/>
    </row>
    <row r="167" spans="1:20">
      <c r="A167" s="365">
        <f t="shared" si="5"/>
        <v>158</v>
      </c>
      <c r="B167" s="507" t="s">
        <v>852</v>
      </c>
      <c r="C167" s="219"/>
      <c r="D167" s="219">
        <v>0</v>
      </c>
      <c r="E167" s="219">
        <v>0</v>
      </c>
      <c r="F167" s="219">
        <v>0</v>
      </c>
      <c r="G167" s="219">
        <v>0</v>
      </c>
      <c r="H167" s="219">
        <v>135.28276739860067</v>
      </c>
      <c r="I167" s="219">
        <v>0.19571884908218823</v>
      </c>
      <c r="J167" s="219">
        <v>0</v>
      </c>
      <c r="K167" s="222"/>
      <c r="L167" s="219">
        <v>0</v>
      </c>
      <c r="M167" s="222"/>
      <c r="N167" s="219">
        <v>0</v>
      </c>
      <c r="O167" s="224"/>
      <c r="P167" s="396">
        <v>0</v>
      </c>
      <c r="Q167" s="223"/>
      <c r="R167" s="396">
        <v>0</v>
      </c>
      <c r="T167" s="352"/>
    </row>
    <row r="168" spans="1:20">
      <c r="A168" s="365">
        <f t="shared" si="5"/>
        <v>159</v>
      </c>
      <c r="B168" s="507" t="s">
        <v>853</v>
      </c>
      <c r="C168" s="219"/>
      <c r="D168" s="219">
        <v>0</v>
      </c>
      <c r="E168" s="219">
        <v>0</v>
      </c>
      <c r="F168" s="219">
        <v>0</v>
      </c>
      <c r="G168" s="219">
        <v>0</v>
      </c>
      <c r="H168" s="219">
        <v>36.834194261150941</v>
      </c>
      <c r="I168" s="219">
        <v>26.723776119064027</v>
      </c>
      <c r="J168" s="219">
        <v>124.51037645380715</v>
      </c>
      <c r="K168" s="222"/>
      <c r="L168" s="219">
        <v>0</v>
      </c>
      <c r="M168" s="222"/>
      <c r="N168" s="219">
        <v>0</v>
      </c>
      <c r="O168" s="224"/>
      <c r="P168" s="396">
        <v>0</v>
      </c>
      <c r="Q168" s="223"/>
      <c r="R168" s="396">
        <v>0</v>
      </c>
      <c r="T168" s="352"/>
    </row>
    <row r="169" spans="1:20">
      <c r="A169" s="365">
        <f t="shared" si="5"/>
        <v>160</v>
      </c>
      <c r="B169" s="507" t="s">
        <v>854</v>
      </c>
      <c r="C169" s="219"/>
      <c r="D169" s="219">
        <v>0</v>
      </c>
      <c r="E169" s="219">
        <v>0</v>
      </c>
      <c r="F169" s="219">
        <v>0</v>
      </c>
      <c r="G169" s="219">
        <v>0</v>
      </c>
      <c r="H169" s="219">
        <v>0</v>
      </c>
      <c r="I169" s="219">
        <v>133.17021997294111</v>
      </c>
      <c r="J169" s="219">
        <v>0</v>
      </c>
      <c r="K169" s="222"/>
      <c r="L169" s="219">
        <v>0</v>
      </c>
      <c r="M169" s="222"/>
      <c r="N169" s="219">
        <v>0</v>
      </c>
      <c r="O169" s="224"/>
      <c r="P169" s="396">
        <v>0</v>
      </c>
      <c r="Q169" s="223"/>
      <c r="R169" s="396">
        <v>0</v>
      </c>
      <c r="T169" s="352"/>
    </row>
    <row r="170" spans="1:20">
      <c r="A170" s="365">
        <f t="shared" si="5"/>
        <v>161</v>
      </c>
      <c r="B170" s="507" t="s">
        <v>855</v>
      </c>
      <c r="C170" s="219"/>
      <c r="D170" s="219">
        <v>0</v>
      </c>
      <c r="E170" s="219">
        <v>0</v>
      </c>
      <c r="F170" s="219">
        <v>0</v>
      </c>
      <c r="G170" s="219">
        <v>0</v>
      </c>
      <c r="H170" s="219">
        <v>0</v>
      </c>
      <c r="I170" s="219">
        <v>0</v>
      </c>
      <c r="J170" s="219">
        <v>412.79207935488927</v>
      </c>
      <c r="K170" s="222"/>
      <c r="L170" s="219">
        <v>0</v>
      </c>
      <c r="M170" s="222"/>
      <c r="N170" s="219">
        <v>0</v>
      </c>
      <c r="O170" s="224"/>
      <c r="P170" s="396">
        <v>0</v>
      </c>
      <c r="Q170" s="223"/>
      <c r="R170" s="396">
        <v>0</v>
      </c>
      <c r="T170" s="352"/>
    </row>
    <row r="171" spans="1:20">
      <c r="A171" s="365">
        <f t="shared" si="5"/>
        <v>162</v>
      </c>
      <c r="B171" s="507" t="s">
        <v>856</v>
      </c>
      <c r="C171" s="219"/>
      <c r="D171" s="219">
        <v>0</v>
      </c>
      <c r="E171" s="219">
        <v>0</v>
      </c>
      <c r="F171" s="219">
        <v>0</v>
      </c>
      <c r="G171" s="219">
        <v>119.23306261080738</v>
      </c>
      <c r="H171" s="219">
        <v>-1.1512178207159729E-16</v>
      </c>
      <c r="I171" s="219">
        <v>0</v>
      </c>
      <c r="J171" s="219">
        <v>0</v>
      </c>
      <c r="K171" s="222"/>
      <c r="L171" s="219">
        <v>0</v>
      </c>
      <c r="M171" s="222"/>
      <c r="N171" s="219">
        <v>0</v>
      </c>
      <c r="O171" s="224"/>
      <c r="P171" s="396">
        <v>0</v>
      </c>
      <c r="Q171" s="223"/>
      <c r="R171" s="396">
        <v>0</v>
      </c>
      <c r="T171" s="352"/>
    </row>
    <row r="172" spans="1:20">
      <c r="A172" s="365">
        <f t="shared" si="5"/>
        <v>163</v>
      </c>
      <c r="B172" s="507" t="s">
        <v>857</v>
      </c>
      <c r="C172" s="219"/>
      <c r="D172" s="219">
        <v>0</v>
      </c>
      <c r="E172" s="219">
        <v>0</v>
      </c>
      <c r="F172" s="219">
        <v>0</v>
      </c>
      <c r="G172" s="219">
        <v>0</v>
      </c>
      <c r="H172" s="219">
        <v>0</v>
      </c>
      <c r="I172" s="219">
        <v>162.5988111437656</v>
      </c>
      <c r="J172" s="219">
        <v>0</v>
      </c>
      <c r="K172" s="222"/>
      <c r="L172" s="219">
        <v>0</v>
      </c>
      <c r="M172" s="222"/>
      <c r="N172" s="219">
        <v>0</v>
      </c>
      <c r="O172" s="224"/>
      <c r="P172" s="396">
        <v>0</v>
      </c>
      <c r="Q172" s="223"/>
      <c r="R172" s="396">
        <v>0</v>
      </c>
      <c r="T172" s="352"/>
    </row>
    <row r="173" spans="1:20">
      <c r="A173" s="365">
        <f t="shared" si="5"/>
        <v>164</v>
      </c>
      <c r="B173" s="507" t="s">
        <v>858</v>
      </c>
      <c r="C173" s="219"/>
      <c r="D173" s="219">
        <v>250.3655741173616</v>
      </c>
      <c r="E173" s="219">
        <v>0</v>
      </c>
      <c r="F173" s="219">
        <v>0</v>
      </c>
      <c r="G173" s="219">
        <v>0</v>
      </c>
      <c r="H173" s="219">
        <v>0</v>
      </c>
      <c r="I173" s="219">
        <v>0</v>
      </c>
      <c r="J173" s="219">
        <v>0</v>
      </c>
      <c r="K173" s="222"/>
      <c r="L173" s="219">
        <v>0</v>
      </c>
      <c r="M173" s="222"/>
      <c r="N173" s="219">
        <v>0</v>
      </c>
      <c r="O173" s="224"/>
      <c r="P173" s="396">
        <v>0</v>
      </c>
      <c r="Q173" s="223"/>
      <c r="R173" s="396">
        <v>0</v>
      </c>
      <c r="T173" s="352"/>
    </row>
    <row r="174" spans="1:20">
      <c r="A174" s="365">
        <f t="shared" si="5"/>
        <v>165</v>
      </c>
      <c r="B174" s="507" t="s">
        <v>859</v>
      </c>
      <c r="C174" s="219"/>
      <c r="D174" s="219">
        <v>0</v>
      </c>
      <c r="E174" s="219">
        <v>0</v>
      </c>
      <c r="F174" s="219">
        <v>0</v>
      </c>
      <c r="G174" s="219">
        <v>144.55493179122016</v>
      </c>
      <c r="H174" s="219">
        <v>-0.7323160281579455</v>
      </c>
      <c r="I174" s="219">
        <v>0</v>
      </c>
      <c r="J174" s="219">
        <v>0</v>
      </c>
      <c r="K174" s="413"/>
      <c r="L174" s="219">
        <v>0</v>
      </c>
      <c r="M174" s="413"/>
      <c r="N174" s="219">
        <v>0</v>
      </c>
      <c r="O174" s="415"/>
      <c r="P174" s="396">
        <v>0</v>
      </c>
      <c r="Q174" s="223"/>
      <c r="R174" s="396">
        <v>0</v>
      </c>
      <c r="T174" s="352"/>
    </row>
    <row r="175" spans="1:20">
      <c r="A175" s="365">
        <f t="shared" si="5"/>
        <v>166</v>
      </c>
      <c r="B175" s="507"/>
      <c r="C175" s="219"/>
      <c r="D175" s="219"/>
      <c r="E175" s="219"/>
      <c r="F175" s="219"/>
      <c r="G175" s="219"/>
      <c r="H175" s="219"/>
      <c r="I175" s="219"/>
      <c r="J175" s="219"/>
      <c r="K175" s="413"/>
      <c r="L175" s="219"/>
      <c r="M175" s="413"/>
      <c r="N175" s="219"/>
      <c r="O175" s="415"/>
      <c r="P175" s="396"/>
      <c r="Q175" s="223"/>
      <c r="R175" s="396"/>
      <c r="T175" s="352"/>
    </row>
    <row r="176" spans="1:20">
      <c r="A176" s="365">
        <f t="shared" si="5"/>
        <v>167</v>
      </c>
      <c r="B176" s="507" t="s">
        <v>860</v>
      </c>
      <c r="C176" s="219"/>
      <c r="D176" s="219">
        <v>0</v>
      </c>
      <c r="E176" s="219">
        <v>0</v>
      </c>
      <c r="F176" s="219">
        <v>0</v>
      </c>
      <c r="G176" s="219">
        <v>0</v>
      </c>
      <c r="H176" s="219">
        <v>0</v>
      </c>
      <c r="I176" s="219">
        <v>0</v>
      </c>
      <c r="J176" s="219">
        <v>561.90758291227576</v>
      </c>
      <c r="K176" s="222"/>
      <c r="L176" s="219">
        <v>-29.888418150250388</v>
      </c>
      <c r="M176" s="222"/>
      <c r="N176" s="219">
        <v>0</v>
      </c>
      <c r="O176" s="224"/>
      <c r="P176" s="396">
        <v>0</v>
      </c>
      <c r="Q176" s="223"/>
      <c r="R176" s="396">
        <v>0</v>
      </c>
      <c r="T176" s="352"/>
    </row>
    <row r="177" spans="1:20">
      <c r="A177" s="365">
        <f t="shared" si="5"/>
        <v>168</v>
      </c>
      <c r="B177" s="507" t="s">
        <v>861</v>
      </c>
      <c r="C177" s="219"/>
      <c r="D177" s="219">
        <v>0</v>
      </c>
      <c r="E177" s="219">
        <v>0</v>
      </c>
      <c r="F177" s="219">
        <v>0</v>
      </c>
      <c r="G177" s="219">
        <v>112.63522129108341</v>
      </c>
      <c r="H177" s="219">
        <v>0</v>
      </c>
      <c r="I177" s="219">
        <v>0</v>
      </c>
      <c r="J177" s="219">
        <v>0</v>
      </c>
      <c r="K177" s="222"/>
      <c r="L177" s="219">
        <v>0</v>
      </c>
      <c r="M177" s="222"/>
      <c r="N177" s="219">
        <v>0</v>
      </c>
      <c r="O177" s="224"/>
      <c r="P177" s="396">
        <v>0</v>
      </c>
      <c r="Q177" s="223"/>
      <c r="R177" s="396">
        <v>0</v>
      </c>
      <c r="T177" s="352"/>
    </row>
    <row r="178" spans="1:20">
      <c r="A178" s="365">
        <f t="shared" si="5"/>
        <v>169</v>
      </c>
      <c r="B178" s="507"/>
      <c r="C178" s="219"/>
      <c r="D178" s="219"/>
      <c r="E178" s="219"/>
      <c r="F178" s="219"/>
      <c r="G178" s="219"/>
      <c r="H178" s="219"/>
      <c r="I178" s="219"/>
      <c r="J178" s="219"/>
      <c r="K178" s="222"/>
      <c r="L178" s="219"/>
      <c r="M178" s="222"/>
      <c r="N178" s="219"/>
      <c r="O178" s="224"/>
      <c r="P178" s="396"/>
      <c r="Q178" s="223"/>
      <c r="R178" s="396"/>
      <c r="T178" s="352"/>
    </row>
    <row r="179" spans="1:20">
      <c r="A179" s="365">
        <f t="shared" si="5"/>
        <v>170</v>
      </c>
      <c r="B179" s="507" t="s">
        <v>862</v>
      </c>
      <c r="C179" s="219"/>
      <c r="D179" s="219">
        <v>0</v>
      </c>
      <c r="E179" s="219">
        <v>0</v>
      </c>
      <c r="F179" s="219">
        <v>0</v>
      </c>
      <c r="G179" s="219">
        <v>0</v>
      </c>
      <c r="H179" s="219">
        <v>0</v>
      </c>
      <c r="I179" s="219">
        <v>0</v>
      </c>
      <c r="J179" s="219">
        <v>0</v>
      </c>
      <c r="K179" s="413"/>
      <c r="L179" s="219">
        <v>102.18196807791193</v>
      </c>
      <c r="M179" s="413"/>
      <c r="N179" s="219">
        <v>0</v>
      </c>
      <c r="O179" s="224"/>
      <c r="P179" s="396">
        <v>0</v>
      </c>
      <c r="Q179" s="412"/>
      <c r="R179" s="396">
        <v>-1</v>
      </c>
      <c r="T179" s="352"/>
    </row>
    <row r="180" spans="1:20">
      <c r="A180" s="365">
        <f t="shared" si="5"/>
        <v>171</v>
      </c>
      <c r="B180" s="220" t="s">
        <v>863</v>
      </c>
      <c r="C180" s="219"/>
      <c r="D180" s="416">
        <f t="shared" ref="D180:J180" si="6">SUM(D151:D179)</f>
        <v>2365.1220384311237</v>
      </c>
      <c r="E180" s="416">
        <f t="shared" si="6"/>
        <v>2997.1317291335563</v>
      </c>
      <c r="F180" s="416">
        <f t="shared" si="6"/>
        <v>3989.8145568610298</v>
      </c>
      <c r="G180" s="416">
        <f t="shared" si="6"/>
        <v>5176.1635913662958</v>
      </c>
      <c r="H180" s="416">
        <f t="shared" si="6"/>
        <v>3636.4437979709501</v>
      </c>
      <c r="I180" s="416">
        <f t="shared" si="6"/>
        <v>4427.6077392171374</v>
      </c>
      <c r="J180" s="416">
        <f t="shared" si="6"/>
        <v>4713.7457108553044</v>
      </c>
      <c r="K180" s="412"/>
      <c r="L180" s="416">
        <f>SUM(L151:L179)</f>
        <v>5885.0748067002678</v>
      </c>
      <c r="M180" s="416"/>
      <c r="N180" s="416">
        <f>SUM(N151:N179)</f>
        <v>5214.5639559757419</v>
      </c>
      <c r="O180" s="412"/>
      <c r="P180" s="416">
        <f>SUM(P151:P179)</f>
        <v>2155</v>
      </c>
      <c r="Q180" s="416"/>
      <c r="R180" s="416">
        <f>SUM(R151:R179)</f>
        <v>3367</v>
      </c>
      <c r="T180" s="352"/>
    </row>
    <row r="181" spans="1:20">
      <c r="A181" s="365">
        <f t="shared" si="5"/>
        <v>172</v>
      </c>
      <c r="B181" s="220"/>
      <c r="C181" s="217"/>
      <c r="D181" s="217"/>
      <c r="E181" s="217"/>
      <c r="F181" s="397"/>
      <c r="G181" s="397"/>
      <c r="H181" s="397"/>
      <c r="I181" s="397"/>
      <c r="J181" s="397"/>
      <c r="K181" s="412"/>
      <c r="L181" s="397"/>
      <c r="M181" s="412"/>
      <c r="N181" s="397"/>
      <c r="O181" s="415"/>
      <c r="P181" s="397"/>
      <c r="Q181" s="412"/>
      <c r="R181" s="397"/>
      <c r="T181" s="352"/>
    </row>
    <row r="182" spans="1:20">
      <c r="A182" s="365">
        <f t="shared" si="5"/>
        <v>173</v>
      </c>
      <c r="B182" s="217"/>
      <c r="C182" s="217"/>
      <c r="D182" s="217"/>
      <c r="E182" s="217"/>
      <c r="F182" s="218"/>
      <c r="G182" s="217"/>
      <c r="H182" s="218"/>
      <c r="I182" s="217"/>
      <c r="J182" s="219"/>
      <c r="K182" s="219"/>
      <c r="L182" s="219"/>
      <c r="M182" s="219"/>
      <c r="N182" s="219"/>
      <c r="O182" s="217"/>
      <c r="P182" s="217"/>
      <c r="Q182" s="217"/>
      <c r="R182" s="217"/>
      <c r="T182" s="352"/>
    </row>
    <row r="183" spans="1:20">
      <c r="A183" s="365">
        <f t="shared" si="5"/>
        <v>174</v>
      </c>
      <c r="B183" s="220" t="s">
        <v>682</v>
      </c>
      <c r="C183" s="180"/>
      <c r="D183" s="180"/>
      <c r="E183" s="220"/>
      <c r="F183" s="398"/>
      <c r="G183" s="398"/>
      <c r="H183" s="398"/>
      <c r="I183" s="398"/>
      <c r="J183" s="398"/>
      <c r="K183" s="221"/>
      <c r="L183" s="398"/>
      <c r="M183" s="414"/>
      <c r="N183" s="398"/>
      <c r="O183" s="221"/>
      <c r="P183" s="221"/>
      <c r="Q183" s="221"/>
      <c r="R183" s="221"/>
      <c r="T183" s="352"/>
    </row>
    <row r="184" spans="1:20">
      <c r="A184" s="365">
        <f t="shared" si="5"/>
        <v>175</v>
      </c>
      <c r="B184" s="507" t="s">
        <v>864</v>
      </c>
      <c r="C184" s="180"/>
      <c r="D184" s="219">
        <v>0</v>
      </c>
      <c r="E184" s="219">
        <v>0</v>
      </c>
      <c r="F184" s="219">
        <v>0</v>
      </c>
      <c r="G184" s="219">
        <v>0</v>
      </c>
      <c r="H184" s="219">
        <v>0</v>
      </c>
      <c r="I184" s="219">
        <v>0</v>
      </c>
      <c r="J184" s="219">
        <v>0</v>
      </c>
      <c r="K184" s="221"/>
      <c r="L184" s="219">
        <v>543.43466000000001</v>
      </c>
      <c r="M184" s="413"/>
      <c r="N184" s="219">
        <v>0</v>
      </c>
      <c r="O184" s="221"/>
      <c r="P184" s="219">
        <v>0</v>
      </c>
      <c r="Q184" s="219"/>
      <c r="R184" s="219">
        <v>0</v>
      </c>
      <c r="T184" s="352"/>
    </row>
    <row r="185" spans="1:20">
      <c r="A185" s="365">
        <f t="shared" si="5"/>
        <v>176</v>
      </c>
      <c r="B185" s="507" t="s">
        <v>865</v>
      </c>
      <c r="C185" s="180"/>
      <c r="D185" s="219">
        <v>0</v>
      </c>
      <c r="E185" s="219">
        <v>0</v>
      </c>
      <c r="F185" s="219">
        <v>0</v>
      </c>
      <c r="G185" s="219">
        <v>0</v>
      </c>
      <c r="H185" s="219">
        <v>0</v>
      </c>
      <c r="I185" s="219">
        <v>0</v>
      </c>
      <c r="J185" s="219">
        <v>0</v>
      </c>
      <c r="K185" s="221"/>
      <c r="L185" s="219">
        <v>343.34969000000001</v>
      </c>
      <c r="M185" s="413"/>
      <c r="N185" s="219">
        <v>0</v>
      </c>
      <c r="O185" s="221"/>
      <c r="P185" s="219">
        <v>0</v>
      </c>
      <c r="Q185" s="219"/>
      <c r="R185" s="219">
        <v>0</v>
      </c>
      <c r="T185" s="352"/>
    </row>
    <row r="186" spans="1:20">
      <c r="A186" s="365">
        <f t="shared" si="5"/>
        <v>177</v>
      </c>
      <c r="B186" s="507" t="s">
        <v>866</v>
      </c>
      <c r="C186" s="180"/>
      <c r="D186" s="219">
        <v>0</v>
      </c>
      <c r="E186" s="219">
        <v>0</v>
      </c>
      <c r="F186" s="219">
        <v>0</v>
      </c>
      <c r="G186" s="219">
        <v>0</v>
      </c>
      <c r="H186" s="219">
        <v>0</v>
      </c>
      <c r="I186" s="219">
        <v>0</v>
      </c>
      <c r="J186" s="219">
        <v>1219.2259963259658</v>
      </c>
      <c r="K186" s="221"/>
      <c r="L186" s="219">
        <v>235.29554638337362</v>
      </c>
      <c r="M186" s="413"/>
      <c r="N186" s="219">
        <v>0</v>
      </c>
      <c r="O186" s="221"/>
      <c r="P186" s="219">
        <v>0</v>
      </c>
      <c r="Q186" s="219"/>
      <c r="R186" s="219">
        <v>0</v>
      </c>
      <c r="T186" s="352"/>
    </row>
    <row r="187" spans="1:20">
      <c r="A187" s="365">
        <f t="shared" si="5"/>
        <v>178</v>
      </c>
      <c r="B187" s="507" t="s">
        <v>867</v>
      </c>
      <c r="C187" s="180"/>
      <c r="D187" s="219">
        <v>0</v>
      </c>
      <c r="E187" s="219">
        <v>0</v>
      </c>
      <c r="F187" s="219">
        <v>0</v>
      </c>
      <c r="G187" s="219">
        <v>0</v>
      </c>
      <c r="H187" s="219">
        <v>0</v>
      </c>
      <c r="I187" s="219">
        <v>184.91789955727475</v>
      </c>
      <c r="J187" s="219">
        <v>174.55509190228014</v>
      </c>
      <c r="K187" s="221"/>
      <c r="L187" s="219">
        <v>-7</v>
      </c>
      <c r="M187" s="413"/>
      <c r="N187" s="219">
        <v>0</v>
      </c>
      <c r="O187" s="221"/>
      <c r="P187" s="219">
        <v>0</v>
      </c>
      <c r="Q187" s="219"/>
      <c r="R187" s="219">
        <v>0</v>
      </c>
      <c r="T187" s="352"/>
    </row>
    <row r="188" spans="1:20">
      <c r="A188" s="365">
        <f t="shared" si="5"/>
        <v>179</v>
      </c>
      <c r="B188" s="220" t="s">
        <v>868</v>
      </c>
      <c r="C188" s="180"/>
      <c r="D188" s="416">
        <f t="shared" ref="D188:J188" si="7">SUM(D184:D187)</f>
        <v>0</v>
      </c>
      <c r="E188" s="416">
        <f t="shared" si="7"/>
        <v>0</v>
      </c>
      <c r="F188" s="416">
        <f t="shared" si="7"/>
        <v>0</v>
      </c>
      <c r="G188" s="416">
        <f t="shared" si="7"/>
        <v>0</v>
      </c>
      <c r="H188" s="416">
        <f t="shared" si="7"/>
        <v>0</v>
      </c>
      <c r="I188" s="416">
        <f t="shared" si="7"/>
        <v>184.91789955727475</v>
      </c>
      <c r="J188" s="416">
        <f t="shared" si="7"/>
        <v>1393.7810882282458</v>
      </c>
      <c r="K188" s="412"/>
      <c r="L188" s="416">
        <f>SUM(L184:L187)</f>
        <v>1115.0798963833736</v>
      </c>
      <c r="M188" s="416"/>
      <c r="N188" s="416">
        <f>SUM(N184:N187)</f>
        <v>0</v>
      </c>
      <c r="O188" s="412"/>
      <c r="P188" s="416">
        <f>SUM(P184:P187)</f>
        <v>0</v>
      </c>
      <c r="Q188" s="416"/>
      <c r="R188" s="416">
        <f>SUM(R184:R187)</f>
        <v>0</v>
      </c>
      <c r="T188" s="352"/>
    </row>
    <row r="189" spans="1:20">
      <c r="A189" s="365">
        <f t="shared" si="5"/>
        <v>180</v>
      </c>
      <c r="B189" s="220"/>
      <c r="C189" s="180"/>
      <c r="D189" s="180"/>
      <c r="E189" s="220"/>
      <c r="F189" s="398"/>
      <c r="G189" s="398"/>
      <c r="H189" s="398"/>
      <c r="I189" s="398"/>
      <c r="J189" s="398"/>
      <c r="K189" s="414"/>
      <c r="L189" s="398"/>
      <c r="M189" s="414"/>
      <c r="N189" s="398"/>
      <c r="O189" s="414"/>
      <c r="P189" s="398"/>
      <c r="Q189" s="414"/>
      <c r="R189" s="398"/>
      <c r="T189" s="352"/>
    </row>
    <row r="190" spans="1:20">
      <c r="A190" s="365">
        <f t="shared" si="5"/>
        <v>181</v>
      </c>
      <c r="B190" s="220" t="s">
        <v>684</v>
      </c>
      <c r="C190" s="217"/>
      <c r="D190" s="217"/>
      <c r="E190" s="217"/>
      <c r="F190" s="397"/>
      <c r="G190" s="397"/>
      <c r="H190" s="397"/>
      <c r="I190" s="397"/>
      <c r="J190" s="397"/>
      <c r="K190" s="412"/>
      <c r="L190" s="397"/>
      <c r="M190" s="412"/>
      <c r="N190" s="397"/>
      <c r="O190" s="224"/>
      <c r="P190" s="396"/>
      <c r="Q190" s="412"/>
      <c r="R190" s="396"/>
      <c r="T190" s="352"/>
    </row>
    <row r="191" spans="1:20">
      <c r="A191" s="365">
        <f t="shared" si="5"/>
        <v>182</v>
      </c>
      <c r="B191" s="507" t="s">
        <v>869</v>
      </c>
      <c r="C191" s="219"/>
      <c r="D191" s="219">
        <v>494.39137963472984</v>
      </c>
      <c r="E191" s="219">
        <v>580.59706003374924</v>
      </c>
      <c r="F191" s="219">
        <v>291.92254038708245</v>
      </c>
      <c r="G191" s="219">
        <v>489.22434545130352</v>
      </c>
      <c r="H191" s="219">
        <v>433.98850324005122</v>
      </c>
      <c r="I191" s="219">
        <v>480.9832172468017</v>
      </c>
      <c r="J191" s="219">
        <v>555.19042613862086</v>
      </c>
      <c r="K191" s="222"/>
      <c r="L191" s="219">
        <v>519.99999999999989</v>
      </c>
      <c r="M191" s="413"/>
      <c r="N191" s="219">
        <v>528.39</v>
      </c>
      <c r="O191" s="224"/>
      <c r="P191" s="396">
        <v>439</v>
      </c>
      <c r="Q191" s="223"/>
      <c r="R191" s="396">
        <v>447</v>
      </c>
      <c r="T191" s="352"/>
    </row>
    <row r="192" spans="1:20">
      <c r="A192" s="365">
        <f t="shared" si="5"/>
        <v>183</v>
      </c>
      <c r="B192" s="507" t="s">
        <v>870</v>
      </c>
      <c r="C192" s="219"/>
      <c r="D192" s="219">
        <v>40.399081036996392</v>
      </c>
      <c r="E192" s="219">
        <v>35.105251807303596</v>
      </c>
      <c r="F192" s="219">
        <v>38.823421032686397</v>
      </c>
      <c r="G192" s="219">
        <v>28.926087259828176</v>
      </c>
      <c r="H192" s="219">
        <v>112.31759396566507</v>
      </c>
      <c r="I192" s="219">
        <v>97.255733196874814</v>
      </c>
      <c r="J192" s="219">
        <v>97.560901726495842</v>
      </c>
      <c r="K192" s="222"/>
      <c r="L192" s="219">
        <v>254.44720023248135</v>
      </c>
      <c r="M192" s="413"/>
      <c r="N192" s="219">
        <v>211.15</v>
      </c>
      <c r="O192" s="224"/>
      <c r="P192" s="396">
        <v>297</v>
      </c>
      <c r="Q192" s="223"/>
      <c r="R192" s="396">
        <v>284</v>
      </c>
      <c r="T192" s="352"/>
    </row>
    <row r="193" spans="1:20">
      <c r="A193" s="365">
        <f t="shared" si="5"/>
        <v>184</v>
      </c>
      <c r="B193" s="507" t="s">
        <v>871</v>
      </c>
      <c r="C193" s="219"/>
      <c r="D193" s="219">
        <v>136.83522981411525</v>
      </c>
      <c r="E193" s="219">
        <v>14.373647700906425</v>
      </c>
      <c r="F193" s="219">
        <v>0</v>
      </c>
      <c r="G193" s="219">
        <v>0</v>
      </c>
      <c r="H193" s="219">
        <v>0</v>
      </c>
      <c r="I193" s="219">
        <v>0</v>
      </c>
      <c r="J193" s="219">
        <v>0</v>
      </c>
      <c r="K193" s="222"/>
      <c r="L193" s="219">
        <v>0</v>
      </c>
      <c r="M193" s="413"/>
      <c r="N193" s="219">
        <v>0</v>
      </c>
      <c r="O193" s="224"/>
      <c r="P193" s="396">
        <v>150</v>
      </c>
      <c r="Q193" s="223"/>
      <c r="R193" s="396">
        <v>51</v>
      </c>
      <c r="T193" s="352"/>
    </row>
    <row r="194" spans="1:20">
      <c r="A194" s="365">
        <f t="shared" si="5"/>
        <v>185</v>
      </c>
      <c r="B194" s="507" t="s">
        <v>872</v>
      </c>
      <c r="C194" s="219"/>
      <c r="D194" s="219">
        <v>27.453642284204964</v>
      </c>
      <c r="E194" s="219">
        <v>43.715759801129067</v>
      </c>
      <c r="F194" s="219">
        <v>0.38969402877343989</v>
      </c>
      <c r="G194" s="219">
        <v>116.96038594841512</v>
      </c>
      <c r="H194" s="219">
        <v>-14.880661150989461</v>
      </c>
      <c r="I194" s="219">
        <v>-3.6420463583543121</v>
      </c>
      <c r="J194" s="219">
        <v>9.8449682287200115</v>
      </c>
      <c r="K194" s="222"/>
      <c r="L194" s="219">
        <v>51.249999999999993</v>
      </c>
      <c r="M194" s="413"/>
      <c r="N194" s="219">
        <v>0</v>
      </c>
      <c r="O194" s="224"/>
      <c r="P194" s="396">
        <v>40</v>
      </c>
      <c r="Q194" s="223"/>
      <c r="R194" s="396">
        <v>102</v>
      </c>
      <c r="T194" s="352"/>
    </row>
    <row r="195" spans="1:20">
      <c r="A195" s="365">
        <f t="shared" si="5"/>
        <v>186</v>
      </c>
      <c r="B195" s="507" t="s">
        <v>873</v>
      </c>
      <c r="C195" s="219"/>
      <c r="D195" s="219">
        <v>11.051670787151357</v>
      </c>
      <c r="E195" s="219">
        <v>0</v>
      </c>
      <c r="F195" s="219">
        <v>5.2082460996573028</v>
      </c>
      <c r="G195" s="219">
        <v>3.4864989461178322</v>
      </c>
      <c r="H195" s="219">
        <v>8.8276577055983285</v>
      </c>
      <c r="I195" s="219">
        <v>33.078318950748638</v>
      </c>
      <c r="J195" s="219">
        <v>36.735852928372452</v>
      </c>
      <c r="K195" s="222"/>
      <c r="L195" s="219">
        <v>84.160950090454747</v>
      </c>
      <c r="M195" s="413"/>
      <c r="N195" s="219">
        <v>108.15</v>
      </c>
      <c r="O195" s="224"/>
      <c r="P195" s="396">
        <v>50</v>
      </c>
      <c r="Q195" s="223"/>
      <c r="R195" s="396">
        <v>51</v>
      </c>
      <c r="T195" s="352"/>
    </row>
    <row r="196" spans="1:20">
      <c r="A196" s="365">
        <f t="shared" si="5"/>
        <v>187</v>
      </c>
      <c r="B196" s="507" t="s">
        <v>874</v>
      </c>
      <c r="C196" s="219"/>
      <c r="D196" s="219">
        <v>0</v>
      </c>
      <c r="E196" s="219">
        <v>0</v>
      </c>
      <c r="F196" s="219">
        <v>0</v>
      </c>
      <c r="G196" s="219">
        <v>45.262914713179299</v>
      </c>
      <c r="H196" s="219">
        <v>25.420449376385672</v>
      </c>
      <c r="I196" s="219">
        <v>69.796599701025158</v>
      </c>
      <c r="J196" s="219">
        <v>116.69645769834095</v>
      </c>
      <c r="K196" s="222"/>
      <c r="L196" s="219">
        <v>20.5</v>
      </c>
      <c r="M196" s="413"/>
      <c r="N196" s="219">
        <v>21.63</v>
      </c>
      <c r="O196" s="224"/>
      <c r="P196" s="396">
        <v>0</v>
      </c>
      <c r="Q196" s="223"/>
      <c r="R196" s="396">
        <v>0</v>
      </c>
      <c r="T196" s="352"/>
    </row>
    <row r="197" spans="1:20">
      <c r="A197" s="365">
        <f t="shared" si="5"/>
        <v>188</v>
      </c>
      <c r="B197" s="507" t="s">
        <v>875</v>
      </c>
      <c r="C197" s="219"/>
      <c r="D197" s="219">
        <v>53.291542706028693</v>
      </c>
      <c r="E197" s="219">
        <v>28.915906346354582</v>
      </c>
      <c r="F197" s="219">
        <v>11.379000320353525</v>
      </c>
      <c r="G197" s="219">
        <v>35.722098081765495</v>
      </c>
      <c r="H197" s="219">
        <v>18.594811523579619</v>
      </c>
      <c r="I197" s="219">
        <v>1.0084785731983752</v>
      </c>
      <c r="J197" s="219">
        <v>20.265575029880281</v>
      </c>
      <c r="K197" s="222"/>
      <c r="L197" s="219">
        <v>0</v>
      </c>
      <c r="M197" s="413"/>
      <c r="N197" s="219">
        <v>0</v>
      </c>
      <c r="O197" s="224"/>
      <c r="P197" s="396">
        <v>0</v>
      </c>
      <c r="Q197" s="223"/>
      <c r="R197" s="396">
        <v>0</v>
      </c>
      <c r="T197" s="352"/>
    </row>
    <row r="198" spans="1:20">
      <c r="A198" s="365">
        <f t="shared" si="5"/>
        <v>189</v>
      </c>
      <c r="B198" s="507" t="s">
        <v>876</v>
      </c>
      <c r="C198" s="219"/>
      <c r="D198" s="219">
        <v>17.336785189002271</v>
      </c>
      <c r="E198" s="219">
        <v>2.0867413854996273</v>
      </c>
      <c r="F198" s="219">
        <v>19.881048685410182</v>
      </c>
      <c r="G198" s="219">
        <v>36.3670850691502</v>
      </c>
      <c r="H198" s="219">
        <v>32.078588046036749</v>
      </c>
      <c r="I198" s="219">
        <v>34.485306152517111</v>
      </c>
      <c r="J198" s="219">
        <v>16.442571546012772</v>
      </c>
      <c r="K198" s="222"/>
      <c r="L198" s="219">
        <v>119.25792717553126</v>
      </c>
      <c r="M198" s="413"/>
      <c r="N198" s="219">
        <v>63.86</v>
      </c>
      <c r="O198" s="224"/>
      <c r="P198" s="396">
        <v>0</v>
      </c>
      <c r="Q198" s="223"/>
      <c r="R198" s="396">
        <v>0</v>
      </c>
      <c r="T198" s="352"/>
    </row>
    <row r="199" spans="1:20">
      <c r="A199" s="365">
        <f t="shared" si="5"/>
        <v>190</v>
      </c>
      <c r="B199" s="507"/>
      <c r="C199" s="219"/>
      <c r="D199" s="219"/>
      <c r="E199" s="217"/>
      <c r="F199" s="219"/>
      <c r="G199" s="219"/>
      <c r="H199" s="219"/>
      <c r="I199" s="219"/>
      <c r="J199" s="219"/>
      <c r="K199" s="413"/>
      <c r="L199" s="219"/>
      <c r="M199" s="413"/>
      <c r="N199" s="219"/>
      <c r="O199" s="224"/>
      <c r="P199" s="396"/>
      <c r="Q199" s="223"/>
      <c r="R199" s="396"/>
      <c r="T199" s="352"/>
    </row>
    <row r="200" spans="1:20">
      <c r="A200" s="365">
        <f t="shared" si="5"/>
        <v>191</v>
      </c>
      <c r="B200" s="507" t="s">
        <v>877</v>
      </c>
      <c r="C200" s="219"/>
      <c r="D200" s="219">
        <v>747.6755572911535</v>
      </c>
      <c r="E200" s="219">
        <v>1035.0568430938372</v>
      </c>
      <c r="F200" s="219">
        <v>405.37122944548145</v>
      </c>
      <c r="G200" s="219">
        <v>141.29728081964939</v>
      </c>
      <c r="H200" s="219">
        <v>-91.251672298952471</v>
      </c>
      <c r="I200" s="219">
        <v>1368.3151037111083</v>
      </c>
      <c r="J200" s="219">
        <v>284.96523012554024</v>
      </c>
      <c r="K200" s="222"/>
      <c r="L200" s="219">
        <v>108.94213715916339</v>
      </c>
      <c r="M200" s="222"/>
      <c r="N200" s="219">
        <v>1244.24</v>
      </c>
      <c r="O200" s="224"/>
      <c r="P200" s="396">
        <v>564</v>
      </c>
      <c r="Q200" s="223"/>
      <c r="R200" s="396">
        <v>924</v>
      </c>
      <c r="T200" s="352"/>
    </row>
    <row r="201" spans="1:20">
      <c r="A201" s="365">
        <f t="shared" si="5"/>
        <v>192</v>
      </c>
      <c r="B201" s="507" t="s">
        <v>878</v>
      </c>
      <c r="C201" s="219"/>
      <c r="D201" s="219">
        <v>1298.6727138528313</v>
      </c>
      <c r="E201" s="219">
        <v>507.01050879900805</v>
      </c>
      <c r="F201" s="219">
        <v>0</v>
      </c>
      <c r="G201" s="219">
        <v>0</v>
      </c>
      <c r="H201" s="219">
        <v>0</v>
      </c>
      <c r="I201" s="219">
        <v>0</v>
      </c>
      <c r="J201" s="219">
        <v>0</v>
      </c>
      <c r="K201" s="219"/>
      <c r="L201" s="219">
        <v>0</v>
      </c>
      <c r="M201" s="413"/>
      <c r="N201" s="219">
        <v>0</v>
      </c>
      <c r="O201" s="224"/>
      <c r="P201" s="396">
        <v>1451</v>
      </c>
      <c r="Q201" s="223"/>
      <c r="R201" s="396">
        <v>366</v>
      </c>
      <c r="T201" s="352"/>
    </row>
    <row r="202" spans="1:20">
      <c r="A202" s="365">
        <f t="shared" si="5"/>
        <v>193</v>
      </c>
      <c r="B202" s="507" t="s">
        <v>879</v>
      </c>
      <c r="C202" s="219"/>
      <c r="D202" s="219">
        <v>-4.7857840084376031</v>
      </c>
      <c r="E202" s="219">
        <v>41.299852592578574</v>
      </c>
      <c r="F202" s="219">
        <v>0</v>
      </c>
      <c r="G202" s="219">
        <v>0</v>
      </c>
      <c r="H202" s="219">
        <v>0</v>
      </c>
      <c r="I202" s="219">
        <v>0</v>
      </c>
      <c r="J202" s="219">
        <v>0</v>
      </c>
      <c r="K202" s="413"/>
      <c r="L202" s="219">
        <v>0</v>
      </c>
      <c r="M202" s="413"/>
      <c r="N202" s="219">
        <v>0</v>
      </c>
      <c r="O202" s="224"/>
      <c r="P202" s="396">
        <v>0</v>
      </c>
      <c r="Q202" s="223"/>
      <c r="R202" s="396">
        <v>152</v>
      </c>
      <c r="T202" s="352"/>
    </row>
    <row r="203" spans="1:20">
      <c r="A203" s="365">
        <f t="shared" si="5"/>
        <v>194</v>
      </c>
      <c r="B203" s="507"/>
      <c r="C203" s="219"/>
      <c r="D203" s="219"/>
      <c r="E203" s="219"/>
      <c r="F203" s="219"/>
      <c r="G203" s="219"/>
      <c r="H203" s="219"/>
      <c r="I203" s="219"/>
      <c r="J203" s="219"/>
      <c r="K203" s="222"/>
      <c r="L203" s="219"/>
      <c r="M203" s="413"/>
      <c r="N203" s="219"/>
      <c r="O203" s="224"/>
      <c r="P203" s="328"/>
      <c r="Q203" s="223"/>
      <c r="R203" s="328"/>
      <c r="T203" s="352"/>
    </row>
    <row r="204" spans="1:20">
      <c r="A204" s="365">
        <f t="shared" si="5"/>
        <v>195</v>
      </c>
      <c r="B204" s="507" t="s">
        <v>880</v>
      </c>
      <c r="C204" s="219"/>
      <c r="D204" s="219">
        <v>0</v>
      </c>
      <c r="E204" s="219">
        <v>0</v>
      </c>
      <c r="F204" s="219">
        <v>0</v>
      </c>
      <c r="G204" s="219">
        <v>0</v>
      </c>
      <c r="H204" s="219">
        <v>0</v>
      </c>
      <c r="I204" s="219">
        <v>0</v>
      </c>
      <c r="J204" s="219">
        <v>0</v>
      </c>
      <c r="K204" s="219"/>
      <c r="L204" s="219">
        <v>0</v>
      </c>
      <c r="M204" s="413"/>
      <c r="N204" s="219">
        <v>0</v>
      </c>
      <c r="O204" s="224"/>
      <c r="P204" s="396">
        <v>102</v>
      </c>
      <c r="Q204" s="223"/>
      <c r="R204" s="396">
        <v>0</v>
      </c>
      <c r="T204" s="352"/>
    </row>
    <row r="205" spans="1:20">
      <c r="A205" s="365">
        <f t="shared" si="5"/>
        <v>196</v>
      </c>
      <c r="B205" s="507" t="s">
        <v>881</v>
      </c>
      <c r="C205" s="219"/>
      <c r="D205" s="219">
        <v>607.83404045185864</v>
      </c>
      <c r="E205" s="219">
        <v>133.31425626946412</v>
      </c>
      <c r="F205" s="219">
        <v>0</v>
      </c>
      <c r="G205" s="219">
        <v>0</v>
      </c>
      <c r="H205" s="219">
        <v>0</v>
      </c>
      <c r="I205" s="219">
        <v>0</v>
      </c>
      <c r="J205" s="219">
        <v>0</v>
      </c>
      <c r="K205" s="222"/>
      <c r="L205" s="219">
        <v>0</v>
      </c>
      <c r="M205" s="413"/>
      <c r="N205" s="219">
        <v>0</v>
      </c>
      <c r="O205" s="224"/>
      <c r="P205" s="396">
        <v>414</v>
      </c>
      <c r="Q205" s="223"/>
      <c r="R205" s="396">
        <v>0</v>
      </c>
      <c r="T205" s="352"/>
    </row>
    <row r="206" spans="1:20">
      <c r="A206" s="365">
        <f t="shared" si="5"/>
        <v>197</v>
      </c>
      <c r="B206" s="507" t="s">
        <v>882</v>
      </c>
      <c r="C206" s="219"/>
      <c r="D206" s="219">
        <v>250.93054462624769</v>
      </c>
      <c r="E206" s="219">
        <v>0</v>
      </c>
      <c r="F206" s="219">
        <v>0</v>
      </c>
      <c r="G206" s="219">
        <v>0</v>
      </c>
      <c r="H206" s="219">
        <v>0</v>
      </c>
      <c r="I206" s="219">
        <v>0</v>
      </c>
      <c r="J206" s="219">
        <v>0</v>
      </c>
      <c r="K206" s="222"/>
      <c r="L206" s="219">
        <v>0</v>
      </c>
      <c r="M206" s="413"/>
      <c r="N206" s="219">
        <v>0</v>
      </c>
      <c r="O206" s="224"/>
      <c r="P206" s="396">
        <v>297</v>
      </c>
      <c r="Q206" s="223"/>
      <c r="R206" s="396">
        <v>0</v>
      </c>
      <c r="T206" s="352"/>
    </row>
    <row r="207" spans="1:20">
      <c r="A207" s="365">
        <f t="shared" si="5"/>
        <v>198</v>
      </c>
      <c r="B207" s="507" t="s">
        <v>883</v>
      </c>
      <c r="C207" s="219"/>
      <c r="D207" s="219">
        <v>230.36618240245841</v>
      </c>
      <c r="E207" s="219">
        <v>94.365977743537698</v>
      </c>
      <c r="F207" s="219">
        <v>0</v>
      </c>
      <c r="G207" s="219">
        <v>0</v>
      </c>
      <c r="H207" s="219">
        <v>0</v>
      </c>
      <c r="I207" s="219">
        <v>0</v>
      </c>
      <c r="J207" s="219">
        <v>0</v>
      </c>
      <c r="K207" s="222"/>
      <c r="L207" s="219">
        <v>0</v>
      </c>
      <c r="M207" s="413"/>
      <c r="N207" s="219">
        <v>0</v>
      </c>
      <c r="O207" s="224"/>
      <c r="P207" s="396">
        <v>60</v>
      </c>
      <c r="Q207" s="223"/>
      <c r="R207" s="396">
        <v>0</v>
      </c>
      <c r="T207" s="352"/>
    </row>
    <row r="208" spans="1:20">
      <c r="A208" s="365">
        <f t="shared" si="5"/>
        <v>199</v>
      </c>
      <c r="B208" s="507" t="s">
        <v>884</v>
      </c>
      <c r="C208" s="219"/>
      <c r="D208" s="219">
        <v>27.406653485332576</v>
      </c>
      <c r="E208" s="219">
        <v>0</v>
      </c>
      <c r="F208" s="219">
        <v>0</v>
      </c>
      <c r="G208" s="219">
        <v>0</v>
      </c>
      <c r="H208" s="219">
        <v>0</v>
      </c>
      <c r="I208" s="219">
        <v>0</v>
      </c>
      <c r="J208" s="219">
        <v>0</v>
      </c>
      <c r="K208" s="222"/>
      <c r="L208" s="219">
        <v>0</v>
      </c>
      <c r="M208" s="413"/>
      <c r="N208" s="219">
        <v>0</v>
      </c>
      <c r="O208" s="224"/>
      <c r="P208" s="396">
        <v>0</v>
      </c>
      <c r="Q208" s="223"/>
      <c r="R208" s="396">
        <v>0</v>
      </c>
      <c r="T208" s="352"/>
    </row>
    <row r="209" spans="1:20">
      <c r="A209" s="365">
        <f t="shared" si="5"/>
        <v>200</v>
      </c>
      <c r="B209" s="507" t="s">
        <v>885</v>
      </c>
      <c r="C209" s="219"/>
      <c r="D209" s="219">
        <v>151.703421015244</v>
      </c>
      <c r="E209" s="219">
        <v>0.12110323222186965</v>
      </c>
      <c r="F209" s="219">
        <v>0</v>
      </c>
      <c r="G209" s="219">
        <v>0</v>
      </c>
      <c r="H209" s="219">
        <v>0</v>
      </c>
      <c r="I209" s="219">
        <v>0</v>
      </c>
      <c r="J209" s="219">
        <v>0</v>
      </c>
      <c r="K209" s="222"/>
      <c r="L209" s="219">
        <v>0</v>
      </c>
      <c r="M209" s="413"/>
      <c r="N209" s="219">
        <v>0</v>
      </c>
      <c r="O209" s="224"/>
      <c r="P209" s="396">
        <v>0</v>
      </c>
      <c r="Q209" s="223"/>
      <c r="R209" s="396">
        <v>0</v>
      </c>
      <c r="T209" s="352"/>
    </row>
    <row r="210" spans="1:20">
      <c r="A210" s="365">
        <f t="shared" si="5"/>
        <v>201</v>
      </c>
      <c r="B210" s="507" t="s">
        <v>886</v>
      </c>
      <c r="C210" s="219"/>
      <c r="D210" s="219">
        <v>48.862786753688496</v>
      </c>
      <c r="E210" s="219">
        <v>0.63395365461766251</v>
      </c>
      <c r="F210" s="219">
        <v>0</v>
      </c>
      <c r="G210" s="219">
        <v>0</v>
      </c>
      <c r="H210" s="219">
        <v>0</v>
      </c>
      <c r="I210" s="219">
        <v>0</v>
      </c>
      <c r="J210" s="219">
        <v>0</v>
      </c>
      <c r="K210" s="222"/>
      <c r="L210" s="219">
        <v>0</v>
      </c>
      <c r="M210" s="413"/>
      <c r="N210" s="219">
        <v>0</v>
      </c>
      <c r="O210" s="224"/>
      <c r="P210" s="396">
        <v>50</v>
      </c>
      <c r="Q210" s="223"/>
      <c r="R210" s="396">
        <v>0</v>
      </c>
      <c r="T210" s="352"/>
    </row>
    <row r="211" spans="1:20">
      <c r="A211" s="365">
        <f t="shared" si="5"/>
        <v>202</v>
      </c>
      <c r="B211" s="507" t="s">
        <v>887</v>
      </c>
      <c r="C211" s="219"/>
      <c r="D211" s="219">
        <v>22.934401078189023</v>
      </c>
      <c r="E211" s="219">
        <v>0</v>
      </c>
      <c r="F211" s="219">
        <v>0</v>
      </c>
      <c r="G211" s="219">
        <v>0</v>
      </c>
      <c r="H211" s="219">
        <v>0</v>
      </c>
      <c r="I211" s="219">
        <v>0</v>
      </c>
      <c r="J211" s="219">
        <v>0</v>
      </c>
      <c r="K211" s="222"/>
      <c r="L211" s="219">
        <v>0</v>
      </c>
      <c r="M211" s="413"/>
      <c r="N211" s="219">
        <v>0</v>
      </c>
      <c r="O211" s="224"/>
      <c r="P211" s="396">
        <v>0</v>
      </c>
      <c r="Q211" s="223"/>
      <c r="R211" s="396">
        <v>0</v>
      </c>
      <c r="T211" s="352"/>
    </row>
    <row r="212" spans="1:20">
      <c r="A212" s="365">
        <f t="shared" si="5"/>
        <v>203</v>
      </c>
      <c r="B212" s="507" t="s">
        <v>888</v>
      </c>
      <c r="C212" s="219"/>
      <c r="D212" s="219">
        <v>22.080868241564666</v>
      </c>
      <c r="E212" s="219">
        <v>0</v>
      </c>
      <c r="F212" s="219">
        <v>0</v>
      </c>
      <c r="G212" s="219">
        <v>0</v>
      </c>
      <c r="H212" s="219">
        <v>0</v>
      </c>
      <c r="I212" s="219">
        <v>0</v>
      </c>
      <c r="J212" s="219">
        <v>0</v>
      </c>
      <c r="K212" s="222"/>
      <c r="L212" s="219">
        <v>0</v>
      </c>
      <c r="M212" s="413"/>
      <c r="N212" s="219">
        <v>0</v>
      </c>
      <c r="O212" s="224"/>
      <c r="P212" s="396">
        <v>0</v>
      </c>
      <c r="Q212" s="223"/>
      <c r="R212" s="396">
        <v>0</v>
      </c>
      <c r="T212" s="352"/>
    </row>
    <row r="213" spans="1:20">
      <c r="A213" s="365">
        <f t="shared" si="5"/>
        <v>204</v>
      </c>
      <c r="B213" s="507" t="s">
        <v>889</v>
      </c>
      <c r="C213" s="219"/>
      <c r="D213" s="219">
        <v>20.315695487619248</v>
      </c>
      <c r="E213" s="219">
        <v>0</v>
      </c>
      <c r="F213" s="219">
        <v>0</v>
      </c>
      <c r="G213" s="219">
        <v>0</v>
      </c>
      <c r="H213" s="219">
        <v>0</v>
      </c>
      <c r="I213" s="219">
        <v>0</v>
      </c>
      <c r="J213" s="219">
        <v>0</v>
      </c>
      <c r="K213" s="222"/>
      <c r="L213" s="219">
        <v>0</v>
      </c>
      <c r="M213" s="413"/>
      <c r="N213" s="219">
        <v>0</v>
      </c>
      <c r="O213" s="224"/>
      <c r="P213" s="396">
        <v>0</v>
      </c>
      <c r="Q213" s="223"/>
      <c r="R213" s="396">
        <v>0</v>
      </c>
      <c r="T213" s="352"/>
    </row>
    <row r="214" spans="1:20">
      <c r="A214" s="365">
        <f t="shared" si="5"/>
        <v>205</v>
      </c>
      <c r="B214" s="507" t="s">
        <v>890</v>
      </c>
      <c r="C214" s="219"/>
      <c r="D214" s="219">
        <v>2.2119066987992113</v>
      </c>
      <c r="E214" s="219">
        <v>25.717753028104525</v>
      </c>
      <c r="F214" s="219">
        <v>0.20728840093207704</v>
      </c>
      <c r="G214" s="219">
        <v>0</v>
      </c>
      <c r="H214" s="219">
        <v>0</v>
      </c>
      <c r="I214" s="219">
        <v>0</v>
      </c>
      <c r="J214" s="219">
        <v>0</v>
      </c>
      <c r="K214" s="222"/>
      <c r="L214" s="219">
        <v>0</v>
      </c>
      <c r="M214" s="413"/>
      <c r="N214" s="219">
        <v>0</v>
      </c>
      <c r="O214" s="224"/>
      <c r="P214" s="396">
        <v>0</v>
      </c>
      <c r="Q214" s="223"/>
      <c r="R214" s="396">
        <v>0</v>
      </c>
      <c r="T214" s="352"/>
    </row>
    <row r="215" spans="1:20">
      <c r="A215" s="365">
        <f t="shared" si="5"/>
        <v>206</v>
      </c>
      <c r="B215" s="507" t="s">
        <v>891</v>
      </c>
      <c r="C215" s="219"/>
      <c r="D215" s="219">
        <v>2.1129076232828394</v>
      </c>
      <c r="E215" s="219">
        <v>2.772409109831782</v>
      </c>
      <c r="F215" s="219">
        <v>2.3165473910958765</v>
      </c>
      <c r="G215" s="219">
        <v>18.270866870148712</v>
      </c>
      <c r="H215" s="219">
        <v>1.2874677411634989</v>
      </c>
      <c r="I215" s="219">
        <v>1.6293924616978739</v>
      </c>
      <c r="J215" s="219">
        <v>1.339822267752635</v>
      </c>
      <c r="K215" s="222"/>
      <c r="L215" s="219">
        <v>0</v>
      </c>
      <c r="M215" s="222"/>
      <c r="N215" s="219">
        <v>0</v>
      </c>
      <c r="O215" s="224"/>
      <c r="P215" s="328">
        <v>0</v>
      </c>
      <c r="Q215" s="223"/>
      <c r="R215" s="328">
        <v>0</v>
      </c>
      <c r="T215" s="352"/>
    </row>
    <row r="216" spans="1:20">
      <c r="A216" s="365">
        <f t="shared" si="5"/>
        <v>207</v>
      </c>
      <c r="B216" s="507" t="s">
        <v>892</v>
      </c>
      <c r="C216" s="219"/>
      <c r="D216" s="219">
        <v>1.3850498462502185</v>
      </c>
      <c r="E216" s="219">
        <v>66.781692957827332</v>
      </c>
      <c r="F216" s="219">
        <v>0</v>
      </c>
      <c r="G216" s="219">
        <v>0</v>
      </c>
      <c r="H216" s="219">
        <v>0</v>
      </c>
      <c r="I216" s="219">
        <v>0</v>
      </c>
      <c r="J216" s="219">
        <v>0</v>
      </c>
      <c r="K216" s="222"/>
      <c r="L216" s="219">
        <v>0</v>
      </c>
      <c r="M216" s="413"/>
      <c r="N216" s="219">
        <v>0</v>
      </c>
      <c r="O216" s="224"/>
      <c r="P216" s="396">
        <v>0</v>
      </c>
      <c r="Q216" s="223"/>
      <c r="R216" s="396">
        <v>0</v>
      </c>
      <c r="T216" s="352"/>
    </row>
    <row r="217" spans="1:20">
      <c r="A217" s="365">
        <f t="shared" si="5"/>
        <v>208</v>
      </c>
      <c r="B217" s="507" t="s">
        <v>893</v>
      </c>
      <c r="C217" s="219"/>
      <c r="D217" s="219">
        <v>0.79575131342561234</v>
      </c>
      <c r="E217" s="219">
        <v>86.690466423951833</v>
      </c>
      <c r="F217" s="219">
        <v>0</v>
      </c>
      <c r="G217" s="219">
        <v>0</v>
      </c>
      <c r="H217" s="219">
        <v>0</v>
      </c>
      <c r="I217" s="219">
        <v>0</v>
      </c>
      <c r="J217" s="219">
        <v>0</v>
      </c>
      <c r="K217" s="222"/>
      <c r="L217" s="219">
        <v>0</v>
      </c>
      <c r="M217" s="413"/>
      <c r="N217" s="219">
        <v>0</v>
      </c>
      <c r="O217" s="224"/>
      <c r="P217" s="396">
        <v>140</v>
      </c>
      <c r="Q217" s="223"/>
      <c r="R217" s="396">
        <v>0</v>
      </c>
      <c r="T217" s="352"/>
    </row>
    <row r="218" spans="1:20">
      <c r="A218" s="365">
        <f t="shared" si="5"/>
        <v>209</v>
      </c>
      <c r="B218" s="507" t="s">
        <v>894</v>
      </c>
      <c r="C218" s="219"/>
      <c r="D218" s="219">
        <v>-3.5682285621990384</v>
      </c>
      <c r="E218" s="219">
        <v>144.07535626589919</v>
      </c>
      <c r="F218" s="219">
        <v>72.027973429931563</v>
      </c>
      <c r="G218" s="219">
        <v>306.07499536066729</v>
      </c>
      <c r="H218" s="219">
        <v>36.639921128676505</v>
      </c>
      <c r="I218" s="219">
        <v>176.97968702871606</v>
      </c>
      <c r="J218" s="219">
        <v>-33.573767958287739</v>
      </c>
      <c r="K218" s="222"/>
      <c r="L218" s="219">
        <v>0</v>
      </c>
      <c r="M218" s="413"/>
      <c r="N218" s="219">
        <v>0</v>
      </c>
      <c r="O218" s="224"/>
      <c r="P218" s="396">
        <v>0</v>
      </c>
      <c r="Q218" s="223"/>
      <c r="R218" s="396">
        <v>559</v>
      </c>
      <c r="T218" s="352"/>
    </row>
    <row r="219" spans="1:20">
      <c r="A219" s="365">
        <f t="shared" si="5"/>
        <v>210</v>
      </c>
      <c r="B219" s="507" t="s">
        <v>895</v>
      </c>
      <c r="C219" s="219"/>
      <c r="D219" s="219">
        <v>107.66624480391036</v>
      </c>
      <c r="E219" s="219">
        <v>0</v>
      </c>
      <c r="F219" s="219">
        <v>0</v>
      </c>
      <c r="G219" s="219">
        <v>0</v>
      </c>
      <c r="H219" s="219">
        <v>0</v>
      </c>
      <c r="I219" s="219">
        <v>0</v>
      </c>
      <c r="J219" s="219">
        <v>0</v>
      </c>
      <c r="K219" s="222"/>
      <c r="L219" s="219">
        <v>0</v>
      </c>
      <c r="M219" s="413"/>
      <c r="N219" s="219">
        <v>0</v>
      </c>
      <c r="O219" s="224"/>
      <c r="P219" s="396">
        <v>110</v>
      </c>
      <c r="Q219" s="223"/>
      <c r="R219" s="396">
        <v>0</v>
      </c>
      <c r="T219" s="352"/>
    </row>
    <row r="220" spans="1:20">
      <c r="A220" s="365">
        <f t="shared" si="5"/>
        <v>211</v>
      </c>
      <c r="B220" s="507" t="s">
        <v>896</v>
      </c>
      <c r="C220" s="219"/>
      <c r="D220" s="219">
        <v>0</v>
      </c>
      <c r="E220" s="219">
        <v>0</v>
      </c>
      <c r="F220" s="219">
        <v>0</v>
      </c>
      <c r="G220" s="219">
        <v>0</v>
      </c>
      <c r="H220" s="219">
        <v>0</v>
      </c>
      <c r="I220" s="219">
        <v>0</v>
      </c>
      <c r="J220" s="219">
        <v>0</v>
      </c>
      <c r="K220" s="222"/>
      <c r="L220" s="219">
        <v>0</v>
      </c>
      <c r="M220" s="219"/>
      <c r="N220" s="219">
        <v>0</v>
      </c>
      <c r="O220" s="224"/>
      <c r="P220" s="396">
        <v>90</v>
      </c>
      <c r="Q220" s="223"/>
      <c r="R220" s="396">
        <v>0</v>
      </c>
      <c r="T220" s="352"/>
    </row>
    <row r="221" spans="1:20">
      <c r="A221" s="365">
        <f t="shared" si="5"/>
        <v>212</v>
      </c>
      <c r="B221" s="507"/>
      <c r="C221" s="219"/>
      <c r="D221" s="219"/>
      <c r="E221" s="219"/>
      <c r="F221" s="219"/>
      <c r="G221" s="219"/>
      <c r="H221" s="219"/>
      <c r="I221" s="219"/>
      <c r="J221" s="219"/>
      <c r="K221" s="222"/>
      <c r="L221" s="219">
        <v>0</v>
      </c>
      <c r="M221" s="413"/>
      <c r="N221" s="219">
        <v>0</v>
      </c>
      <c r="O221" s="224"/>
      <c r="P221" s="396">
        <v>0</v>
      </c>
      <c r="Q221" s="223"/>
      <c r="R221" s="396">
        <v>0</v>
      </c>
      <c r="T221" s="352"/>
    </row>
    <row r="222" spans="1:20">
      <c r="A222" s="365">
        <f t="shared" si="5"/>
        <v>213</v>
      </c>
      <c r="B222" s="507" t="s">
        <v>897</v>
      </c>
      <c r="C222" s="219"/>
      <c r="D222" s="219">
        <v>0</v>
      </c>
      <c r="E222" s="219">
        <v>174.83107718211869</v>
      </c>
      <c r="F222" s="219">
        <v>66.751832594376808</v>
      </c>
      <c r="G222" s="219">
        <v>-6.9422017231272894</v>
      </c>
      <c r="H222" s="219">
        <v>0.1040570268534091</v>
      </c>
      <c r="I222" s="219">
        <v>0</v>
      </c>
      <c r="J222" s="219">
        <v>0</v>
      </c>
      <c r="K222" s="222"/>
      <c r="L222" s="219">
        <v>0</v>
      </c>
      <c r="M222" s="413"/>
      <c r="N222" s="219">
        <v>0</v>
      </c>
      <c r="O222" s="224"/>
      <c r="P222" s="396">
        <v>0</v>
      </c>
      <c r="Q222" s="223"/>
      <c r="R222" s="396">
        <v>356</v>
      </c>
      <c r="T222" s="352"/>
    </row>
    <row r="223" spans="1:20">
      <c r="A223" s="365">
        <f t="shared" si="5"/>
        <v>214</v>
      </c>
      <c r="B223" s="507" t="s">
        <v>898</v>
      </c>
      <c r="C223" s="219"/>
      <c r="D223" s="219">
        <v>0</v>
      </c>
      <c r="E223" s="219">
        <v>167.94631909404546</v>
      </c>
      <c r="F223" s="219">
        <v>5.6928784201821072</v>
      </c>
      <c r="G223" s="219">
        <v>0</v>
      </c>
      <c r="H223" s="219">
        <v>0</v>
      </c>
      <c r="I223" s="219">
        <v>0</v>
      </c>
      <c r="J223" s="219">
        <v>0</v>
      </c>
      <c r="K223" s="222"/>
      <c r="L223" s="219">
        <v>0</v>
      </c>
      <c r="M223" s="413"/>
      <c r="N223" s="219">
        <v>0</v>
      </c>
      <c r="O223" s="224"/>
      <c r="P223" s="396">
        <v>0</v>
      </c>
      <c r="Q223" s="223"/>
      <c r="R223" s="396">
        <v>122</v>
      </c>
      <c r="T223" s="352"/>
    </row>
    <row r="224" spans="1:20">
      <c r="A224" s="365">
        <f t="shared" ref="A224:A287" si="8">A223+1</f>
        <v>215</v>
      </c>
      <c r="B224" s="507" t="s">
        <v>899</v>
      </c>
      <c r="C224" s="219"/>
      <c r="D224" s="219">
        <v>0</v>
      </c>
      <c r="E224" s="219">
        <v>40.948050063149637</v>
      </c>
      <c r="F224" s="219">
        <v>0.76439511510624858</v>
      </c>
      <c r="G224" s="219">
        <v>0</v>
      </c>
      <c r="H224" s="219">
        <v>0</v>
      </c>
      <c r="I224" s="219">
        <v>0</v>
      </c>
      <c r="J224" s="219">
        <v>0</v>
      </c>
      <c r="K224" s="222"/>
      <c r="L224" s="219">
        <v>0</v>
      </c>
      <c r="M224" s="413"/>
      <c r="N224" s="219">
        <v>0</v>
      </c>
      <c r="O224" s="224"/>
      <c r="P224" s="396">
        <v>0</v>
      </c>
      <c r="Q224" s="223"/>
      <c r="R224" s="396">
        <v>0</v>
      </c>
      <c r="T224" s="352"/>
    </row>
    <row r="225" spans="1:20">
      <c r="A225" s="365">
        <f t="shared" si="8"/>
        <v>216</v>
      </c>
      <c r="B225" s="507" t="s">
        <v>900</v>
      </c>
      <c r="C225" s="219"/>
      <c r="D225" s="219">
        <v>0</v>
      </c>
      <c r="E225" s="219">
        <v>28.185888300165857</v>
      </c>
      <c r="F225" s="219">
        <v>0</v>
      </c>
      <c r="G225" s="219">
        <v>0</v>
      </c>
      <c r="H225" s="219">
        <v>0</v>
      </c>
      <c r="I225" s="219">
        <v>0</v>
      </c>
      <c r="J225" s="219">
        <v>0</v>
      </c>
      <c r="K225" s="222"/>
      <c r="L225" s="219">
        <v>0</v>
      </c>
      <c r="M225" s="413"/>
      <c r="N225" s="219">
        <v>0</v>
      </c>
      <c r="O225" s="224"/>
      <c r="P225" s="396">
        <v>0</v>
      </c>
      <c r="Q225" s="223"/>
      <c r="R225" s="396">
        <v>0</v>
      </c>
      <c r="T225" s="352"/>
    </row>
    <row r="226" spans="1:20">
      <c r="A226" s="365">
        <f t="shared" si="8"/>
        <v>217</v>
      </c>
      <c r="B226" s="507" t="s">
        <v>901</v>
      </c>
      <c r="C226" s="219"/>
      <c r="D226" s="219">
        <v>0</v>
      </c>
      <c r="E226" s="219">
        <v>9.1412957507469788</v>
      </c>
      <c r="F226" s="219">
        <v>173.73413451260274</v>
      </c>
      <c r="G226" s="219">
        <v>8.7114444188652315E-2</v>
      </c>
      <c r="H226" s="219">
        <v>0</v>
      </c>
      <c r="I226" s="219">
        <v>0</v>
      </c>
      <c r="J226" s="219">
        <v>0</v>
      </c>
      <c r="K226" s="219"/>
      <c r="L226" s="219">
        <v>0</v>
      </c>
      <c r="M226" s="413"/>
      <c r="N226" s="219">
        <v>0</v>
      </c>
      <c r="O226" s="224"/>
      <c r="P226" s="396">
        <v>0</v>
      </c>
      <c r="Q226" s="223"/>
      <c r="R226" s="396">
        <v>0</v>
      </c>
      <c r="T226" s="352"/>
    </row>
    <row r="227" spans="1:20">
      <c r="A227" s="365">
        <f t="shared" si="8"/>
        <v>218</v>
      </c>
      <c r="B227" s="507" t="s">
        <v>902</v>
      </c>
      <c r="C227" s="219"/>
      <c r="D227" s="219">
        <v>0</v>
      </c>
      <c r="E227" s="219">
        <v>0</v>
      </c>
      <c r="F227" s="219">
        <v>0</v>
      </c>
      <c r="G227" s="219">
        <v>386.36580363710226</v>
      </c>
      <c r="H227" s="219">
        <v>11.1842488650304</v>
      </c>
      <c r="I227" s="219">
        <v>-3.6146176078809575</v>
      </c>
      <c r="J227" s="219">
        <v>0</v>
      </c>
      <c r="K227" s="222"/>
      <c r="L227" s="219">
        <v>0</v>
      </c>
      <c r="M227" s="413"/>
      <c r="N227" s="219">
        <v>0</v>
      </c>
      <c r="O227" s="224"/>
      <c r="P227" s="396">
        <v>0</v>
      </c>
      <c r="Q227" s="223"/>
      <c r="R227" s="396">
        <v>0</v>
      </c>
      <c r="T227" s="352"/>
    </row>
    <row r="228" spans="1:20">
      <c r="A228" s="365">
        <f t="shared" si="8"/>
        <v>219</v>
      </c>
      <c r="B228" s="507" t="s">
        <v>903</v>
      </c>
      <c r="C228" s="219"/>
      <c r="D228" s="219">
        <v>0</v>
      </c>
      <c r="E228" s="219">
        <v>46.90736756572764</v>
      </c>
      <c r="F228" s="219">
        <v>20.711122089070901</v>
      </c>
      <c r="G228" s="219">
        <v>-16.473005583635601</v>
      </c>
      <c r="H228" s="219">
        <v>0</v>
      </c>
      <c r="I228" s="219">
        <v>0</v>
      </c>
      <c r="J228" s="219">
        <v>0</v>
      </c>
      <c r="K228" s="219"/>
      <c r="L228" s="219">
        <v>0</v>
      </c>
      <c r="M228" s="413"/>
      <c r="N228" s="219">
        <v>0</v>
      </c>
      <c r="O228" s="224"/>
      <c r="P228" s="396">
        <v>0</v>
      </c>
      <c r="Q228" s="223"/>
      <c r="R228" s="396">
        <v>51</v>
      </c>
      <c r="T228" s="352"/>
    </row>
    <row r="229" spans="1:20">
      <c r="A229" s="365">
        <f t="shared" si="8"/>
        <v>220</v>
      </c>
      <c r="B229" s="507" t="s">
        <v>904</v>
      </c>
      <c r="C229" s="219"/>
      <c r="D229" s="219">
        <v>0</v>
      </c>
      <c r="E229" s="219">
        <v>25.124195090012314</v>
      </c>
      <c r="F229" s="219">
        <v>0</v>
      </c>
      <c r="G229" s="219">
        <v>0</v>
      </c>
      <c r="H229" s="219">
        <v>0</v>
      </c>
      <c r="I229" s="219">
        <v>0</v>
      </c>
      <c r="J229" s="219">
        <v>0</v>
      </c>
      <c r="K229" s="222"/>
      <c r="L229" s="219">
        <v>0</v>
      </c>
      <c r="M229" s="413"/>
      <c r="N229" s="219">
        <v>0</v>
      </c>
      <c r="O229" s="224"/>
      <c r="P229" s="396">
        <v>0</v>
      </c>
      <c r="Q229" s="223"/>
      <c r="R229" s="396">
        <v>30</v>
      </c>
      <c r="T229" s="352"/>
    </row>
    <row r="230" spans="1:20">
      <c r="A230" s="365">
        <f t="shared" si="8"/>
        <v>221</v>
      </c>
      <c r="B230" s="507" t="s">
        <v>905</v>
      </c>
      <c r="C230" s="219"/>
      <c r="D230" s="219">
        <v>0.21204645033870292</v>
      </c>
      <c r="E230" s="219">
        <v>15.790906921824295</v>
      </c>
      <c r="F230" s="219">
        <v>1.5739527695588511</v>
      </c>
      <c r="G230" s="219">
        <v>0.93227152047703921</v>
      </c>
      <c r="H230" s="219">
        <v>0.95629987368452962</v>
      </c>
      <c r="I230" s="219">
        <v>-20.91275627282343</v>
      </c>
      <c r="J230" s="219">
        <v>0</v>
      </c>
      <c r="K230" s="222"/>
      <c r="L230" s="219">
        <v>0</v>
      </c>
      <c r="M230" s="413"/>
      <c r="N230" s="219">
        <v>0</v>
      </c>
      <c r="O230" s="224"/>
      <c r="P230" s="396">
        <v>0</v>
      </c>
      <c r="Q230" s="223"/>
      <c r="R230" s="396">
        <v>30</v>
      </c>
      <c r="T230" s="352"/>
    </row>
    <row r="231" spans="1:20">
      <c r="A231" s="365">
        <f t="shared" si="8"/>
        <v>222</v>
      </c>
      <c r="B231" s="507" t="s">
        <v>906</v>
      </c>
      <c r="C231" s="219"/>
      <c r="D231" s="219">
        <v>0</v>
      </c>
      <c r="E231" s="219">
        <v>0</v>
      </c>
      <c r="F231" s="219">
        <v>0</v>
      </c>
      <c r="G231" s="219">
        <v>0</v>
      </c>
      <c r="H231" s="219">
        <v>0</v>
      </c>
      <c r="I231" s="219">
        <v>0</v>
      </c>
      <c r="J231" s="219">
        <v>0</v>
      </c>
      <c r="K231" s="222"/>
      <c r="L231" s="219">
        <v>0</v>
      </c>
      <c r="M231" s="413"/>
      <c r="N231" s="219">
        <v>0</v>
      </c>
      <c r="O231" s="224"/>
      <c r="P231" s="396">
        <v>0</v>
      </c>
      <c r="Q231" s="223"/>
      <c r="R231" s="396">
        <v>20</v>
      </c>
      <c r="T231" s="352"/>
    </row>
    <row r="232" spans="1:20">
      <c r="A232" s="365">
        <f t="shared" si="8"/>
        <v>223</v>
      </c>
      <c r="B232" s="507" t="s">
        <v>907</v>
      </c>
      <c r="C232" s="219"/>
      <c r="D232" s="219">
        <v>0</v>
      </c>
      <c r="E232" s="219">
        <v>0</v>
      </c>
      <c r="F232" s="219">
        <v>0</v>
      </c>
      <c r="G232" s="219">
        <v>0</v>
      </c>
      <c r="H232" s="219">
        <v>0</v>
      </c>
      <c r="I232" s="219">
        <v>0</v>
      </c>
      <c r="J232" s="219">
        <v>0</v>
      </c>
      <c r="K232" s="413"/>
      <c r="L232" s="219">
        <v>0</v>
      </c>
      <c r="M232" s="413"/>
      <c r="N232" s="219">
        <v>0</v>
      </c>
      <c r="O232" s="224"/>
      <c r="P232" s="396">
        <v>0</v>
      </c>
      <c r="Q232" s="412"/>
      <c r="R232" s="396">
        <v>81</v>
      </c>
      <c r="T232" s="352"/>
    </row>
    <row r="233" spans="1:20">
      <c r="A233" s="365">
        <f t="shared" si="8"/>
        <v>224</v>
      </c>
      <c r="B233" s="507"/>
      <c r="C233" s="219"/>
      <c r="D233" s="219"/>
      <c r="E233" s="219"/>
      <c r="F233" s="219"/>
      <c r="G233" s="219"/>
      <c r="H233" s="219"/>
      <c r="I233" s="219"/>
      <c r="J233" s="219"/>
      <c r="K233" s="413"/>
      <c r="L233" s="219"/>
      <c r="M233" s="413"/>
      <c r="N233" s="219"/>
      <c r="O233" s="224"/>
      <c r="P233" s="328"/>
      <c r="Q233" s="223"/>
      <c r="R233" s="328"/>
      <c r="T233" s="352"/>
    </row>
    <row r="234" spans="1:20">
      <c r="A234" s="365">
        <f t="shared" si="8"/>
        <v>225</v>
      </c>
      <c r="B234" s="217"/>
      <c r="C234" s="217"/>
      <c r="D234" s="217"/>
      <c r="E234" s="217"/>
      <c r="F234" s="218"/>
      <c r="G234" s="217"/>
      <c r="H234" s="218"/>
      <c r="I234" s="217"/>
      <c r="J234" s="219"/>
      <c r="K234" s="219"/>
      <c r="L234" s="219"/>
      <c r="M234" s="219"/>
      <c r="N234" s="219"/>
      <c r="O234" s="217"/>
      <c r="P234" s="217"/>
      <c r="Q234" s="217"/>
      <c r="R234" s="217"/>
      <c r="T234" s="352"/>
    </row>
    <row r="235" spans="1:20">
      <c r="A235" s="365">
        <f t="shared" si="8"/>
        <v>226</v>
      </c>
      <c r="B235" s="220" t="s">
        <v>908</v>
      </c>
      <c r="C235" s="217"/>
      <c r="D235" s="217"/>
      <c r="E235" s="217"/>
      <c r="F235" s="397"/>
      <c r="G235" s="397"/>
      <c r="H235" s="397"/>
      <c r="I235" s="397"/>
      <c r="J235" s="397"/>
      <c r="K235" s="412"/>
      <c r="L235" s="397"/>
      <c r="M235" s="412"/>
      <c r="N235" s="397"/>
      <c r="O235" s="224"/>
      <c r="P235" s="396"/>
      <c r="Q235" s="412"/>
      <c r="R235" s="396"/>
      <c r="T235" s="352"/>
    </row>
    <row r="236" spans="1:20">
      <c r="A236" s="365">
        <f t="shared" si="8"/>
        <v>227</v>
      </c>
      <c r="B236" s="507" t="s">
        <v>909</v>
      </c>
      <c r="C236" s="219"/>
      <c r="D236" s="219">
        <v>0</v>
      </c>
      <c r="E236" s="219">
        <v>0</v>
      </c>
      <c r="F236" s="219">
        <v>356.15792943193998</v>
      </c>
      <c r="G236" s="219">
        <v>5.5125325700764911</v>
      </c>
      <c r="H236" s="219">
        <v>0</v>
      </c>
      <c r="I236" s="219">
        <v>0</v>
      </c>
      <c r="J236" s="219">
        <v>0</v>
      </c>
      <c r="K236" s="219"/>
      <c r="L236" s="219">
        <v>0</v>
      </c>
      <c r="M236" s="413"/>
      <c r="N236" s="219">
        <v>0</v>
      </c>
      <c r="O236" s="224"/>
      <c r="P236" s="396">
        <v>0</v>
      </c>
      <c r="Q236" s="223"/>
      <c r="R236" s="396">
        <v>0</v>
      </c>
      <c r="T236" s="352"/>
    </row>
    <row r="237" spans="1:20">
      <c r="A237" s="365">
        <f t="shared" si="8"/>
        <v>228</v>
      </c>
      <c r="B237" s="507" t="s">
        <v>910</v>
      </c>
      <c r="C237" s="219"/>
      <c r="D237" s="219">
        <v>0</v>
      </c>
      <c r="E237" s="219">
        <v>0</v>
      </c>
      <c r="F237" s="219">
        <v>217.96307996932262</v>
      </c>
      <c r="G237" s="421">
        <v>-11.653597679412229</v>
      </c>
      <c r="H237" s="421">
        <v>-13.53911940015321</v>
      </c>
      <c r="I237" s="421">
        <v>0</v>
      </c>
      <c r="J237" s="219">
        <v>0</v>
      </c>
      <c r="K237" s="219"/>
      <c r="L237" s="219">
        <v>0</v>
      </c>
      <c r="M237" s="413"/>
      <c r="N237" s="219">
        <v>0</v>
      </c>
      <c r="O237" s="224"/>
      <c r="P237" s="396">
        <v>0</v>
      </c>
      <c r="Q237" s="223"/>
      <c r="R237" s="396">
        <v>0</v>
      </c>
      <c r="T237" s="352"/>
    </row>
    <row r="238" spans="1:20">
      <c r="A238" s="365">
        <f t="shared" si="8"/>
        <v>229</v>
      </c>
      <c r="B238" s="507" t="s">
        <v>911</v>
      </c>
      <c r="C238" s="219"/>
      <c r="D238" s="219">
        <v>0</v>
      </c>
      <c r="E238" s="219">
        <v>0</v>
      </c>
      <c r="F238" s="219">
        <v>115.63953421600731</v>
      </c>
      <c r="G238" s="421">
        <v>189.32929994564049</v>
      </c>
      <c r="H238" s="421">
        <v>-0.36554695709751744</v>
      </c>
      <c r="I238" s="421">
        <v>-9.59197466165182</v>
      </c>
      <c r="J238" s="219">
        <v>0</v>
      </c>
      <c r="K238" s="222"/>
      <c r="L238" s="219">
        <v>0</v>
      </c>
      <c r="M238" s="413"/>
      <c r="N238" s="219">
        <v>0</v>
      </c>
      <c r="O238" s="224"/>
      <c r="P238" s="396">
        <v>0</v>
      </c>
      <c r="Q238" s="223"/>
      <c r="R238" s="396">
        <v>0</v>
      </c>
      <c r="T238" s="352"/>
    </row>
    <row r="239" spans="1:20">
      <c r="A239" s="365">
        <f t="shared" si="8"/>
        <v>230</v>
      </c>
      <c r="B239" s="507" t="s">
        <v>912</v>
      </c>
      <c r="C239" s="219"/>
      <c r="D239" s="219">
        <v>0</v>
      </c>
      <c r="E239" s="219">
        <v>0</v>
      </c>
      <c r="F239" s="219">
        <v>61.441806171217998</v>
      </c>
      <c r="G239" s="219">
        <v>-0.82958895699759749</v>
      </c>
      <c r="H239" s="219">
        <v>0</v>
      </c>
      <c r="I239" s="219">
        <v>0</v>
      </c>
      <c r="J239" s="219">
        <v>0</v>
      </c>
      <c r="K239" s="219"/>
      <c r="L239" s="219">
        <v>0</v>
      </c>
      <c r="M239" s="413"/>
      <c r="N239" s="219">
        <v>0</v>
      </c>
      <c r="O239" s="224"/>
      <c r="P239" s="396">
        <v>0</v>
      </c>
      <c r="Q239" s="223"/>
      <c r="R239" s="396">
        <v>0</v>
      </c>
      <c r="T239" s="352"/>
    </row>
    <row r="240" spans="1:20">
      <c r="A240" s="365">
        <f t="shared" si="8"/>
        <v>231</v>
      </c>
      <c r="B240" s="507" t="s">
        <v>913</v>
      </c>
      <c r="C240" s="219"/>
      <c r="D240" s="219">
        <v>0</v>
      </c>
      <c r="E240" s="219">
        <v>0</v>
      </c>
      <c r="F240" s="219">
        <v>47.105757300273844</v>
      </c>
      <c r="G240" s="219">
        <v>-0.23004290187339757</v>
      </c>
      <c r="H240" s="219">
        <v>0</v>
      </c>
      <c r="I240" s="219">
        <v>0</v>
      </c>
      <c r="J240" s="219">
        <v>0</v>
      </c>
      <c r="K240" s="413"/>
      <c r="L240" s="219">
        <v>0</v>
      </c>
      <c r="M240" s="413"/>
      <c r="N240" s="219">
        <v>0</v>
      </c>
      <c r="O240" s="224"/>
      <c r="P240" s="396">
        <v>0</v>
      </c>
      <c r="Q240" s="223"/>
      <c r="R240" s="396">
        <v>0</v>
      </c>
      <c r="T240" s="352"/>
    </row>
    <row r="241" spans="1:25">
      <c r="A241" s="365">
        <f t="shared" si="8"/>
        <v>232</v>
      </c>
      <c r="B241" s="507" t="s">
        <v>914</v>
      </c>
      <c r="C241" s="219"/>
      <c r="D241" s="219">
        <v>0</v>
      </c>
      <c r="E241" s="219">
        <v>0</v>
      </c>
      <c r="F241" s="219">
        <v>42.340447082615214</v>
      </c>
      <c r="G241" s="219">
        <v>2.5386324666113009</v>
      </c>
      <c r="H241" s="219">
        <v>5.8293813039151194</v>
      </c>
      <c r="I241" s="219">
        <v>2.1358776048149974</v>
      </c>
      <c r="J241" s="219">
        <v>2.3388268762573619</v>
      </c>
      <c r="K241" s="219"/>
      <c r="L241" s="219">
        <v>0</v>
      </c>
      <c r="M241" s="413"/>
      <c r="N241" s="219">
        <v>0</v>
      </c>
      <c r="O241" s="224"/>
      <c r="P241" s="396">
        <v>0</v>
      </c>
      <c r="Q241" s="223"/>
      <c r="R241" s="396">
        <v>0</v>
      </c>
      <c r="T241" s="352"/>
    </row>
    <row r="242" spans="1:25">
      <c r="A242" s="365">
        <f t="shared" si="8"/>
        <v>233</v>
      </c>
      <c r="B242" s="507" t="s">
        <v>915</v>
      </c>
      <c r="C242" s="219"/>
      <c r="D242" s="219">
        <v>0</v>
      </c>
      <c r="E242" s="219">
        <v>0</v>
      </c>
      <c r="F242" s="219">
        <v>27.594719789565268</v>
      </c>
      <c r="G242" s="219">
        <v>1.3860548082252944E-2</v>
      </c>
      <c r="H242" s="219">
        <v>0</v>
      </c>
      <c r="I242" s="219">
        <v>0</v>
      </c>
      <c r="J242" s="219">
        <v>0</v>
      </c>
      <c r="K242" s="219"/>
      <c r="L242" s="219">
        <v>0</v>
      </c>
      <c r="M242" s="413"/>
      <c r="N242" s="219">
        <v>0</v>
      </c>
      <c r="O242" s="224"/>
      <c r="P242" s="396">
        <v>0</v>
      </c>
      <c r="Q242" s="223"/>
      <c r="R242" s="396">
        <v>0</v>
      </c>
      <c r="T242" s="352"/>
    </row>
    <row r="243" spans="1:25">
      <c r="A243" s="365">
        <f t="shared" si="8"/>
        <v>234</v>
      </c>
      <c r="B243" s="507" t="s">
        <v>916</v>
      </c>
      <c r="C243" s="219"/>
      <c r="D243" s="219">
        <v>0</v>
      </c>
      <c r="E243" s="219">
        <v>0</v>
      </c>
      <c r="F243" s="219">
        <v>18.049767640511263</v>
      </c>
      <c r="G243" s="219">
        <v>7.3020312488617165</v>
      </c>
      <c r="H243" s="219">
        <v>6.2171845776723043</v>
      </c>
      <c r="I243" s="219">
        <v>0.1269825074569908</v>
      </c>
      <c r="J243" s="219">
        <v>0</v>
      </c>
      <c r="K243" s="219"/>
      <c r="L243" s="219">
        <v>0</v>
      </c>
      <c r="M243" s="413"/>
      <c r="N243" s="219">
        <v>0</v>
      </c>
      <c r="O243" s="224"/>
      <c r="P243" s="396">
        <v>0</v>
      </c>
      <c r="Q243" s="223"/>
      <c r="R243" s="396">
        <v>0</v>
      </c>
      <c r="T243" s="352"/>
    </row>
    <row r="244" spans="1:25">
      <c r="A244" s="365">
        <f t="shared" si="8"/>
        <v>235</v>
      </c>
      <c r="B244" s="507" t="s">
        <v>917</v>
      </c>
      <c r="C244" s="219"/>
      <c r="D244" s="219">
        <v>0</v>
      </c>
      <c r="E244" s="219">
        <v>0</v>
      </c>
      <c r="F244" s="219">
        <v>16.346583667968567</v>
      </c>
      <c r="G244" s="219">
        <v>23.553659393464773</v>
      </c>
      <c r="H244" s="219">
        <v>0</v>
      </c>
      <c r="I244" s="219">
        <v>0</v>
      </c>
      <c r="J244" s="219">
        <v>0</v>
      </c>
      <c r="K244" s="219"/>
      <c r="L244" s="219">
        <v>0</v>
      </c>
      <c r="M244" s="413"/>
      <c r="N244" s="219">
        <v>0</v>
      </c>
      <c r="O244" s="224"/>
      <c r="P244" s="396">
        <v>0</v>
      </c>
      <c r="Q244" s="223"/>
      <c r="R244" s="396">
        <v>0</v>
      </c>
      <c r="T244" s="352"/>
    </row>
    <row r="245" spans="1:25">
      <c r="A245" s="365">
        <f t="shared" si="8"/>
        <v>236</v>
      </c>
      <c r="B245" s="507" t="s">
        <v>918</v>
      </c>
      <c r="C245" s="219"/>
      <c r="D245" s="219">
        <v>0</v>
      </c>
      <c r="E245" s="219">
        <v>0</v>
      </c>
      <c r="F245" s="219">
        <v>7.4428068967262284</v>
      </c>
      <c r="G245" s="219">
        <v>84.78557414052591</v>
      </c>
      <c r="H245" s="219">
        <v>18.122073991861697</v>
      </c>
      <c r="I245" s="219">
        <v>0</v>
      </c>
      <c r="J245" s="219">
        <v>0</v>
      </c>
      <c r="K245" s="219"/>
      <c r="L245" s="219">
        <v>0</v>
      </c>
      <c r="M245" s="413"/>
      <c r="N245" s="219">
        <v>0</v>
      </c>
      <c r="O245" s="224"/>
      <c r="P245" s="396">
        <v>0</v>
      </c>
      <c r="Q245" s="223"/>
      <c r="R245" s="396">
        <v>0</v>
      </c>
      <c r="T245" s="352"/>
    </row>
    <row r="246" spans="1:25">
      <c r="A246" s="365">
        <f t="shared" si="8"/>
        <v>237</v>
      </c>
      <c r="B246" s="507" t="s">
        <v>919</v>
      </c>
      <c r="C246" s="219"/>
      <c r="D246" s="219">
        <v>0</v>
      </c>
      <c r="E246" s="219">
        <v>0</v>
      </c>
      <c r="F246" s="219">
        <v>3.1741865648390273</v>
      </c>
      <c r="G246" s="219">
        <v>1.9994904095281596</v>
      </c>
      <c r="H246" s="219">
        <v>18.326313821460211</v>
      </c>
      <c r="I246" s="219">
        <v>0</v>
      </c>
      <c r="J246" s="219">
        <v>0</v>
      </c>
      <c r="K246" s="219"/>
      <c r="L246" s="219">
        <v>0</v>
      </c>
      <c r="M246" s="413"/>
      <c r="N246" s="219">
        <v>0</v>
      </c>
      <c r="O246" s="224"/>
      <c r="P246" s="396">
        <v>0</v>
      </c>
      <c r="Q246" s="223"/>
      <c r="R246" s="396">
        <v>0</v>
      </c>
      <c r="T246" s="352"/>
    </row>
    <row r="247" spans="1:25">
      <c r="A247" s="365">
        <f t="shared" si="8"/>
        <v>238</v>
      </c>
      <c r="B247" s="507" t="s">
        <v>920</v>
      </c>
      <c r="C247" s="219"/>
      <c r="D247" s="219">
        <v>0</v>
      </c>
      <c r="E247" s="219">
        <v>0</v>
      </c>
      <c r="F247" s="219">
        <v>1.4597349214627957</v>
      </c>
      <c r="G247" s="219">
        <v>42.255208957917375</v>
      </c>
      <c r="H247" s="219">
        <v>2.1575226072857001</v>
      </c>
      <c r="I247" s="219">
        <v>24.652861858028945</v>
      </c>
      <c r="J247" s="219">
        <v>6.4322815495552819</v>
      </c>
      <c r="K247" s="219"/>
      <c r="L247" s="219">
        <v>0</v>
      </c>
      <c r="M247" s="413"/>
      <c r="N247" s="219">
        <v>0</v>
      </c>
      <c r="O247" s="224"/>
      <c r="P247" s="396">
        <v>0</v>
      </c>
      <c r="Q247" s="223"/>
      <c r="R247" s="396">
        <v>0</v>
      </c>
      <c r="T247" s="352"/>
    </row>
    <row r="248" spans="1:25">
      <c r="A248" s="365">
        <f t="shared" si="8"/>
        <v>239</v>
      </c>
      <c r="B248" s="507" t="s">
        <v>921</v>
      </c>
      <c r="C248" s="219"/>
      <c r="D248" s="219">
        <v>0</v>
      </c>
      <c r="E248" s="219">
        <v>0</v>
      </c>
      <c r="F248" s="219">
        <v>0.35649318346413184</v>
      </c>
      <c r="G248" s="219">
        <v>341.31862634339484</v>
      </c>
      <c r="H248" s="219">
        <v>1.9718191998295163</v>
      </c>
      <c r="I248" s="219">
        <v>0</v>
      </c>
      <c r="J248" s="219">
        <v>0</v>
      </c>
      <c r="K248" s="219"/>
      <c r="L248" s="219">
        <v>0</v>
      </c>
      <c r="M248" s="413"/>
      <c r="N248" s="219">
        <v>0</v>
      </c>
      <c r="O248" s="224"/>
      <c r="P248" s="396">
        <v>0</v>
      </c>
      <c r="Q248" s="223"/>
      <c r="R248" s="396">
        <v>0</v>
      </c>
      <c r="T248" s="352"/>
      <c r="Y248" s="350" t="s">
        <v>156</v>
      </c>
    </row>
    <row r="249" spans="1:25">
      <c r="A249" s="365">
        <f t="shared" si="8"/>
        <v>240</v>
      </c>
      <c r="B249" s="507" t="s">
        <v>922</v>
      </c>
      <c r="C249" s="219"/>
      <c r="D249" s="219">
        <v>3.6006264659355369</v>
      </c>
      <c r="E249" s="219">
        <v>82.018252325452465</v>
      </c>
      <c r="F249" s="219">
        <v>-12.854177258094522</v>
      </c>
      <c r="G249" s="219">
        <v>-7.1874760988476449</v>
      </c>
      <c r="H249" s="219">
        <v>0</v>
      </c>
      <c r="I249" s="219">
        <v>0</v>
      </c>
      <c r="J249" s="219">
        <v>0</v>
      </c>
      <c r="K249" s="219"/>
      <c r="L249" s="219">
        <v>0</v>
      </c>
      <c r="M249" s="413"/>
      <c r="N249" s="219">
        <v>0</v>
      </c>
      <c r="O249" s="224"/>
      <c r="P249" s="396">
        <v>0</v>
      </c>
      <c r="Q249" s="223"/>
      <c r="R249" s="396">
        <v>0</v>
      </c>
      <c r="T249" s="352"/>
    </row>
    <row r="250" spans="1:25">
      <c r="A250" s="365">
        <f t="shared" si="8"/>
        <v>241</v>
      </c>
      <c r="B250" s="507" t="s">
        <v>923</v>
      </c>
      <c r="C250" s="219"/>
      <c r="D250" s="219">
        <v>0.19385469196778224</v>
      </c>
      <c r="E250" s="219">
        <v>11.66667314825091</v>
      </c>
      <c r="F250" s="219">
        <v>0.89725973368496725</v>
      </c>
      <c r="G250" s="219">
        <v>159.63117282429394</v>
      </c>
      <c r="H250" s="219">
        <v>-9.0299750461487669</v>
      </c>
      <c r="I250" s="219">
        <v>0</v>
      </c>
      <c r="J250" s="219">
        <v>0</v>
      </c>
      <c r="K250" s="219"/>
      <c r="L250" s="219">
        <v>0</v>
      </c>
      <c r="M250" s="413"/>
      <c r="N250" s="219">
        <v>0</v>
      </c>
      <c r="O250" s="224"/>
      <c r="P250" s="396">
        <v>0</v>
      </c>
      <c r="Q250" s="223"/>
      <c r="R250" s="396">
        <v>142</v>
      </c>
      <c r="T250" s="352"/>
    </row>
    <row r="251" spans="1:25">
      <c r="A251" s="365">
        <f t="shared" si="8"/>
        <v>242</v>
      </c>
      <c r="B251" s="507"/>
      <c r="C251" s="219"/>
      <c r="D251" s="217"/>
      <c r="E251" s="219"/>
      <c r="F251" s="219"/>
      <c r="G251" s="219"/>
      <c r="H251" s="219"/>
      <c r="I251" s="219"/>
      <c r="J251" s="219"/>
      <c r="K251" s="222"/>
      <c r="L251" s="219"/>
      <c r="M251" s="413"/>
      <c r="N251" s="219"/>
      <c r="O251" s="224"/>
      <c r="P251" s="396"/>
      <c r="Q251" s="223"/>
      <c r="R251" s="396"/>
      <c r="T251" s="352"/>
    </row>
    <row r="252" spans="1:25">
      <c r="A252" s="365">
        <f t="shared" si="8"/>
        <v>243</v>
      </c>
      <c r="B252" s="507" t="s">
        <v>924</v>
      </c>
      <c r="C252" s="219"/>
      <c r="D252" s="219">
        <v>0</v>
      </c>
      <c r="E252" s="219">
        <v>0</v>
      </c>
      <c r="F252" s="219">
        <v>0</v>
      </c>
      <c r="G252" s="219">
        <v>53.245408702439143</v>
      </c>
      <c r="H252" s="219">
        <v>2.8780445517899322E-17</v>
      </c>
      <c r="I252" s="219">
        <v>0</v>
      </c>
      <c r="J252" s="219">
        <v>0</v>
      </c>
      <c r="K252" s="219"/>
      <c r="L252" s="219">
        <v>0</v>
      </c>
      <c r="M252" s="413"/>
      <c r="N252" s="219">
        <v>0</v>
      </c>
      <c r="O252" s="224"/>
      <c r="P252" s="396">
        <v>0</v>
      </c>
      <c r="Q252" s="223"/>
      <c r="R252" s="396">
        <v>0</v>
      </c>
      <c r="T252" s="352"/>
    </row>
    <row r="253" spans="1:25">
      <c r="A253" s="365">
        <f t="shared" si="8"/>
        <v>244</v>
      </c>
      <c r="B253" s="507" t="s">
        <v>925</v>
      </c>
      <c r="C253" s="219"/>
      <c r="D253" s="219">
        <v>0</v>
      </c>
      <c r="E253" s="219">
        <v>0</v>
      </c>
      <c r="F253" s="219">
        <v>0</v>
      </c>
      <c r="G253" s="219">
        <v>4.7883507778006942E-2</v>
      </c>
      <c r="H253" s="219">
        <v>1.4613229168727333</v>
      </c>
      <c r="I253" s="219">
        <v>115.87003430811838</v>
      </c>
      <c r="J253" s="219">
        <v>37.192288963689649</v>
      </c>
      <c r="K253" s="413"/>
      <c r="L253" s="219">
        <v>0</v>
      </c>
      <c r="M253" s="413"/>
      <c r="N253" s="219">
        <v>0</v>
      </c>
      <c r="O253" s="224"/>
      <c r="P253" s="396">
        <v>0</v>
      </c>
      <c r="Q253" s="223"/>
      <c r="R253" s="396">
        <v>0</v>
      </c>
      <c r="T253" s="352"/>
    </row>
    <row r="254" spans="1:25">
      <c r="A254" s="365">
        <f t="shared" si="8"/>
        <v>245</v>
      </c>
      <c r="B254" s="507" t="s">
        <v>926</v>
      </c>
      <c r="C254" s="219"/>
      <c r="D254" s="219">
        <v>0</v>
      </c>
      <c r="E254" s="219">
        <v>0</v>
      </c>
      <c r="F254" s="219">
        <v>0</v>
      </c>
      <c r="G254" s="219">
        <v>23.527268967472953</v>
      </c>
      <c r="H254" s="219">
        <v>15.532128642269454</v>
      </c>
      <c r="I254" s="219">
        <v>0</v>
      </c>
      <c r="J254" s="219">
        <v>0</v>
      </c>
      <c r="K254" s="413"/>
      <c r="L254" s="219">
        <v>0</v>
      </c>
      <c r="M254" s="413"/>
      <c r="N254" s="219">
        <v>0</v>
      </c>
      <c r="O254" s="224"/>
      <c r="P254" s="396">
        <v>0</v>
      </c>
      <c r="Q254" s="223"/>
      <c r="R254" s="396">
        <v>0</v>
      </c>
      <c r="T254" s="352"/>
    </row>
    <row r="255" spans="1:25">
      <c r="A255" s="365">
        <f t="shared" si="8"/>
        <v>246</v>
      </c>
      <c r="B255" s="507" t="s">
        <v>927</v>
      </c>
      <c r="C255" s="219"/>
      <c r="D255" s="219">
        <v>0</v>
      </c>
      <c r="E255" s="219">
        <v>0</v>
      </c>
      <c r="F255" s="219">
        <v>0</v>
      </c>
      <c r="G255" s="219">
        <v>0.81229913703973344</v>
      </c>
      <c r="H255" s="219">
        <v>20.859677137005889</v>
      </c>
      <c r="I255" s="219">
        <v>24.358312018949679</v>
      </c>
      <c r="J255" s="219">
        <v>0</v>
      </c>
      <c r="K255" s="219"/>
      <c r="L255" s="219">
        <v>0</v>
      </c>
      <c r="M255" s="222"/>
      <c r="N255" s="219">
        <v>0</v>
      </c>
      <c r="O255" s="224"/>
      <c r="P255" s="328">
        <v>0</v>
      </c>
      <c r="Q255" s="223"/>
      <c r="R255" s="328">
        <v>0</v>
      </c>
      <c r="T255" s="352"/>
    </row>
    <row r="256" spans="1:25">
      <c r="A256" s="365">
        <f t="shared" si="8"/>
        <v>247</v>
      </c>
      <c r="B256" s="507" t="s">
        <v>928</v>
      </c>
      <c r="C256" s="186"/>
      <c r="D256" s="219">
        <v>0</v>
      </c>
      <c r="E256" s="219">
        <v>0</v>
      </c>
      <c r="F256" s="219">
        <v>0</v>
      </c>
      <c r="G256" s="219">
        <v>0</v>
      </c>
      <c r="H256" s="219">
        <v>199.32409495439882</v>
      </c>
      <c r="I256" s="219">
        <v>-2.9368858554132591</v>
      </c>
      <c r="J256" s="219">
        <v>0</v>
      </c>
      <c r="K256" s="219"/>
      <c r="L256" s="219">
        <v>0</v>
      </c>
      <c r="M256" s="222"/>
      <c r="N256" s="219">
        <v>0</v>
      </c>
      <c r="O256" s="224"/>
      <c r="P256" s="328">
        <v>0</v>
      </c>
      <c r="Q256" s="223"/>
      <c r="R256" s="328">
        <v>0</v>
      </c>
      <c r="T256" s="352"/>
    </row>
    <row r="257" spans="1:20" ht="17.25" customHeight="1">
      <c r="A257" s="365">
        <f t="shared" si="8"/>
        <v>248</v>
      </c>
      <c r="B257" s="507" t="s">
        <v>929</v>
      </c>
      <c r="C257" s="219"/>
      <c r="D257" s="219">
        <v>0</v>
      </c>
      <c r="E257" s="219">
        <v>0</v>
      </c>
      <c r="F257" s="219">
        <v>0</v>
      </c>
      <c r="G257" s="219">
        <v>0</v>
      </c>
      <c r="H257" s="219">
        <v>135.55782093583275</v>
      </c>
      <c r="I257" s="219">
        <v>0</v>
      </c>
      <c r="J257" s="219">
        <v>0</v>
      </c>
      <c r="K257" s="219"/>
      <c r="L257" s="219">
        <v>0</v>
      </c>
      <c r="M257" s="222"/>
      <c r="N257" s="219">
        <v>0</v>
      </c>
      <c r="O257" s="224"/>
      <c r="P257" s="328">
        <v>0</v>
      </c>
      <c r="Q257" s="223"/>
      <c r="R257" s="328">
        <v>0</v>
      </c>
      <c r="T257" s="352"/>
    </row>
    <row r="258" spans="1:20">
      <c r="A258" s="365">
        <f t="shared" si="8"/>
        <v>249</v>
      </c>
      <c r="B258" s="507" t="s">
        <v>930</v>
      </c>
      <c r="C258" s="219"/>
      <c r="D258" s="219">
        <v>0</v>
      </c>
      <c r="E258" s="219">
        <v>0</v>
      </c>
      <c r="F258" s="219">
        <v>0</v>
      </c>
      <c r="G258" s="219">
        <v>0</v>
      </c>
      <c r="H258" s="219">
        <v>129.10803549595127</v>
      </c>
      <c r="I258" s="219">
        <v>0</v>
      </c>
      <c r="J258" s="219">
        <v>0</v>
      </c>
      <c r="K258" s="219"/>
      <c r="L258" s="219">
        <v>0</v>
      </c>
      <c r="M258" s="413"/>
      <c r="N258" s="219">
        <v>0</v>
      </c>
      <c r="O258" s="224"/>
      <c r="P258" s="396">
        <v>0</v>
      </c>
      <c r="Q258" s="223"/>
      <c r="R258" s="396">
        <v>0</v>
      </c>
      <c r="T258" s="352"/>
    </row>
    <row r="259" spans="1:20">
      <c r="A259" s="365">
        <f t="shared" si="8"/>
        <v>250</v>
      </c>
      <c r="B259" s="507" t="s">
        <v>931</v>
      </c>
      <c r="C259" s="219"/>
      <c r="D259" s="219">
        <v>0</v>
      </c>
      <c r="E259" s="219">
        <v>0</v>
      </c>
      <c r="F259" s="219">
        <v>0</v>
      </c>
      <c r="G259" s="219">
        <v>0</v>
      </c>
      <c r="H259" s="219">
        <v>118.95540803862193</v>
      </c>
      <c r="I259" s="219">
        <v>4.8236878561309711</v>
      </c>
      <c r="J259" s="219">
        <v>-2.9836132604250474</v>
      </c>
      <c r="K259" s="219"/>
      <c r="L259" s="219">
        <v>0</v>
      </c>
      <c r="M259" s="413"/>
      <c r="N259" s="219">
        <v>0</v>
      </c>
      <c r="O259" s="224"/>
      <c r="P259" s="396">
        <v>0</v>
      </c>
      <c r="Q259" s="223"/>
      <c r="R259" s="396">
        <v>0</v>
      </c>
      <c r="T259" s="352"/>
    </row>
    <row r="260" spans="1:20">
      <c r="A260" s="365">
        <f t="shared" si="8"/>
        <v>251</v>
      </c>
      <c r="B260" s="507" t="s">
        <v>932</v>
      </c>
      <c r="C260" s="219"/>
      <c r="D260" s="219">
        <v>0</v>
      </c>
      <c r="E260" s="219">
        <v>0</v>
      </c>
      <c r="F260" s="219">
        <v>0</v>
      </c>
      <c r="G260" s="219">
        <v>0</v>
      </c>
      <c r="H260" s="219">
        <v>110.51166559921197</v>
      </c>
      <c r="I260" s="219">
        <v>0</v>
      </c>
      <c r="J260" s="219">
        <v>0</v>
      </c>
      <c r="K260" s="219"/>
      <c r="L260" s="219">
        <v>0</v>
      </c>
      <c r="M260" s="413"/>
      <c r="N260" s="219">
        <v>0</v>
      </c>
      <c r="O260" s="224"/>
      <c r="P260" s="396">
        <v>0</v>
      </c>
      <c r="Q260" s="223"/>
      <c r="R260" s="396">
        <v>0</v>
      </c>
      <c r="T260" s="352"/>
    </row>
    <row r="261" spans="1:20">
      <c r="A261" s="365">
        <f t="shared" si="8"/>
        <v>252</v>
      </c>
      <c r="B261" s="507" t="s">
        <v>933</v>
      </c>
      <c r="C261" s="219"/>
      <c r="D261" s="219">
        <v>0</v>
      </c>
      <c r="E261" s="219">
        <v>0</v>
      </c>
      <c r="F261" s="219">
        <v>0</v>
      </c>
      <c r="G261" s="219">
        <v>0</v>
      </c>
      <c r="H261" s="219">
        <v>93.501010216997656</v>
      </c>
      <c r="I261" s="219">
        <v>0</v>
      </c>
      <c r="J261" s="219">
        <v>0</v>
      </c>
      <c r="K261" s="219"/>
      <c r="L261" s="219">
        <v>0</v>
      </c>
      <c r="M261" s="413"/>
      <c r="N261" s="219">
        <v>0</v>
      </c>
      <c r="O261" s="224"/>
      <c r="P261" s="396">
        <v>0</v>
      </c>
      <c r="Q261" s="223"/>
      <c r="R261" s="396">
        <v>0</v>
      </c>
      <c r="T261" s="352"/>
    </row>
    <row r="262" spans="1:20">
      <c r="A262" s="365">
        <f t="shared" si="8"/>
        <v>253</v>
      </c>
      <c r="B262" s="507" t="s">
        <v>934</v>
      </c>
      <c r="C262" s="219"/>
      <c r="D262" s="219">
        <v>0</v>
      </c>
      <c r="E262" s="219">
        <v>0</v>
      </c>
      <c r="F262" s="219">
        <v>0</v>
      </c>
      <c r="G262" s="219">
        <v>0</v>
      </c>
      <c r="H262" s="219">
        <v>73.174784954151221</v>
      </c>
      <c r="I262" s="219">
        <v>0</v>
      </c>
      <c r="J262" s="219">
        <v>0</v>
      </c>
      <c r="K262" s="219"/>
      <c r="L262" s="219">
        <v>0</v>
      </c>
      <c r="M262" s="413"/>
      <c r="N262" s="219">
        <v>0</v>
      </c>
      <c r="O262" s="224"/>
      <c r="P262" s="396">
        <v>0</v>
      </c>
      <c r="Q262" s="223"/>
      <c r="R262" s="396">
        <v>0</v>
      </c>
      <c r="T262" s="352"/>
    </row>
    <row r="263" spans="1:20">
      <c r="A263" s="365">
        <f t="shared" si="8"/>
        <v>254</v>
      </c>
      <c r="B263" s="507" t="s">
        <v>935</v>
      </c>
      <c r="C263" s="219"/>
      <c r="D263" s="219">
        <v>0</v>
      </c>
      <c r="E263" s="219">
        <v>0</v>
      </c>
      <c r="F263" s="219">
        <v>0</v>
      </c>
      <c r="G263" s="219">
        <v>0</v>
      </c>
      <c r="H263" s="219">
        <v>37.342822804563284</v>
      </c>
      <c r="I263" s="219">
        <v>0</v>
      </c>
      <c r="J263" s="219">
        <v>0</v>
      </c>
      <c r="K263" s="219"/>
      <c r="L263" s="219">
        <v>0</v>
      </c>
      <c r="M263" s="413"/>
      <c r="N263" s="219">
        <v>0</v>
      </c>
      <c r="O263" s="224"/>
      <c r="P263" s="396">
        <v>0</v>
      </c>
      <c r="Q263" s="223"/>
      <c r="R263" s="396">
        <v>0</v>
      </c>
      <c r="T263" s="352"/>
    </row>
    <row r="264" spans="1:20">
      <c r="A264" s="365">
        <f t="shared" si="8"/>
        <v>255</v>
      </c>
      <c r="B264" s="507" t="s">
        <v>936</v>
      </c>
      <c r="C264" s="219"/>
      <c r="D264" s="219">
        <v>0</v>
      </c>
      <c r="E264" s="219">
        <v>0</v>
      </c>
      <c r="F264" s="219">
        <v>0</v>
      </c>
      <c r="G264" s="219">
        <v>0</v>
      </c>
      <c r="H264" s="219">
        <v>34.653988531521435</v>
      </c>
      <c r="I264" s="219">
        <v>-7.0303999272040478</v>
      </c>
      <c r="J264" s="219">
        <v>0</v>
      </c>
      <c r="K264" s="219"/>
      <c r="L264" s="219">
        <v>0</v>
      </c>
      <c r="M264" s="413"/>
      <c r="N264" s="219">
        <v>0</v>
      </c>
      <c r="O264" s="224"/>
      <c r="P264" s="396">
        <v>0</v>
      </c>
      <c r="Q264" s="223"/>
      <c r="R264" s="396">
        <v>0</v>
      </c>
      <c r="T264" s="352"/>
    </row>
    <row r="265" spans="1:20">
      <c r="A265" s="365">
        <f t="shared" si="8"/>
        <v>256</v>
      </c>
      <c r="B265" s="507" t="s">
        <v>937</v>
      </c>
      <c r="C265" s="219"/>
      <c r="D265" s="219">
        <v>0</v>
      </c>
      <c r="E265" s="219">
        <v>0</v>
      </c>
      <c r="F265" s="219">
        <v>0</v>
      </c>
      <c r="G265" s="219">
        <v>0</v>
      </c>
      <c r="H265" s="219">
        <v>24.576040900841171</v>
      </c>
      <c r="I265" s="219">
        <v>0</v>
      </c>
      <c r="J265" s="219">
        <v>0</v>
      </c>
      <c r="K265" s="219"/>
      <c r="L265" s="219">
        <v>0</v>
      </c>
      <c r="M265" s="413"/>
      <c r="N265" s="219">
        <v>0</v>
      </c>
      <c r="O265" s="224"/>
      <c r="P265" s="396">
        <v>0</v>
      </c>
      <c r="Q265" s="223"/>
      <c r="R265" s="396">
        <v>0</v>
      </c>
      <c r="T265" s="352"/>
    </row>
    <row r="266" spans="1:20">
      <c r="A266" s="365">
        <f t="shared" si="8"/>
        <v>257</v>
      </c>
      <c r="B266" s="507" t="s">
        <v>938</v>
      </c>
      <c r="C266" s="219"/>
      <c r="D266" s="219">
        <v>0</v>
      </c>
      <c r="E266" s="219">
        <v>0</v>
      </c>
      <c r="F266" s="219">
        <v>0</v>
      </c>
      <c r="G266" s="219">
        <v>0</v>
      </c>
      <c r="H266" s="219">
        <v>17.415618320547161</v>
      </c>
      <c r="I266" s="219">
        <v>18.397773899703463</v>
      </c>
      <c r="J266" s="219">
        <v>1.6376512500623839</v>
      </c>
      <c r="K266" s="219"/>
      <c r="L266" s="219">
        <v>0</v>
      </c>
      <c r="M266" s="413"/>
      <c r="N266" s="219">
        <v>0</v>
      </c>
      <c r="O266" s="224"/>
      <c r="P266" s="396">
        <v>0</v>
      </c>
      <c r="Q266" s="223"/>
      <c r="R266" s="396">
        <v>0</v>
      </c>
      <c r="T266" s="352"/>
    </row>
    <row r="267" spans="1:20">
      <c r="A267" s="365">
        <f t="shared" si="8"/>
        <v>258</v>
      </c>
      <c r="B267" s="507" t="s">
        <v>939</v>
      </c>
      <c r="C267" s="219"/>
      <c r="D267" s="219">
        <v>0</v>
      </c>
      <c r="E267" s="219">
        <v>0</v>
      </c>
      <c r="F267" s="219">
        <v>0</v>
      </c>
      <c r="G267" s="219">
        <v>0</v>
      </c>
      <c r="H267" s="219">
        <v>14.605268497981942</v>
      </c>
      <c r="I267" s="219">
        <v>137.59772602227261</v>
      </c>
      <c r="J267" s="219">
        <v>0</v>
      </c>
      <c r="K267" s="219"/>
      <c r="L267" s="219">
        <v>0</v>
      </c>
      <c r="M267" s="413"/>
      <c r="N267" s="219">
        <v>0</v>
      </c>
      <c r="O267" s="224"/>
      <c r="P267" s="396">
        <v>0</v>
      </c>
      <c r="Q267" s="223"/>
      <c r="R267" s="396">
        <v>0</v>
      </c>
      <c r="T267" s="352"/>
    </row>
    <row r="268" spans="1:20">
      <c r="A268" s="365">
        <f t="shared" si="8"/>
        <v>259</v>
      </c>
      <c r="B268" s="507" t="s">
        <v>940</v>
      </c>
      <c r="C268" s="219"/>
      <c r="D268" s="219">
        <v>0</v>
      </c>
      <c r="E268" s="219">
        <v>0</v>
      </c>
      <c r="F268" s="219">
        <v>0</v>
      </c>
      <c r="G268" s="219">
        <v>0</v>
      </c>
      <c r="H268" s="219">
        <v>0.19379557998448221</v>
      </c>
      <c r="I268" s="219">
        <v>225.0102377665246</v>
      </c>
      <c r="J268" s="219">
        <v>-40.976671770152699</v>
      </c>
      <c r="K268" s="219"/>
      <c r="L268" s="219">
        <v>0</v>
      </c>
      <c r="M268" s="413"/>
      <c r="N268" s="219">
        <v>0</v>
      </c>
      <c r="O268" s="224"/>
      <c r="P268" s="396">
        <v>0</v>
      </c>
      <c r="Q268" s="223"/>
      <c r="R268" s="396">
        <v>0</v>
      </c>
      <c r="T268" s="352"/>
    </row>
    <row r="269" spans="1:20">
      <c r="A269" s="365">
        <f t="shared" si="8"/>
        <v>260</v>
      </c>
      <c r="B269" s="507"/>
      <c r="C269" s="219"/>
      <c r="D269" s="219"/>
      <c r="E269" s="219"/>
      <c r="F269" s="219"/>
      <c r="G269" s="219"/>
      <c r="H269" s="219"/>
      <c r="I269" s="219"/>
      <c r="J269" s="219"/>
      <c r="K269" s="219"/>
      <c r="L269" s="219"/>
      <c r="M269" s="413"/>
      <c r="N269" s="219"/>
      <c r="O269" s="224"/>
      <c r="P269" s="396"/>
      <c r="Q269" s="223"/>
      <c r="R269" s="396"/>
      <c r="T269" s="352"/>
    </row>
    <row r="270" spans="1:20">
      <c r="A270" s="365">
        <f t="shared" si="8"/>
        <v>261</v>
      </c>
      <c r="B270" s="507" t="s">
        <v>941</v>
      </c>
      <c r="C270" s="219"/>
      <c r="D270" s="219">
        <v>0</v>
      </c>
      <c r="E270" s="219">
        <v>0</v>
      </c>
      <c r="F270" s="219">
        <v>0</v>
      </c>
      <c r="G270" s="219">
        <v>0</v>
      </c>
      <c r="H270" s="219">
        <v>0</v>
      </c>
      <c r="I270" s="219">
        <v>135.61479506059362</v>
      </c>
      <c r="J270" s="219">
        <v>-17.547773502905969</v>
      </c>
      <c r="K270" s="219"/>
      <c r="L270" s="219">
        <v>0</v>
      </c>
      <c r="M270" s="413"/>
      <c r="N270" s="219">
        <v>0</v>
      </c>
      <c r="O270" s="224"/>
      <c r="P270" s="396">
        <v>0</v>
      </c>
      <c r="Q270" s="223"/>
      <c r="R270" s="396">
        <v>0</v>
      </c>
      <c r="T270" s="352"/>
    </row>
    <row r="271" spans="1:20">
      <c r="A271" s="365">
        <f t="shared" si="8"/>
        <v>262</v>
      </c>
      <c r="B271" s="507" t="s">
        <v>942</v>
      </c>
      <c r="C271" s="219"/>
      <c r="D271" s="219">
        <v>0</v>
      </c>
      <c r="E271" s="219">
        <v>0</v>
      </c>
      <c r="F271" s="219">
        <v>0</v>
      </c>
      <c r="G271" s="219">
        <v>0</v>
      </c>
      <c r="H271" s="219">
        <v>0</v>
      </c>
      <c r="I271" s="219">
        <v>72.847730378543787</v>
      </c>
      <c r="J271" s="219">
        <v>-4.0135133000622423</v>
      </c>
      <c r="K271" s="219"/>
      <c r="L271" s="219">
        <v>0</v>
      </c>
      <c r="M271" s="413"/>
      <c r="N271" s="219">
        <v>0</v>
      </c>
      <c r="O271" s="224"/>
      <c r="P271" s="396">
        <v>0</v>
      </c>
      <c r="Q271" s="223"/>
      <c r="R271" s="396">
        <v>0</v>
      </c>
      <c r="T271" s="352"/>
    </row>
    <row r="272" spans="1:20">
      <c r="A272" s="365">
        <f t="shared" si="8"/>
        <v>263</v>
      </c>
      <c r="B272" s="507" t="s">
        <v>943</v>
      </c>
      <c r="C272" s="219"/>
      <c r="D272" s="219">
        <v>0</v>
      </c>
      <c r="E272" s="219">
        <v>0</v>
      </c>
      <c r="F272" s="219">
        <v>0</v>
      </c>
      <c r="G272" s="219">
        <v>0</v>
      </c>
      <c r="H272" s="219">
        <v>0</v>
      </c>
      <c r="I272" s="219">
        <v>61.788340611322887</v>
      </c>
      <c r="J272" s="219">
        <v>2.3893867846904446</v>
      </c>
      <c r="K272" s="219"/>
      <c r="L272" s="219">
        <v>0</v>
      </c>
      <c r="M272" s="413"/>
      <c r="N272" s="219">
        <v>0</v>
      </c>
      <c r="O272" s="224"/>
      <c r="P272" s="396">
        <v>0</v>
      </c>
      <c r="Q272" s="223"/>
      <c r="R272" s="396">
        <v>0</v>
      </c>
      <c r="T272" s="352"/>
    </row>
    <row r="273" spans="1:20">
      <c r="A273" s="365">
        <f t="shared" si="8"/>
        <v>264</v>
      </c>
      <c r="B273" s="507" t="s">
        <v>944</v>
      </c>
      <c r="C273" s="219"/>
      <c r="D273" s="219">
        <v>0</v>
      </c>
      <c r="E273" s="219">
        <v>0</v>
      </c>
      <c r="F273" s="219">
        <v>0</v>
      </c>
      <c r="G273" s="219">
        <v>0</v>
      </c>
      <c r="H273" s="219">
        <v>0</v>
      </c>
      <c r="I273" s="219">
        <v>44.179096885088605</v>
      </c>
      <c r="J273" s="219">
        <v>0</v>
      </c>
      <c r="K273" s="219"/>
      <c r="L273" s="219">
        <v>0</v>
      </c>
      <c r="M273" s="413"/>
      <c r="N273" s="219">
        <v>0</v>
      </c>
      <c r="O273" s="224"/>
      <c r="P273" s="396">
        <v>0</v>
      </c>
      <c r="Q273" s="223"/>
      <c r="R273" s="396">
        <v>0</v>
      </c>
      <c r="T273" s="352"/>
    </row>
    <row r="274" spans="1:20">
      <c r="A274" s="365">
        <f t="shared" si="8"/>
        <v>265</v>
      </c>
      <c r="B274" s="507" t="s">
        <v>945</v>
      </c>
      <c r="C274" s="219"/>
      <c r="D274" s="219">
        <v>0</v>
      </c>
      <c r="E274" s="219">
        <v>0</v>
      </c>
      <c r="F274" s="219">
        <v>0</v>
      </c>
      <c r="G274" s="219">
        <v>0</v>
      </c>
      <c r="H274" s="219">
        <v>0</v>
      </c>
      <c r="I274" s="219">
        <v>36.648856697581763</v>
      </c>
      <c r="J274" s="219">
        <v>0.33004242951928303</v>
      </c>
      <c r="K274" s="219"/>
      <c r="L274" s="219">
        <v>0</v>
      </c>
      <c r="M274" s="413"/>
      <c r="N274" s="219">
        <v>0</v>
      </c>
      <c r="O274" s="224"/>
      <c r="P274" s="396">
        <v>0</v>
      </c>
      <c r="Q274" s="223"/>
      <c r="R274" s="396">
        <v>0</v>
      </c>
      <c r="T274" s="352"/>
    </row>
    <row r="275" spans="1:20">
      <c r="A275" s="365">
        <f t="shared" si="8"/>
        <v>266</v>
      </c>
      <c r="B275" s="507" t="s">
        <v>946</v>
      </c>
      <c r="C275" s="219"/>
      <c r="D275" s="219">
        <v>0</v>
      </c>
      <c r="E275" s="219">
        <v>0</v>
      </c>
      <c r="F275" s="219">
        <v>0</v>
      </c>
      <c r="G275" s="219">
        <v>0</v>
      </c>
      <c r="H275" s="219">
        <v>0</v>
      </c>
      <c r="I275" s="219">
        <v>29.057216205052725</v>
      </c>
      <c r="J275" s="219">
        <v>0</v>
      </c>
      <c r="K275" s="219"/>
      <c r="L275" s="219">
        <v>0</v>
      </c>
      <c r="M275" s="413"/>
      <c r="N275" s="219">
        <v>0</v>
      </c>
      <c r="O275" s="224"/>
      <c r="P275" s="396">
        <v>0</v>
      </c>
      <c r="Q275" s="223"/>
      <c r="R275" s="396">
        <v>0</v>
      </c>
      <c r="T275" s="352"/>
    </row>
    <row r="276" spans="1:20">
      <c r="A276" s="365">
        <f t="shared" si="8"/>
        <v>267</v>
      </c>
      <c r="B276" s="507" t="s">
        <v>947</v>
      </c>
      <c r="C276" s="219"/>
      <c r="D276" s="219">
        <v>0</v>
      </c>
      <c r="E276" s="219">
        <v>0</v>
      </c>
      <c r="F276" s="219">
        <v>0</v>
      </c>
      <c r="G276" s="219">
        <v>0</v>
      </c>
      <c r="H276" s="219">
        <v>0</v>
      </c>
      <c r="I276" s="219">
        <v>2.8730106417950871</v>
      </c>
      <c r="J276" s="219">
        <v>28.146299493752267</v>
      </c>
      <c r="K276" s="219"/>
      <c r="L276" s="219">
        <v>0</v>
      </c>
      <c r="M276" s="413"/>
      <c r="N276" s="219">
        <v>0</v>
      </c>
      <c r="O276" s="224"/>
      <c r="P276" s="396">
        <v>0</v>
      </c>
      <c r="Q276" s="223"/>
      <c r="R276" s="396">
        <v>0</v>
      </c>
      <c r="T276" s="352"/>
    </row>
    <row r="277" spans="1:20">
      <c r="A277" s="365">
        <f t="shared" si="8"/>
        <v>268</v>
      </c>
      <c r="B277" s="507"/>
      <c r="C277" s="219"/>
      <c r="D277" s="219"/>
      <c r="E277" s="219"/>
      <c r="F277" s="219"/>
      <c r="G277" s="219"/>
      <c r="H277" s="219"/>
      <c r="I277" s="219"/>
      <c r="J277" s="219"/>
      <c r="K277" s="219"/>
      <c r="L277" s="219"/>
      <c r="M277" s="413"/>
      <c r="N277" s="219"/>
      <c r="O277" s="224"/>
      <c r="P277" s="396"/>
      <c r="Q277" s="223"/>
      <c r="R277" s="396"/>
      <c r="T277" s="352"/>
    </row>
    <row r="278" spans="1:20">
      <c r="A278" s="365">
        <f t="shared" si="8"/>
        <v>269</v>
      </c>
      <c r="B278" s="507" t="s">
        <v>948</v>
      </c>
      <c r="C278" s="219"/>
      <c r="D278" s="219">
        <v>0</v>
      </c>
      <c r="E278" s="219">
        <v>0</v>
      </c>
      <c r="F278" s="219">
        <v>0</v>
      </c>
      <c r="G278" s="219">
        <v>0</v>
      </c>
      <c r="H278" s="219">
        <v>0</v>
      </c>
      <c r="I278" s="219">
        <v>0</v>
      </c>
      <c r="J278" s="219">
        <v>46.990674590891317</v>
      </c>
      <c r="K278" s="222"/>
      <c r="L278" s="219">
        <v>0</v>
      </c>
      <c r="M278" s="222"/>
      <c r="N278" s="219">
        <v>0</v>
      </c>
      <c r="O278" s="224"/>
      <c r="P278" s="328">
        <v>0</v>
      </c>
      <c r="Q278" s="223"/>
      <c r="R278" s="328">
        <v>0</v>
      </c>
      <c r="T278" s="352"/>
    </row>
    <row r="279" spans="1:20">
      <c r="A279" s="365">
        <f t="shared" si="8"/>
        <v>270</v>
      </c>
      <c r="B279" s="507" t="s">
        <v>949</v>
      </c>
      <c r="C279" s="219"/>
      <c r="D279" s="219">
        <v>0</v>
      </c>
      <c r="E279" s="219">
        <v>0</v>
      </c>
      <c r="F279" s="219">
        <v>0</v>
      </c>
      <c r="G279" s="219">
        <v>0</v>
      </c>
      <c r="H279" s="219">
        <v>0</v>
      </c>
      <c r="I279" s="219">
        <v>0</v>
      </c>
      <c r="J279" s="219">
        <v>35.776456506465856</v>
      </c>
      <c r="K279" s="222"/>
      <c r="L279" s="219">
        <v>0</v>
      </c>
      <c r="M279" s="222"/>
      <c r="N279" s="219">
        <v>0</v>
      </c>
      <c r="O279" s="224"/>
      <c r="P279" s="328">
        <v>0</v>
      </c>
      <c r="Q279" s="223"/>
      <c r="R279" s="328">
        <v>0</v>
      </c>
      <c r="T279" s="352"/>
    </row>
    <row r="280" spans="1:20">
      <c r="A280" s="365">
        <f t="shared" si="8"/>
        <v>271</v>
      </c>
      <c r="B280" s="507" t="s">
        <v>950</v>
      </c>
      <c r="C280" s="219"/>
      <c r="D280" s="219">
        <v>0</v>
      </c>
      <c r="E280" s="219">
        <v>0</v>
      </c>
      <c r="F280" s="219">
        <v>0</v>
      </c>
      <c r="G280" s="219">
        <v>0</v>
      </c>
      <c r="H280" s="219">
        <v>0</v>
      </c>
      <c r="I280" s="219">
        <v>0</v>
      </c>
      <c r="J280" s="219">
        <v>54.404302242408534</v>
      </c>
      <c r="K280" s="222"/>
      <c r="L280" s="219">
        <v>0</v>
      </c>
      <c r="M280" s="222"/>
      <c r="N280" s="219">
        <v>0</v>
      </c>
      <c r="O280" s="224"/>
      <c r="P280" s="328">
        <v>0</v>
      </c>
      <c r="Q280" s="223"/>
      <c r="R280" s="328">
        <v>0</v>
      </c>
      <c r="T280" s="352"/>
    </row>
    <row r="281" spans="1:20">
      <c r="A281" s="365">
        <f t="shared" si="8"/>
        <v>272</v>
      </c>
      <c r="B281" s="507" t="s">
        <v>951</v>
      </c>
      <c r="C281" s="219"/>
      <c r="D281" s="219">
        <v>0</v>
      </c>
      <c r="E281" s="219">
        <v>0</v>
      </c>
      <c r="F281" s="219">
        <v>0</v>
      </c>
      <c r="G281" s="219">
        <v>0</v>
      </c>
      <c r="H281" s="219">
        <v>0</v>
      </c>
      <c r="I281" s="219">
        <v>0</v>
      </c>
      <c r="J281" s="219">
        <v>399.54228372771854</v>
      </c>
      <c r="K281" s="222"/>
      <c r="L281" s="219">
        <v>2400</v>
      </c>
      <c r="M281" s="222"/>
      <c r="N281" s="219">
        <v>0</v>
      </c>
      <c r="O281" s="224"/>
      <c r="P281" s="328">
        <v>0</v>
      </c>
      <c r="Q281" s="223"/>
      <c r="R281" s="328">
        <v>0</v>
      </c>
      <c r="T281" s="352"/>
    </row>
    <row r="282" spans="1:20">
      <c r="A282" s="365">
        <f t="shared" si="8"/>
        <v>273</v>
      </c>
      <c r="B282" s="507" t="s">
        <v>952</v>
      </c>
      <c r="C282" s="219"/>
      <c r="D282" s="219">
        <v>0</v>
      </c>
      <c r="E282" s="219">
        <v>0</v>
      </c>
      <c r="F282" s="219">
        <v>0</v>
      </c>
      <c r="G282" s="219">
        <v>0</v>
      </c>
      <c r="H282" s="219">
        <v>0</v>
      </c>
      <c r="I282" s="219">
        <v>0.1569063206423536</v>
      </c>
      <c r="J282" s="219">
        <v>161.97519767601878</v>
      </c>
      <c r="K282" s="222"/>
      <c r="L282" s="219">
        <v>0</v>
      </c>
      <c r="M282" s="222"/>
      <c r="N282" s="219">
        <v>0</v>
      </c>
      <c r="O282" s="224"/>
      <c r="P282" s="328">
        <v>0</v>
      </c>
      <c r="Q282" s="223"/>
      <c r="R282" s="328">
        <v>0</v>
      </c>
      <c r="T282" s="352"/>
    </row>
    <row r="283" spans="1:20">
      <c r="A283" s="365">
        <f t="shared" si="8"/>
        <v>274</v>
      </c>
      <c r="B283" s="507" t="s">
        <v>953</v>
      </c>
      <c r="C283" s="219"/>
      <c r="D283" s="219">
        <v>0</v>
      </c>
      <c r="E283" s="219">
        <v>0</v>
      </c>
      <c r="F283" s="219">
        <v>0</v>
      </c>
      <c r="G283" s="219">
        <v>0</v>
      </c>
      <c r="H283" s="219">
        <v>0</v>
      </c>
      <c r="I283" s="219">
        <v>0</v>
      </c>
      <c r="J283" s="219">
        <v>146.22612235666281</v>
      </c>
      <c r="K283" s="222"/>
      <c r="L283" s="219">
        <v>65.658180000000002</v>
      </c>
      <c r="M283" s="222"/>
      <c r="N283" s="219">
        <v>0</v>
      </c>
      <c r="O283" s="224"/>
      <c r="P283" s="328">
        <v>0</v>
      </c>
      <c r="Q283" s="223"/>
      <c r="R283" s="328">
        <v>0</v>
      </c>
      <c r="T283" s="352"/>
    </row>
    <row r="284" spans="1:20">
      <c r="A284" s="365">
        <f t="shared" si="8"/>
        <v>275</v>
      </c>
      <c r="B284" s="507"/>
      <c r="C284" s="219"/>
      <c r="D284" s="219"/>
      <c r="E284" s="219"/>
      <c r="F284" s="219"/>
      <c r="G284" s="219"/>
      <c r="H284" s="219"/>
      <c r="I284" s="219"/>
      <c r="J284" s="219"/>
      <c r="K284" s="222"/>
      <c r="L284" s="219"/>
      <c r="M284" s="222"/>
      <c r="N284" s="219"/>
      <c r="O284" s="224"/>
      <c r="P284" s="328"/>
      <c r="Q284" s="223"/>
      <c r="R284" s="328"/>
      <c r="T284" s="352"/>
    </row>
    <row r="285" spans="1:20">
      <c r="A285" s="365">
        <f t="shared" si="8"/>
        <v>276</v>
      </c>
      <c r="B285" s="507" t="s">
        <v>954</v>
      </c>
      <c r="C285" s="219"/>
      <c r="D285" s="219">
        <v>0</v>
      </c>
      <c r="E285" s="219">
        <v>0</v>
      </c>
      <c r="F285" s="219">
        <v>0</v>
      </c>
      <c r="G285" s="219">
        <v>0</v>
      </c>
      <c r="H285" s="219">
        <v>0</v>
      </c>
      <c r="I285" s="219">
        <v>0</v>
      </c>
      <c r="J285" s="219">
        <v>0</v>
      </c>
      <c r="K285" s="222"/>
      <c r="L285" s="219">
        <v>0</v>
      </c>
      <c r="M285" s="222"/>
      <c r="N285" s="219">
        <v>0</v>
      </c>
      <c r="O285" s="224"/>
      <c r="P285" s="328">
        <v>0</v>
      </c>
      <c r="Q285" s="223"/>
      <c r="R285" s="328">
        <v>0</v>
      </c>
      <c r="T285" s="352"/>
    </row>
    <row r="286" spans="1:20">
      <c r="A286" s="365">
        <f t="shared" si="8"/>
        <v>277</v>
      </c>
      <c r="B286" s="507" t="s">
        <v>955</v>
      </c>
      <c r="C286" s="219"/>
      <c r="D286" s="219">
        <v>0</v>
      </c>
      <c r="E286" s="219">
        <v>0</v>
      </c>
      <c r="F286" s="219">
        <v>0</v>
      </c>
      <c r="G286" s="219">
        <v>0</v>
      </c>
      <c r="H286" s="219">
        <v>0</v>
      </c>
      <c r="I286" s="219">
        <v>0</v>
      </c>
      <c r="J286" s="219">
        <v>0</v>
      </c>
      <c r="K286" s="222"/>
      <c r="L286" s="219">
        <v>40</v>
      </c>
      <c r="M286" s="222"/>
      <c r="N286" s="219">
        <v>0</v>
      </c>
      <c r="O286" s="224"/>
      <c r="P286" s="328">
        <v>0</v>
      </c>
      <c r="Q286" s="223"/>
      <c r="R286" s="328">
        <v>0</v>
      </c>
      <c r="T286" s="352"/>
    </row>
    <row r="287" spans="1:20">
      <c r="A287" s="365">
        <f t="shared" si="8"/>
        <v>278</v>
      </c>
      <c r="B287" s="507" t="s">
        <v>956</v>
      </c>
      <c r="C287" s="219"/>
      <c r="D287" s="219">
        <v>0</v>
      </c>
      <c r="E287" s="219">
        <v>0</v>
      </c>
      <c r="F287" s="219">
        <v>0</v>
      </c>
      <c r="G287" s="219">
        <v>0</v>
      </c>
      <c r="H287" s="219">
        <v>0</v>
      </c>
      <c r="I287" s="219">
        <v>0</v>
      </c>
      <c r="J287" s="219">
        <v>0</v>
      </c>
      <c r="K287" s="222"/>
      <c r="L287" s="219">
        <v>40</v>
      </c>
      <c r="M287" s="222"/>
      <c r="N287" s="219">
        <v>0</v>
      </c>
      <c r="O287" s="224"/>
      <c r="P287" s="328">
        <v>0</v>
      </c>
      <c r="Q287" s="223"/>
      <c r="R287" s="328">
        <v>0</v>
      </c>
      <c r="T287" s="352"/>
    </row>
    <row r="288" spans="1:20">
      <c r="A288" s="365">
        <f t="shared" ref="A288:A351" si="9">A287+1</f>
        <v>279</v>
      </c>
      <c r="B288" s="507" t="s">
        <v>957</v>
      </c>
      <c r="C288" s="219"/>
      <c r="D288" s="219">
        <v>0</v>
      </c>
      <c r="E288" s="219">
        <v>0</v>
      </c>
      <c r="F288" s="219">
        <v>0</v>
      </c>
      <c r="G288" s="219">
        <v>0</v>
      </c>
      <c r="H288" s="219">
        <v>0</v>
      </c>
      <c r="I288" s="219">
        <v>0</v>
      </c>
      <c r="J288" s="219">
        <v>0</v>
      </c>
      <c r="K288" s="222"/>
      <c r="L288" s="219">
        <v>25</v>
      </c>
      <c r="M288" s="222"/>
      <c r="N288" s="219">
        <v>792.07</v>
      </c>
      <c r="O288" s="224"/>
      <c r="P288" s="328">
        <v>0</v>
      </c>
      <c r="Q288" s="223"/>
      <c r="R288" s="328">
        <v>0</v>
      </c>
      <c r="T288" s="352"/>
    </row>
    <row r="289" spans="1:20">
      <c r="A289" s="365">
        <f t="shared" si="9"/>
        <v>280</v>
      </c>
      <c r="B289" s="507" t="s">
        <v>958</v>
      </c>
      <c r="C289" s="219"/>
      <c r="D289" s="219">
        <v>0</v>
      </c>
      <c r="E289" s="219">
        <v>0</v>
      </c>
      <c r="F289" s="219">
        <v>0</v>
      </c>
      <c r="G289" s="219">
        <v>0</v>
      </c>
      <c r="H289" s="219">
        <v>0</v>
      </c>
      <c r="I289" s="219">
        <v>0</v>
      </c>
      <c r="J289" s="219">
        <v>0</v>
      </c>
      <c r="K289" s="222"/>
      <c r="L289" s="219">
        <v>20</v>
      </c>
      <c r="M289" s="222"/>
      <c r="N289" s="219">
        <v>0</v>
      </c>
      <c r="O289" s="224"/>
      <c r="P289" s="328">
        <v>0</v>
      </c>
      <c r="Q289" s="223"/>
      <c r="R289" s="328">
        <v>0</v>
      </c>
      <c r="T289" s="352"/>
    </row>
    <row r="290" spans="1:20">
      <c r="A290" s="365">
        <f t="shared" si="9"/>
        <v>281</v>
      </c>
      <c r="B290" s="507" t="s">
        <v>959</v>
      </c>
      <c r="C290" s="219"/>
      <c r="D290" s="219">
        <v>0</v>
      </c>
      <c r="E290" s="219">
        <v>0</v>
      </c>
      <c r="F290" s="219">
        <v>0</v>
      </c>
      <c r="G290" s="219">
        <v>0</v>
      </c>
      <c r="H290" s="219">
        <v>0</v>
      </c>
      <c r="I290" s="219">
        <v>0</v>
      </c>
      <c r="J290" s="219">
        <v>0</v>
      </c>
      <c r="K290" s="222"/>
      <c r="L290" s="219">
        <v>153.75</v>
      </c>
      <c r="M290" s="222"/>
      <c r="N290" s="219">
        <v>2781</v>
      </c>
      <c r="O290" s="224"/>
      <c r="P290" s="328">
        <v>0</v>
      </c>
      <c r="Q290" s="223"/>
      <c r="R290" s="328">
        <v>0</v>
      </c>
      <c r="T290" s="352"/>
    </row>
    <row r="291" spans="1:20">
      <c r="A291" s="365">
        <f t="shared" si="9"/>
        <v>282</v>
      </c>
      <c r="B291" s="507" t="s">
        <v>960</v>
      </c>
      <c r="C291" s="219"/>
      <c r="D291" s="219">
        <v>0</v>
      </c>
      <c r="E291" s="219">
        <v>0</v>
      </c>
      <c r="F291" s="219">
        <v>0</v>
      </c>
      <c r="G291" s="219">
        <v>0</v>
      </c>
      <c r="H291" s="219">
        <v>0</v>
      </c>
      <c r="I291" s="219">
        <v>0</v>
      </c>
      <c r="J291" s="219">
        <v>0</v>
      </c>
      <c r="K291" s="222"/>
      <c r="L291" s="219">
        <v>380</v>
      </c>
      <c r="M291" s="222"/>
      <c r="N291" s="219">
        <v>164.8</v>
      </c>
      <c r="O291" s="224"/>
      <c r="P291" s="328">
        <v>0</v>
      </c>
      <c r="Q291" s="223"/>
      <c r="R291" s="328">
        <v>0</v>
      </c>
      <c r="T291" s="352"/>
    </row>
    <row r="292" spans="1:20">
      <c r="A292" s="365">
        <f t="shared" si="9"/>
        <v>283</v>
      </c>
      <c r="B292" s="507" t="s">
        <v>961</v>
      </c>
      <c r="C292" s="219"/>
      <c r="D292" s="219">
        <v>0</v>
      </c>
      <c r="E292" s="219">
        <v>0</v>
      </c>
      <c r="F292" s="219">
        <v>0</v>
      </c>
      <c r="G292" s="219">
        <v>0</v>
      </c>
      <c r="H292" s="219">
        <v>0</v>
      </c>
      <c r="I292" s="219">
        <v>0</v>
      </c>
      <c r="J292" s="219">
        <v>0</v>
      </c>
      <c r="K292" s="222"/>
      <c r="L292" s="219">
        <v>47.100188434036028</v>
      </c>
      <c r="M292" s="222"/>
      <c r="N292" s="219">
        <v>0</v>
      </c>
      <c r="O292" s="224"/>
      <c r="P292" s="328">
        <v>0</v>
      </c>
      <c r="Q292" s="223"/>
      <c r="R292" s="328">
        <v>0</v>
      </c>
      <c r="T292" s="352"/>
    </row>
    <row r="293" spans="1:20">
      <c r="A293" s="365">
        <f t="shared" si="9"/>
        <v>284</v>
      </c>
      <c r="B293" s="507" t="s">
        <v>962</v>
      </c>
      <c r="C293" s="219"/>
      <c r="D293" s="219">
        <v>0</v>
      </c>
      <c r="E293" s="219">
        <v>0</v>
      </c>
      <c r="F293" s="219">
        <v>0</v>
      </c>
      <c r="G293" s="219">
        <v>0</v>
      </c>
      <c r="H293" s="219">
        <v>0</v>
      </c>
      <c r="I293" s="219">
        <v>0</v>
      </c>
      <c r="J293" s="219">
        <v>0</v>
      </c>
      <c r="K293" s="222"/>
      <c r="L293" s="219">
        <v>50</v>
      </c>
      <c r="M293" s="222"/>
      <c r="N293" s="219">
        <v>51.5</v>
      </c>
      <c r="O293" s="224"/>
      <c r="P293" s="328">
        <v>0</v>
      </c>
      <c r="Q293" s="223"/>
      <c r="R293" s="328">
        <v>0</v>
      </c>
      <c r="T293" s="352"/>
    </row>
    <row r="294" spans="1:20">
      <c r="A294" s="365">
        <f t="shared" si="9"/>
        <v>285</v>
      </c>
      <c r="B294" s="507" t="s">
        <v>963</v>
      </c>
      <c r="C294" s="219"/>
      <c r="D294" s="219">
        <v>0</v>
      </c>
      <c r="E294" s="219">
        <v>0</v>
      </c>
      <c r="F294" s="219">
        <v>0</v>
      </c>
      <c r="G294" s="219">
        <v>0</v>
      </c>
      <c r="H294" s="219">
        <v>0</v>
      </c>
      <c r="I294" s="219">
        <v>0</v>
      </c>
      <c r="J294" s="219">
        <v>0</v>
      </c>
      <c r="K294" s="222"/>
      <c r="L294" s="219">
        <v>87.124999999999986</v>
      </c>
      <c r="M294" s="222"/>
      <c r="N294" s="219">
        <v>89.61</v>
      </c>
      <c r="O294" s="224"/>
      <c r="P294" s="328">
        <v>0</v>
      </c>
      <c r="Q294" s="223"/>
      <c r="R294" s="328">
        <v>0</v>
      </c>
      <c r="T294" s="352"/>
    </row>
    <row r="295" spans="1:20">
      <c r="A295" s="365">
        <f t="shared" si="9"/>
        <v>286</v>
      </c>
      <c r="B295" s="507" t="s">
        <v>964</v>
      </c>
      <c r="C295" s="219"/>
      <c r="D295" s="219">
        <v>0</v>
      </c>
      <c r="E295" s="219">
        <v>0</v>
      </c>
      <c r="F295" s="219">
        <v>0</v>
      </c>
      <c r="G295" s="219">
        <v>0</v>
      </c>
      <c r="H295" s="219">
        <v>0</v>
      </c>
      <c r="I295" s="219">
        <v>0</v>
      </c>
      <c r="J295" s="219">
        <v>0</v>
      </c>
      <c r="K295" s="222"/>
      <c r="L295" s="219">
        <v>225</v>
      </c>
      <c r="M295" s="222"/>
      <c r="N295" s="219">
        <v>0</v>
      </c>
      <c r="O295" s="224"/>
      <c r="P295" s="328">
        <v>0</v>
      </c>
      <c r="Q295" s="223"/>
      <c r="R295" s="328">
        <v>0</v>
      </c>
      <c r="T295" s="352"/>
    </row>
    <row r="296" spans="1:20">
      <c r="A296" s="365">
        <f t="shared" si="9"/>
        <v>287</v>
      </c>
      <c r="B296" s="507" t="s">
        <v>965</v>
      </c>
      <c r="C296" s="219"/>
      <c r="D296" s="219">
        <v>0</v>
      </c>
      <c r="E296" s="219">
        <v>0</v>
      </c>
      <c r="F296" s="219">
        <v>0</v>
      </c>
      <c r="G296" s="219">
        <v>0</v>
      </c>
      <c r="H296" s="219">
        <v>0</v>
      </c>
      <c r="I296" s="219">
        <v>0</v>
      </c>
      <c r="J296" s="219">
        <v>0</v>
      </c>
      <c r="K296" s="222"/>
      <c r="L296" s="219">
        <v>110</v>
      </c>
      <c r="M296" s="222"/>
      <c r="N296" s="219">
        <v>0</v>
      </c>
      <c r="O296" s="224"/>
      <c r="P296" s="328">
        <v>0</v>
      </c>
      <c r="Q296" s="223"/>
      <c r="R296" s="328">
        <v>0</v>
      </c>
      <c r="T296" s="352"/>
    </row>
    <row r="297" spans="1:20">
      <c r="A297" s="365">
        <f t="shared" si="9"/>
        <v>288</v>
      </c>
      <c r="B297" s="507" t="s">
        <v>966</v>
      </c>
      <c r="C297" s="219"/>
      <c r="D297" s="219">
        <v>0</v>
      </c>
      <c r="E297" s="219">
        <v>0</v>
      </c>
      <c r="F297" s="219">
        <v>0</v>
      </c>
      <c r="G297" s="219">
        <v>0</v>
      </c>
      <c r="H297" s="219">
        <v>0</v>
      </c>
      <c r="I297" s="219">
        <v>0</v>
      </c>
      <c r="J297" s="219">
        <v>0</v>
      </c>
      <c r="K297" s="222"/>
      <c r="L297" s="219">
        <v>0</v>
      </c>
      <c r="M297" s="222"/>
      <c r="N297" s="219">
        <v>164.8</v>
      </c>
      <c r="O297" s="224"/>
      <c r="P297" s="328">
        <v>0</v>
      </c>
      <c r="Q297" s="223"/>
      <c r="R297" s="328">
        <v>0</v>
      </c>
      <c r="T297" s="352"/>
    </row>
    <row r="298" spans="1:20">
      <c r="A298" s="365">
        <f t="shared" si="9"/>
        <v>289</v>
      </c>
      <c r="B298" s="507" t="s">
        <v>967</v>
      </c>
      <c r="C298" s="219"/>
      <c r="D298" s="219">
        <v>0</v>
      </c>
      <c r="E298" s="219">
        <v>0</v>
      </c>
      <c r="F298" s="219">
        <v>0</v>
      </c>
      <c r="G298" s="219">
        <v>0</v>
      </c>
      <c r="H298" s="219">
        <v>0</v>
      </c>
      <c r="I298" s="219">
        <v>0</v>
      </c>
      <c r="J298" s="219">
        <v>0</v>
      </c>
      <c r="K298" s="222"/>
      <c r="L298" s="219">
        <v>100</v>
      </c>
      <c r="M298" s="222"/>
      <c r="N298" s="219">
        <v>0</v>
      </c>
      <c r="O298" s="224"/>
      <c r="P298" s="328">
        <v>0</v>
      </c>
      <c r="Q298" s="223"/>
      <c r="R298" s="328">
        <v>0</v>
      </c>
      <c r="T298" s="352"/>
    </row>
    <row r="299" spans="1:20">
      <c r="A299" s="365">
        <f t="shared" si="9"/>
        <v>290</v>
      </c>
      <c r="B299" s="507" t="s">
        <v>968</v>
      </c>
      <c r="C299" s="219"/>
      <c r="D299" s="219">
        <v>0</v>
      </c>
      <c r="E299" s="219">
        <v>0</v>
      </c>
      <c r="F299" s="219">
        <v>0</v>
      </c>
      <c r="G299" s="219">
        <v>0</v>
      </c>
      <c r="H299" s="219">
        <v>0</v>
      </c>
      <c r="I299" s="219">
        <v>0</v>
      </c>
      <c r="J299" s="219">
        <v>0</v>
      </c>
      <c r="K299" s="222"/>
      <c r="L299" s="219">
        <v>0</v>
      </c>
      <c r="M299" s="222"/>
      <c r="N299" s="219">
        <v>360.5</v>
      </c>
      <c r="O299" s="224"/>
      <c r="P299" s="328">
        <v>0</v>
      </c>
      <c r="Q299" s="223"/>
      <c r="R299" s="328">
        <v>0</v>
      </c>
      <c r="T299" s="352"/>
    </row>
    <row r="300" spans="1:20">
      <c r="A300" s="365">
        <f t="shared" si="9"/>
        <v>291</v>
      </c>
      <c r="B300" s="507" t="s">
        <v>969</v>
      </c>
      <c r="C300" s="219"/>
      <c r="D300" s="219">
        <v>0</v>
      </c>
      <c r="E300" s="219">
        <v>0</v>
      </c>
      <c r="F300" s="219">
        <v>0</v>
      </c>
      <c r="G300" s="219">
        <v>0</v>
      </c>
      <c r="H300" s="219">
        <v>0</v>
      </c>
      <c r="I300" s="219">
        <v>0</v>
      </c>
      <c r="J300" s="219">
        <v>0</v>
      </c>
      <c r="K300" s="222"/>
      <c r="L300" s="219">
        <v>0</v>
      </c>
      <c r="M300" s="222"/>
      <c r="N300" s="219">
        <v>103</v>
      </c>
      <c r="O300" s="224"/>
      <c r="P300" s="328">
        <v>0</v>
      </c>
      <c r="Q300" s="223"/>
      <c r="R300" s="328">
        <v>0</v>
      </c>
      <c r="T300" s="352"/>
    </row>
    <row r="301" spans="1:20">
      <c r="A301" s="365">
        <f t="shared" si="9"/>
        <v>292</v>
      </c>
      <c r="B301" s="507" t="s">
        <v>970</v>
      </c>
      <c r="C301" s="219"/>
      <c r="D301" s="219">
        <v>0</v>
      </c>
      <c r="E301" s="219">
        <v>0</v>
      </c>
      <c r="F301" s="219">
        <v>0</v>
      </c>
      <c r="G301" s="219">
        <v>0</v>
      </c>
      <c r="H301" s="219">
        <v>0</v>
      </c>
      <c r="I301" s="219">
        <v>0</v>
      </c>
      <c r="J301" s="219">
        <v>0</v>
      </c>
      <c r="K301" s="222"/>
      <c r="L301" s="219">
        <v>150</v>
      </c>
      <c r="M301" s="222"/>
      <c r="N301" s="219">
        <v>206</v>
      </c>
      <c r="O301" s="224"/>
      <c r="P301" s="328">
        <v>0</v>
      </c>
      <c r="Q301" s="223"/>
      <c r="R301" s="328">
        <v>0</v>
      </c>
      <c r="T301" s="352"/>
    </row>
    <row r="302" spans="1:20">
      <c r="A302" s="365">
        <f t="shared" si="9"/>
        <v>293</v>
      </c>
      <c r="B302" s="507" t="s">
        <v>971</v>
      </c>
      <c r="C302" s="219"/>
      <c r="D302" s="219">
        <v>0</v>
      </c>
      <c r="E302" s="219">
        <v>0</v>
      </c>
      <c r="F302" s="219">
        <v>0</v>
      </c>
      <c r="G302" s="219">
        <v>0</v>
      </c>
      <c r="H302" s="219">
        <v>0</v>
      </c>
      <c r="I302" s="219">
        <v>0</v>
      </c>
      <c r="J302" s="219">
        <v>0</v>
      </c>
      <c r="K302" s="222"/>
      <c r="L302" s="219">
        <v>0</v>
      </c>
      <c r="M302" s="222"/>
      <c r="N302" s="219">
        <v>154.5</v>
      </c>
      <c r="O302" s="224"/>
      <c r="P302" s="328">
        <v>0</v>
      </c>
      <c r="Q302" s="223"/>
      <c r="R302" s="328">
        <v>0</v>
      </c>
      <c r="T302" s="352"/>
    </row>
    <row r="303" spans="1:20">
      <c r="A303" s="365">
        <f t="shared" si="9"/>
        <v>294</v>
      </c>
      <c r="B303" s="507" t="s">
        <v>972</v>
      </c>
      <c r="C303" s="219"/>
      <c r="D303" s="219">
        <v>0</v>
      </c>
      <c r="E303" s="219">
        <v>0</v>
      </c>
      <c r="F303" s="219">
        <v>0</v>
      </c>
      <c r="G303" s="219">
        <v>0</v>
      </c>
      <c r="H303" s="219">
        <v>0</v>
      </c>
      <c r="I303" s="219">
        <v>0</v>
      </c>
      <c r="J303" s="219">
        <v>0</v>
      </c>
      <c r="K303" s="222"/>
      <c r="L303" s="219">
        <v>0</v>
      </c>
      <c r="M303" s="222"/>
      <c r="N303" s="219">
        <v>123.60000000000001</v>
      </c>
      <c r="O303" s="224"/>
      <c r="P303" s="328">
        <v>0</v>
      </c>
      <c r="Q303" s="223"/>
      <c r="R303" s="328">
        <v>0</v>
      </c>
      <c r="T303" s="352"/>
    </row>
    <row r="304" spans="1:20">
      <c r="A304" s="365">
        <f t="shared" si="9"/>
        <v>295</v>
      </c>
      <c r="B304" s="507"/>
      <c r="C304" s="219"/>
      <c r="D304" s="219"/>
      <c r="E304" s="219"/>
      <c r="F304" s="219"/>
      <c r="G304" s="219"/>
      <c r="H304" s="219"/>
      <c r="I304" s="219"/>
      <c r="J304" s="219"/>
      <c r="K304" s="222"/>
      <c r="L304" s="219"/>
      <c r="M304" s="222"/>
      <c r="N304" s="219"/>
      <c r="O304" s="224"/>
      <c r="P304" s="328"/>
      <c r="Q304" s="223"/>
      <c r="R304" s="328"/>
      <c r="T304" s="352"/>
    </row>
    <row r="305" spans="1:20">
      <c r="A305" s="365">
        <f t="shared" si="9"/>
        <v>296</v>
      </c>
      <c r="B305" s="507" t="s">
        <v>973</v>
      </c>
      <c r="C305" s="219"/>
      <c r="D305" s="219">
        <v>0</v>
      </c>
      <c r="E305" s="219">
        <v>0</v>
      </c>
      <c r="F305" s="219">
        <v>0</v>
      </c>
      <c r="G305" s="219">
        <v>0</v>
      </c>
      <c r="H305" s="219">
        <v>0</v>
      </c>
      <c r="I305" s="219">
        <v>0</v>
      </c>
      <c r="J305" s="219">
        <v>0</v>
      </c>
      <c r="K305" s="222"/>
      <c r="L305" s="219">
        <v>0</v>
      </c>
      <c r="M305" s="222"/>
      <c r="N305" s="219">
        <v>593.28</v>
      </c>
      <c r="O305" s="224"/>
      <c r="P305" s="328">
        <v>0</v>
      </c>
      <c r="Q305" s="223"/>
      <c r="R305" s="328">
        <v>0</v>
      </c>
      <c r="T305" s="352"/>
    </row>
    <row r="306" spans="1:20">
      <c r="A306" s="365">
        <f t="shared" si="9"/>
        <v>297</v>
      </c>
      <c r="B306" s="507" t="s">
        <v>974</v>
      </c>
      <c r="C306" s="219"/>
      <c r="D306" s="219"/>
      <c r="E306" s="219"/>
      <c r="F306" s="219"/>
      <c r="G306" s="219"/>
      <c r="H306" s="219"/>
      <c r="I306" s="219"/>
      <c r="J306" s="219"/>
      <c r="K306" s="222"/>
      <c r="L306" s="219"/>
      <c r="M306" s="222"/>
      <c r="N306" s="219">
        <v>178</v>
      </c>
      <c r="O306" s="224"/>
      <c r="P306" s="328"/>
      <c r="Q306" s="223"/>
      <c r="R306" s="328"/>
      <c r="T306" s="352"/>
    </row>
    <row r="307" spans="1:20">
      <c r="A307" s="365">
        <f t="shared" si="9"/>
        <v>298</v>
      </c>
      <c r="B307" s="507" t="s">
        <v>975</v>
      </c>
      <c r="C307" s="219"/>
      <c r="D307" s="219"/>
      <c r="E307" s="219"/>
      <c r="F307" s="219"/>
      <c r="G307" s="219"/>
      <c r="H307" s="219"/>
      <c r="I307" s="219"/>
      <c r="J307" s="219"/>
      <c r="K307" s="222"/>
      <c r="L307" s="219"/>
      <c r="M307" s="222"/>
      <c r="N307" s="219">
        <v>178</v>
      </c>
      <c r="O307" s="224"/>
      <c r="P307" s="328"/>
      <c r="Q307" s="223"/>
      <c r="R307" s="328"/>
      <c r="T307" s="352"/>
    </row>
    <row r="308" spans="1:20">
      <c r="A308" s="365">
        <f t="shared" si="9"/>
        <v>299</v>
      </c>
      <c r="B308" s="507" t="s">
        <v>976</v>
      </c>
      <c r="C308" s="219"/>
      <c r="D308" s="219">
        <v>0</v>
      </c>
      <c r="E308" s="219">
        <v>0</v>
      </c>
      <c r="F308" s="219">
        <v>0</v>
      </c>
      <c r="G308" s="219">
        <v>0</v>
      </c>
      <c r="H308" s="219">
        <v>0</v>
      </c>
      <c r="I308" s="219">
        <v>0</v>
      </c>
      <c r="J308" s="219">
        <v>0</v>
      </c>
      <c r="K308" s="222"/>
      <c r="L308" s="219">
        <v>0</v>
      </c>
      <c r="M308" s="222"/>
      <c r="N308" s="219">
        <v>77.25</v>
      </c>
      <c r="O308" s="224"/>
      <c r="P308" s="328">
        <v>0</v>
      </c>
      <c r="Q308" s="223"/>
      <c r="R308" s="328">
        <v>0</v>
      </c>
      <c r="T308" s="352"/>
    </row>
    <row r="309" spans="1:20">
      <c r="A309" s="365">
        <f t="shared" si="9"/>
        <v>300</v>
      </c>
      <c r="B309" s="507" t="s">
        <v>977</v>
      </c>
      <c r="C309" s="219"/>
      <c r="D309" s="219">
        <v>0</v>
      </c>
      <c r="E309" s="219">
        <v>0</v>
      </c>
      <c r="F309" s="219">
        <v>0</v>
      </c>
      <c r="G309" s="219">
        <v>0</v>
      </c>
      <c r="H309" s="219">
        <v>0</v>
      </c>
      <c r="I309" s="219">
        <v>0</v>
      </c>
      <c r="J309" s="219">
        <v>0</v>
      </c>
      <c r="K309" s="222"/>
      <c r="L309" s="219">
        <v>0</v>
      </c>
      <c r="M309" s="222"/>
      <c r="N309" s="219">
        <v>412</v>
      </c>
      <c r="O309" s="224"/>
      <c r="P309" s="328">
        <v>0</v>
      </c>
      <c r="Q309" s="223"/>
      <c r="R309" s="328">
        <v>0</v>
      </c>
      <c r="T309" s="352"/>
    </row>
    <row r="310" spans="1:20">
      <c r="A310" s="365">
        <f t="shared" si="9"/>
        <v>301</v>
      </c>
      <c r="B310" s="507" t="s">
        <v>978</v>
      </c>
      <c r="C310" s="219"/>
      <c r="D310" s="219">
        <v>0</v>
      </c>
      <c r="E310" s="219">
        <v>0</v>
      </c>
      <c r="F310" s="219">
        <v>0</v>
      </c>
      <c r="G310" s="219">
        <v>0</v>
      </c>
      <c r="H310" s="219">
        <v>0</v>
      </c>
      <c r="I310" s="219">
        <v>0</v>
      </c>
      <c r="J310" s="219">
        <v>0</v>
      </c>
      <c r="K310" s="222"/>
      <c r="L310" s="219">
        <v>0</v>
      </c>
      <c r="M310" s="222"/>
      <c r="N310" s="219">
        <v>463.5</v>
      </c>
      <c r="O310" s="224"/>
      <c r="P310" s="328">
        <v>0</v>
      </c>
      <c r="Q310" s="223"/>
      <c r="R310" s="328">
        <v>0</v>
      </c>
      <c r="T310" s="352"/>
    </row>
    <row r="311" spans="1:20">
      <c r="A311" s="365">
        <f t="shared" si="9"/>
        <v>302</v>
      </c>
      <c r="B311" s="507"/>
      <c r="C311" s="219"/>
      <c r="D311" s="219"/>
      <c r="E311" s="219"/>
      <c r="F311" s="219"/>
      <c r="G311" s="219"/>
      <c r="H311" s="219"/>
      <c r="I311" s="219"/>
      <c r="J311" s="219"/>
      <c r="K311" s="222"/>
      <c r="L311" s="219"/>
      <c r="M311" s="222"/>
      <c r="N311" s="219"/>
      <c r="O311" s="224"/>
      <c r="P311" s="328"/>
      <c r="Q311" s="223"/>
      <c r="R311" s="328"/>
      <c r="T311" s="352"/>
    </row>
    <row r="312" spans="1:20">
      <c r="A312" s="365">
        <f t="shared" si="9"/>
        <v>303</v>
      </c>
      <c r="B312" s="507" t="s">
        <v>979</v>
      </c>
      <c r="C312" s="219"/>
      <c r="D312" s="219">
        <v>0</v>
      </c>
      <c r="E312" s="219">
        <v>160.55012668893374</v>
      </c>
      <c r="F312" s="219">
        <v>5.4421727441360437</v>
      </c>
      <c r="G312" s="219">
        <v>0</v>
      </c>
      <c r="H312" s="219">
        <v>0</v>
      </c>
      <c r="I312" s="219">
        <v>0</v>
      </c>
      <c r="J312" s="219">
        <v>0</v>
      </c>
      <c r="K312" s="222"/>
      <c r="L312" s="219">
        <v>0</v>
      </c>
      <c r="M312" s="222"/>
      <c r="N312" s="219">
        <v>0</v>
      </c>
      <c r="O312" s="224"/>
      <c r="P312" s="328">
        <v>0</v>
      </c>
      <c r="Q312" s="223"/>
      <c r="R312" s="328">
        <v>122</v>
      </c>
      <c r="T312" s="352"/>
    </row>
    <row r="313" spans="1:20">
      <c r="A313" s="365">
        <f t="shared" si="9"/>
        <v>304</v>
      </c>
      <c r="B313" s="507" t="s">
        <v>980</v>
      </c>
      <c r="C313" s="219"/>
      <c r="D313" s="219">
        <v>0</v>
      </c>
      <c r="E313" s="219">
        <v>55.008549666046576</v>
      </c>
      <c r="F313" s="219">
        <v>146.33580095902667</v>
      </c>
      <c r="G313" s="219">
        <v>1.8200553580800509</v>
      </c>
      <c r="H313" s="219">
        <v>0</v>
      </c>
      <c r="I313" s="219">
        <v>0</v>
      </c>
      <c r="J313" s="219">
        <v>0</v>
      </c>
      <c r="K313" s="222"/>
      <c r="L313" s="219">
        <v>0</v>
      </c>
      <c r="M313" s="222"/>
      <c r="N313" s="219">
        <v>0</v>
      </c>
      <c r="O313" s="224"/>
      <c r="P313" s="328">
        <v>0</v>
      </c>
      <c r="Q313" s="223"/>
      <c r="R313" s="328">
        <v>102</v>
      </c>
      <c r="T313" s="352"/>
    </row>
    <row r="314" spans="1:20">
      <c r="A314" s="365">
        <f t="shared" si="9"/>
        <v>305</v>
      </c>
      <c r="B314" s="507" t="s">
        <v>981</v>
      </c>
      <c r="C314" s="219"/>
      <c r="D314" s="219">
        <v>4.8468605681308619E-2</v>
      </c>
      <c r="E314" s="219">
        <v>0.70698273237674936</v>
      </c>
      <c r="F314" s="219">
        <v>0.52682484880905711</v>
      </c>
      <c r="G314" s="219">
        <v>6.8493792083306568E-2</v>
      </c>
      <c r="H314" s="219">
        <v>-0.20798292516704439</v>
      </c>
      <c r="I314" s="219">
        <v>5.3502689075298725E-2</v>
      </c>
      <c r="J314" s="219">
        <v>-1.2690991026089571</v>
      </c>
      <c r="K314" s="222"/>
      <c r="L314" s="219">
        <v>0</v>
      </c>
      <c r="M314" s="222"/>
      <c r="N314" s="219">
        <v>0</v>
      </c>
      <c r="O314" s="224"/>
      <c r="P314" s="328">
        <v>0</v>
      </c>
      <c r="Q314" s="223"/>
      <c r="R314" s="328">
        <v>84</v>
      </c>
      <c r="T314" s="352"/>
    </row>
    <row r="315" spans="1:20">
      <c r="A315" s="365">
        <f t="shared" si="9"/>
        <v>306</v>
      </c>
      <c r="B315" s="507" t="s">
        <v>982</v>
      </c>
      <c r="C315" s="219"/>
      <c r="D315" s="219">
        <v>196.7145764720689</v>
      </c>
      <c r="E315" s="219">
        <v>259.87238926564373</v>
      </c>
      <c r="F315" s="219">
        <v>145.54818551335831</v>
      </c>
      <c r="G315" s="219">
        <v>130.24573590144581</v>
      </c>
      <c r="H315" s="219">
        <v>26.684075019824967</v>
      </c>
      <c r="I315" s="219">
        <v>28.23839428168527</v>
      </c>
      <c r="J315" s="219">
        <f>69.9824202293854-3.86341372240782</f>
        <v>66.11900650697757</v>
      </c>
      <c r="K315" s="222"/>
      <c r="L315" s="219">
        <v>142.6552764069948</v>
      </c>
      <c r="M315" s="222"/>
      <c r="N315" s="219">
        <v>10.3</v>
      </c>
      <c r="O315" s="224"/>
      <c r="P315" s="328">
        <v>81</v>
      </c>
      <c r="Q315" s="223"/>
      <c r="R315" s="328">
        <v>77</v>
      </c>
      <c r="T315" s="352"/>
    </row>
    <row r="316" spans="1:20">
      <c r="A316" s="365">
        <f t="shared" si="9"/>
        <v>307</v>
      </c>
      <c r="B316" s="220" t="s">
        <v>983</v>
      </c>
      <c r="C316" s="219"/>
      <c r="D316" s="429">
        <f t="shared" ref="D316:J316" si="10">SUM(D235:D315,D191:D233)</f>
        <v>4516.1296165394397</v>
      </c>
      <c r="E316" s="429">
        <f t="shared" si="10"/>
        <v>3921.3326140403183</v>
      </c>
      <c r="F316" s="429">
        <f t="shared" si="10"/>
        <v>2317.7242180991375</v>
      </c>
      <c r="G316" s="429">
        <f t="shared" si="10"/>
        <v>2633.6690693928349</v>
      </c>
      <c r="H316" s="429">
        <f t="shared" si="10"/>
        <v>1658.2064947628191</v>
      </c>
      <c r="I316" s="429">
        <f t="shared" si="10"/>
        <v>3180.2344999527422</v>
      </c>
      <c r="J316" s="429">
        <f t="shared" si="10"/>
        <v>2028.1781877499632</v>
      </c>
      <c r="K316" s="223"/>
      <c r="L316" s="429">
        <f>SUM(L235:L315,L191:L233)</f>
        <v>5194.8468594986616</v>
      </c>
      <c r="M316" s="429"/>
      <c r="N316" s="429">
        <f>SUM(N235:N315,N191:N233)</f>
        <v>9081.130000000001</v>
      </c>
      <c r="O316" s="223"/>
      <c r="P316" s="429">
        <f>SUM(P235:P315,P191:P233)</f>
        <v>4335</v>
      </c>
      <c r="Q316" s="429"/>
      <c r="R316" s="429">
        <f>SUM(R235:R315,R191:R233)</f>
        <v>4153</v>
      </c>
      <c r="T316" s="352"/>
    </row>
    <row r="317" spans="1:20">
      <c r="A317" s="365">
        <f t="shared" si="9"/>
        <v>308</v>
      </c>
      <c r="B317" s="220"/>
      <c r="C317" s="219"/>
      <c r="D317" s="217"/>
      <c r="E317" s="217"/>
      <c r="F317" s="329"/>
      <c r="G317" s="329"/>
      <c r="H317" s="329"/>
      <c r="I317" s="329"/>
      <c r="J317" s="329"/>
      <c r="K317" s="223"/>
      <c r="L317" s="329"/>
      <c r="M317" s="223"/>
      <c r="N317" s="329"/>
      <c r="O317" s="224"/>
      <c r="P317" s="329"/>
      <c r="Q317" s="223"/>
      <c r="R317" s="329"/>
      <c r="T317" s="352"/>
    </row>
    <row r="318" spans="1:20">
      <c r="A318" s="365">
        <f t="shared" si="9"/>
        <v>309</v>
      </c>
      <c r="B318" s="220" t="s">
        <v>984</v>
      </c>
      <c r="C318" s="217"/>
      <c r="D318" s="217"/>
      <c r="E318" s="217"/>
      <c r="F318" s="329"/>
      <c r="G318" s="329"/>
      <c r="H318" s="329"/>
      <c r="I318" s="329"/>
      <c r="J318" s="329"/>
      <c r="K318" s="223"/>
      <c r="L318" s="329"/>
      <c r="M318" s="223"/>
      <c r="N318" s="329"/>
      <c r="O318" s="224"/>
      <c r="P318" s="329"/>
      <c r="Q318" s="223"/>
      <c r="R318" s="329"/>
      <c r="T318" s="352"/>
    </row>
    <row r="319" spans="1:20">
      <c r="A319" s="365">
        <f t="shared" si="9"/>
        <v>310</v>
      </c>
      <c r="B319" s="507" t="s">
        <v>985</v>
      </c>
      <c r="C319" s="219"/>
      <c r="D319" s="219">
        <v>237.43997464118837</v>
      </c>
      <c r="E319" s="219">
        <v>210.96957190645011</v>
      </c>
      <c r="F319" s="219">
        <v>85.343864679857504</v>
      </c>
      <c r="G319" s="219">
        <v>166.42958347281262</v>
      </c>
      <c r="H319" s="219">
        <v>47.976119302121703</v>
      </c>
      <c r="I319" s="219">
        <v>104.68358056477288</v>
      </c>
      <c r="J319" s="219">
        <v>121.151254332207</v>
      </c>
      <c r="K319" s="222"/>
      <c r="L319" s="219">
        <v>341.88528677780499</v>
      </c>
      <c r="M319" s="222"/>
      <c r="N319" s="219">
        <v>186.43</v>
      </c>
      <c r="O319" s="224"/>
      <c r="P319" s="328">
        <v>199</v>
      </c>
      <c r="Q319" s="223"/>
      <c r="R319" s="328">
        <v>254</v>
      </c>
      <c r="T319" s="352"/>
    </row>
    <row r="320" spans="1:20">
      <c r="A320" s="365">
        <f t="shared" si="9"/>
        <v>311</v>
      </c>
      <c r="B320" s="507" t="s">
        <v>986</v>
      </c>
      <c r="C320" s="219"/>
      <c r="D320" s="219">
        <v>169.81907785467149</v>
      </c>
      <c r="E320" s="219">
        <v>112.00489166696059</v>
      </c>
      <c r="F320" s="219">
        <v>230.2599150546458</v>
      </c>
      <c r="G320" s="219">
        <v>84.407910921791512</v>
      </c>
      <c r="H320" s="219">
        <v>849.53010354702167</v>
      </c>
      <c r="I320" s="219">
        <v>555.17072531535746</v>
      </c>
      <c r="J320" s="219">
        <v>179.65613986689488</v>
      </c>
      <c r="K320" s="222"/>
      <c r="L320" s="219">
        <v>1060</v>
      </c>
      <c r="M320" s="222"/>
      <c r="N320" s="219">
        <v>448.05</v>
      </c>
      <c r="O320" s="224"/>
      <c r="P320" s="328">
        <v>199</v>
      </c>
      <c r="Q320" s="223"/>
      <c r="R320" s="328">
        <v>203</v>
      </c>
      <c r="T320" s="352"/>
    </row>
    <row r="321" spans="1:20">
      <c r="A321" s="365">
        <f t="shared" si="9"/>
        <v>312</v>
      </c>
      <c r="B321" s="507" t="s">
        <v>987</v>
      </c>
      <c r="C321" s="219"/>
      <c r="D321" s="219">
        <v>0</v>
      </c>
      <c r="E321" s="219">
        <v>0</v>
      </c>
      <c r="F321" s="219">
        <v>0</v>
      </c>
      <c r="G321" s="219">
        <v>0</v>
      </c>
      <c r="H321" s="219">
        <v>0</v>
      </c>
      <c r="I321" s="219">
        <v>0</v>
      </c>
      <c r="J321" s="219">
        <v>0</v>
      </c>
      <c r="K321" s="222"/>
      <c r="L321" s="219">
        <v>0</v>
      </c>
      <c r="M321" s="222"/>
      <c r="N321" s="219">
        <v>0</v>
      </c>
      <c r="O321" s="224"/>
      <c r="P321" s="328">
        <v>0</v>
      </c>
      <c r="Q321" s="223"/>
      <c r="R321" s="328">
        <v>348</v>
      </c>
      <c r="T321" s="352"/>
    </row>
    <row r="322" spans="1:20">
      <c r="A322" s="365">
        <f t="shared" si="9"/>
        <v>313</v>
      </c>
      <c r="B322" s="507" t="s">
        <v>988</v>
      </c>
      <c r="C322" s="219"/>
      <c r="D322" s="219">
        <v>0</v>
      </c>
      <c r="E322" s="219">
        <v>0</v>
      </c>
      <c r="F322" s="219">
        <v>0</v>
      </c>
      <c r="G322" s="219">
        <v>0</v>
      </c>
      <c r="H322" s="219">
        <v>0</v>
      </c>
      <c r="I322" s="219">
        <v>0</v>
      </c>
      <c r="J322" s="219">
        <v>0</v>
      </c>
      <c r="K322" s="222"/>
      <c r="L322" s="219">
        <v>0</v>
      </c>
      <c r="M322" s="222"/>
      <c r="N322" s="219">
        <v>0</v>
      </c>
      <c r="O322" s="224"/>
      <c r="P322" s="328">
        <v>0</v>
      </c>
      <c r="Q322" s="223"/>
      <c r="R322" s="328">
        <v>41</v>
      </c>
      <c r="T322" s="352"/>
    </row>
    <row r="323" spans="1:20">
      <c r="A323" s="365">
        <f t="shared" si="9"/>
        <v>314</v>
      </c>
      <c r="B323" s="507" t="s">
        <v>989</v>
      </c>
      <c r="C323" s="219"/>
      <c r="D323" s="219">
        <v>0</v>
      </c>
      <c r="E323" s="219">
        <v>0</v>
      </c>
      <c r="F323" s="219">
        <v>0</v>
      </c>
      <c r="G323" s="219">
        <v>0</v>
      </c>
      <c r="H323" s="219">
        <v>0</v>
      </c>
      <c r="I323" s="219">
        <v>180.17573384425555</v>
      </c>
      <c r="J323" s="219">
        <v>0</v>
      </c>
      <c r="K323" s="222"/>
      <c r="L323" s="219">
        <v>0</v>
      </c>
      <c r="M323" s="222"/>
      <c r="N323" s="219">
        <v>0</v>
      </c>
      <c r="O323" s="224"/>
      <c r="P323" s="328">
        <v>0</v>
      </c>
      <c r="Q323" s="223"/>
      <c r="R323" s="328">
        <v>0</v>
      </c>
      <c r="T323" s="352"/>
    </row>
    <row r="324" spans="1:20">
      <c r="A324" s="365">
        <f t="shared" si="9"/>
        <v>315</v>
      </c>
      <c r="B324" s="507" t="s">
        <v>990</v>
      </c>
      <c r="C324" s="219"/>
      <c r="D324" s="219">
        <v>0</v>
      </c>
      <c r="E324" s="219">
        <v>428.52875407550556</v>
      </c>
      <c r="F324" s="219">
        <v>-23.595002830369225</v>
      </c>
      <c r="G324" s="219">
        <v>110.54834736118829</v>
      </c>
      <c r="H324" s="219">
        <v>-1.797403879571826E-2</v>
      </c>
      <c r="I324" s="219">
        <v>0</v>
      </c>
      <c r="J324" s="219">
        <v>0</v>
      </c>
      <c r="K324" s="222"/>
      <c r="L324" s="219">
        <v>0</v>
      </c>
      <c r="M324" s="222"/>
      <c r="N324" s="219">
        <v>0</v>
      </c>
      <c r="O324" s="224"/>
      <c r="P324" s="328">
        <v>0</v>
      </c>
      <c r="Q324" s="223"/>
      <c r="R324" s="328">
        <v>0</v>
      </c>
      <c r="T324" s="352"/>
    </row>
    <row r="325" spans="1:20">
      <c r="A325" s="365">
        <f t="shared" si="9"/>
        <v>316</v>
      </c>
      <c r="B325" s="507"/>
      <c r="C325" s="219"/>
      <c r="D325" s="219"/>
      <c r="E325" s="219"/>
      <c r="F325" s="219"/>
      <c r="G325" s="219"/>
      <c r="H325" s="219"/>
      <c r="I325" s="219"/>
      <c r="J325" s="219"/>
      <c r="K325" s="222"/>
      <c r="L325" s="219"/>
      <c r="M325" s="222"/>
      <c r="N325" s="219"/>
      <c r="O325" s="224"/>
      <c r="P325" s="328"/>
      <c r="Q325" s="223"/>
      <c r="R325" s="328"/>
      <c r="T325" s="352"/>
    </row>
    <row r="326" spans="1:20">
      <c r="A326" s="365">
        <f t="shared" si="9"/>
        <v>317</v>
      </c>
      <c r="B326" s="507" t="s">
        <v>991</v>
      </c>
      <c r="C326" s="219"/>
      <c r="D326" s="219">
        <v>0</v>
      </c>
      <c r="E326" s="219">
        <v>0</v>
      </c>
      <c r="F326" s="219">
        <v>0</v>
      </c>
      <c r="G326" s="219">
        <v>0</v>
      </c>
      <c r="H326" s="219">
        <v>359.49050813559523</v>
      </c>
      <c r="I326" s="219">
        <v>0.17207199811082979</v>
      </c>
      <c r="J326" s="219">
        <v>0</v>
      </c>
      <c r="K326" s="222"/>
      <c r="L326" s="219">
        <v>0</v>
      </c>
      <c r="M326" s="222"/>
      <c r="N326" s="219">
        <v>0</v>
      </c>
      <c r="O326" s="224"/>
      <c r="P326" s="328">
        <v>0</v>
      </c>
      <c r="Q326" s="223"/>
      <c r="R326" s="328">
        <v>0</v>
      </c>
      <c r="T326" s="352"/>
    </row>
    <row r="327" spans="1:20">
      <c r="A327" s="365">
        <f t="shared" si="9"/>
        <v>318</v>
      </c>
      <c r="B327" s="507" t="s">
        <v>992</v>
      </c>
      <c r="C327" s="219"/>
      <c r="D327" s="219">
        <v>0</v>
      </c>
      <c r="E327" s="219">
        <v>0</v>
      </c>
      <c r="F327" s="219">
        <v>0</v>
      </c>
      <c r="G327" s="219">
        <v>0</v>
      </c>
      <c r="H327" s="219">
        <v>0</v>
      </c>
      <c r="I327" s="219">
        <v>184.11074598983055</v>
      </c>
      <c r="J327" s="219">
        <v>0</v>
      </c>
      <c r="K327" s="222"/>
      <c r="L327" s="219">
        <v>0</v>
      </c>
      <c r="M327" s="222"/>
      <c r="N327" s="219">
        <v>0</v>
      </c>
      <c r="O327" s="224"/>
      <c r="P327" s="328">
        <v>0</v>
      </c>
      <c r="Q327" s="223"/>
      <c r="R327" s="328">
        <v>0</v>
      </c>
      <c r="T327" s="352"/>
    </row>
    <row r="328" spans="1:20">
      <c r="A328" s="365">
        <f t="shared" si="9"/>
        <v>319</v>
      </c>
      <c r="B328" s="507" t="s">
        <v>993</v>
      </c>
      <c r="C328" s="219"/>
      <c r="D328" s="219">
        <v>0</v>
      </c>
      <c r="E328" s="219">
        <v>0</v>
      </c>
      <c r="F328" s="219">
        <v>0</v>
      </c>
      <c r="G328" s="219">
        <v>0</v>
      </c>
      <c r="H328" s="219">
        <v>0</v>
      </c>
      <c r="I328" s="219">
        <v>0</v>
      </c>
      <c r="J328" s="219">
        <v>508.56432813910675</v>
      </c>
      <c r="K328" s="222"/>
      <c r="L328" s="219">
        <v>0</v>
      </c>
      <c r="M328" s="222"/>
      <c r="N328" s="219">
        <v>0</v>
      </c>
      <c r="O328" s="224"/>
      <c r="P328" s="328">
        <v>0</v>
      </c>
      <c r="Q328" s="223"/>
      <c r="R328" s="328">
        <v>0</v>
      </c>
      <c r="T328" s="352"/>
    </row>
    <row r="329" spans="1:20">
      <c r="A329" s="365">
        <f t="shared" si="9"/>
        <v>320</v>
      </c>
      <c r="B329" s="507" t="s">
        <v>994</v>
      </c>
      <c r="C329" s="219"/>
      <c r="D329" s="219">
        <v>0</v>
      </c>
      <c r="E329" s="219">
        <v>0</v>
      </c>
      <c r="F329" s="219">
        <v>0</v>
      </c>
      <c r="G329" s="219">
        <v>0</v>
      </c>
      <c r="H329" s="219">
        <v>0</v>
      </c>
      <c r="I329" s="219">
        <v>0</v>
      </c>
      <c r="J329" s="219">
        <v>144.90145515548036</v>
      </c>
      <c r="K329" s="222"/>
      <c r="L329" s="219">
        <v>0</v>
      </c>
      <c r="M329" s="222"/>
      <c r="N329" s="219">
        <v>0</v>
      </c>
      <c r="O329" s="224"/>
      <c r="P329" s="328">
        <v>0</v>
      </c>
      <c r="Q329" s="223"/>
      <c r="R329" s="328">
        <v>0</v>
      </c>
      <c r="T329" s="352"/>
    </row>
    <row r="330" spans="1:20">
      <c r="A330" s="365">
        <f t="shared" si="9"/>
        <v>321</v>
      </c>
      <c r="B330" s="507"/>
      <c r="C330" s="219"/>
      <c r="D330" s="219"/>
      <c r="E330" s="219"/>
      <c r="F330" s="219"/>
      <c r="G330" s="219"/>
      <c r="H330" s="219"/>
      <c r="I330" s="219"/>
      <c r="J330" s="219"/>
      <c r="K330" s="222"/>
      <c r="L330" s="219"/>
      <c r="M330" s="222"/>
      <c r="N330" s="219"/>
      <c r="O330" s="224"/>
      <c r="P330" s="328">
        <v>0</v>
      </c>
      <c r="Q330" s="223"/>
      <c r="R330" s="328">
        <v>0</v>
      </c>
      <c r="T330" s="352"/>
    </row>
    <row r="331" spans="1:20">
      <c r="A331" s="365">
        <f t="shared" si="9"/>
        <v>322</v>
      </c>
      <c r="B331" s="507" t="s">
        <v>995</v>
      </c>
      <c r="C331" s="219"/>
      <c r="D331" s="219">
        <v>0</v>
      </c>
      <c r="E331" s="219">
        <v>0</v>
      </c>
      <c r="F331" s="219">
        <v>0</v>
      </c>
      <c r="G331" s="219">
        <v>0</v>
      </c>
      <c r="H331" s="219">
        <v>0</v>
      </c>
      <c r="I331" s="219">
        <v>0</v>
      </c>
      <c r="J331" s="219">
        <v>0</v>
      </c>
      <c r="K331" s="222"/>
      <c r="L331" s="219">
        <v>411.55671999999998</v>
      </c>
      <c r="M331" s="222"/>
      <c r="N331" s="219">
        <v>154.5</v>
      </c>
      <c r="O331" s="224"/>
      <c r="P331" s="328">
        <v>175</v>
      </c>
      <c r="Q331" s="223"/>
      <c r="R331" s="328">
        <v>254</v>
      </c>
      <c r="T331" s="352"/>
    </row>
    <row r="332" spans="1:20">
      <c r="A332" s="365">
        <f t="shared" si="9"/>
        <v>323</v>
      </c>
      <c r="B332" s="507" t="s">
        <v>996</v>
      </c>
      <c r="C332" s="219"/>
      <c r="D332" s="219">
        <v>0</v>
      </c>
      <c r="E332" s="219">
        <v>0</v>
      </c>
      <c r="F332" s="219">
        <v>0</v>
      </c>
      <c r="G332" s="219">
        <v>0</v>
      </c>
      <c r="H332" s="219">
        <v>0</v>
      </c>
      <c r="I332" s="219">
        <v>0</v>
      </c>
      <c r="J332" s="219">
        <v>0</v>
      </c>
      <c r="K332" s="222"/>
      <c r="L332" s="219">
        <v>110</v>
      </c>
      <c r="M332" s="222"/>
      <c r="N332" s="219">
        <v>106.09</v>
      </c>
      <c r="O332" s="224"/>
      <c r="P332" s="328">
        <v>0</v>
      </c>
      <c r="Q332" s="223"/>
      <c r="R332" s="328">
        <v>0</v>
      </c>
      <c r="T332" s="352"/>
    </row>
    <row r="333" spans="1:20">
      <c r="A333" s="365">
        <f t="shared" si="9"/>
        <v>324</v>
      </c>
      <c r="B333" s="507"/>
      <c r="C333" s="219"/>
      <c r="D333" s="219"/>
      <c r="E333" s="219"/>
      <c r="F333" s="219"/>
      <c r="G333" s="219"/>
      <c r="H333" s="219"/>
      <c r="I333" s="219"/>
      <c r="J333" s="219"/>
      <c r="K333" s="222"/>
      <c r="L333" s="219"/>
      <c r="M333" s="222"/>
      <c r="N333" s="219"/>
      <c r="O333" s="224"/>
      <c r="P333" s="328"/>
      <c r="Q333" s="223"/>
      <c r="R333" s="328"/>
      <c r="T333" s="352"/>
    </row>
    <row r="334" spans="1:20">
      <c r="A334" s="365">
        <f t="shared" si="9"/>
        <v>325</v>
      </c>
      <c r="B334" s="507" t="s">
        <v>997</v>
      </c>
      <c r="C334" s="219"/>
      <c r="D334" s="219">
        <v>0</v>
      </c>
      <c r="E334" s="219">
        <v>184.86221158071163</v>
      </c>
      <c r="F334" s="219">
        <v>0</v>
      </c>
      <c r="G334" s="219">
        <v>0</v>
      </c>
      <c r="H334" s="219">
        <v>0</v>
      </c>
      <c r="I334" s="219">
        <v>0</v>
      </c>
      <c r="J334" s="219">
        <v>0</v>
      </c>
      <c r="K334" s="222"/>
      <c r="L334" s="219">
        <v>0</v>
      </c>
      <c r="M334" s="222"/>
      <c r="N334" s="219">
        <v>0</v>
      </c>
      <c r="O334" s="224"/>
      <c r="P334" s="328">
        <v>0</v>
      </c>
      <c r="Q334" s="223"/>
      <c r="R334" s="328">
        <v>0</v>
      </c>
      <c r="T334" s="352"/>
    </row>
    <row r="335" spans="1:20">
      <c r="A335" s="365">
        <f t="shared" si="9"/>
        <v>326</v>
      </c>
      <c r="B335" s="507" t="s">
        <v>998</v>
      </c>
      <c r="C335" s="219"/>
      <c r="D335" s="219">
        <v>0</v>
      </c>
      <c r="E335" s="219">
        <v>0</v>
      </c>
      <c r="F335" s="219">
        <v>0</v>
      </c>
      <c r="G335" s="219">
        <v>0</v>
      </c>
      <c r="H335" s="219">
        <v>159.19933633591762</v>
      </c>
      <c r="I335" s="219">
        <v>0</v>
      </c>
      <c r="J335" s="219">
        <v>0</v>
      </c>
      <c r="K335" s="222"/>
      <c r="L335" s="219">
        <v>0</v>
      </c>
      <c r="M335" s="222"/>
      <c r="N335" s="219">
        <v>0</v>
      </c>
      <c r="O335" s="224"/>
      <c r="P335" s="328">
        <v>0</v>
      </c>
      <c r="Q335" s="223"/>
      <c r="R335" s="328">
        <v>0</v>
      </c>
      <c r="T335" s="352"/>
    </row>
    <row r="336" spans="1:20">
      <c r="A336" s="365">
        <f t="shared" si="9"/>
        <v>327</v>
      </c>
      <c r="B336" s="507" t="s">
        <v>999</v>
      </c>
      <c r="C336" s="219"/>
      <c r="D336" s="219">
        <v>0</v>
      </c>
      <c r="E336" s="219">
        <v>5.2112677148397429E-2</v>
      </c>
      <c r="F336" s="219">
        <v>260.56585761664275</v>
      </c>
      <c r="G336" s="219">
        <v>290.51680771958013</v>
      </c>
      <c r="H336" s="219">
        <v>0</v>
      </c>
      <c r="I336" s="219">
        <v>0</v>
      </c>
      <c r="J336" s="219">
        <v>0</v>
      </c>
      <c r="K336" s="222"/>
      <c r="L336" s="219">
        <v>0</v>
      </c>
      <c r="M336" s="222"/>
      <c r="N336" s="219">
        <v>0</v>
      </c>
      <c r="O336" s="224"/>
      <c r="P336" s="328">
        <v>0</v>
      </c>
      <c r="Q336" s="223"/>
      <c r="R336" s="328">
        <v>0</v>
      </c>
      <c r="T336" s="352"/>
    </row>
    <row r="337" spans="1:20">
      <c r="A337" s="365">
        <f t="shared" si="9"/>
        <v>328</v>
      </c>
      <c r="B337" s="507" t="s">
        <v>1000</v>
      </c>
      <c r="C337" s="219"/>
      <c r="D337" s="219">
        <v>0</v>
      </c>
      <c r="E337" s="219">
        <v>0</v>
      </c>
      <c r="F337" s="219">
        <v>0</v>
      </c>
      <c r="G337" s="219">
        <v>132.97679306400477</v>
      </c>
      <c r="H337" s="219">
        <v>211.06844091279203</v>
      </c>
      <c r="I337" s="219">
        <v>0</v>
      </c>
      <c r="J337" s="219">
        <v>0</v>
      </c>
      <c r="K337" s="222"/>
      <c r="L337" s="219">
        <v>0</v>
      </c>
      <c r="M337" s="222"/>
      <c r="N337" s="219">
        <v>0</v>
      </c>
      <c r="O337" s="224"/>
      <c r="P337" s="328">
        <v>0</v>
      </c>
      <c r="Q337" s="223"/>
      <c r="R337" s="328">
        <v>0</v>
      </c>
      <c r="T337" s="352"/>
    </row>
    <row r="338" spans="1:20">
      <c r="A338" s="365">
        <f t="shared" si="9"/>
        <v>329</v>
      </c>
      <c r="B338" s="507" t="s">
        <v>1001</v>
      </c>
      <c r="C338" s="219"/>
      <c r="D338" s="219">
        <v>0</v>
      </c>
      <c r="E338" s="219">
        <v>0</v>
      </c>
      <c r="F338" s="219">
        <v>0</v>
      </c>
      <c r="G338" s="219">
        <v>0</v>
      </c>
      <c r="H338" s="219">
        <v>0</v>
      </c>
      <c r="I338" s="219">
        <v>0</v>
      </c>
      <c r="J338" s="219">
        <v>0</v>
      </c>
      <c r="K338" s="222"/>
      <c r="L338" s="219">
        <v>50.29571</v>
      </c>
      <c r="M338" s="222"/>
      <c r="N338" s="219">
        <v>0</v>
      </c>
      <c r="O338" s="224"/>
      <c r="P338" s="328">
        <v>0</v>
      </c>
      <c r="Q338" s="223"/>
      <c r="R338" s="328">
        <v>0</v>
      </c>
      <c r="T338" s="352"/>
    </row>
    <row r="339" spans="1:20">
      <c r="A339" s="365">
        <f t="shared" si="9"/>
        <v>330</v>
      </c>
      <c r="B339" s="507" t="s">
        <v>1002</v>
      </c>
      <c r="C339" s="219"/>
      <c r="D339" s="219">
        <v>0</v>
      </c>
      <c r="E339" s="219">
        <v>0</v>
      </c>
      <c r="F339" s="219">
        <v>0</v>
      </c>
      <c r="G339" s="219">
        <v>0</v>
      </c>
      <c r="H339" s="219">
        <v>0</v>
      </c>
      <c r="I339" s="219">
        <v>30.924606636490463</v>
      </c>
      <c r="J339" s="219">
        <v>55.127924323368021</v>
      </c>
      <c r="K339" s="222"/>
      <c r="L339" s="219">
        <v>300.52969380406199</v>
      </c>
      <c r="M339" s="222"/>
      <c r="N339" s="219">
        <v>0</v>
      </c>
      <c r="O339" s="224"/>
      <c r="P339" s="328">
        <v>0</v>
      </c>
      <c r="Q339" s="223"/>
      <c r="R339" s="328">
        <v>0</v>
      </c>
      <c r="T339" s="352"/>
    </row>
    <row r="340" spans="1:20">
      <c r="A340" s="365">
        <f t="shared" si="9"/>
        <v>331</v>
      </c>
      <c r="B340" s="507" t="s">
        <v>1003</v>
      </c>
      <c r="C340" s="219"/>
      <c r="D340" s="219">
        <v>0</v>
      </c>
      <c r="E340" s="219">
        <v>0</v>
      </c>
      <c r="F340" s="219">
        <v>0</v>
      </c>
      <c r="G340" s="219">
        <v>0</v>
      </c>
      <c r="H340" s="219">
        <v>0</v>
      </c>
      <c r="I340" s="219">
        <v>0</v>
      </c>
      <c r="J340" s="219">
        <v>0</v>
      </c>
      <c r="K340" s="222"/>
      <c r="L340" s="219">
        <v>102.49999999999999</v>
      </c>
      <c r="M340" s="222"/>
      <c r="N340" s="219">
        <v>0</v>
      </c>
      <c r="O340" s="224"/>
      <c r="P340" s="328">
        <v>0</v>
      </c>
      <c r="Q340" s="223"/>
      <c r="R340" s="328">
        <v>0</v>
      </c>
      <c r="T340" s="352"/>
    </row>
    <row r="341" spans="1:20">
      <c r="A341" s="365">
        <f t="shared" si="9"/>
        <v>332</v>
      </c>
      <c r="B341" s="507" t="s">
        <v>1004</v>
      </c>
      <c r="C341" s="219"/>
      <c r="D341" s="219">
        <v>0</v>
      </c>
      <c r="E341" s="219">
        <v>0</v>
      </c>
      <c r="F341" s="219">
        <v>0</v>
      </c>
      <c r="G341" s="219">
        <v>0</v>
      </c>
      <c r="H341" s="219">
        <v>0</v>
      </c>
      <c r="I341" s="219">
        <v>0</v>
      </c>
      <c r="J341" s="219">
        <v>0</v>
      </c>
      <c r="K341" s="222"/>
      <c r="L341" s="219">
        <v>186</v>
      </c>
      <c r="M341" s="222"/>
      <c r="N341" s="219">
        <v>0</v>
      </c>
      <c r="O341" s="224"/>
      <c r="P341" s="328">
        <v>0</v>
      </c>
      <c r="Q341" s="223"/>
      <c r="R341" s="328">
        <v>0</v>
      </c>
      <c r="T341" s="352"/>
    </row>
    <row r="342" spans="1:20">
      <c r="A342" s="365">
        <f t="shared" si="9"/>
        <v>333</v>
      </c>
      <c r="B342" s="507" t="s">
        <v>1005</v>
      </c>
      <c r="C342" s="219"/>
      <c r="D342" s="219">
        <v>0</v>
      </c>
      <c r="E342" s="219">
        <v>0</v>
      </c>
      <c r="F342" s="219">
        <v>0</v>
      </c>
      <c r="G342" s="219">
        <v>0</v>
      </c>
      <c r="H342" s="219">
        <v>0</v>
      </c>
      <c r="I342" s="219">
        <v>0</v>
      </c>
      <c r="J342" s="219">
        <v>0</v>
      </c>
      <c r="K342" s="222"/>
      <c r="L342" s="219">
        <v>0</v>
      </c>
      <c r="M342" s="222"/>
      <c r="N342" s="219">
        <v>147.29</v>
      </c>
      <c r="O342" s="224"/>
      <c r="P342" s="328">
        <v>0</v>
      </c>
      <c r="Q342" s="223"/>
      <c r="R342" s="328">
        <v>0</v>
      </c>
      <c r="T342" s="352"/>
    </row>
    <row r="343" spans="1:20" ht="14.5">
      <c r="A343" s="365">
        <f t="shared" si="9"/>
        <v>334</v>
      </c>
      <c r="B343" s="508"/>
      <c r="C343" s="219"/>
      <c r="D343" s="219"/>
      <c r="E343" s="219"/>
      <c r="F343" s="219"/>
      <c r="G343" s="219"/>
      <c r="H343" s="219"/>
      <c r="I343" s="219"/>
      <c r="J343" s="219"/>
      <c r="K343" s="222"/>
      <c r="L343" s="219"/>
      <c r="M343" s="222"/>
      <c r="N343" s="219"/>
      <c r="O343" s="224"/>
      <c r="P343" s="328"/>
      <c r="Q343" s="223"/>
      <c r="R343" s="328"/>
      <c r="T343" s="352"/>
    </row>
    <row r="344" spans="1:20">
      <c r="A344" s="365">
        <f t="shared" si="9"/>
        <v>335</v>
      </c>
      <c r="B344" s="507" t="s">
        <v>1006</v>
      </c>
      <c r="C344" s="219"/>
      <c r="D344" s="219">
        <v>0</v>
      </c>
      <c r="E344" s="219">
        <v>0</v>
      </c>
      <c r="F344" s="219">
        <v>0</v>
      </c>
      <c r="G344" s="219">
        <v>0</v>
      </c>
      <c r="H344" s="219">
        <v>0</v>
      </c>
      <c r="I344" s="219">
        <v>0</v>
      </c>
      <c r="J344" s="219">
        <v>0</v>
      </c>
      <c r="K344" s="222"/>
      <c r="L344" s="219">
        <v>0</v>
      </c>
      <c r="M344" s="222"/>
      <c r="N344" s="219">
        <v>0</v>
      </c>
      <c r="O344" s="224"/>
      <c r="P344" s="328">
        <v>11</v>
      </c>
      <c r="Q344" s="223"/>
      <c r="R344" s="328">
        <v>25</v>
      </c>
      <c r="T344" s="352"/>
    </row>
    <row r="345" spans="1:20">
      <c r="A345" s="365">
        <f t="shared" si="9"/>
        <v>336</v>
      </c>
      <c r="B345" s="220" t="s">
        <v>1007</v>
      </c>
      <c r="C345" s="219"/>
      <c r="D345" s="429">
        <f t="shared" ref="D345:J345" si="11">SUM(D319:D344)</f>
        <v>407.25905249585986</v>
      </c>
      <c r="E345" s="429">
        <f t="shared" si="11"/>
        <v>936.41754190677625</v>
      </c>
      <c r="F345" s="429">
        <f t="shared" si="11"/>
        <v>552.57463452077673</v>
      </c>
      <c r="G345" s="429">
        <f t="shared" si="11"/>
        <v>784.87944253937735</v>
      </c>
      <c r="H345" s="429">
        <f t="shared" si="11"/>
        <v>1627.2465341946527</v>
      </c>
      <c r="I345" s="429">
        <f t="shared" si="11"/>
        <v>1055.2374643488176</v>
      </c>
      <c r="J345" s="429">
        <f t="shared" si="11"/>
        <v>1009.401101817057</v>
      </c>
      <c r="K345" s="223"/>
      <c r="L345" s="429">
        <f>SUM(L319:L344)</f>
        <v>2562.7674105818674</v>
      </c>
      <c r="M345" s="429"/>
      <c r="N345" s="429">
        <f>SUM(N319:N343)</f>
        <v>1042.3600000000001</v>
      </c>
      <c r="O345" s="223"/>
      <c r="P345" s="429">
        <f>SUM(P319:P344)</f>
        <v>584</v>
      </c>
      <c r="Q345" s="429"/>
      <c r="R345" s="429">
        <f>SUM(R319:R344)</f>
        <v>1125</v>
      </c>
      <c r="T345" s="352"/>
    </row>
    <row r="346" spans="1:20">
      <c r="A346" s="365">
        <f t="shared" si="9"/>
        <v>337</v>
      </c>
      <c r="B346" s="220"/>
      <c r="C346" s="219"/>
      <c r="D346" s="219"/>
      <c r="E346" s="217"/>
      <c r="F346" s="329"/>
      <c r="G346" s="329"/>
      <c r="H346" s="329"/>
      <c r="I346" s="329"/>
      <c r="J346" s="329"/>
      <c r="K346" s="223"/>
      <c r="L346" s="329"/>
      <c r="M346" s="223"/>
      <c r="N346" s="329"/>
      <c r="O346" s="224"/>
      <c r="P346" s="329"/>
      <c r="Q346" s="223"/>
      <c r="R346" s="329"/>
      <c r="T346" s="352"/>
    </row>
    <row r="347" spans="1:20">
      <c r="A347" s="365">
        <f t="shared" si="9"/>
        <v>338</v>
      </c>
      <c r="B347" s="220" t="s">
        <v>547</v>
      </c>
      <c r="C347" s="219"/>
      <c r="D347" s="219"/>
      <c r="E347" s="217"/>
      <c r="F347" s="223"/>
      <c r="G347" s="223"/>
      <c r="H347" s="223"/>
      <c r="I347" s="223"/>
      <c r="J347" s="223"/>
      <c r="K347" s="223"/>
      <c r="L347" s="223"/>
      <c r="M347" s="223"/>
      <c r="N347" s="223"/>
      <c r="O347" s="224"/>
      <c r="P347" s="223"/>
      <c r="Q347" s="223"/>
      <c r="R347" s="223"/>
      <c r="T347" s="352"/>
    </row>
    <row r="348" spans="1:20">
      <c r="A348" s="365">
        <f t="shared" si="9"/>
        <v>339</v>
      </c>
      <c r="B348" s="507" t="s">
        <v>1008</v>
      </c>
      <c r="C348" s="219"/>
      <c r="D348" s="219">
        <v>0</v>
      </c>
      <c r="E348" s="219">
        <v>0</v>
      </c>
      <c r="F348" s="219">
        <v>0</v>
      </c>
      <c r="G348" s="219">
        <v>0</v>
      </c>
      <c r="H348" s="219">
        <v>0</v>
      </c>
      <c r="I348" s="219">
        <v>0</v>
      </c>
      <c r="J348" s="219">
        <v>0</v>
      </c>
      <c r="K348" s="222"/>
      <c r="L348" s="219">
        <v>131.69735</v>
      </c>
      <c r="M348" s="222"/>
      <c r="N348" s="219">
        <v>304</v>
      </c>
      <c r="O348" s="224"/>
      <c r="P348" s="328">
        <v>0</v>
      </c>
      <c r="Q348" s="223"/>
      <c r="R348" s="328">
        <v>0</v>
      </c>
      <c r="T348" s="352"/>
    </row>
    <row r="349" spans="1:20">
      <c r="A349" s="365">
        <f t="shared" si="9"/>
        <v>340</v>
      </c>
      <c r="B349" s="507" t="s">
        <v>1009</v>
      </c>
      <c r="C349" s="219"/>
      <c r="D349" s="219">
        <v>104.57330059259843</v>
      </c>
      <c r="E349" s="219">
        <v>88.181153330062685</v>
      </c>
      <c r="F349" s="219">
        <v>31.979078696862111</v>
      </c>
      <c r="G349" s="219">
        <v>67.420042432229152</v>
      </c>
      <c r="H349" s="219">
        <v>126.6081220787658</v>
      </c>
      <c r="I349" s="219">
        <v>75.291267464910177</v>
      </c>
      <c r="J349" s="219">
        <v>97.705146481376985</v>
      </c>
      <c r="K349" s="222"/>
      <c r="L349" s="219">
        <v>102.94633563286524</v>
      </c>
      <c r="M349" s="222"/>
      <c r="N349" s="219">
        <v>106.09</v>
      </c>
      <c r="O349" s="224"/>
      <c r="P349" s="328">
        <v>199</v>
      </c>
      <c r="Q349" s="223"/>
      <c r="R349" s="328">
        <v>203</v>
      </c>
      <c r="T349" s="352"/>
    </row>
    <row r="350" spans="1:20">
      <c r="A350" s="365">
        <f t="shared" si="9"/>
        <v>341</v>
      </c>
      <c r="B350" s="220" t="s">
        <v>1010</v>
      </c>
      <c r="C350" s="219"/>
      <c r="D350" s="429">
        <f t="shared" ref="D350:J350" si="12">SUM(D348:D349)</f>
        <v>104.57330059259843</v>
      </c>
      <c r="E350" s="429">
        <f t="shared" si="12"/>
        <v>88.181153330062685</v>
      </c>
      <c r="F350" s="429">
        <f t="shared" si="12"/>
        <v>31.979078696862111</v>
      </c>
      <c r="G350" s="429">
        <f t="shared" si="12"/>
        <v>67.420042432229152</v>
      </c>
      <c r="H350" s="429">
        <f t="shared" si="12"/>
        <v>126.6081220787658</v>
      </c>
      <c r="I350" s="429">
        <f t="shared" si="12"/>
        <v>75.291267464910177</v>
      </c>
      <c r="J350" s="429">
        <f t="shared" si="12"/>
        <v>97.705146481376985</v>
      </c>
      <c r="K350" s="223"/>
      <c r="L350" s="429">
        <f>SUM(L348:L349)</f>
        <v>234.64368563286524</v>
      </c>
      <c r="M350" s="429"/>
      <c r="N350" s="429">
        <f>SUM(N348:N349)</f>
        <v>410.09000000000003</v>
      </c>
      <c r="O350" s="223"/>
      <c r="P350" s="429">
        <f>SUM(P349)</f>
        <v>199</v>
      </c>
      <c r="Q350" s="429"/>
      <c r="R350" s="429">
        <f>SUM(R349)</f>
        <v>203</v>
      </c>
      <c r="T350" s="352"/>
    </row>
    <row r="351" spans="1:20">
      <c r="A351" s="365">
        <f t="shared" si="9"/>
        <v>342</v>
      </c>
      <c r="B351" s="220"/>
      <c r="C351" s="219"/>
      <c r="D351" s="219"/>
      <c r="E351" s="217"/>
      <c r="F351" s="329"/>
      <c r="G351" s="329"/>
      <c r="H351" s="329"/>
      <c r="I351" s="329"/>
      <c r="J351" s="329"/>
      <c r="K351" s="223"/>
      <c r="L351" s="329"/>
      <c r="M351" s="223"/>
      <c r="N351" s="329"/>
      <c r="O351" s="224"/>
      <c r="P351" s="329"/>
      <c r="Q351" s="223"/>
      <c r="R351" s="329"/>
      <c r="T351" s="352"/>
    </row>
    <row r="352" spans="1:20">
      <c r="A352" s="365">
        <f t="shared" ref="A352:A415" si="13">A351+1</f>
        <v>343</v>
      </c>
      <c r="B352" s="220" t="s">
        <v>1011</v>
      </c>
      <c r="C352" s="219"/>
      <c r="D352" s="219"/>
      <c r="E352" s="217"/>
      <c r="F352" s="329"/>
      <c r="G352" s="329"/>
      <c r="H352" s="329"/>
      <c r="I352" s="329"/>
      <c r="J352" s="329"/>
      <c r="K352" s="223"/>
      <c r="L352" s="329"/>
      <c r="M352" s="223"/>
      <c r="N352" s="329"/>
      <c r="O352" s="224"/>
      <c r="P352" s="329"/>
      <c r="Q352" s="223"/>
      <c r="R352" s="329"/>
      <c r="T352" s="352"/>
    </row>
    <row r="353" spans="1:20">
      <c r="A353" s="365">
        <f t="shared" si="13"/>
        <v>344</v>
      </c>
      <c r="B353" s="507" t="s">
        <v>1012</v>
      </c>
      <c r="C353" s="219"/>
      <c r="D353" s="219">
        <v>0</v>
      </c>
      <c r="E353" s="219">
        <v>0</v>
      </c>
      <c r="F353" s="219">
        <v>0</v>
      </c>
      <c r="G353" s="219">
        <v>0</v>
      </c>
      <c r="H353" s="219">
        <v>267.57150014317699</v>
      </c>
      <c r="I353" s="219">
        <v>48.695248055486161</v>
      </c>
      <c r="J353" s="219">
        <v>-18.786237771171091</v>
      </c>
      <c r="K353" s="222"/>
      <c r="L353" s="219">
        <v>217.84036823518235</v>
      </c>
      <c r="M353" s="222"/>
      <c r="N353" s="219">
        <v>275.01</v>
      </c>
      <c r="O353" s="224"/>
      <c r="P353" s="328">
        <v>90</v>
      </c>
      <c r="Q353" s="223"/>
      <c r="R353" s="328">
        <v>91</v>
      </c>
      <c r="T353" s="352"/>
    </row>
    <row r="354" spans="1:20">
      <c r="A354" s="365">
        <f t="shared" si="13"/>
        <v>345</v>
      </c>
      <c r="B354" s="507" t="s">
        <v>1013</v>
      </c>
      <c r="C354" s="219"/>
      <c r="D354" s="219">
        <v>0</v>
      </c>
      <c r="E354" s="219">
        <v>0</v>
      </c>
      <c r="F354" s="219">
        <v>0</v>
      </c>
      <c r="G354" s="219">
        <v>0</v>
      </c>
      <c r="H354" s="219">
        <v>0</v>
      </c>
      <c r="I354" s="219">
        <v>0</v>
      </c>
      <c r="J354" s="219">
        <v>0</v>
      </c>
      <c r="K354" s="222"/>
      <c r="L354" s="219">
        <v>0</v>
      </c>
      <c r="M354" s="222"/>
      <c r="N354" s="219">
        <v>0</v>
      </c>
      <c r="O354" s="224"/>
      <c r="P354" s="328">
        <v>219</v>
      </c>
      <c r="Q354" s="223"/>
      <c r="R354" s="328">
        <v>0</v>
      </c>
      <c r="T354" s="352"/>
    </row>
    <row r="355" spans="1:20">
      <c r="A355" s="365">
        <f t="shared" si="13"/>
        <v>346</v>
      </c>
      <c r="B355" s="507" t="s">
        <v>1014</v>
      </c>
      <c r="C355" s="219"/>
      <c r="D355" s="219">
        <v>0</v>
      </c>
      <c r="E355" s="219">
        <v>0</v>
      </c>
      <c r="F355" s="219">
        <v>0</v>
      </c>
      <c r="G355" s="219">
        <v>0</v>
      </c>
      <c r="H355" s="219">
        <v>0</v>
      </c>
      <c r="I355" s="219">
        <v>0</v>
      </c>
      <c r="J355" s="219">
        <v>0</v>
      </c>
      <c r="K355" s="222"/>
      <c r="L355" s="219">
        <v>0</v>
      </c>
      <c r="M355" s="222"/>
      <c r="N355" s="219">
        <v>0</v>
      </c>
      <c r="O355" s="224"/>
      <c r="P355" s="328">
        <v>58</v>
      </c>
      <c r="Q355" s="223"/>
      <c r="R355" s="328">
        <v>0</v>
      </c>
      <c r="T355" s="352"/>
    </row>
    <row r="356" spans="1:20">
      <c r="A356" s="365">
        <f t="shared" si="13"/>
        <v>347</v>
      </c>
      <c r="B356" s="507" t="s">
        <v>691</v>
      </c>
      <c r="C356" s="219"/>
      <c r="D356" s="219">
        <v>72.990908523113831</v>
      </c>
      <c r="E356" s="219">
        <v>212.8662299943237</v>
      </c>
      <c r="F356" s="219">
        <v>69.502747734182265</v>
      </c>
      <c r="G356" s="219">
        <v>262.06404514808321</v>
      </c>
      <c r="H356" s="219">
        <v>117.70983706490857</v>
      </c>
      <c r="I356" s="219">
        <v>173.24142203436423</v>
      </c>
      <c r="J356" s="219">
        <v>10.366710151042124</v>
      </c>
      <c r="K356" s="222"/>
      <c r="L356" s="219">
        <v>0</v>
      </c>
      <c r="M356" s="222"/>
      <c r="N356" s="219">
        <v>0</v>
      </c>
      <c r="O356" s="224"/>
      <c r="P356" s="328">
        <v>0</v>
      </c>
      <c r="Q356" s="223"/>
      <c r="R356" s="328">
        <v>0</v>
      </c>
      <c r="T356" s="352"/>
    </row>
    <row r="357" spans="1:20">
      <c r="A357" s="365">
        <f t="shared" si="13"/>
        <v>348</v>
      </c>
      <c r="B357" s="507" t="s">
        <v>1015</v>
      </c>
      <c r="C357" s="219"/>
      <c r="D357" s="219">
        <v>0</v>
      </c>
      <c r="E357" s="219">
        <v>0</v>
      </c>
      <c r="F357" s="219">
        <v>0</v>
      </c>
      <c r="G357" s="219">
        <v>0</v>
      </c>
      <c r="H357" s="219">
        <v>0</v>
      </c>
      <c r="I357" s="219">
        <v>0</v>
      </c>
      <c r="J357" s="219">
        <v>0</v>
      </c>
      <c r="K357" s="222"/>
      <c r="L357" s="219">
        <v>710</v>
      </c>
      <c r="M357" s="222"/>
      <c r="N357" s="219">
        <v>0</v>
      </c>
      <c r="O357" s="224"/>
      <c r="P357" s="328">
        <v>0</v>
      </c>
      <c r="Q357" s="223"/>
      <c r="R357" s="328">
        <v>0</v>
      </c>
      <c r="T357" s="352"/>
    </row>
    <row r="358" spans="1:20">
      <c r="A358" s="365">
        <f t="shared" si="13"/>
        <v>349</v>
      </c>
      <c r="B358" s="220" t="s">
        <v>1016</v>
      </c>
      <c r="C358" s="329"/>
      <c r="D358" s="429">
        <f t="shared" ref="D358:J358" si="14">SUM(D353:D357)</f>
        <v>72.990908523113831</v>
      </c>
      <c r="E358" s="429">
        <f t="shared" si="14"/>
        <v>212.8662299943237</v>
      </c>
      <c r="F358" s="429">
        <f t="shared" si="14"/>
        <v>69.502747734182265</v>
      </c>
      <c r="G358" s="429">
        <f t="shared" si="14"/>
        <v>262.06404514808321</v>
      </c>
      <c r="H358" s="429">
        <f t="shared" si="14"/>
        <v>385.28133720808557</v>
      </c>
      <c r="I358" s="429">
        <f t="shared" si="14"/>
        <v>221.9366700898504</v>
      </c>
      <c r="J358" s="429">
        <f t="shared" si="14"/>
        <v>-8.4195276201289673</v>
      </c>
      <c r="K358" s="223"/>
      <c r="L358" s="429">
        <f>SUM(L353:L357)</f>
        <v>927.84036823518238</v>
      </c>
      <c r="M358" s="429"/>
      <c r="N358" s="429">
        <f>SUM(N353:N357)</f>
        <v>275.01</v>
      </c>
      <c r="O358" s="223"/>
      <c r="P358" s="429">
        <f>SUM(P353:P357)</f>
        <v>367</v>
      </c>
      <c r="Q358" s="429"/>
      <c r="R358" s="429">
        <f>SUM(R353:R357)</f>
        <v>91</v>
      </c>
      <c r="T358" s="352"/>
    </row>
    <row r="359" spans="1:20">
      <c r="A359" s="365">
        <f t="shared" si="13"/>
        <v>350</v>
      </c>
      <c r="B359" s="220"/>
      <c r="C359" s="219"/>
      <c r="D359" s="219"/>
      <c r="E359" s="217"/>
      <c r="F359" s="329"/>
      <c r="G359" s="329"/>
      <c r="H359" s="329"/>
      <c r="I359" s="329"/>
      <c r="J359" s="329"/>
      <c r="K359" s="223"/>
      <c r="L359" s="329"/>
      <c r="M359" s="223"/>
      <c r="N359" s="329"/>
      <c r="O359" s="224"/>
      <c r="P359" s="329"/>
      <c r="Q359" s="223"/>
      <c r="R359" s="329"/>
      <c r="T359" s="352"/>
    </row>
    <row r="360" spans="1:20">
      <c r="A360" s="365">
        <f t="shared" si="13"/>
        <v>351</v>
      </c>
      <c r="B360" s="220" t="s">
        <v>1017</v>
      </c>
      <c r="C360" s="219"/>
      <c r="D360" s="219"/>
      <c r="E360" s="217"/>
      <c r="F360" s="329"/>
      <c r="G360" s="329"/>
      <c r="H360" s="329"/>
      <c r="I360" s="329"/>
      <c r="J360" s="329"/>
      <c r="K360" s="223"/>
      <c r="L360" s="329"/>
      <c r="M360" s="223"/>
      <c r="N360" s="329"/>
      <c r="O360" s="224"/>
      <c r="P360" s="329"/>
      <c r="Q360" s="223"/>
      <c r="R360" s="329"/>
      <c r="T360" s="352"/>
    </row>
    <row r="361" spans="1:20">
      <c r="A361" s="365">
        <f t="shared" si="13"/>
        <v>352</v>
      </c>
      <c r="B361" s="220" t="s">
        <v>1018</v>
      </c>
      <c r="C361" s="219"/>
      <c r="D361" s="219"/>
      <c r="E361" s="217"/>
      <c r="F361" s="329"/>
      <c r="G361" s="329"/>
      <c r="H361" s="329"/>
      <c r="I361" s="329"/>
      <c r="J361" s="329"/>
      <c r="K361" s="223"/>
      <c r="L361" s="329"/>
      <c r="M361" s="223"/>
      <c r="N361" s="329"/>
      <c r="O361" s="224"/>
      <c r="P361" s="329"/>
      <c r="Q361" s="223"/>
      <c r="R361" s="329"/>
      <c r="T361" s="352"/>
    </row>
    <row r="362" spans="1:20">
      <c r="A362" s="365">
        <f t="shared" si="13"/>
        <v>353</v>
      </c>
      <c r="B362" s="507" t="s">
        <v>1019</v>
      </c>
      <c r="C362" s="219"/>
      <c r="D362" s="219">
        <v>0</v>
      </c>
      <c r="E362" s="219">
        <v>0</v>
      </c>
      <c r="F362" s="219">
        <v>21.751518233883701</v>
      </c>
      <c r="G362" s="219">
        <v>247.41866690675599</v>
      </c>
      <c r="H362" s="219">
        <v>-3.5490399621813706</v>
      </c>
      <c r="I362" s="219">
        <v>0</v>
      </c>
      <c r="J362" s="219">
        <v>0</v>
      </c>
      <c r="K362" s="222"/>
      <c r="L362" s="219">
        <v>0</v>
      </c>
      <c r="M362" s="222"/>
      <c r="N362" s="219">
        <v>0</v>
      </c>
      <c r="O362" s="224"/>
      <c r="P362" s="328">
        <v>0</v>
      </c>
      <c r="Q362" s="223"/>
      <c r="R362" s="328">
        <v>0</v>
      </c>
      <c r="T362" s="352"/>
    </row>
    <row r="363" spans="1:20">
      <c r="A363" s="365">
        <f t="shared" si="13"/>
        <v>354</v>
      </c>
      <c r="B363" s="220" t="s">
        <v>1020</v>
      </c>
      <c r="C363" s="219"/>
      <c r="D363" s="429">
        <f t="shared" ref="D363:R363" si="15">SUM(D362)</f>
        <v>0</v>
      </c>
      <c r="E363" s="429">
        <f t="shared" si="15"/>
        <v>0</v>
      </c>
      <c r="F363" s="429">
        <f t="shared" si="15"/>
        <v>21.751518233883701</v>
      </c>
      <c r="G363" s="429">
        <f t="shared" si="15"/>
        <v>247.41866690675599</v>
      </c>
      <c r="H363" s="429">
        <f t="shared" si="15"/>
        <v>-3.5490399621813706</v>
      </c>
      <c r="I363" s="429">
        <f t="shared" si="15"/>
        <v>0</v>
      </c>
      <c r="J363" s="429">
        <f t="shared" si="15"/>
        <v>0</v>
      </c>
      <c r="K363" s="223"/>
      <c r="L363" s="429">
        <f t="shared" si="15"/>
        <v>0</v>
      </c>
      <c r="M363" s="429"/>
      <c r="N363" s="429">
        <f t="shared" si="15"/>
        <v>0</v>
      </c>
      <c r="O363" s="223"/>
      <c r="P363" s="429">
        <f t="shared" si="15"/>
        <v>0</v>
      </c>
      <c r="Q363" s="429"/>
      <c r="R363" s="429">
        <f t="shared" si="15"/>
        <v>0</v>
      </c>
      <c r="T363" s="352"/>
    </row>
    <row r="364" spans="1:20">
      <c r="A364" s="365">
        <f t="shared" si="13"/>
        <v>355</v>
      </c>
      <c r="B364" s="220"/>
      <c r="C364" s="219"/>
      <c r="D364" s="219"/>
      <c r="E364" s="217"/>
      <c r="F364" s="329"/>
      <c r="G364" s="329"/>
      <c r="H364" s="329"/>
      <c r="I364" s="329"/>
      <c r="J364" s="329"/>
      <c r="K364" s="223"/>
      <c r="L364" s="329"/>
      <c r="M364" s="223"/>
      <c r="N364" s="329"/>
      <c r="O364" s="224"/>
      <c r="P364" s="329"/>
      <c r="Q364" s="223"/>
      <c r="R364" s="329"/>
      <c r="T364" s="352"/>
    </row>
    <row r="365" spans="1:20">
      <c r="A365" s="365">
        <f t="shared" si="13"/>
        <v>356</v>
      </c>
      <c r="B365" s="220" t="s">
        <v>1021</v>
      </c>
      <c r="C365" s="219"/>
      <c r="D365" s="219"/>
      <c r="E365" s="217"/>
      <c r="F365" s="329"/>
      <c r="G365" s="329"/>
      <c r="H365" s="329"/>
      <c r="I365" s="329"/>
      <c r="J365" s="329"/>
      <c r="K365" s="223"/>
      <c r="L365" s="329"/>
      <c r="M365" s="223"/>
      <c r="N365" s="329"/>
      <c r="O365" s="224"/>
      <c r="P365" s="329"/>
      <c r="Q365" s="223"/>
      <c r="R365" s="329"/>
      <c r="T365" s="352"/>
    </row>
    <row r="366" spans="1:20">
      <c r="A366" s="365">
        <f t="shared" si="13"/>
        <v>357</v>
      </c>
      <c r="B366" s="507" t="s">
        <v>1022</v>
      </c>
      <c r="C366" s="219"/>
      <c r="D366" s="219">
        <v>3.6151035868649619</v>
      </c>
      <c r="E366" s="219">
        <v>17.275688049749995</v>
      </c>
      <c r="F366" s="219">
        <v>5.748923706838041</v>
      </c>
      <c r="G366" s="219">
        <v>0</v>
      </c>
      <c r="H366" s="219">
        <v>0</v>
      </c>
      <c r="I366" s="219">
        <v>0</v>
      </c>
      <c r="J366" s="219">
        <v>0</v>
      </c>
      <c r="K366" s="222"/>
      <c r="L366" s="219">
        <v>0</v>
      </c>
      <c r="M366" s="222"/>
      <c r="N366" s="219">
        <v>0</v>
      </c>
      <c r="O366" s="224"/>
      <c r="P366" s="328">
        <v>40</v>
      </c>
      <c r="Q366" s="223"/>
      <c r="R366" s="328">
        <v>25</v>
      </c>
      <c r="T366" s="352"/>
    </row>
    <row r="367" spans="1:20">
      <c r="A367" s="365">
        <f t="shared" si="13"/>
        <v>358</v>
      </c>
      <c r="B367" s="507" t="s">
        <v>1023</v>
      </c>
      <c r="C367" s="219"/>
      <c r="D367" s="219">
        <v>0</v>
      </c>
      <c r="E367" s="219">
        <v>0</v>
      </c>
      <c r="F367" s="219">
        <v>0</v>
      </c>
      <c r="G367" s="219">
        <v>0</v>
      </c>
      <c r="H367" s="219">
        <v>0</v>
      </c>
      <c r="I367" s="219">
        <v>0</v>
      </c>
      <c r="J367" s="219">
        <v>0</v>
      </c>
      <c r="K367" s="222"/>
      <c r="L367" s="219">
        <v>75.447239999999994</v>
      </c>
      <c r="M367" s="222"/>
      <c r="N367" s="219">
        <v>73.13</v>
      </c>
      <c r="O367" s="224"/>
      <c r="P367" s="328">
        <v>0</v>
      </c>
      <c r="Q367" s="223"/>
      <c r="R367" s="328">
        <v>0</v>
      </c>
      <c r="T367" s="352"/>
    </row>
    <row r="368" spans="1:20">
      <c r="A368" s="365">
        <f t="shared" si="13"/>
        <v>359</v>
      </c>
      <c r="B368" s="507" t="s">
        <v>1024</v>
      </c>
      <c r="C368" s="219"/>
      <c r="D368" s="219">
        <v>0</v>
      </c>
      <c r="E368" s="219">
        <v>0</v>
      </c>
      <c r="F368" s="219">
        <v>0</v>
      </c>
      <c r="G368" s="219">
        <v>0</v>
      </c>
      <c r="H368" s="219">
        <v>0</v>
      </c>
      <c r="I368" s="219">
        <v>0</v>
      </c>
      <c r="J368" s="219">
        <v>0</v>
      </c>
      <c r="K368" s="222"/>
      <c r="L368" s="219">
        <v>51.249999999999993</v>
      </c>
      <c r="M368" s="222"/>
      <c r="N368" s="219">
        <v>0</v>
      </c>
      <c r="O368" s="224"/>
      <c r="P368" s="328">
        <v>0</v>
      </c>
      <c r="Q368" s="223"/>
      <c r="R368" s="328">
        <v>0</v>
      </c>
      <c r="T368" s="352"/>
    </row>
    <row r="369" spans="1:20">
      <c r="A369" s="365">
        <f t="shared" si="13"/>
        <v>360</v>
      </c>
      <c r="B369" s="507" t="s">
        <v>1025</v>
      </c>
      <c r="C369" s="219"/>
      <c r="D369" s="219">
        <v>0</v>
      </c>
      <c r="E369" s="219">
        <v>0</v>
      </c>
      <c r="F369" s="219">
        <v>0</v>
      </c>
      <c r="G369" s="219">
        <v>0</v>
      </c>
      <c r="H369" s="219">
        <v>0</v>
      </c>
      <c r="I369" s="219">
        <v>0</v>
      </c>
      <c r="J369" s="219">
        <v>0</v>
      </c>
      <c r="K369" s="222"/>
      <c r="L369" s="219">
        <v>100</v>
      </c>
      <c r="M369" s="222"/>
      <c r="N369" s="219">
        <v>0</v>
      </c>
      <c r="O369" s="224"/>
      <c r="P369" s="328">
        <v>0</v>
      </c>
      <c r="Q369" s="223"/>
      <c r="R369" s="328">
        <v>0</v>
      </c>
      <c r="T369" s="352"/>
    </row>
    <row r="370" spans="1:20">
      <c r="A370" s="365">
        <f t="shared" si="13"/>
        <v>361</v>
      </c>
      <c r="B370" s="507" t="s">
        <v>1026</v>
      </c>
      <c r="C370" s="219"/>
      <c r="D370" s="219">
        <v>0</v>
      </c>
      <c r="E370" s="219">
        <v>0</v>
      </c>
      <c r="F370" s="219">
        <v>0</v>
      </c>
      <c r="G370" s="219">
        <v>0</v>
      </c>
      <c r="H370" s="219">
        <v>0</v>
      </c>
      <c r="I370" s="219">
        <v>0</v>
      </c>
      <c r="J370" s="219">
        <v>0</v>
      </c>
      <c r="K370" s="222"/>
      <c r="L370" s="219">
        <v>5.39405</v>
      </c>
      <c r="M370" s="222"/>
      <c r="N370" s="219">
        <v>0</v>
      </c>
      <c r="O370" s="224"/>
      <c r="P370" s="328">
        <v>0</v>
      </c>
      <c r="Q370" s="223"/>
      <c r="R370" s="328">
        <v>0</v>
      </c>
      <c r="T370" s="352"/>
    </row>
    <row r="371" spans="1:20">
      <c r="A371" s="365">
        <f t="shared" si="13"/>
        <v>362</v>
      </c>
      <c r="B371" s="507" t="s">
        <v>1027</v>
      </c>
      <c r="C371" s="219"/>
      <c r="D371" s="219">
        <v>0</v>
      </c>
      <c r="E371" s="219">
        <v>0</v>
      </c>
      <c r="F371" s="219">
        <v>0</v>
      </c>
      <c r="G371" s="219">
        <v>0</v>
      </c>
      <c r="H371" s="219">
        <v>132.29075838213254</v>
      </c>
      <c r="I371" s="219">
        <v>-27.373174839051892</v>
      </c>
      <c r="J371" s="219">
        <v>0</v>
      </c>
      <c r="K371" s="222"/>
      <c r="L371" s="219">
        <v>0</v>
      </c>
      <c r="M371" s="222"/>
      <c r="N371" s="219">
        <v>0</v>
      </c>
      <c r="O371" s="224"/>
      <c r="P371" s="328">
        <v>0</v>
      </c>
      <c r="Q371" s="223"/>
      <c r="R371" s="328">
        <v>71</v>
      </c>
      <c r="T371" s="352"/>
    </row>
    <row r="372" spans="1:20">
      <c r="A372" s="365">
        <f t="shared" si="13"/>
        <v>363</v>
      </c>
      <c r="B372" s="507" t="s">
        <v>1028</v>
      </c>
      <c r="C372" s="219"/>
      <c r="D372" s="219">
        <v>24.166360125320999</v>
      </c>
      <c r="E372" s="219">
        <v>0</v>
      </c>
      <c r="F372" s="219">
        <v>0</v>
      </c>
      <c r="G372" s="219">
        <v>0</v>
      </c>
      <c r="H372" s="219">
        <v>0</v>
      </c>
      <c r="I372" s="219">
        <v>0</v>
      </c>
      <c r="J372" s="219">
        <v>0</v>
      </c>
      <c r="K372" s="222"/>
      <c r="L372" s="219">
        <v>0</v>
      </c>
      <c r="M372" s="222"/>
      <c r="N372" s="219">
        <v>0</v>
      </c>
      <c r="O372" s="224"/>
      <c r="P372" s="328">
        <v>0</v>
      </c>
      <c r="Q372" s="223"/>
      <c r="R372" s="328">
        <v>0</v>
      </c>
      <c r="T372" s="352"/>
    </row>
    <row r="373" spans="1:20">
      <c r="A373" s="365">
        <f t="shared" si="13"/>
        <v>364</v>
      </c>
      <c r="B373" s="507" t="s">
        <v>1029</v>
      </c>
      <c r="C373" s="219"/>
      <c r="D373" s="219">
        <v>0</v>
      </c>
      <c r="E373" s="219">
        <v>14.133068966184743</v>
      </c>
      <c r="F373" s="219">
        <v>32.187402559770931</v>
      </c>
      <c r="G373" s="219">
        <v>0</v>
      </c>
      <c r="H373" s="219">
        <v>0</v>
      </c>
      <c r="I373" s="219">
        <v>0</v>
      </c>
      <c r="J373" s="219">
        <v>0</v>
      </c>
      <c r="K373" s="222"/>
      <c r="L373" s="219">
        <v>0</v>
      </c>
      <c r="M373" s="222"/>
      <c r="N373" s="219">
        <v>0</v>
      </c>
      <c r="O373" s="224"/>
      <c r="P373" s="328">
        <v>0</v>
      </c>
      <c r="Q373" s="223"/>
      <c r="R373" s="328">
        <v>0</v>
      </c>
      <c r="T373" s="352"/>
    </row>
    <row r="374" spans="1:20">
      <c r="A374" s="365">
        <f t="shared" si="13"/>
        <v>365</v>
      </c>
      <c r="B374" s="507" t="s">
        <v>1030</v>
      </c>
      <c r="C374" s="219"/>
      <c r="D374" s="219">
        <v>0</v>
      </c>
      <c r="E374" s="219">
        <v>19.336487220479615</v>
      </c>
      <c r="F374" s="219">
        <v>32.187402559770931</v>
      </c>
      <c r="G374" s="219">
        <v>0</v>
      </c>
      <c r="H374" s="219">
        <v>0</v>
      </c>
      <c r="I374" s="219">
        <v>0</v>
      </c>
      <c r="J374" s="219">
        <v>0</v>
      </c>
      <c r="K374" s="222"/>
      <c r="L374" s="219">
        <v>0</v>
      </c>
      <c r="M374" s="222"/>
      <c r="N374" s="219">
        <v>0</v>
      </c>
      <c r="O374" s="224"/>
      <c r="P374" s="328">
        <v>0</v>
      </c>
      <c r="Q374" s="223"/>
      <c r="R374" s="328">
        <v>0</v>
      </c>
      <c r="T374" s="352"/>
    </row>
    <row r="375" spans="1:20">
      <c r="A375" s="365">
        <f t="shared" si="13"/>
        <v>366</v>
      </c>
      <c r="B375" s="507" t="s">
        <v>1031</v>
      </c>
      <c r="C375" s="219"/>
      <c r="D375" s="219">
        <v>0</v>
      </c>
      <c r="E375" s="219">
        <v>21.787334015989909</v>
      </c>
      <c r="F375" s="219">
        <v>0</v>
      </c>
      <c r="G375" s="219">
        <v>0</v>
      </c>
      <c r="H375" s="219">
        <v>0</v>
      </c>
      <c r="I375" s="219">
        <v>0</v>
      </c>
      <c r="J375" s="219">
        <v>0</v>
      </c>
      <c r="K375" s="222"/>
      <c r="L375" s="219">
        <v>0</v>
      </c>
      <c r="M375" s="222"/>
      <c r="N375" s="219">
        <v>0</v>
      </c>
      <c r="O375" s="224"/>
      <c r="P375" s="328">
        <v>0</v>
      </c>
      <c r="Q375" s="223"/>
      <c r="R375" s="328">
        <v>0</v>
      </c>
      <c r="T375" s="352"/>
    </row>
    <row r="376" spans="1:20">
      <c r="A376" s="365">
        <f t="shared" si="13"/>
        <v>367</v>
      </c>
      <c r="B376" s="507" t="s">
        <v>1032</v>
      </c>
      <c r="C376" s="219"/>
      <c r="D376" s="219">
        <v>0</v>
      </c>
      <c r="E376" s="219">
        <v>0</v>
      </c>
      <c r="F376" s="219">
        <v>0</v>
      </c>
      <c r="G376" s="219">
        <v>26.988092465859918</v>
      </c>
      <c r="H376" s="219">
        <v>0</v>
      </c>
      <c r="I376" s="219">
        <v>0</v>
      </c>
      <c r="J376" s="219">
        <v>0</v>
      </c>
      <c r="K376" s="222"/>
      <c r="L376" s="219">
        <v>0</v>
      </c>
      <c r="M376" s="222"/>
      <c r="N376" s="219">
        <v>0</v>
      </c>
      <c r="O376" s="224"/>
      <c r="P376" s="328">
        <v>0</v>
      </c>
      <c r="Q376" s="223"/>
      <c r="R376" s="328">
        <v>0</v>
      </c>
      <c r="T376" s="352"/>
    </row>
    <row r="377" spans="1:20">
      <c r="A377" s="365">
        <f t="shared" si="13"/>
        <v>368</v>
      </c>
      <c r="B377" s="507" t="s">
        <v>1033</v>
      </c>
      <c r="C377" s="219"/>
      <c r="D377" s="219">
        <v>0</v>
      </c>
      <c r="E377" s="219">
        <v>0</v>
      </c>
      <c r="F377" s="219">
        <v>0</v>
      </c>
      <c r="G377" s="219">
        <v>36.005535026574947</v>
      </c>
      <c r="H377" s="219">
        <v>0.2952602947636917</v>
      </c>
      <c r="I377" s="219">
        <v>0</v>
      </c>
      <c r="J377" s="219">
        <v>0</v>
      </c>
      <c r="K377" s="222"/>
      <c r="L377" s="219">
        <v>0</v>
      </c>
      <c r="M377" s="222"/>
      <c r="N377" s="219">
        <v>0</v>
      </c>
      <c r="O377" s="224"/>
      <c r="P377" s="328">
        <v>0</v>
      </c>
      <c r="Q377" s="223"/>
      <c r="R377" s="328">
        <v>0</v>
      </c>
      <c r="T377" s="352"/>
    </row>
    <row r="378" spans="1:20">
      <c r="A378" s="365">
        <f t="shared" si="13"/>
        <v>369</v>
      </c>
      <c r="B378" s="507" t="s">
        <v>1034</v>
      </c>
      <c r="C378" s="219"/>
      <c r="D378" s="219">
        <v>0</v>
      </c>
      <c r="E378" s="219">
        <v>0</v>
      </c>
      <c r="F378" s="219">
        <v>0</v>
      </c>
      <c r="G378" s="219">
        <v>0</v>
      </c>
      <c r="H378" s="219">
        <v>0</v>
      </c>
      <c r="I378" s="219">
        <v>0</v>
      </c>
      <c r="J378" s="219">
        <v>44.689193169276614</v>
      </c>
      <c r="K378" s="222"/>
      <c r="L378" s="219">
        <v>0</v>
      </c>
      <c r="M378" s="222"/>
      <c r="N378" s="219">
        <v>0</v>
      </c>
      <c r="O378" s="224"/>
      <c r="P378" s="328">
        <v>0</v>
      </c>
      <c r="Q378" s="223"/>
      <c r="R378" s="328">
        <v>0</v>
      </c>
      <c r="T378" s="352"/>
    </row>
    <row r="379" spans="1:20">
      <c r="A379" s="365">
        <f t="shared" si="13"/>
        <v>370</v>
      </c>
      <c r="B379" s="507" t="s">
        <v>1035</v>
      </c>
      <c r="C379" s="219"/>
      <c r="D379" s="219">
        <v>0</v>
      </c>
      <c r="E379" s="219">
        <v>0</v>
      </c>
      <c r="F379" s="219">
        <v>0</v>
      </c>
      <c r="G379" s="219">
        <v>0</v>
      </c>
      <c r="H379" s="219">
        <v>0</v>
      </c>
      <c r="I379" s="219">
        <v>0</v>
      </c>
      <c r="J379" s="219">
        <v>0</v>
      </c>
      <c r="K379" s="222"/>
      <c r="L379" s="219">
        <v>0</v>
      </c>
      <c r="M379" s="222"/>
      <c r="N379" s="219">
        <v>515</v>
      </c>
      <c r="O379" s="224"/>
      <c r="P379" s="328">
        <v>0</v>
      </c>
      <c r="Q379" s="223"/>
      <c r="R379" s="328">
        <v>0</v>
      </c>
      <c r="T379" s="352"/>
    </row>
    <row r="380" spans="1:20">
      <c r="A380" s="365">
        <f t="shared" si="13"/>
        <v>371</v>
      </c>
      <c r="B380" s="507" t="s">
        <v>1036</v>
      </c>
      <c r="C380" s="219"/>
      <c r="D380" s="219">
        <v>0</v>
      </c>
      <c r="E380" s="219">
        <v>0</v>
      </c>
      <c r="F380" s="219">
        <v>0</v>
      </c>
      <c r="G380" s="219">
        <v>0</v>
      </c>
      <c r="H380" s="219">
        <v>0</v>
      </c>
      <c r="I380" s="219">
        <v>0</v>
      </c>
      <c r="J380" s="219">
        <v>0</v>
      </c>
      <c r="K380" s="222"/>
      <c r="L380" s="219">
        <v>0</v>
      </c>
      <c r="M380" s="222"/>
      <c r="N380" s="219">
        <v>77.25</v>
      </c>
      <c r="O380" s="224"/>
      <c r="P380" s="328">
        <v>0</v>
      </c>
      <c r="Q380" s="223"/>
      <c r="R380" s="328">
        <v>0</v>
      </c>
      <c r="T380" s="352"/>
    </row>
    <row r="381" spans="1:20">
      <c r="A381" s="365">
        <f t="shared" si="13"/>
        <v>372</v>
      </c>
      <c r="B381" s="507" t="s">
        <v>1037</v>
      </c>
      <c r="C381" s="219"/>
      <c r="D381" s="219">
        <v>0</v>
      </c>
      <c r="E381" s="219">
        <v>0</v>
      </c>
      <c r="F381" s="219">
        <v>0</v>
      </c>
      <c r="G381" s="219">
        <v>0</v>
      </c>
      <c r="H381" s="219">
        <v>0</v>
      </c>
      <c r="I381" s="219">
        <v>0</v>
      </c>
      <c r="J381" s="219">
        <v>0</v>
      </c>
      <c r="K381" s="222"/>
      <c r="L381" s="219">
        <v>0</v>
      </c>
      <c r="M381" s="222"/>
      <c r="N381" s="219">
        <v>103</v>
      </c>
      <c r="O381" s="224"/>
      <c r="P381" s="328">
        <v>0</v>
      </c>
      <c r="Q381" s="223"/>
      <c r="R381" s="328">
        <v>0</v>
      </c>
      <c r="T381" s="352"/>
    </row>
    <row r="382" spans="1:20">
      <c r="A382" s="365">
        <f t="shared" si="13"/>
        <v>373</v>
      </c>
      <c r="B382" s="507" t="s">
        <v>1038</v>
      </c>
      <c r="C382" s="219"/>
      <c r="D382" s="219">
        <v>0</v>
      </c>
      <c r="E382" s="219">
        <v>0</v>
      </c>
      <c r="F382" s="219">
        <v>0</v>
      </c>
      <c r="G382" s="219">
        <v>0</v>
      </c>
      <c r="H382" s="219">
        <v>0</v>
      </c>
      <c r="I382" s="219">
        <v>0</v>
      </c>
      <c r="J382" s="219">
        <v>0</v>
      </c>
      <c r="K382" s="222"/>
      <c r="L382" s="219">
        <v>0</v>
      </c>
      <c r="M382" s="222"/>
      <c r="N382" s="219">
        <v>25.75</v>
      </c>
      <c r="O382" s="224"/>
      <c r="P382" s="328">
        <v>0</v>
      </c>
      <c r="Q382" s="223"/>
      <c r="R382" s="328">
        <v>0</v>
      </c>
      <c r="T382" s="352"/>
    </row>
    <row r="383" spans="1:20">
      <c r="A383" s="365">
        <f t="shared" si="13"/>
        <v>374</v>
      </c>
      <c r="B383" s="507" t="s">
        <v>1039</v>
      </c>
      <c r="C383" s="219"/>
      <c r="D383" s="219">
        <v>0</v>
      </c>
      <c r="E383" s="219">
        <v>0</v>
      </c>
      <c r="F383" s="219">
        <v>0</v>
      </c>
      <c r="G383" s="219">
        <v>0</v>
      </c>
      <c r="H383" s="219">
        <v>0</v>
      </c>
      <c r="I383" s="219">
        <v>0</v>
      </c>
      <c r="J383" s="219">
        <v>0</v>
      </c>
      <c r="K383" s="222"/>
      <c r="L383" s="219">
        <v>0</v>
      </c>
      <c r="M383" s="222"/>
      <c r="N383" s="219">
        <v>0</v>
      </c>
      <c r="O383" s="224"/>
      <c r="P383" s="328">
        <v>25</v>
      </c>
      <c r="Q383" s="223"/>
      <c r="R383" s="328">
        <v>0</v>
      </c>
      <c r="T383" s="352"/>
    </row>
    <row r="384" spans="1:20">
      <c r="A384" s="365">
        <f t="shared" si="13"/>
        <v>375</v>
      </c>
      <c r="B384" s="507" t="s">
        <v>1040</v>
      </c>
      <c r="C384" s="219"/>
      <c r="D384" s="219">
        <v>0</v>
      </c>
      <c r="E384" s="219">
        <v>0</v>
      </c>
      <c r="F384" s="219">
        <v>0</v>
      </c>
      <c r="G384" s="219">
        <v>0</v>
      </c>
      <c r="H384" s="219">
        <v>0</v>
      </c>
      <c r="I384" s="219">
        <v>0</v>
      </c>
      <c r="J384" s="219">
        <v>0</v>
      </c>
      <c r="K384" s="222"/>
      <c r="L384" s="219">
        <v>0</v>
      </c>
      <c r="M384" s="222"/>
      <c r="N384" s="219">
        <v>0</v>
      </c>
      <c r="O384" s="224"/>
      <c r="P384" s="328">
        <v>0</v>
      </c>
      <c r="Q384" s="223"/>
      <c r="R384" s="328">
        <v>51</v>
      </c>
      <c r="T384" s="352"/>
    </row>
    <row r="385" spans="1:20">
      <c r="A385" s="365">
        <f t="shared" si="13"/>
        <v>376</v>
      </c>
      <c r="B385" s="507" t="s">
        <v>1041</v>
      </c>
      <c r="C385" s="219"/>
      <c r="D385" s="219">
        <v>0</v>
      </c>
      <c r="E385" s="219">
        <v>0</v>
      </c>
      <c r="F385" s="219">
        <v>0</v>
      </c>
      <c r="G385" s="219">
        <v>0</v>
      </c>
      <c r="H385" s="219">
        <v>0</v>
      </c>
      <c r="I385" s="219">
        <v>0</v>
      </c>
      <c r="J385" s="219">
        <v>0</v>
      </c>
      <c r="K385" s="222"/>
      <c r="L385" s="219">
        <v>0</v>
      </c>
      <c r="M385" s="222"/>
      <c r="N385" s="219">
        <v>0</v>
      </c>
      <c r="O385" s="224"/>
      <c r="P385" s="328">
        <v>0</v>
      </c>
      <c r="Q385" s="223"/>
      <c r="R385" s="328">
        <v>92</v>
      </c>
      <c r="T385" s="352"/>
    </row>
    <row r="386" spans="1:20">
      <c r="A386" s="365">
        <f t="shared" si="13"/>
        <v>377</v>
      </c>
      <c r="B386" s="507" t="s">
        <v>1042</v>
      </c>
      <c r="C386" s="219"/>
      <c r="D386" s="219">
        <v>60.855623200190799</v>
      </c>
      <c r="E386" s="219">
        <v>32.326193421672208</v>
      </c>
      <c r="F386" s="219">
        <v>20.745005535844065</v>
      </c>
      <c r="G386" s="219">
        <v>8.7057052415371832</v>
      </c>
      <c r="H386" s="219">
        <v>14.724757882652066</v>
      </c>
      <c r="I386" s="219">
        <v>4.9484214584411585</v>
      </c>
      <c r="J386" s="219">
        <v>50.319151753704901</v>
      </c>
      <c r="K386" s="222"/>
      <c r="L386" s="219">
        <v>0</v>
      </c>
      <c r="M386" s="222"/>
      <c r="N386" s="219">
        <v>0</v>
      </c>
      <c r="O386" s="224"/>
      <c r="P386" s="328">
        <v>0</v>
      </c>
      <c r="Q386" s="223"/>
      <c r="R386" s="328">
        <v>0</v>
      </c>
      <c r="T386" s="352"/>
    </row>
    <row r="387" spans="1:20">
      <c r="A387" s="365">
        <f t="shared" si="13"/>
        <v>378</v>
      </c>
      <c r="B387" s="220" t="s">
        <v>1043</v>
      </c>
      <c r="C387" s="430"/>
      <c r="D387" s="429">
        <f t="shared" ref="D387:J387" si="16">SUM(D366:D386)</f>
        <v>88.637086912376759</v>
      </c>
      <c r="E387" s="429">
        <f t="shared" si="16"/>
        <v>104.85877167407648</v>
      </c>
      <c r="F387" s="429">
        <f t="shared" si="16"/>
        <v>90.868734362223961</v>
      </c>
      <c r="G387" s="429">
        <f t="shared" si="16"/>
        <v>71.699332733972057</v>
      </c>
      <c r="H387" s="429">
        <f t="shared" si="16"/>
        <v>147.31077655954829</v>
      </c>
      <c r="I387" s="429">
        <f t="shared" si="16"/>
        <v>-22.424753380610731</v>
      </c>
      <c r="J387" s="429">
        <f t="shared" si="16"/>
        <v>95.008344922981507</v>
      </c>
      <c r="K387" s="223"/>
      <c r="L387" s="429">
        <f>SUM(L366:L386)</f>
        <v>232.09128999999999</v>
      </c>
      <c r="M387" s="429"/>
      <c r="N387" s="429">
        <f>SUM(N366:N386)</f>
        <v>794.13</v>
      </c>
      <c r="O387" s="223"/>
      <c r="P387" s="429">
        <f>SUM(P366:P386)</f>
        <v>65</v>
      </c>
      <c r="Q387" s="429"/>
      <c r="R387" s="429">
        <f>SUM(R366:R386)</f>
        <v>239</v>
      </c>
      <c r="T387" s="352"/>
    </row>
    <row r="388" spans="1:20">
      <c r="A388" s="365">
        <f t="shared" si="13"/>
        <v>379</v>
      </c>
      <c r="B388" s="507"/>
      <c r="C388" s="219"/>
      <c r="D388" s="219"/>
      <c r="E388" s="219"/>
      <c r="F388" s="219"/>
      <c r="G388" s="219"/>
      <c r="H388" s="219"/>
      <c r="I388" s="219"/>
      <c r="J388" s="219"/>
      <c r="K388" s="222"/>
      <c r="L388" s="219"/>
      <c r="M388" s="222"/>
      <c r="N388" s="219"/>
      <c r="O388" s="224"/>
      <c r="P388" s="328"/>
      <c r="Q388" s="223"/>
      <c r="R388" s="328"/>
      <c r="T388" s="352"/>
    </row>
    <row r="389" spans="1:20">
      <c r="A389" s="365">
        <f t="shared" si="13"/>
        <v>380</v>
      </c>
      <c r="B389" s="507"/>
      <c r="C389" s="219"/>
      <c r="D389" s="219"/>
      <c r="E389" s="219"/>
      <c r="F389" s="219"/>
      <c r="G389" s="219"/>
      <c r="H389" s="219"/>
      <c r="I389" s="219"/>
      <c r="J389" s="219"/>
      <c r="K389" s="222"/>
      <c r="L389" s="219"/>
      <c r="M389" s="222"/>
      <c r="N389" s="219"/>
      <c r="O389" s="224"/>
      <c r="P389" s="328"/>
      <c r="Q389" s="223"/>
      <c r="R389" s="328"/>
      <c r="T389" s="352"/>
    </row>
    <row r="390" spans="1:20">
      <c r="A390" s="365">
        <f t="shared" si="13"/>
        <v>381</v>
      </c>
      <c r="B390" s="220" t="s">
        <v>696</v>
      </c>
      <c r="C390" s="219"/>
      <c r="D390" s="219"/>
      <c r="E390" s="219"/>
      <c r="F390" s="219"/>
      <c r="G390" s="219"/>
      <c r="H390" s="219"/>
      <c r="I390" s="219"/>
      <c r="J390" s="219"/>
      <c r="K390" s="222"/>
      <c r="L390" s="219"/>
      <c r="M390" s="222"/>
      <c r="N390" s="219"/>
      <c r="O390" s="224"/>
      <c r="P390" s="328"/>
      <c r="Q390" s="223"/>
      <c r="R390" s="328"/>
      <c r="T390" s="352"/>
    </row>
    <row r="391" spans="1:20">
      <c r="A391" s="365">
        <f t="shared" si="13"/>
        <v>382</v>
      </c>
      <c r="B391" s="507" t="s">
        <v>696</v>
      </c>
      <c r="C391" s="219"/>
      <c r="D391" s="219">
        <v>36.310487577549083</v>
      </c>
      <c r="E391" s="219">
        <v>22.735001630166973</v>
      </c>
      <c r="F391" s="219">
        <v>2.3276544741955609</v>
      </c>
      <c r="G391" s="219">
        <v>-0.36400047926816093</v>
      </c>
      <c r="H391" s="219">
        <v>19.437145806127816</v>
      </c>
      <c r="I391" s="219">
        <v>48.105620643375829</v>
      </c>
      <c r="J391" s="219">
        <v>-46.014554671048586</v>
      </c>
      <c r="K391" s="222"/>
      <c r="L391" s="219">
        <v>0</v>
      </c>
      <c r="M391" s="222"/>
      <c r="N391" s="219">
        <v>0</v>
      </c>
      <c r="O391" s="224"/>
      <c r="P391" s="328">
        <v>18</v>
      </c>
      <c r="Q391" s="223"/>
      <c r="R391" s="328">
        <v>13</v>
      </c>
      <c r="T391" s="352"/>
    </row>
    <row r="392" spans="1:20">
      <c r="A392" s="365">
        <f t="shared" si="13"/>
        <v>383</v>
      </c>
      <c r="B392" s="507" t="s">
        <v>1044</v>
      </c>
      <c r="C392" s="219"/>
      <c r="D392" s="219">
        <v>26.365260651426077</v>
      </c>
      <c r="E392" s="219">
        <v>115.59429127955943</v>
      </c>
      <c r="F392" s="219">
        <v>30.034682228447934</v>
      </c>
      <c r="G392" s="219">
        <v>20.196717132747779</v>
      </c>
      <c r="H392" s="219">
        <v>9.6521499692720614</v>
      </c>
      <c r="I392" s="219">
        <v>5.1393850080558749</v>
      </c>
      <c r="J392" s="219">
        <v>20.280106640269182</v>
      </c>
      <c r="K392" s="222"/>
      <c r="L392" s="219">
        <v>47.456989523878256</v>
      </c>
      <c r="M392" s="222"/>
      <c r="N392" s="219">
        <v>141.11000000000001</v>
      </c>
      <c r="O392" s="224"/>
      <c r="P392" s="328">
        <v>49</v>
      </c>
      <c r="Q392" s="223"/>
      <c r="R392" s="328">
        <v>66</v>
      </c>
      <c r="T392" s="352"/>
    </row>
    <row r="393" spans="1:20">
      <c r="A393" s="365">
        <f t="shared" si="13"/>
        <v>384</v>
      </c>
      <c r="B393" s="507" t="s">
        <v>1045</v>
      </c>
      <c r="C393" s="219"/>
      <c r="D393" s="219">
        <v>0</v>
      </c>
      <c r="E393" s="219">
        <v>0</v>
      </c>
      <c r="F393" s="219">
        <v>0</v>
      </c>
      <c r="G393" s="219">
        <v>0</v>
      </c>
      <c r="H393" s="219">
        <v>0</v>
      </c>
      <c r="I393" s="219">
        <v>0</v>
      </c>
      <c r="J393" s="219">
        <v>156.508948725712</v>
      </c>
      <c r="K393" s="222"/>
      <c r="L393" s="219">
        <v>0</v>
      </c>
      <c r="M393" s="222"/>
      <c r="N393" s="219">
        <v>0</v>
      </c>
      <c r="O393" s="224"/>
      <c r="P393" s="328">
        <v>0</v>
      </c>
      <c r="Q393" s="223"/>
      <c r="R393" s="328">
        <v>0</v>
      </c>
      <c r="T393" s="352"/>
    </row>
    <row r="394" spans="1:20">
      <c r="A394" s="365">
        <f t="shared" si="13"/>
        <v>385</v>
      </c>
      <c r="B394" s="507" t="s">
        <v>1046</v>
      </c>
      <c r="C394" s="219"/>
      <c r="D394" s="219">
        <v>0</v>
      </c>
      <c r="E394" s="219">
        <v>0</v>
      </c>
      <c r="F394" s="219">
        <v>0</v>
      </c>
      <c r="G394" s="219">
        <v>0</v>
      </c>
      <c r="H394" s="219">
        <v>0</v>
      </c>
      <c r="I394" s="219">
        <v>0</v>
      </c>
      <c r="J394" s="219">
        <v>0</v>
      </c>
      <c r="K394" s="222"/>
      <c r="L394" s="219">
        <v>0</v>
      </c>
      <c r="M394" s="222"/>
      <c r="N394" s="219">
        <v>0</v>
      </c>
      <c r="O394" s="224"/>
      <c r="P394" s="328">
        <v>30</v>
      </c>
      <c r="Q394" s="223"/>
      <c r="R394" s="328">
        <v>0</v>
      </c>
      <c r="T394" s="352"/>
    </row>
    <row r="395" spans="1:20">
      <c r="A395" s="365">
        <f t="shared" si="13"/>
        <v>386</v>
      </c>
      <c r="B395" s="507" t="s">
        <v>1047</v>
      </c>
      <c r="C395" s="219"/>
      <c r="D395" s="219">
        <v>0</v>
      </c>
      <c r="E395" s="219">
        <v>0</v>
      </c>
      <c r="F395" s="219">
        <v>0</v>
      </c>
      <c r="G395" s="219">
        <v>0</v>
      </c>
      <c r="H395" s="219">
        <v>0</v>
      </c>
      <c r="I395" s="219">
        <v>0</v>
      </c>
      <c r="J395" s="219">
        <v>0</v>
      </c>
      <c r="K395" s="222"/>
      <c r="L395" s="219">
        <v>0</v>
      </c>
      <c r="M395" s="222"/>
      <c r="N395" s="219">
        <v>0</v>
      </c>
      <c r="O395" s="224"/>
      <c r="P395" s="328">
        <v>20</v>
      </c>
      <c r="Q395" s="223"/>
      <c r="R395" s="328">
        <v>0</v>
      </c>
      <c r="T395" s="352"/>
    </row>
    <row r="396" spans="1:20">
      <c r="A396" s="365">
        <f t="shared" si="13"/>
        <v>387</v>
      </c>
      <c r="B396" s="507" t="s">
        <v>1048</v>
      </c>
      <c r="C396" s="219"/>
      <c r="D396" s="219">
        <v>0</v>
      </c>
      <c r="E396" s="219">
        <v>0</v>
      </c>
      <c r="F396" s="219">
        <v>0</v>
      </c>
      <c r="G396" s="219">
        <v>0</v>
      </c>
      <c r="H396" s="219">
        <v>0</v>
      </c>
      <c r="I396" s="219">
        <v>0</v>
      </c>
      <c r="J396" s="219">
        <v>0</v>
      </c>
      <c r="K396" s="222"/>
      <c r="L396" s="219">
        <v>0</v>
      </c>
      <c r="M396" s="222"/>
      <c r="N396" s="219">
        <v>0</v>
      </c>
      <c r="O396" s="224"/>
      <c r="P396" s="328">
        <v>0</v>
      </c>
      <c r="Q396" s="223"/>
      <c r="R396" s="328">
        <v>36</v>
      </c>
      <c r="T396" s="352"/>
    </row>
    <row r="397" spans="1:20">
      <c r="A397" s="365">
        <f t="shared" si="13"/>
        <v>388</v>
      </c>
      <c r="B397" s="507"/>
      <c r="C397" s="219"/>
      <c r="D397" s="219"/>
      <c r="E397" s="219"/>
      <c r="F397" s="219"/>
      <c r="G397" s="219"/>
      <c r="H397" s="219"/>
      <c r="I397" s="219"/>
      <c r="J397" s="219"/>
      <c r="K397" s="222"/>
      <c r="L397" s="219"/>
      <c r="M397" s="222"/>
      <c r="N397" s="219"/>
      <c r="O397" s="224"/>
      <c r="P397" s="328"/>
      <c r="Q397" s="223"/>
      <c r="R397" s="328"/>
      <c r="T397" s="352"/>
    </row>
    <row r="398" spans="1:20">
      <c r="A398" s="365">
        <f t="shared" si="13"/>
        <v>389</v>
      </c>
      <c r="B398" s="509" t="s">
        <v>1049</v>
      </c>
      <c r="C398" s="219"/>
      <c r="D398" s="429">
        <f t="shared" ref="D398:R398" si="17">SUM(D390:D397)</f>
        <v>62.675748228975159</v>
      </c>
      <c r="E398" s="429">
        <f t="shared" si="17"/>
        <v>138.32929290972641</v>
      </c>
      <c r="F398" s="429">
        <f t="shared" si="17"/>
        <v>32.362336702643496</v>
      </c>
      <c r="G398" s="429">
        <f t="shared" si="17"/>
        <v>19.832716653479618</v>
      </c>
      <c r="H398" s="429">
        <f t="shared" si="17"/>
        <v>29.089295775399876</v>
      </c>
      <c r="I398" s="429">
        <f t="shared" si="17"/>
        <v>53.245005651431704</v>
      </c>
      <c r="J398" s="429">
        <f t="shared" si="17"/>
        <v>130.77450069493261</v>
      </c>
      <c r="K398" s="223"/>
      <c r="L398" s="429">
        <f t="shared" si="17"/>
        <v>47.456989523878256</v>
      </c>
      <c r="M398" s="429"/>
      <c r="N398" s="429">
        <f t="shared" si="17"/>
        <v>141.11000000000001</v>
      </c>
      <c r="O398" s="223"/>
      <c r="P398" s="429">
        <f t="shared" si="17"/>
        <v>117</v>
      </c>
      <c r="Q398" s="429"/>
      <c r="R398" s="429">
        <f t="shared" si="17"/>
        <v>115</v>
      </c>
      <c r="T398" s="352"/>
    </row>
    <row r="399" spans="1:20" ht="15.5">
      <c r="A399" s="365">
        <f t="shared" si="13"/>
        <v>390</v>
      </c>
      <c r="B399" s="507"/>
      <c r="C399" s="219"/>
      <c r="D399" s="219"/>
      <c r="E399" s="219"/>
      <c r="F399" s="219"/>
      <c r="G399" s="219"/>
      <c r="H399" s="219"/>
      <c r="I399" s="219"/>
      <c r="J399" s="219"/>
      <c r="K399" s="222"/>
      <c r="L399" s="219"/>
      <c r="M399" s="222"/>
      <c r="N399" s="219"/>
      <c r="O399" s="224"/>
      <c r="P399" s="328"/>
      <c r="Q399" s="223"/>
      <c r="R399" s="328"/>
      <c r="S399" s="349"/>
      <c r="T399" s="352"/>
    </row>
    <row r="400" spans="1:20">
      <c r="A400" s="365">
        <f t="shared" si="13"/>
        <v>391</v>
      </c>
      <c r="B400" s="220" t="s">
        <v>702</v>
      </c>
      <c r="C400" s="219"/>
      <c r="D400" s="430"/>
      <c r="E400" s="430"/>
      <c r="F400" s="430"/>
      <c r="G400" s="430"/>
      <c r="H400" s="430"/>
      <c r="I400" s="430"/>
      <c r="J400" s="430"/>
      <c r="K400" s="431"/>
      <c r="L400" s="430"/>
      <c r="M400" s="431"/>
      <c r="N400" s="430"/>
      <c r="O400" s="432"/>
      <c r="P400" s="329"/>
      <c r="Q400" s="223"/>
      <c r="R400" s="329"/>
      <c r="T400" s="352"/>
    </row>
    <row r="401" spans="1:20">
      <c r="A401" s="365">
        <f t="shared" si="13"/>
        <v>392</v>
      </c>
      <c r="B401" s="507" t="s">
        <v>1050</v>
      </c>
      <c r="C401" s="219"/>
      <c r="D401" s="219">
        <v>18.756090541009652</v>
      </c>
      <c r="E401" s="219">
        <v>24.217211975389599</v>
      </c>
      <c r="F401" s="219">
        <v>9.2296897372084334</v>
      </c>
      <c r="G401" s="219">
        <v>17.56019655166396</v>
      </c>
      <c r="H401" s="219">
        <v>12.5460208464779</v>
      </c>
      <c r="I401" s="219">
        <v>9.9712536261858897</v>
      </c>
      <c r="J401" s="219">
        <v>7.9718897890035159</v>
      </c>
      <c r="K401" s="222"/>
      <c r="L401" s="219">
        <v>22.218749999999996</v>
      </c>
      <c r="M401" s="222"/>
      <c r="N401" s="219">
        <v>24.72</v>
      </c>
      <c r="O401" s="224"/>
      <c r="P401" s="328">
        <v>0</v>
      </c>
      <c r="Q401" s="223"/>
      <c r="R401" s="328">
        <v>0</v>
      </c>
      <c r="T401" s="352"/>
    </row>
    <row r="402" spans="1:20">
      <c r="A402" s="365">
        <f t="shared" si="13"/>
        <v>393</v>
      </c>
      <c r="B402" s="507" t="s">
        <v>1051</v>
      </c>
      <c r="C402" s="219"/>
      <c r="D402" s="219">
        <v>0</v>
      </c>
      <c r="E402" s="219">
        <v>0</v>
      </c>
      <c r="F402" s="219">
        <v>0</v>
      </c>
      <c r="G402" s="219">
        <v>0</v>
      </c>
      <c r="H402" s="219">
        <v>0</v>
      </c>
      <c r="I402" s="219">
        <v>0</v>
      </c>
      <c r="J402" s="219">
        <v>14.152433269747752</v>
      </c>
      <c r="K402" s="222"/>
      <c r="L402" s="219">
        <v>20</v>
      </c>
      <c r="M402" s="222"/>
      <c r="N402" s="219">
        <v>0</v>
      </c>
      <c r="O402" s="224"/>
      <c r="P402" s="328">
        <v>0</v>
      </c>
      <c r="Q402" s="223"/>
      <c r="R402" s="328">
        <v>0</v>
      </c>
      <c r="T402" s="352"/>
    </row>
    <row r="403" spans="1:20">
      <c r="A403" s="365">
        <f t="shared" si="13"/>
        <v>394</v>
      </c>
      <c r="B403" s="507" t="s">
        <v>1052</v>
      </c>
      <c r="C403" s="219"/>
      <c r="D403" s="219">
        <v>0</v>
      </c>
      <c r="E403" s="219">
        <v>0</v>
      </c>
      <c r="F403" s="219">
        <v>0</v>
      </c>
      <c r="G403" s="219">
        <v>0</v>
      </c>
      <c r="H403" s="219">
        <v>0</v>
      </c>
      <c r="I403" s="219">
        <v>0</v>
      </c>
      <c r="J403" s="219">
        <v>0</v>
      </c>
      <c r="K403" s="222"/>
      <c r="L403" s="219">
        <v>26</v>
      </c>
      <c r="M403" s="222"/>
      <c r="N403" s="219">
        <v>26.78</v>
      </c>
      <c r="O403" s="224"/>
      <c r="P403" s="328">
        <v>0</v>
      </c>
      <c r="Q403" s="223"/>
      <c r="R403" s="328">
        <v>0</v>
      </c>
      <c r="T403" s="352"/>
    </row>
    <row r="404" spans="1:20">
      <c r="A404" s="365">
        <f t="shared" si="13"/>
        <v>395</v>
      </c>
      <c r="B404" s="507" t="s">
        <v>1053</v>
      </c>
      <c r="C404" s="219"/>
      <c r="D404" s="219">
        <v>132.34351752392371</v>
      </c>
      <c r="E404" s="219">
        <v>138.27371867575241</v>
      </c>
      <c r="F404" s="219">
        <v>63.549431751867878</v>
      </c>
      <c r="G404" s="219">
        <v>179.71981022825616</v>
      </c>
      <c r="H404" s="219">
        <v>95.105787753025467</v>
      </c>
      <c r="I404" s="219">
        <v>150.00287494596856</v>
      </c>
      <c r="J404" s="219">
        <v>64.592016541554031</v>
      </c>
      <c r="K404" s="222"/>
      <c r="L404" s="219">
        <v>241.9243388416092</v>
      </c>
      <c r="M404" s="222"/>
      <c r="N404" s="219">
        <v>76.22</v>
      </c>
      <c r="O404" s="224"/>
      <c r="P404" s="328">
        <v>149</v>
      </c>
      <c r="Q404" s="223"/>
      <c r="R404" s="328">
        <v>165</v>
      </c>
      <c r="T404" s="352"/>
    </row>
    <row r="405" spans="1:20">
      <c r="A405" s="365">
        <f t="shared" si="13"/>
        <v>396</v>
      </c>
      <c r="B405" s="220" t="s">
        <v>1054</v>
      </c>
      <c r="C405" s="219"/>
      <c r="D405" s="429">
        <f t="shared" ref="D405:R405" si="18">SUM(D401:D404)</f>
        <v>151.09960806493336</v>
      </c>
      <c r="E405" s="429">
        <f t="shared" si="18"/>
        <v>162.49093065114201</v>
      </c>
      <c r="F405" s="429">
        <f t="shared" si="18"/>
        <v>72.779121489076317</v>
      </c>
      <c r="G405" s="429">
        <f t="shared" si="18"/>
        <v>197.28000677992011</v>
      </c>
      <c r="H405" s="429">
        <f t="shared" si="18"/>
        <v>107.65180859950337</v>
      </c>
      <c r="I405" s="429">
        <f t="shared" si="18"/>
        <v>159.97412857215446</v>
      </c>
      <c r="J405" s="429">
        <f t="shared" si="18"/>
        <v>86.716339600305304</v>
      </c>
      <c r="K405" s="223"/>
      <c r="L405" s="429">
        <f t="shared" si="18"/>
        <v>310.1430888416092</v>
      </c>
      <c r="M405" s="429"/>
      <c r="N405" s="429">
        <f t="shared" si="18"/>
        <v>127.72</v>
      </c>
      <c r="O405" s="223"/>
      <c r="P405" s="429">
        <f t="shared" si="18"/>
        <v>149</v>
      </c>
      <c r="Q405" s="429"/>
      <c r="R405" s="429">
        <f t="shared" si="18"/>
        <v>165</v>
      </c>
      <c r="T405" s="352"/>
    </row>
    <row r="406" spans="1:20">
      <c r="A406" s="365">
        <f t="shared" si="13"/>
        <v>397</v>
      </c>
      <c r="B406" s="510"/>
      <c r="C406" s="219"/>
      <c r="D406" s="430"/>
      <c r="E406" s="430"/>
      <c r="F406" s="430"/>
      <c r="G406" s="430"/>
      <c r="H406" s="430"/>
      <c r="I406" s="430"/>
      <c r="J406" s="430"/>
      <c r="K406" s="431"/>
      <c r="L406" s="430"/>
      <c r="M406" s="431"/>
      <c r="N406" s="430"/>
      <c r="O406" s="432"/>
      <c r="P406" s="329"/>
      <c r="Q406" s="223"/>
      <c r="R406" s="329"/>
      <c r="T406" s="352"/>
    </row>
    <row r="407" spans="1:20">
      <c r="A407" s="365">
        <f t="shared" si="13"/>
        <v>398</v>
      </c>
      <c r="B407" s="509" t="s">
        <v>704</v>
      </c>
      <c r="C407" s="219"/>
      <c r="D407" s="219"/>
      <c r="E407" s="219"/>
      <c r="F407" s="219"/>
      <c r="G407" s="219"/>
      <c r="H407" s="219"/>
      <c r="I407" s="219"/>
      <c r="J407" s="219"/>
      <c r="K407" s="222"/>
      <c r="L407" s="219"/>
      <c r="M407" s="222"/>
      <c r="N407" s="219"/>
      <c r="O407" s="224"/>
      <c r="P407" s="328"/>
      <c r="Q407" s="223"/>
      <c r="R407" s="328"/>
      <c r="T407" s="352"/>
    </row>
    <row r="408" spans="1:20">
      <c r="A408" s="365">
        <f t="shared" si="13"/>
        <v>399</v>
      </c>
      <c r="B408" s="507" t="s">
        <v>553</v>
      </c>
      <c r="C408" s="219"/>
      <c r="D408" s="219">
        <v>20.403159709030891</v>
      </c>
      <c r="E408" s="219">
        <v>11.315996570309578</v>
      </c>
      <c r="F408" s="219">
        <v>1.5605890111835852</v>
      </c>
      <c r="G408" s="219">
        <v>5.2735839072583381</v>
      </c>
      <c r="H408" s="219">
        <v>4.9564399285549463</v>
      </c>
      <c r="I408" s="219">
        <v>12.430273079671599</v>
      </c>
      <c r="J408" s="219">
        <v>14.489770383063005</v>
      </c>
      <c r="K408" s="222"/>
      <c r="L408" s="219">
        <v>62.145578863160914</v>
      </c>
      <c r="M408" s="222"/>
      <c r="N408" s="219">
        <v>20</v>
      </c>
      <c r="O408" s="224"/>
      <c r="P408" s="328">
        <v>20</v>
      </c>
      <c r="Q408" s="223"/>
      <c r="R408" s="328">
        <v>20</v>
      </c>
      <c r="T408" s="352"/>
    </row>
    <row r="409" spans="1:20">
      <c r="A409" s="365">
        <f t="shared" si="13"/>
        <v>400</v>
      </c>
      <c r="B409" s="507" t="s">
        <v>1055</v>
      </c>
      <c r="C409" s="219"/>
      <c r="D409" s="219">
        <v>0</v>
      </c>
      <c r="E409" s="219">
        <v>0</v>
      </c>
      <c r="F409" s="219">
        <v>0</v>
      </c>
      <c r="G409" s="219">
        <v>0</v>
      </c>
      <c r="H409" s="219">
        <v>0</v>
      </c>
      <c r="I409" s="219">
        <v>21.042035032299268</v>
      </c>
      <c r="J409" s="219">
        <v>0</v>
      </c>
      <c r="K409" s="222"/>
      <c r="L409" s="219">
        <v>0</v>
      </c>
      <c r="M409" s="222"/>
      <c r="N409" s="219">
        <v>0</v>
      </c>
      <c r="O409" s="224"/>
      <c r="P409" s="328">
        <v>0</v>
      </c>
      <c r="Q409" s="223"/>
      <c r="R409" s="328">
        <v>0</v>
      </c>
      <c r="T409" s="352"/>
    </row>
    <row r="410" spans="1:20">
      <c r="A410" s="365">
        <f t="shared" si="13"/>
        <v>401</v>
      </c>
      <c r="B410" s="507" t="s">
        <v>1056</v>
      </c>
      <c r="C410" s="219"/>
      <c r="D410" s="219">
        <v>31.407941908984785</v>
      </c>
      <c r="E410" s="219">
        <v>0.36199826622151721</v>
      </c>
      <c r="F410" s="219">
        <v>0</v>
      </c>
      <c r="G410" s="219">
        <v>0</v>
      </c>
      <c r="H410" s="219">
        <v>0</v>
      </c>
      <c r="I410" s="219">
        <v>0</v>
      </c>
      <c r="J410" s="219">
        <v>0</v>
      </c>
      <c r="K410" s="222"/>
      <c r="L410" s="219">
        <v>0</v>
      </c>
      <c r="M410" s="222"/>
      <c r="N410" s="219">
        <v>0</v>
      </c>
      <c r="O410" s="224"/>
      <c r="P410" s="328">
        <v>0</v>
      </c>
      <c r="Q410" s="223"/>
      <c r="R410" s="328">
        <v>46</v>
      </c>
      <c r="T410" s="352"/>
    </row>
    <row r="411" spans="1:20" ht="15.5">
      <c r="A411" s="365">
        <f t="shared" si="13"/>
        <v>402</v>
      </c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T411" s="352"/>
    </row>
    <row r="412" spans="1:20">
      <c r="A412" s="365">
        <f t="shared" si="13"/>
        <v>403</v>
      </c>
      <c r="B412" s="220" t="s">
        <v>1057</v>
      </c>
      <c r="C412" s="217"/>
      <c r="D412" s="217"/>
      <c r="E412" s="217"/>
      <c r="F412" s="329"/>
      <c r="G412" s="329"/>
      <c r="H412" s="329"/>
      <c r="I412" s="329"/>
      <c r="J412" s="329"/>
      <c r="K412" s="223"/>
      <c r="L412" s="329"/>
      <c r="M412" s="223"/>
      <c r="N412" s="329"/>
      <c r="O412" s="224"/>
      <c r="P412" s="329"/>
      <c r="Q412" s="223"/>
      <c r="R412" s="329"/>
      <c r="T412" s="352"/>
    </row>
    <row r="413" spans="1:20">
      <c r="A413" s="365">
        <f t="shared" si="13"/>
        <v>404</v>
      </c>
      <c r="B413" s="507" t="s">
        <v>1058</v>
      </c>
      <c r="C413" s="219"/>
      <c r="D413" s="219">
        <v>0</v>
      </c>
      <c r="E413" s="219">
        <v>0</v>
      </c>
      <c r="F413" s="219">
        <v>0</v>
      </c>
      <c r="G413" s="219">
        <v>0</v>
      </c>
      <c r="H413" s="219">
        <v>0</v>
      </c>
      <c r="I413" s="219">
        <v>680.27388469096957</v>
      </c>
      <c r="J413" s="219">
        <v>3712.3033747850732</v>
      </c>
      <c r="K413" s="222"/>
      <c r="L413" s="219">
        <v>3666.2334541562777</v>
      </c>
      <c r="M413" s="222"/>
      <c r="N413" s="219">
        <v>345.05</v>
      </c>
      <c r="O413" s="224"/>
      <c r="P413" s="328">
        <v>0</v>
      </c>
      <c r="Q413" s="223"/>
      <c r="R413" s="328">
        <v>0</v>
      </c>
      <c r="T413" s="352"/>
    </row>
    <row r="414" spans="1:20">
      <c r="A414" s="365">
        <f t="shared" si="13"/>
        <v>405</v>
      </c>
      <c r="B414" s="507" t="s">
        <v>1059</v>
      </c>
      <c r="C414" s="219"/>
      <c r="D414" s="219">
        <v>0</v>
      </c>
      <c r="E414" s="219">
        <v>0</v>
      </c>
      <c r="F414" s="219">
        <v>0</v>
      </c>
      <c r="G414" s="219">
        <v>0</v>
      </c>
      <c r="H414" s="219">
        <v>0</v>
      </c>
      <c r="I414" s="219">
        <v>0</v>
      </c>
      <c r="J414" s="219">
        <v>59.416489462021936</v>
      </c>
      <c r="K414" s="222"/>
      <c r="L414" s="219">
        <v>13.037480000000002</v>
      </c>
      <c r="M414" s="222"/>
      <c r="N414" s="219">
        <v>0</v>
      </c>
      <c r="O414" s="224"/>
      <c r="P414" s="328">
        <v>0</v>
      </c>
      <c r="Q414" s="223"/>
      <c r="R414" s="328">
        <v>0</v>
      </c>
      <c r="T414" s="352"/>
    </row>
    <row r="415" spans="1:20">
      <c r="A415" s="365">
        <f t="shared" si="13"/>
        <v>406</v>
      </c>
      <c r="B415" s="507" t="s">
        <v>1060</v>
      </c>
      <c r="C415" s="219"/>
      <c r="D415" s="219">
        <v>0</v>
      </c>
      <c r="E415" s="219">
        <v>0</v>
      </c>
      <c r="F415" s="219">
        <v>0</v>
      </c>
      <c r="G415" s="219">
        <v>0</v>
      </c>
      <c r="H415" s="219">
        <v>0</v>
      </c>
      <c r="I415" s="219">
        <v>0</v>
      </c>
      <c r="J415" s="219">
        <v>0</v>
      </c>
      <c r="K415" s="222"/>
      <c r="L415" s="219">
        <v>305</v>
      </c>
      <c r="M415" s="222"/>
      <c r="N415" s="219">
        <v>901.25</v>
      </c>
      <c r="O415" s="224"/>
      <c r="P415" s="328">
        <v>0</v>
      </c>
      <c r="Q415" s="223"/>
      <c r="R415" s="328">
        <v>0</v>
      </c>
      <c r="T415" s="352"/>
    </row>
    <row r="416" spans="1:20">
      <c r="A416" s="365">
        <f t="shared" ref="A416:A438" si="19">A415+1</f>
        <v>407</v>
      </c>
      <c r="B416" s="507" t="s">
        <v>1061</v>
      </c>
      <c r="C416" s="219"/>
      <c r="D416" s="219">
        <v>0</v>
      </c>
      <c r="E416" s="219">
        <v>0</v>
      </c>
      <c r="F416" s="219">
        <v>0</v>
      </c>
      <c r="G416" s="219">
        <v>0</v>
      </c>
      <c r="H416" s="219">
        <v>0</v>
      </c>
      <c r="I416" s="219">
        <v>0</v>
      </c>
      <c r="J416" s="219">
        <v>0</v>
      </c>
      <c r="K416" s="222"/>
      <c r="L416" s="219">
        <v>171.67916</v>
      </c>
      <c r="M416" s="222"/>
      <c r="N416" s="219">
        <v>154.5</v>
      </c>
      <c r="O416" s="224"/>
      <c r="P416" s="328">
        <v>0</v>
      </c>
      <c r="Q416" s="223"/>
      <c r="R416" s="328">
        <v>0</v>
      </c>
      <c r="T416" s="352"/>
    </row>
    <row r="417" spans="1:20">
      <c r="A417" s="365">
        <f t="shared" si="19"/>
        <v>408</v>
      </c>
      <c r="B417" s="507" t="s">
        <v>1062</v>
      </c>
      <c r="C417" s="219"/>
      <c r="D417" s="219">
        <v>0</v>
      </c>
      <c r="E417" s="219">
        <v>0</v>
      </c>
      <c r="F417" s="219">
        <v>0</v>
      </c>
      <c r="G417" s="219">
        <v>0</v>
      </c>
      <c r="H417" s="219">
        <v>0</v>
      </c>
      <c r="I417" s="219">
        <v>37.095518844809519</v>
      </c>
      <c r="J417" s="219">
        <v>15.544778254925459</v>
      </c>
      <c r="K417" s="222"/>
      <c r="L417" s="219">
        <v>0</v>
      </c>
      <c r="M417" s="222"/>
      <c r="N417" s="219">
        <v>0</v>
      </c>
      <c r="O417" s="224"/>
      <c r="P417" s="328">
        <v>0</v>
      </c>
      <c r="Q417" s="223"/>
      <c r="R417" s="328">
        <v>0</v>
      </c>
      <c r="T417" s="352"/>
    </row>
    <row r="418" spans="1:20">
      <c r="A418" s="365">
        <f t="shared" si="19"/>
        <v>409</v>
      </c>
      <c r="B418" s="507" t="s">
        <v>1063</v>
      </c>
      <c r="C418" s="219"/>
      <c r="D418" s="219">
        <v>0</v>
      </c>
      <c r="E418" s="219">
        <v>0</v>
      </c>
      <c r="F418" s="219">
        <v>0</v>
      </c>
      <c r="G418" s="219">
        <v>0</v>
      </c>
      <c r="H418" s="219">
        <v>0</v>
      </c>
      <c r="I418" s="219">
        <v>0</v>
      </c>
      <c r="J418" s="219">
        <v>48.82042129573852</v>
      </c>
      <c r="K418" s="222"/>
      <c r="L418" s="219">
        <v>0</v>
      </c>
      <c r="M418" s="222"/>
      <c r="N418" s="219">
        <v>0</v>
      </c>
      <c r="O418" s="224"/>
      <c r="P418" s="328">
        <v>0</v>
      </c>
      <c r="Q418" s="223"/>
      <c r="R418" s="328">
        <v>0</v>
      </c>
      <c r="T418" s="352"/>
    </row>
    <row r="419" spans="1:20">
      <c r="A419" s="365">
        <f t="shared" si="19"/>
        <v>410</v>
      </c>
      <c r="B419" s="507" t="s">
        <v>1064</v>
      </c>
      <c r="C419" s="219"/>
      <c r="D419" s="219">
        <v>0</v>
      </c>
      <c r="E419" s="219">
        <v>0</v>
      </c>
      <c r="F419" s="219">
        <v>23.689570364605242</v>
      </c>
      <c r="G419" s="219">
        <v>29.36083075000931</v>
      </c>
      <c r="H419" s="219">
        <v>6.9645136867246205</v>
      </c>
      <c r="I419" s="219">
        <v>0</v>
      </c>
      <c r="J419" s="219">
        <v>0</v>
      </c>
      <c r="K419" s="222"/>
      <c r="L419" s="219">
        <v>0</v>
      </c>
      <c r="M419" s="222"/>
      <c r="N419" s="219">
        <v>0</v>
      </c>
      <c r="O419" s="224"/>
      <c r="P419" s="328">
        <v>0</v>
      </c>
      <c r="Q419" s="223"/>
      <c r="R419" s="328">
        <v>0</v>
      </c>
      <c r="T419" s="352"/>
    </row>
    <row r="420" spans="1:20">
      <c r="A420" s="365">
        <f t="shared" si="19"/>
        <v>411</v>
      </c>
      <c r="B420" s="507" t="s">
        <v>1065</v>
      </c>
      <c r="C420" s="219"/>
      <c r="D420" s="219">
        <v>0</v>
      </c>
      <c r="E420" s="219">
        <v>51.390851518104753</v>
      </c>
      <c r="F420" s="219">
        <v>50.900078830544579</v>
      </c>
      <c r="G420" s="219">
        <v>0</v>
      </c>
      <c r="H420" s="219">
        <v>0</v>
      </c>
      <c r="I420" s="219">
        <v>0</v>
      </c>
      <c r="J420" s="219">
        <v>0</v>
      </c>
      <c r="K420" s="222"/>
      <c r="L420" s="219">
        <v>0</v>
      </c>
      <c r="M420" s="222"/>
      <c r="N420" s="219">
        <v>0</v>
      </c>
      <c r="O420" s="224"/>
      <c r="P420" s="328">
        <v>0</v>
      </c>
      <c r="Q420" s="223"/>
      <c r="R420" s="328">
        <v>0</v>
      </c>
      <c r="T420" s="352"/>
    </row>
    <row r="421" spans="1:20">
      <c r="A421" s="365">
        <f t="shared" si="19"/>
        <v>412</v>
      </c>
      <c r="B421" s="507"/>
      <c r="C421" s="219"/>
      <c r="D421" s="219"/>
      <c r="E421" s="219"/>
      <c r="F421" s="219"/>
      <c r="G421" s="219"/>
      <c r="H421" s="219"/>
      <c r="I421" s="219"/>
      <c r="J421" s="219"/>
      <c r="K421" s="222"/>
      <c r="L421" s="219"/>
      <c r="M421" s="222"/>
      <c r="N421" s="219"/>
      <c r="O421" s="224"/>
      <c r="P421" s="328"/>
      <c r="Q421" s="223"/>
      <c r="R421" s="328"/>
      <c r="T421" s="352"/>
    </row>
    <row r="422" spans="1:20">
      <c r="A422" s="365">
        <f t="shared" si="19"/>
        <v>413</v>
      </c>
      <c r="B422" s="507" t="s">
        <v>1066</v>
      </c>
      <c r="C422" s="219"/>
      <c r="D422" s="219">
        <f>2.1685550793084-0.0270800557402103</f>
        <v>2.1414750235681894</v>
      </c>
      <c r="E422" s="219">
        <v>15.526662639340161</v>
      </c>
      <c r="F422" s="219">
        <v>2.8365737086082405</v>
      </c>
      <c r="G422" s="219">
        <v>9.7160527512157717</v>
      </c>
      <c r="H422" s="219">
        <v>20.573915155540369</v>
      </c>
      <c r="I422" s="219">
        <v>4.0474679563278464</v>
      </c>
      <c r="J422" s="219">
        <v>-70.837983499048704</v>
      </c>
      <c r="K422" s="222"/>
      <c r="L422" s="219">
        <v>42.666821089369236</v>
      </c>
      <c r="M422" s="222"/>
      <c r="N422" s="219">
        <v>12.7308</v>
      </c>
      <c r="O422" s="224"/>
      <c r="P422" s="328">
        <v>0</v>
      </c>
      <c r="Q422" s="223"/>
      <c r="R422" s="328">
        <v>0</v>
      </c>
      <c r="T422" s="352"/>
    </row>
    <row r="423" spans="1:20">
      <c r="A423" s="365">
        <f t="shared" si="19"/>
        <v>414</v>
      </c>
      <c r="B423" s="509" t="s">
        <v>1067</v>
      </c>
      <c r="C423" s="219"/>
      <c r="D423" s="429">
        <f t="shared" ref="D423:J423" si="20">SUM(D413:D422,D408:D410)</f>
        <v>53.952576641583867</v>
      </c>
      <c r="E423" s="429">
        <f t="shared" si="20"/>
        <v>78.595508993976011</v>
      </c>
      <c r="F423" s="429">
        <f t="shared" si="20"/>
        <v>78.98681191494164</v>
      </c>
      <c r="G423" s="429">
        <f t="shared" si="20"/>
        <v>44.350467408483425</v>
      </c>
      <c r="H423" s="429">
        <f t="shared" si="20"/>
        <v>32.494868770819934</v>
      </c>
      <c r="I423" s="429">
        <f t="shared" si="20"/>
        <v>754.88917960407775</v>
      </c>
      <c r="J423" s="429">
        <f t="shared" si="20"/>
        <v>3779.7368506817734</v>
      </c>
      <c r="K423" s="223"/>
      <c r="L423" s="429">
        <f>SUM(L413:L422,L408:L410)</f>
        <v>4260.7624941088079</v>
      </c>
      <c r="M423" s="429"/>
      <c r="N423" s="429">
        <f>SUM(N413:N422,N408:N410)</f>
        <v>1433.5308</v>
      </c>
      <c r="O423" s="223"/>
      <c r="P423" s="429">
        <f>SUM(P413:P422,P408:P410)</f>
        <v>20</v>
      </c>
      <c r="Q423" s="429"/>
      <c r="R423" s="429">
        <f>SUM(R413:R422,R408:R410)</f>
        <v>66</v>
      </c>
      <c r="T423" s="352"/>
    </row>
    <row r="424" spans="1:20">
      <c r="A424" s="365">
        <f t="shared" si="19"/>
        <v>415</v>
      </c>
      <c r="B424" s="507"/>
      <c r="C424" s="219"/>
      <c r="D424" s="430"/>
      <c r="E424" s="219"/>
      <c r="F424" s="219"/>
      <c r="G424" s="219"/>
      <c r="H424" s="219"/>
      <c r="I424" s="219"/>
      <c r="J424" s="219"/>
      <c r="K424" s="222"/>
      <c r="L424" s="219"/>
      <c r="M424" s="222"/>
      <c r="N424" s="219"/>
      <c r="O424" s="224"/>
      <c r="P424" s="328"/>
      <c r="Q424" s="223"/>
      <c r="R424" s="328"/>
      <c r="T424" s="352"/>
    </row>
    <row r="425" spans="1:20">
      <c r="A425" s="365">
        <f t="shared" si="19"/>
        <v>416</v>
      </c>
      <c r="B425" s="509" t="s">
        <v>698</v>
      </c>
      <c r="C425" s="219"/>
      <c r="D425" s="219"/>
      <c r="E425" s="219"/>
      <c r="F425" s="219"/>
      <c r="G425" s="219"/>
      <c r="H425" s="219"/>
      <c r="I425" s="219"/>
      <c r="J425" s="219"/>
      <c r="K425" s="222"/>
      <c r="L425" s="219"/>
      <c r="M425" s="222"/>
      <c r="N425" s="219"/>
      <c r="O425" s="224"/>
      <c r="P425" s="328"/>
      <c r="Q425" s="223"/>
      <c r="R425" s="328"/>
      <c r="T425" s="352"/>
    </row>
    <row r="426" spans="1:20">
      <c r="A426" s="365">
        <f t="shared" si="19"/>
        <v>417</v>
      </c>
      <c r="B426" s="507" t="s">
        <v>698</v>
      </c>
      <c r="C426" s="219"/>
      <c r="D426" s="219">
        <v>17.61006652817586</v>
      </c>
      <c r="E426" s="219">
        <v>51.390851518104753</v>
      </c>
      <c r="F426" s="219">
        <v>6.2690957098306352</v>
      </c>
      <c r="G426" s="219">
        <v>88.061058470156127</v>
      </c>
      <c r="H426" s="219">
        <v>117.22566840377044</v>
      </c>
      <c r="I426" s="219">
        <v>506.62054219901972</v>
      </c>
      <c r="J426" s="219">
        <v>396.7941846856441</v>
      </c>
      <c r="K426" s="222"/>
      <c r="L426" s="219">
        <v>696.5377850000001</v>
      </c>
      <c r="M426" s="222"/>
      <c r="N426" s="219">
        <v>766.0625</v>
      </c>
      <c r="O426" s="224"/>
      <c r="P426" s="328">
        <v>369</v>
      </c>
      <c r="Q426" s="223"/>
      <c r="R426" s="328">
        <v>315</v>
      </c>
      <c r="T426" s="352"/>
    </row>
    <row r="427" spans="1:20">
      <c r="A427" s="365">
        <f t="shared" si="19"/>
        <v>418</v>
      </c>
      <c r="B427" s="507" t="s">
        <v>1068</v>
      </c>
      <c r="C427" s="219"/>
      <c r="D427" s="219"/>
      <c r="E427" s="219"/>
      <c r="F427" s="219"/>
      <c r="G427" s="219"/>
      <c r="H427" s="219"/>
      <c r="I427" s="219"/>
      <c r="J427" s="219">
        <v>264.21257262559863</v>
      </c>
      <c r="K427" s="222"/>
      <c r="L427" s="219"/>
      <c r="M427" s="222"/>
      <c r="N427" s="219"/>
      <c r="O427" s="224"/>
      <c r="P427" s="328"/>
      <c r="Q427" s="223"/>
      <c r="R427" s="328"/>
      <c r="T427" s="352"/>
    </row>
    <row r="428" spans="1:20">
      <c r="A428" s="365">
        <f t="shared" si="19"/>
        <v>419</v>
      </c>
      <c r="B428" s="507" t="s">
        <v>1069</v>
      </c>
      <c r="C428" s="219"/>
      <c r="D428" s="219"/>
      <c r="E428" s="219">
        <v>613.88592223077785</v>
      </c>
      <c r="F428" s="219"/>
      <c r="G428" s="219"/>
      <c r="H428" s="219"/>
      <c r="I428" s="219"/>
      <c r="J428" s="219"/>
      <c r="K428" s="222"/>
      <c r="L428" s="219"/>
      <c r="M428" s="222"/>
      <c r="N428" s="219"/>
      <c r="O428" s="224"/>
      <c r="P428" s="328"/>
      <c r="Q428" s="223"/>
      <c r="R428" s="328"/>
      <c r="T428" s="352"/>
    </row>
    <row r="429" spans="1:20">
      <c r="A429" s="365">
        <f t="shared" si="19"/>
        <v>420</v>
      </c>
      <c r="B429" s="507" t="s">
        <v>1070</v>
      </c>
      <c r="C429" s="219"/>
      <c r="D429" s="219">
        <v>0</v>
      </c>
      <c r="E429" s="219">
        <v>0</v>
      </c>
      <c r="F429" s="219">
        <v>0</v>
      </c>
      <c r="G429" s="219">
        <v>144.61526737697525</v>
      </c>
      <c r="H429" s="219">
        <v>0</v>
      </c>
      <c r="I429" s="219">
        <v>0</v>
      </c>
      <c r="J429" s="219">
        <v>0</v>
      </c>
      <c r="K429" s="222"/>
      <c r="L429" s="219">
        <v>0</v>
      </c>
      <c r="M429" s="222"/>
      <c r="N429" s="219">
        <v>0</v>
      </c>
      <c r="O429" s="224"/>
      <c r="P429" s="328">
        <v>0</v>
      </c>
      <c r="Q429" s="223"/>
      <c r="R429" s="328">
        <v>0</v>
      </c>
      <c r="T429" s="352"/>
    </row>
    <row r="430" spans="1:20">
      <c r="A430" s="365">
        <f t="shared" si="19"/>
        <v>421</v>
      </c>
      <c r="B430" s="507" t="s">
        <v>1071</v>
      </c>
      <c r="C430" s="219"/>
      <c r="D430" s="219">
        <v>0</v>
      </c>
      <c r="E430" s="219">
        <v>0</v>
      </c>
      <c r="F430" s="219">
        <v>0</v>
      </c>
      <c r="G430" s="219">
        <v>149.02417358455492</v>
      </c>
      <c r="H430" s="219">
        <v>0</v>
      </c>
      <c r="I430" s="219">
        <v>0</v>
      </c>
      <c r="J430" s="219">
        <v>0</v>
      </c>
      <c r="K430" s="222"/>
      <c r="L430" s="219">
        <v>0</v>
      </c>
      <c r="M430" s="222"/>
      <c r="N430" s="219">
        <v>0</v>
      </c>
      <c r="O430" s="224"/>
      <c r="P430" s="328">
        <v>0</v>
      </c>
      <c r="Q430" s="223"/>
      <c r="R430" s="328">
        <v>0</v>
      </c>
      <c r="T430" s="352"/>
    </row>
    <row r="431" spans="1:20">
      <c r="A431" s="365">
        <f t="shared" si="19"/>
        <v>422</v>
      </c>
      <c r="B431" s="507" t="s">
        <v>1072</v>
      </c>
      <c r="C431" s="219"/>
      <c r="D431" s="219">
        <v>0</v>
      </c>
      <c r="E431" s="219">
        <v>0</v>
      </c>
      <c r="F431" s="219">
        <v>0</v>
      </c>
      <c r="G431" s="219">
        <v>0</v>
      </c>
      <c r="H431" s="219">
        <v>324.0355157293518</v>
      </c>
      <c r="I431" s="219">
        <v>10.939675336119281</v>
      </c>
      <c r="J431" s="219">
        <v>0</v>
      </c>
      <c r="K431" s="222"/>
      <c r="L431" s="219">
        <v>0</v>
      </c>
      <c r="M431" s="222"/>
      <c r="N431" s="219">
        <v>0</v>
      </c>
      <c r="O431" s="224"/>
      <c r="P431" s="328">
        <v>0</v>
      </c>
      <c r="Q431" s="223"/>
      <c r="R431" s="328">
        <v>0</v>
      </c>
      <c r="T431" s="352"/>
    </row>
    <row r="432" spans="1:20">
      <c r="A432" s="365">
        <f t="shared" si="19"/>
        <v>423</v>
      </c>
      <c r="B432" s="507" t="s">
        <v>1073</v>
      </c>
      <c r="C432" s="219"/>
      <c r="D432" s="219">
        <v>0</v>
      </c>
      <c r="E432" s="219">
        <v>0</v>
      </c>
      <c r="F432" s="219">
        <v>0</v>
      </c>
      <c r="G432" s="219">
        <v>0</v>
      </c>
      <c r="H432" s="219">
        <v>128.534326040894</v>
      </c>
      <c r="I432" s="219">
        <v>0</v>
      </c>
      <c r="J432" s="219">
        <v>0</v>
      </c>
      <c r="K432" s="222"/>
      <c r="L432" s="219">
        <v>0</v>
      </c>
      <c r="M432" s="222"/>
      <c r="N432" s="219">
        <v>0</v>
      </c>
      <c r="O432" s="224"/>
      <c r="P432" s="328">
        <v>0</v>
      </c>
      <c r="Q432" s="223"/>
      <c r="R432" s="328">
        <v>0</v>
      </c>
      <c r="T432" s="352"/>
    </row>
    <row r="433" spans="1:20">
      <c r="A433" s="365">
        <f t="shared" si="19"/>
        <v>424</v>
      </c>
      <c r="B433" s="507" t="s">
        <v>1074</v>
      </c>
      <c r="C433" s="219"/>
      <c r="D433" s="219">
        <v>0</v>
      </c>
      <c r="E433" s="219">
        <v>0</v>
      </c>
      <c r="F433" s="219">
        <v>0</v>
      </c>
      <c r="G433" s="219">
        <v>0</v>
      </c>
      <c r="H433" s="219">
        <v>0</v>
      </c>
      <c r="I433" s="219">
        <v>157.8131862369282</v>
      </c>
      <c r="J433" s="219">
        <v>0</v>
      </c>
      <c r="K433" s="222"/>
      <c r="L433" s="219">
        <v>0</v>
      </c>
      <c r="M433" s="222"/>
      <c r="N433" s="219">
        <v>0</v>
      </c>
      <c r="O433" s="224"/>
      <c r="P433" s="328">
        <v>0</v>
      </c>
      <c r="Q433" s="223"/>
      <c r="R433" s="328">
        <v>0</v>
      </c>
      <c r="T433" s="352"/>
    </row>
    <row r="434" spans="1:20">
      <c r="A434" s="365">
        <f t="shared" si="19"/>
        <v>425</v>
      </c>
      <c r="B434" s="509" t="s">
        <v>1075</v>
      </c>
      <c r="C434" s="219"/>
      <c r="D434" s="429">
        <f t="shared" ref="D434:R434" si="21">SUM(D426:D433)</f>
        <v>17.61006652817586</v>
      </c>
      <c r="E434" s="429">
        <f>SUM(E426:E433)</f>
        <v>665.27677374888265</v>
      </c>
      <c r="F434" s="429">
        <f t="shared" si="21"/>
        <v>6.2690957098306352</v>
      </c>
      <c r="G434" s="429">
        <f t="shared" si="21"/>
        <v>381.7004994316863</v>
      </c>
      <c r="H434" s="429">
        <f t="shared" si="21"/>
        <v>569.79551017401627</v>
      </c>
      <c r="I434" s="429">
        <f t="shared" si="21"/>
        <v>675.37340377206726</v>
      </c>
      <c r="J434" s="429">
        <f t="shared" si="21"/>
        <v>661.00675731124272</v>
      </c>
      <c r="K434" s="223"/>
      <c r="L434" s="429">
        <f t="shared" si="21"/>
        <v>696.5377850000001</v>
      </c>
      <c r="M434" s="429"/>
      <c r="N434" s="429">
        <f t="shared" si="21"/>
        <v>766.0625</v>
      </c>
      <c r="O434" s="223"/>
      <c r="P434" s="429">
        <f t="shared" si="21"/>
        <v>369</v>
      </c>
      <c r="Q434" s="429"/>
      <c r="R434" s="429">
        <f t="shared" si="21"/>
        <v>315</v>
      </c>
      <c r="T434" s="352"/>
    </row>
    <row r="435" spans="1:20">
      <c r="A435" s="365">
        <f t="shared" si="19"/>
        <v>426</v>
      </c>
      <c r="B435" s="507"/>
      <c r="C435" s="219"/>
      <c r="D435" s="219">
        <v>0</v>
      </c>
      <c r="E435" s="219">
        <v>0</v>
      </c>
      <c r="F435" s="219">
        <v>0</v>
      </c>
      <c r="G435" s="219">
        <v>0</v>
      </c>
      <c r="H435" s="219">
        <v>0</v>
      </c>
      <c r="I435" s="219">
        <v>0</v>
      </c>
      <c r="J435" s="219">
        <v>0</v>
      </c>
      <c r="K435" s="413"/>
      <c r="L435" s="219">
        <v>0</v>
      </c>
      <c r="M435" s="413"/>
      <c r="N435" s="219">
        <v>0</v>
      </c>
      <c r="O435" s="415"/>
      <c r="P435" s="396">
        <v>0</v>
      </c>
      <c r="Q435" s="412"/>
      <c r="R435" s="396">
        <v>0</v>
      </c>
      <c r="T435" s="352"/>
    </row>
    <row r="436" spans="1:20">
      <c r="A436" s="365">
        <f t="shared" si="19"/>
        <v>427</v>
      </c>
      <c r="B436" s="507" t="s">
        <v>1076</v>
      </c>
      <c r="C436" s="219"/>
      <c r="D436" s="219"/>
      <c r="E436" s="217"/>
      <c r="F436" s="327"/>
      <c r="G436" s="327"/>
      <c r="H436" s="327"/>
      <c r="I436" s="327"/>
      <c r="J436" s="327"/>
      <c r="K436" s="413"/>
      <c r="L436" s="327"/>
      <c r="M436" s="413"/>
      <c r="N436" s="327"/>
      <c r="O436" s="415"/>
      <c r="P436" s="396">
        <v>37</v>
      </c>
      <c r="Q436" s="412"/>
      <c r="R436" s="396">
        <v>102</v>
      </c>
      <c r="T436" s="352"/>
    </row>
    <row r="437" spans="1:20">
      <c r="A437" s="365">
        <f t="shared" si="19"/>
        <v>428</v>
      </c>
      <c r="B437" s="220" t="s">
        <v>1077</v>
      </c>
      <c r="C437" s="219"/>
      <c r="D437" s="416">
        <f t="shared" ref="D437:J437" si="22">D434+D435+D423+D398+D387+D405+D363</f>
        <v>373.975086376045</v>
      </c>
      <c r="E437" s="416">
        <f t="shared" si="22"/>
        <v>1149.5512779778037</v>
      </c>
      <c r="F437" s="416">
        <f t="shared" si="22"/>
        <v>303.01761841259975</v>
      </c>
      <c r="G437" s="416">
        <f t="shared" si="22"/>
        <v>962.28168991429754</v>
      </c>
      <c r="H437" s="416">
        <f t="shared" si="22"/>
        <v>882.7932199171064</v>
      </c>
      <c r="I437" s="416">
        <f t="shared" si="22"/>
        <v>1621.0569642191203</v>
      </c>
      <c r="J437" s="416">
        <f t="shared" si="22"/>
        <v>4753.242793211235</v>
      </c>
      <c r="K437" s="412"/>
      <c r="L437" s="416">
        <f>L434+L435+L423+L398+L387+L405</f>
        <v>5546.9916474742959</v>
      </c>
      <c r="M437" s="416"/>
      <c r="N437" s="416">
        <f>N434+N435+N423+N398+N387+N405</f>
        <v>3262.5533</v>
      </c>
      <c r="O437" s="412"/>
      <c r="P437" s="416">
        <f>P434+P435+P423+P398+P387+P405+P436</f>
        <v>757</v>
      </c>
      <c r="Q437" s="416"/>
      <c r="R437" s="416">
        <f>R434+R435+R423+R398+R387+R405+R436</f>
        <v>1002</v>
      </c>
      <c r="T437" s="352"/>
    </row>
    <row r="438" spans="1:20">
      <c r="A438" s="365">
        <f t="shared" si="19"/>
        <v>429</v>
      </c>
      <c r="B438" s="220" t="s">
        <v>379</v>
      </c>
      <c r="C438" s="182"/>
      <c r="D438" s="399">
        <f t="shared" ref="D438:J438" si="23">SUM(D437+D358+D350+D345+D316+D180+D140+D188+D147)</f>
        <v>14784.16059</v>
      </c>
      <c r="E438" s="399">
        <f t="shared" si="23"/>
        <v>10476.000021952917</v>
      </c>
      <c r="F438" s="399">
        <f t="shared" si="23"/>
        <v>9491.3821698316533</v>
      </c>
      <c r="G438" s="399">
        <f t="shared" si="23"/>
        <v>13528.529735055254</v>
      </c>
      <c r="H438" s="399">
        <f t="shared" si="23"/>
        <v>13000.85994882993</v>
      </c>
      <c r="I438" s="399">
        <f t="shared" si="23"/>
        <v>15146.62248194755</v>
      </c>
      <c r="J438" s="399">
        <f t="shared" si="23"/>
        <v>18913.881581420294</v>
      </c>
      <c r="K438" s="412"/>
      <c r="L438" s="399">
        <f>SUM(L437+L358+L350+L345+L316+L180+L140+L188+L147)</f>
        <v>31234.35899288064</v>
      </c>
      <c r="M438" s="412"/>
      <c r="N438" s="399">
        <f>SUM(N437+N358+N350+N345+N316+N180+N140+N188+N147)</f>
        <v>25073.431755975744</v>
      </c>
      <c r="O438" s="412"/>
      <c r="P438" s="399">
        <f>SUM(P437+P358+P350+P345+P316+P180+P140+P188+P147)</f>
        <v>14999</v>
      </c>
      <c r="Q438" s="397"/>
      <c r="R438" s="399">
        <f>SUM(R437+R358+R350+R345+R316+R180+R140+R188+R147)</f>
        <v>12470</v>
      </c>
    </row>
    <row r="439" spans="1:20" ht="14.5" thickTop="1"/>
    <row r="440" spans="1:20">
      <c r="D440" s="412"/>
      <c r="E440" s="412"/>
      <c r="F440" s="412"/>
      <c r="G440" s="412"/>
      <c r="H440" s="412"/>
      <c r="I440" s="412"/>
      <c r="J440" s="412"/>
      <c r="K440" s="412"/>
      <c r="L440" s="412"/>
      <c r="M440" s="412"/>
      <c r="N440" s="412"/>
      <c r="O440" s="412"/>
      <c r="P440" s="412"/>
      <c r="Q440" s="412"/>
      <c r="R440" s="412"/>
    </row>
    <row r="442" spans="1:20">
      <c r="D442" s="352"/>
      <c r="E442" s="352"/>
      <c r="F442" s="352"/>
      <c r="G442" s="352"/>
      <c r="H442" s="352"/>
      <c r="I442" s="352"/>
      <c r="J442" s="352"/>
      <c r="K442" s="352"/>
      <c r="L442" s="352"/>
      <c r="M442" s="352"/>
      <c r="N442" s="352"/>
      <c r="O442" s="352"/>
      <c r="P442" s="352"/>
      <c r="Q442" s="352"/>
      <c r="R442" s="352"/>
    </row>
  </sheetData>
  <mergeCells count="7">
    <mergeCell ref="A5:R5"/>
    <mergeCell ref="A2:R2"/>
    <mergeCell ref="A4:R4"/>
    <mergeCell ref="A1:R1"/>
    <mergeCell ref="D7:J7"/>
    <mergeCell ref="L7:N7"/>
    <mergeCell ref="P7:R7"/>
  </mergeCells>
  <conditionalFormatting sqref="O3 O6:O139 O181:O187 O189:O315 O364:O386 O406:O422 O424:O433">
    <cfRule type="cellIs" dxfId="3" priority="7" operator="equal">
      <formula>"YES"</formula>
    </cfRule>
  </conditionalFormatting>
  <conditionalFormatting sqref="O141:O146 O149:O179 O317:O344 O346:O349 O351:O357 O359:O362 O388:O397 O399:O404 O435:O436">
    <cfRule type="cellIs" dxfId="2" priority="1" operator="equal">
      <formula>"YES"</formula>
    </cfRule>
  </conditionalFormatting>
  <conditionalFormatting sqref="O439 O441 O443:O1048576">
    <cfRule type="cellIs" dxfId="1" priority="8" operator="equal">
      <formula>"YES"</formula>
    </cfRule>
  </conditionalFormatting>
  <printOptions horizontalCentered="1"/>
  <pageMargins left="0.7" right="0.7" top="0.75" bottom="0.75" header="0.3" footer="0.3"/>
  <pageSetup scale="54" fitToHeight="0" orientation="landscape" r:id="rId1"/>
  <headerFooter>
    <oddHeader>&amp;R&amp;"Arial,Bold"Schedule 9.2
Page &amp;P of 8</oddHeader>
  </headerFooter>
  <ignoredErrors>
    <ignoredError sqref="P8:R8 A5" numberStoredAsText="1"/>
    <ignoredError sqref="E140:R140" formulaRange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7">
    <pageSetUpPr fitToPage="1"/>
  </sheetPr>
  <dimension ref="A1:AO71"/>
  <sheetViews>
    <sheetView zoomScaleNormal="100" zoomScaleSheetLayoutView="100" workbookViewId="0">
      <pane xSplit="5" ySplit="8" topLeftCell="F36" activePane="bottomRight" state="frozen"/>
      <selection pane="topRight" activeCell="F1" sqref="F1"/>
      <selection pane="bottomLeft" activeCell="A9" sqref="A9"/>
      <selection pane="bottomRight" activeCell="I20" sqref="I20"/>
    </sheetView>
  </sheetViews>
  <sheetFormatPr defaultColWidth="9" defaultRowHeight="15.5"/>
  <cols>
    <col min="1" max="1" width="6" style="16" customWidth="1"/>
    <col min="2" max="2" width="2.1796875" style="16" customWidth="1"/>
    <col min="3" max="3" width="37.7265625" style="16" customWidth="1"/>
    <col min="4" max="4" width="2.1796875" style="16" customWidth="1"/>
    <col min="5" max="5" width="28.81640625" style="17" bestFit="1" customWidth="1"/>
    <col min="6" max="6" width="13.7265625" style="17" bestFit="1" customWidth="1"/>
    <col min="7" max="7" width="9.7265625" style="16" bestFit="1" customWidth="1"/>
    <col min="8" max="10" width="12.7265625" style="16" customWidth="1"/>
    <col min="11" max="11" width="9.7265625" style="16" bestFit="1" customWidth="1"/>
    <col min="12" max="12" width="12.7265625" style="16" customWidth="1"/>
    <col min="13" max="13" width="2" style="16" customWidth="1"/>
    <col min="14" max="14" width="13.1796875" style="16" bestFit="1" customWidth="1"/>
    <col min="15" max="15" width="2.453125" style="16" customWidth="1"/>
    <col min="16" max="16" width="12.7265625" style="16" customWidth="1"/>
    <col min="17" max="17" width="2.1796875" style="16" customWidth="1"/>
    <col min="18" max="18" width="12.7265625" style="16" customWidth="1"/>
    <col min="19" max="19" width="2.1796875" style="16" customWidth="1"/>
    <col min="20" max="20" width="12.7265625" style="16" customWidth="1"/>
    <col min="21" max="21" width="2.1796875" style="16" customWidth="1"/>
    <col min="22" max="22" width="9" style="16"/>
    <col min="23" max="23" width="19.81640625" style="16" bestFit="1" customWidth="1"/>
    <col min="24" max="24" width="11.54296875" style="16" customWidth="1"/>
    <col min="25" max="30" width="10.7265625" style="16" customWidth="1"/>
    <col min="31" max="31" width="2.81640625" style="16" customWidth="1"/>
    <col min="32" max="32" width="13.54296875" style="16" customWidth="1"/>
    <col min="33" max="33" width="4.1796875" style="16" customWidth="1"/>
    <col min="34" max="34" width="10.81640625" style="16" customWidth="1"/>
    <col min="35" max="35" width="13.54296875" style="16" customWidth="1"/>
    <col min="36" max="36" width="15" style="16" bestFit="1" customWidth="1"/>
    <col min="37" max="16384" width="9" style="16"/>
  </cols>
  <sheetData>
    <row r="1" spans="1:34">
      <c r="A1" s="14" t="str">
        <f>'S1.1'!A1</f>
        <v>ATCO Electric Yukon (AEY)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31"/>
    </row>
    <row r="2" spans="1:34">
      <c r="A2" s="520" t="str">
        <f>'S1.1'!A2</f>
        <v>2023 - 2024 General Rate Application (GRA)</v>
      </c>
      <c r="B2" s="520"/>
      <c r="C2" s="520"/>
      <c r="D2" s="520"/>
      <c r="E2" s="520"/>
      <c r="F2" s="520"/>
      <c r="G2" s="520"/>
      <c r="H2" s="520"/>
      <c r="I2" s="520"/>
      <c r="J2" s="520"/>
      <c r="K2" s="520"/>
      <c r="L2" s="520"/>
      <c r="M2" s="520"/>
      <c r="N2" s="520"/>
      <c r="O2" s="520"/>
      <c r="P2" s="520"/>
      <c r="Q2" s="520"/>
      <c r="R2" s="520"/>
      <c r="S2" s="520"/>
      <c r="T2" s="520"/>
      <c r="U2" s="31"/>
    </row>
    <row r="3" spans="1:34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31"/>
    </row>
    <row r="4" spans="1:34">
      <c r="A4" s="520" t="s">
        <v>1078</v>
      </c>
      <c r="B4" s="520"/>
      <c r="C4" s="520"/>
      <c r="D4" s="520"/>
      <c r="E4" s="520"/>
      <c r="F4" s="520"/>
      <c r="G4" s="520"/>
      <c r="H4" s="520"/>
      <c r="I4" s="520"/>
      <c r="J4" s="520"/>
      <c r="K4" s="520"/>
      <c r="L4" s="520"/>
      <c r="M4" s="520"/>
      <c r="N4" s="520"/>
      <c r="O4" s="520"/>
      <c r="P4" s="520"/>
      <c r="Q4" s="520"/>
      <c r="R4" s="520"/>
      <c r="S4" s="520"/>
      <c r="T4" s="520"/>
      <c r="U4" s="6"/>
    </row>
    <row r="5" spans="1:34">
      <c r="A5" s="535" t="s">
        <v>6</v>
      </c>
      <c r="B5" s="520"/>
      <c r="C5" s="520"/>
      <c r="D5" s="520"/>
      <c r="E5" s="520"/>
      <c r="F5" s="520"/>
      <c r="G5" s="520"/>
      <c r="H5" s="520"/>
      <c r="I5" s="520"/>
      <c r="J5" s="520"/>
      <c r="K5" s="520"/>
      <c r="L5" s="520"/>
      <c r="M5" s="520"/>
      <c r="N5" s="520"/>
      <c r="O5" s="520"/>
      <c r="P5" s="520"/>
      <c r="Q5" s="520"/>
      <c r="R5" s="520"/>
      <c r="S5" s="520"/>
      <c r="T5" s="520"/>
      <c r="U5" s="6"/>
    </row>
    <row r="6" spans="1:34">
      <c r="A6" s="15"/>
      <c r="B6" s="15"/>
      <c r="C6" s="14"/>
      <c r="D6" s="14"/>
      <c r="E6" s="6"/>
      <c r="F6" s="6"/>
      <c r="G6" s="15"/>
      <c r="H6" s="15"/>
      <c r="I6" s="15"/>
      <c r="J6" s="15"/>
      <c r="K6" s="15"/>
      <c r="L6" s="79"/>
      <c r="M6" s="79"/>
      <c r="N6" s="79"/>
      <c r="O6" s="79"/>
      <c r="P6" s="79"/>
      <c r="Q6" s="79"/>
      <c r="R6" s="6"/>
      <c r="S6" s="79"/>
      <c r="T6" s="6"/>
    </row>
    <row r="7" spans="1:34">
      <c r="A7" s="6" t="s">
        <v>7</v>
      </c>
      <c r="B7" s="6"/>
      <c r="C7" s="6"/>
      <c r="D7" s="6"/>
      <c r="E7" s="6" t="s">
        <v>8</v>
      </c>
      <c r="F7" s="519" t="s">
        <v>9</v>
      </c>
      <c r="G7" s="519"/>
      <c r="H7" s="519"/>
      <c r="I7" s="519"/>
      <c r="J7" s="519"/>
      <c r="K7" s="519"/>
      <c r="L7" s="519"/>
      <c r="M7" s="6"/>
      <c r="N7" s="520" t="s">
        <v>10</v>
      </c>
      <c r="O7" s="520"/>
      <c r="P7" s="520"/>
      <c r="Q7" s="18"/>
      <c r="R7" s="519" t="s">
        <v>11</v>
      </c>
      <c r="S7" s="519"/>
      <c r="T7" s="519"/>
      <c r="U7" s="6"/>
      <c r="W7" s="483"/>
      <c r="X7" s="483"/>
      <c r="Y7" s="483"/>
      <c r="Z7" s="483"/>
      <c r="AA7" s="483"/>
      <c r="AB7" s="483"/>
    </row>
    <row r="8" spans="1:34">
      <c r="A8" s="7" t="s">
        <v>12</v>
      </c>
      <c r="B8" s="6"/>
      <c r="C8" s="7" t="s">
        <v>13</v>
      </c>
      <c r="D8" s="6"/>
      <c r="E8" s="7" t="s">
        <v>14</v>
      </c>
      <c r="F8" s="7">
        <v>2016</v>
      </c>
      <c r="G8" s="7">
        <v>2017</v>
      </c>
      <c r="H8" s="7">
        <v>2018</v>
      </c>
      <c r="I8" s="7">
        <v>2019</v>
      </c>
      <c r="J8" s="7">
        <v>2020</v>
      </c>
      <c r="K8" s="7">
        <v>2021</v>
      </c>
      <c r="L8" s="7">
        <v>2022</v>
      </c>
      <c r="M8" s="6"/>
      <c r="N8" s="240">
        <v>2023</v>
      </c>
      <c r="O8" s="240"/>
      <c r="P8" s="240">
        <v>2024</v>
      </c>
      <c r="Q8" s="6"/>
      <c r="R8" s="7">
        <v>2016</v>
      </c>
      <c r="S8" s="6"/>
      <c r="T8" s="7">
        <v>2017</v>
      </c>
      <c r="W8" s="483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</row>
    <row r="9" spans="1:34">
      <c r="A9" s="6"/>
      <c r="B9" s="6"/>
      <c r="C9" s="6"/>
      <c r="D9" s="6"/>
      <c r="E9" s="6"/>
      <c r="F9" s="6"/>
      <c r="G9" s="6"/>
      <c r="H9" s="66"/>
      <c r="I9" s="66"/>
      <c r="J9" s="6"/>
      <c r="K9" s="6"/>
      <c r="L9" s="6"/>
      <c r="M9" s="6"/>
      <c r="N9" s="6"/>
      <c r="O9" s="6"/>
      <c r="P9" s="6"/>
      <c r="Q9" s="6"/>
      <c r="R9" s="17"/>
      <c r="S9" s="6"/>
      <c r="T9" s="6"/>
      <c r="U9" s="6"/>
      <c r="W9" s="483"/>
      <c r="X9" s="484"/>
      <c r="Y9" s="484"/>
      <c r="Z9" s="484"/>
      <c r="AA9" s="484"/>
      <c r="AB9" s="484"/>
      <c r="AC9" s="484"/>
      <c r="AD9" s="484"/>
      <c r="AF9" s="143"/>
      <c r="AH9" s="143"/>
    </row>
    <row r="10" spans="1:34">
      <c r="A10" s="17">
        <v>1</v>
      </c>
      <c r="C10" s="16" t="s">
        <v>1079</v>
      </c>
      <c r="E10" s="17" t="s">
        <v>156</v>
      </c>
      <c r="F10" s="66">
        <v>4007</v>
      </c>
      <c r="G10" s="66">
        <v>5404</v>
      </c>
      <c r="H10" s="66">
        <v>6092</v>
      </c>
      <c r="I10" s="66">
        <v>6573</v>
      </c>
      <c r="J10" s="66">
        <v>6552</v>
      </c>
      <c r="K10" s="66">
        <v>6301</v>
      </c>
      <c r="L10" s="66">
        <v>6098</v>
      </c>
      <c r="M10" s="66"/>
      <c r="N10" s="66">
        <v>2489</v>
      </c>
      <c r="O10" s="66"/>
      <c r="P10" s="66">
        <v>6543</v>
      </c>
      <c r="Q10" s="66"/>
      <c r="R10" s="66">
        <v>3082.8780000000002</v>
      </c>
      <c r="S10" s="66"/>
      <c r="T10" s="66">
        <v>4113.1279999999997</v>
      </c>
      <c r="U10" s="66"/>
      <c r="W10" s="501"/>
      <c r="X10" s="484"/>
      <c r="Y10" s="484"/>
      <c r="Z10" s="484"/>
      <c r="AA10" s="484"/>
      <c r="AB10" s="484"/>
      <c r="AC10" s="484"/>
      <c r="AD10" s="484"/>
      <c r="AF10" s="484"/>
      <c r="AH10" s="484"/>
    </row>
    <row r="11" spans="1:34">
      <c r="A11" s="17">
        <f t="shared" ref="A11:A46" si="0">A10+1</f>
        <v>2</v>
      </c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W11" s="501"/>
      <c r="X11" s="484"/>
      <c r="Y11" s="484"/>
      <c r="Z11" s="484"/>
      <c r="AA11" s="484"/>
      <c r="AB11" s="484"/>
      <c r="AC11" s="484"/>
      <c r="AD11" s="484"/>
      <c r="AF11" s="484"/>
      <c r="AH11" s="484"/>
    </row>
    <row r="12" spans="1:34">
      <c r="A12" s="17">
        <f t="shared" si="0"/>
        <v>3</v>
      </c>
      <c r="C12" s="18" t="s">
        <v>1080</v>
      </c>
      <c r="D12" s="18"/>
      <c r="E12" s="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W12" s="501"/>
      <c r="X12" s="483"/>
      <c r="Y12" s="483"/>
      <c r="Z12" s="483"/>
      <c r="AA12" s="483"/>
      <c r="AB12" s="483"/>
      <c r="AF12" s="143"/>
      <c r="AH12" s="143"/>
    </row>
    <row r="13" spans="1:34">
      <c r="A13" s="17">
        <f t="shared" si="0"/>
        <v>4</v>
      </c>
      <c r="C13" s="16" t="s">
        <v>30</v>
      </c>
      <c r="E13" s="17" t="s">
        <v>647</v>
      </c>
      <c r="F13" s="66">
        <f>+'S1.1'!G20</f>
        <v>5835.2467399999996</v>
      </c>
      <c r="G13" s="66">
        <f>+'S1.1'!H20</f>
        <v>6114.9607800000003</v>
      </c>
      <c r="H13" s="66">
        <f>+'S1.1'!I20</f>
        <v>6293.0964600000052</v>
      </c>
      <c r="I13" s="66">
        <f>+'S1.1'!J20</f>
        <v>6382.1372999999976</v>
      </c>
      <c r="J13" s="66">
        <f>+'S1.1'!K20</f>
        <v>6706.7428400000026</v>
      </c>
      <c r="K13" s="66">
        <f>+'S1.1'!L20</f>
        <v>6950</v>
      </c>
      <c r="L13" s="66">
        <f>+'S1.1'!M20</f>
        <v>7343.1328799999983</v>
      </c>
      <c r="M13" s="66"/>
      <c r="N13" s="66">
        <f>+'S1.1'!O20</f>
        <v>9389.7324862984133</v>
      </c>
      <c r="O13" s="66"/>
      <c r="P13" s="66">
        <f>+'S1.1'!Q20</f>
        <v>11218.921894098414</v>
      </c>
      <c r="Q13" s="66"/>
      <c r="R13" s="66">
        <v>5846.1673333333329</v>
      </c>
      <c r="S13" s="66"/>
      <c r="T13" s="66">
        <v>6231.0002199999999</v>
      </c>
      <c r="U13" s="66"/>
      <c r="W13" s="501"/>
      <c r="X13" s="484"/>
      <c r="Y13" s="484"/>
      <c r="Z13" s="484"/>
      <c r="AA13" s="484"/>
      <c r="AB13" s="484"/>
      <c r="AC13" s="484"/>
      <c r="AD13" s="484"/>
      <c r="AF13" s="484"/>
      <c r="AH13" s="484"/>
    </row>
    <row r="14" spans="1:34">
      <c r="A14" s="17">
        <f t="shared" si="0"/>
        <v>5</v>
      </c>
      <c r="C14" s="16" t="s">
        <v>32</v>
      </c>
      <c r="E14" s="17" t="s">
        <v>1081</v>
      </c>
      <c r="F14" s="66">
        <f>+'S1.1'!G21</f>
        <v>-1499</v>
      </c>
      <c r="G14" s="66">
        <f>+'S1.1'!H21</f>
        <v>-1525</v>
      </c>
      <c r="H14" s="66">
        <f>+'S1.1'!I21</f>
        <v>-1538</v>
      </c>
      <c r="I14" s="66">
        <f>+'S1.1'!J21</f>
        <v>-1635</v>
      </c>
      <c r="J14" s="66">
        <f>+'S1.1'!K21</f>
        <v>-1754</v>
      </c>
      <c r="K14" s="66">
        <f>+'S1.1'!L21</f>
        <v>-1877</v>
      </c>
      <c r="L14" s="66">
        <f>+'S1.1'!M21</f>
        <v>-2033</v>
      </c>
      <c r="M14" s="66"/>
      <c r="N14" s="66">
        <f>+'S1.1'!O21</f>
        <v>-2158.8077996248762</v>
      </c>
      <c r="O14" s="66"/>
      <c r="P14" s="66">
        <f>+'S1.1'!Q21</f>
        <v>-2528.3020224643806</v>
      </c>
      <c r="Q14" s="66"/>
      <c r="R14" s="66">
        <v>-1504.4050885321087</v>
      </c>
      <c r="S14" s="66"/>
      <c r="T14" s="66">
        <v>-1570.1413773170677</v>
      </c>
      <c r="U14" s="66"/>
      <c r="W14" s="501"/>
      <c r="X14" s="484"/>
      <c r="Y14" s="477"/>
      <c r="Z14" s="477"/>
      <c r="AA14" s="477"/>
      <c r="AB14" s="477"/>
      <c r="AC14" s="143"/>
      <c r="AD14" s="143"/>
      <c r="AF14" s="143"/>
      <c r="AH14" s="143"/>
    </row>
    <row r="15" spans="1:34">
      <c r="A15" s="17">
        <f t="shared" si="0"/>
        <v>6</v>
      </c>
      <c r="C15" s="16" t="s">
        <v>1082</v>
      </c>
      <c r="F15" s="66">
        <v>43.395425000000003</v>
      </c>
      <c r="G15" s="66">
        <v>55.643884999999997</v>
      </c>
      <c r="H15" s="66">
        <v>23.251359999999995</v>
      </c>
      <c r="I15" s="66">
        <v>56.130360000000003</v>
      </c>
      <c r="J15" s="66">
        <v>68.121054999999998</v>
      </c>
      <c r="K15" s="66">
        <v>31.462724999999999</v>
      </c>
      <c r="L15" s="66">
        <v>56.858180000000004</v>
      </c>
      <c r="M15" s="66"/>
      <c r="N15" s="66">
        <f>AVERAGE(J15:L15)</f>
        <v>52.147320000000001</v>
      </c>
      <c r="O15" s="66"/>
      <c r="P15" s="66">
        <f>N15</f>
        <v>52.147320000000001</v>
      </c>
      <c r="Q15" s="66"/>
      <c r="R15" s="66">
        <v>50</v>
      </c>
      <c r="S15" s="66"/>
      <c r="T15" s="66">
        <v>51</v>
      </c>
      <c r="U15" s="66"/>
      <c r="V15" s="143"/>
      <c r="W15" s="463"/>
      <c r="X15" s="484"/>
      <c r="Y15" s="143"/>
      <c r="Z15" s="143"/>
      <c r="AA15" s="143"/>
      <c r="AB15" s="143"/>
      <c r="AC15" s="143"/>
      <c r="AD15" s="143"/>
      <c r="AF15" s="143"/>
      <c r="AH15" s="143"/>
    </row>
    <row r="16" spans="1:34">
      <c r="A16" s="17">
        <f t="shared" si="0"/>
        <v>7</v>
      </c>
      <c r="C16" s="16" t="s">
        <v>1083</v>
      </c>
      <c r="E16" s="17" t="s">
        <v>1084</v>
      </c>
      <c r="F16" s="66">
        <f>+'S8.8 '!D18*-1</f>
        <v>334.1</v>
      </c>
      <c r="G16" s="66">
        <f>+'S8.8 '!E18*-1</f>
        <v>334.1</v>
      </c>
      <c r="H16" s="66">
        <f>+'S8.8 '!F18*-1</f>
        <v>334.50339999999994</v>
      </c>
      <c r="I16" s="66">
        <f>+'S8.8 '!G18*-1</f>
        <v>334.50383999999991</v>
      </c>
      <c r="J16" s="66">
        <f>+'S8.8 '!H18*-1</f>
        <v>334.50383999999991</v>
      </c>
      <c r="K16" s="66">
        <f>+'S8.8 '!I18*-1</f>
        <v>334.27839999999992</v>
      </c>
      <c r="L16" s="66">
        <f>-'S8.8 '!J18+'S8.8 '!J32</f>
        <v>334.50383999999991</v>
      </c>
      <c r="M16" s="66"/>
      <c r="N16" s="66">
        <f>+'S8.8 '!L18*-1</f>
        <v>-234.3329950000001</v>
      </c>
      <c r="O16" s="66"/>
      <c r="P16" s="66">
        <f>+'S8.8 '!N18*-1</f>
        <v>-143.42068710528437</v>
      </c>
      <c r="Q16" s="66"/>
      <c r="R16" s="66">
        <v>334.1</v>
      </c>
      <c r="S16" s="66"/>
      <c r="T16" s="66">
        <v>334.55999999999995</v>
      </c>
      <c r="U16" s="66"/>
      <c r="W16" s="463"/>
      <c r="X16" s="484"/>
    </row>
    <row r="17" spans="1:41">
      <c r="A17" s="17">
        <f t="shared" si="0"/>
        <v>8</v>
      </c>
      <c r="C17" s="16" t="s">
        <v>651</v>
      </c>
      <c r="E17" s="17" t="s">
        <v>1085</v>
      </c>
      <c r="F17" s="66">
        <f>+'S8.4 '!D37</f>
        <v>111.5</v>
      </c>
      <c r="G17" s="66">
        <f>+'S8.4 '!E37</f>
        <v>111.5</v>
      </c>
      <c r="H17" s="66">
        <f>+'S8.4 '!F37</f>
        <v>111.5</v>
      </c>
      <c r="I17" s="66">
        <f>+'S8.4 '!G37</f>
        <v>111.5</v>
      </c>
      <c r="J17" s="66">
        <f>+'S8.4 '!H37</f>
        <v>111.5</v>
      </c>
      <c r="K17" s="66">
        <f>+'S8.4 '!I37</f>
        <v>111.5</v>
      </c>
      <c r="L17" s="66">
        <f>+'S8.4 '!J37</f>
        <v>111.5</v>
      </c>
      <c r="M17" s="66"/>
      <c r="N17" s="66">
        <f>+'S8.4 '!L37</f>
        <v>-278.75</v>
      </c>
      <c r="O17" s="66"/>
      <c r="P17" s="66">
        <f>+'S8.4 '!M37</f>
        <v>-279</v>
      </c>
      <c r="Q17" s="66"/>
      <c r="R17" s="66">
        <v>111.5</v>
      </c>
      <c r="S17" s="66"/>
      <c r="T17" s="66">
        <v>111.5</v>
      </c>
      <c r="U17" s="66"/>
      <c r="W17" s="463"/>
      <c r="X17" s="484"/>
      <c r="AI17" s="529"/>
      <c r="AJ17" s="529"/>
      <c r="AK17" s="529"/>
      <c r="AL17" s="529"/>
    </row>
    <row r="18" spans="1:41">
      <c r="A18" s="17">
        <f t="shared" si="0"/>
        <v>9</v>
      </c>
      <c r="C18" s="16" t="s">
        <v>1086</v>
      </c>
      <c r="F18" s="66">
        <v>135</v>
      </c>
      <c r="G18" s="66">
        <v>185</v>
      </c>
      <c r="H18" s="66">
        <v>185</v>
      </c>
      <c r="I18" s="66">
        <v>185</v>
      </c>
      <c r="J18" s="66">
        <v>185</v>
      </c>
      <c r="K18" s="66">
        <v>185</v>
      </c>
      <c r="L18" s="66">
        <v>185</v>
      </c>
      <c r="M18" s="66"/>
      <c r="N18" s="66">
        <v>-563.40067999999997</v>
      </c>
      <c r="O18" s="66"/>
      <c r="P18" s="66">
        <v>0</v>
      </c>
      <c r="Q18" s="66"/>
      <c r="R18" s="66"/>
      <c r="S18" s="66"/>
      <c r="T18" s="66"/>
      <c r="U18" s="66"/>
      <c r="W18" s="463"/>
      <c r="X18" s="484"/>
      <c r="AL18" s="485"/>
    </row>
    <row r="19" spans="1:41">
      <c r="A19" s="17">
        <f t="shared" si="0"/>
        <v>10</v>
      </c>
      <c r="C19" s="16" t="s">
        <v>1087</v>
      </c>
      <c r="F19" s="66">
        <v>53.80254</v>
      </c>
      <c r="G19" s="66">
        <v>68.133690000000001</v>
      </c>
      <c r="H19" s="66">
        <v>115.17954999999999</v>
      </c>
      <c r="I19" s="66">
        <v>-29.468370000000007</v>
      </c>
      <c r="J19" s="66">
        <v>204.83548999999999</v>
      </c>
      <c r="K19" s="66">
        <v>17.677209999999992</v>
      </c>
      <c r="L19" s="66">
        <v>9.1799999999999926</v>
      </c>
      <c r="M19" s="66"/>
      <c r="N19" s="66">
        <v>43.211183974829822</v>
      </c>
      <c r="O19" s="66"/>
      <c r="P19" s="66">
        <f>N19</f>
        <v>43.211183974829822</v>
      </c>
      <c r="Q19" s="66"/>
      <c r="R19" s="66"/>
      <c r="S19" s="66"/>
      <c r="T19" s="66"/>
      <c r="U19" s="66"/>
      <c r="W19" s="502"/>
      <c r="X19" s="484"/>
      <c r="Y19" s="463"/>
      <c r="Z19" s="463"/>
      <c r="AA19" s="463"/>
      <c r="AB19" s="463"/>
      <c r="AC19" s="463"/>
      <c r="AD19" s="463"/>
      <c r="AF19" s="143"/>
      <c r="AG19" s="143"/>
      <c r="AH19" s="143"/>
      <c r="AI19" s="143"/>
      <c r="AJ19" s="143"/>
      <c r="AK19" s="486"/>
      <c r="AL19" s="486"/>
    </row>
    <row r="20" spans="1:41">
      <c r="A20" s="17">
        <f t="shared" si="0"/>
        <v>11</v>
      </c>
      <c r="C20" s="16" t="s">
        <v>1088</v>
      </c>
      <c r="F20" s="66">
        <v>66.951999999999998</v>
      </c>
      <c r="G20" s="66">
        <v>-8.8999999999999996E-2</v>
      </c>
      <c r="H20" s="66">
        <v>27.657</v>
      </c>
      <c r="I20" s="66">
        <v>27.657</v>
      </c>
      <c r="J20" s="66">
        <v>-66.845199999999977</v>
      </c>
      <c r="K20" s="66">
        <v>2.9211800000000001</v>
      </c>
      <c r="L20" s="66">
        <v>-0.74682000000000004</v>
      </c>
      <c r="M20" s="66"/>
      <c r="N20" s="66">
        <v>0</v>
      </c>
      <c r="O20" s="66"/>
      <c r="P20" s="66">
        <v>0</v>
      </c>
      <c r="Q20" s="66"/>
      <c r="R20" s="66"/>
      <c r="S20" s="66"/>
      <c r="T20" s="66"/>
      <c r="U20" s="66"/>
      <c r="W20" s="463"/>
      <c r="X20" s="484"/>
      <c r="Y20" s="463"/>
      <c r="Z20" s="463"/>
      <c r="AA20" s="463"/>
      <c r="AB20" s="463"/>
      <c r="AC20" s="463"/>
      <c r="AD20" s="463"/>
      <c r="AF20" s="463"/>
      <c r="AG20" s="463"/>
      <c r="AH20" s="463"/>
      <c r="AI20" s="143"/>
      <c r="AJ20" s="143"/>
      <c r="AK20" s="486"/>
      <c r="AL20" s="486"/>
      <c r="AO20" s="143"/>
    </row>
    <row r="21" spans="1:41">
      <c r="A21" s="17">
        <f t="shared" si="0"/>
        <v>12</v>
      </c>
      <c r="C21" s="16" t="s">
        <v>1089</v>
      </c>
      <c r="F21" s="66"/>
      <c r="G21" s="66">
        <v>32.706000000000003</v>
      </c>
      <c r="H21" s="66">
        <v>10.199999999999999</v>
      </c>
      <c r="I21" s="66">
        <v>10.199999999999999</v>
      </c>
      <c r="J21" s="66">
        <v>11.56</v>
      </c>
      <c r="K21" s="66">
        <v>11.22</v>
      </c>
      <c r="L21" s="66">
        <v>9.1799999999999926</v>
      </c>
      <c r="M21" s="66"/>
      <c r="N21" s="66">
        <f>L21</f>
        <v>9.1799999999999926</v>
      </c>
      <c r="O21" s="66"/>
      <c r="P21" s="66">
        <f>N21</f>
        <v>9.1799999999999926</v>
      </c>
      <c r="Q21" s="66"/>
      <c r="R21" s="66"/>
      <c r="S21" s="66"/>
      <c r="T21" s="66"/>
      <c r="U21" s="66"/>
      <c r="W21" s="463"/>
      <c r="X21" s="484"/>
      <c r="Y21" s="463"/>
      <c r="Z21" s="463"/>
      <c r="AA21" s="463"/>
      <c r="AB21" s="463"/>
      <c r="AC21" s="463"/>
      <c r="AD21" s="463"/>
      <c r="AF21" s="143"/>
      <c r="AG21" s="143"/>
      <c r="AH21" s="143"/>
      <c r="AI21" s="143"/>
      <c r="AJ21" s="143"/>
      <c r="AK21" s="486"/>
      <c r="AL21" s="486"/>
    </row>
    <row r="22" spans="1:41">
      <c r="A22" s="17">
        <f t="shared" si="0"/>
        <v>13</v>
      </c>
      <c r="C22" s="16" t="s">
        <v>1090</v>
      </c>
      <c r="F22" s="66">
        <f>'S8.4 '!D21+'S8.4 '!D29</f>
        <v>544.64377999999999</v>
      </c>
      <c r="G22" s="66">
        <f>'S8.4 '!E21+'S8.4 '!E29</f>
        <v>529.02017999999987</v>
      </c>
      <c r="H22" s="66">
        <f>'S8.4 '!F21+'S8.4 '!F29</f>
        <v>273</v>
      </c>
      <c r="I22" s="66">
        <f>'S8.4 '!G21+'S8.4 '!G29</f>
        <v>269</v>
      </c>
      <c r="J22" s="66">
        <f>'S8.4 '!H21+'S8.4 '!H29</f>
        <v>344.56714999999957</v>
      </c>
      <c r="K22" s="66">
        <f>'S8.4 '!I21+'S8.4 '!I29</f>
        <v>392.90000000000043</v>
      </c>
      <c r="L22" s="66">
        <f>'S8.4 '!J21+'S8.4 '!J29</f>
        <v>277</v>
      </c>
      <c r="M22" s="66"/>
      <c r="N22" s="66">
        <f>'S8.4 '!L21+'S8.4 '!L29</f>
        <v>277</v>
      </c>
      <c r="O22" s="66"/>
      <c r="P22" s="66">
        <f>'S8.4 '!M21+'S8.4 '!M29</f>
        <v>277</v>
      </c>
      <c r="Q22" s="66"/>
      <c r="R22" s="66">
        <v>380</v>
      </c>
      <c r="S22" s="66"/>
      <c r="T22" s="66">
        <v>380</v>
      </c>
      <c r="U22" s="66"/>
      <c r="W22" s="503"/>
      <c r="X22" s="484"/>
      <c r="Y22" s="463"/>
      <c r="Z22" s="463"/>
      <c r="AA22" s="463"/>
      <c r="AB22" s="463"/>
      <c r="AC22" s="463"/>
      <c r="AD22" s="463"/>
      <c r="AF22" s="143"/>
      <c r="AG22" s="143"/>
      <c r="AH22" s="143"/>
      <c r="AI22" s="143"/>
      <c r="AJ22" s="143"/>
      <c r="AK22" s="486"/>
      <c r="AL22" s="486"/>
    </row>
    <row r="23" spans="1:41">
      <c r="A23" s="17">
        <f t="shared" si="0"/>
        <v>14</v>
      </c>
      <c r="C23" s="16" t="s">
        <v>1091</v>
      </c>
      <c r="F23" s="233">
        <f t="shared" ref="F23:L23" si="1">SUM(F13:F22)</f>
        <v>5625.6404849999999</v>
      </c>
      <c r="G23" s="233">
        <f t="shared" si="1"/>
        <v>5905.9755350000005</v>
      </c>
      <c r="H23" s="233">
        <f t="shared" si="1"/>
        <v>5835.3877700000048</v>
      </c>
      <c r="I23" s="233">
        <f t="shared" si="1"/>
        <v>5711.6601299999984</v>
      </c>
      <c r="J23" s="233">
        <f t="shared" si="1"/>
        <v>6145.9851750000034</v>
      </c>
      <c r="K23" s="233">
        <f t="shared" si="1"/>
        <v>6159.9595150000014</v>
      </c>
      <c r="L23" s="233">
        <f t="shared" si="1"/>
        <v>6292.6080799999991</v>
      </c>
      <c r="M23" s="69"/>
      <c r="N23" s="233">
        <f>SUM(N13:N22)</f>
        <v>6535.9795156483679</v>
      </c>
      <c r="O23" s="69"/>
      <c r="P23" s="233">
        <f>SUM(P13:P22)</f>
        <v>8649.7376885035792</v>
      </c>
      <c r="Q23" s="66"/>
      <c r="R23" s="233">
        <f>SUM(R13:R22)</f>
        <v>5217.3622448012247</v>
      </c>
      <c r="S23" s="66"/>
      <c r="T23" s="233">
        <f>SUM(T13:T22)</f>
        <v>5537.9188426829314</v>
      </c>
      <c r="U23" s="69"/>
      <c r="W23" s="463"/>
      <c r="X23" s="484"/>
      <c r="Y23" s="143"/>
      <c r="Z23" s="143"/>
      <c r="AA23" s="143"/>
      <c r="AB23" s="143"/>
      <c r="AC23" s="143"/>
      <c r="AD23" s="143"/>
      <c r="AF23" s="143"/>
      <c r="AG23" s="143"/>
      <c r="AH23" s="143"/>
      <c r="AI23" s="143"/>
      <c r="AJ23" s="143"/>
      <c r="AK23" s="486"/>
      <c r="AL23" s="486"/>
    </row>
    <row r="24" spans="1:41">
      <c r="A24" s="17">
        <f t="shared" si="0"/>
        <v>15</v>
      </c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W24" s="463"/>
      <c r="X24" s="484"/>
      <c r="Y24" s="143"/>
      <c r="Z24" s="143"/>
      <c r="AA24" s="143"/>
      <c r="AB24" s="143"/>
      <c r="AC24" s="143"/>
      <c r="AD24" s="143"/>
      <c r="AF24" s="143"/>
      <c r="AG24" s="143"/>
      <c r="AH24" s="143"/>
      <c r="AI24" s="143"/>
      <c r="AJ24" s="143"/>
      <c r="AK24" s="143"/>
      <c r="AL24" s="143"/>
    </row>
    <row r="25" spans="1:41">
      <c r="A25" s="17">
        <f t="shared" si="0"/>
        <v>16</v>
      </c>
      <c r="C25" s="18" t="s">
        <v>507</v>
      </c>
      <c r="D25" s="18"/>
      <c r="E25" s="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W25" s="463"/>
      <c r="X25" s="484"/>
    </row>
    <row r="26" spans="1:41">
      <c r="A26" s="17">
        <f t="shared" si="0"/>
        <v>17</v>
      </c>
      <c r="C26" s="16" t="s">
        <v>1092</v>
      </c>
      <c r="F26" s="66">
        <v>6853.558</v>
      </c>
      <c r="G26" s="66">
        <v>6831.9579999999996</v>
      </c>
      <c r="H26" s="66">
        <v>6224.82</v>
      </c>
      <c r="I26" s="66">
        <v>6274.971716354029</v>
      </c>
      <c r="J26" s="66">
        <v>6084.6608846959889</v>
      </c>
      <c r="K26" s="66">
        <v>5497.2210359226856</v>
      </c>
      <c r="L26" s="66">
        <v>5761.6412937916421</v>
      </c>
      <c r="M26" s="66"/>
      <c r="N26" s="66">
        <v>13441.773999999999</v>
      </c>
      <c r="O26" s="66"/>
      <c r="P26" s="66">
        <v>7890.8119999999999</v>
      </c>
      <c r="Q26" s="66"/>
      <c r="R26" s="66">
        <v>6820.9719999999998</v>
      </c>
      <c r="S26" s="66"/>
      <c r="T26" s="66">
        <v>6546.0420000000004</v>
      </c>
      <c r="U26" s="66"/>
      <c r="W26" s="463"/>
      <c r="X26" s="484"/>
      <c r="Y26" s="134"/>
      <c r="Z26" s="134"/>
      <c r="AA26" s="134"/>
      <c r="AB26" s="134"/>
      <c r="AC26" s="134"/>
      <c r="AD26" s="134"/>
      <c r="AE26" s="134"/>
      <c r="AF26" s="134"/>
      <c r="AG26" s="134"/>
      <c r="AH26" s="134"/>
    </row>
    <row r="27" spans="1:41">
      <c r="A27" s="17">
        <f t="shared" si="0"/>
        <v>18</v>
      </c>
      <c r="C27" s="16" t="s">
        <v>1093</v>
      </c>
      <c r="E27" s="17" t="s">
        <v>1094</v>
      </c>
      <c r="F27" s="66">
        <f>+'S8.8 '!D30</f>
        <v>236</v>
      </c>
      <c r="G27" s="66">
        <f>+'S8.8 '!E30</f>
        <v>296</v>
      </c>
      <c r="H27" s="66">
        <v>0</v>
      </c>
      <c r="I27" s="66">
        <f>+'S8.8 '!G30</f>
        <v>0</v>
      </c>
      <c r="J27" s="66">
        <f>+'S8.8 '!H30</f>
        <v>0</v>
      </c>
      <c r="K27" s="66">
        <f>+'S8.8 '!I30</f>
        <v>0</v>
      </c>
      <c r="L27" s="66">
        <f>+'S8.8 '!J30</f>
        <v>0</v>
      </c>
      <c r="M27" s="66"/>
      <c r="N27" s="66">
        <f>+'S8.8 '!L30</f>
        <v>301.09980341322517</v>
      </c>
      <c r="O27" s="66"/>
      <c r="P27" s="66">
        <f>+'S8.8 '!N30</f>
        <v>307.11819948149014</v>
      </c>
      <c r="Q27" s="66"/>
      <c r="R27" s="66">
        <v>586.04999999999995</v>
      </c>
      <c r="S27" s="66"/>
      <c r="T27" s="66">
        <v>0</v>
      </c>
      <c r="U27" s="66"/>
      <c r="W27" s="463"/>
      <c r="X27" s="484"/>
    </row>
    <row r="28" spans="1:41">
      <c r="A28" s="17">
        <f t="shared" si="0"/>
        <v>19</v>
      </c>
      <c r="C28" s="16" t="s">
        <v>650</v>
      </c>
      <c r="E28" s="17" t="s">
        <v>1095</v>
      </c>
      <c r="F28" s="66">
        <f>-'S8.4 '!D38</f>
        <v>0</v>
      </c>
      <c r="G28" s="66">
        <f>-'S8.4 '!E38</f>
        <v>100</v>
      </c>
      <c r="H28" s="66">
        <f>'S8.4 '!F38</f>
        <v>0</v>
      </c>
      <c r="I28" s="66">
        <f>'S8.4 '!G38</f>
        <v>0</v>
      </c>
      <c r="J28" s="66">
        <f>'S8.4 '!H38</f>
        <v>0</v>
      </c>
      <c r="K28" s="66">
        <f>'S8.4 '!I38</f>
        <v>0</v>
      </c>
      <c r="L28" s="66">
        <f>'S8.4 '!J38</f>
        <v>0</v>
      </c>
      <c r="M28" s="66"/>
      <c r="N28" s="66">
        <f>'S8.4 '!L38</f>
        <v>0</v>
      </c>
      <c r="O28" s="66"/>
      <c r="P28" s="66">
        <f>'S8.4 '!M38</f>
        <v>0</v>
      </c>
      <c r="Q28" s="66"/>
      <c r="R28" s="66">
        <v>100</v>
      </c>
      <c r="S28" s="66"/>
      <c r="T28" s="66">
        <v>100</v>
      </c>
      <c r="U28" s="66"/>
      <c r="W28" s="463"/>
      <c r="X28" s="484"/>
      <c r="Y28" s="409"/>
      <c r="Z28" s="409"/>
      <c r="AA28" s="409"/>
      <c r="AB28" s="409"/>
      <c r="AC28" s="143"/>
      <c r="AD28" s="143"/>
      <c r="AF28" s="143"/>
      <c r="AH28" s="143"/>
    </row>
    <row r="29" spans="1:41">
      <c r="A29" s="17">
        <f t="shared" si="0"/>
        <v>20</v>
      </c>
      <c r="C29" s="16" t="s">
        <v>1096</v>
      </c>
      <c r="E29" s="17" t="s">
        <v>1097</v>
      </c>
      <c r="F29" s="66">
        <f>-'S8.4 '!D22-'S8.4 '!D30</f>
        <v>546.64377999999999</v>
      </c>
      <c r="G29" s="66">
        <f>-'S8.4 '!E22-'S8.4 '!E30</f>
        <v>537.02017999999998</v>
      </c>
      <c r="H29" s="66">
        <f>-'S8.4 '!F22-'S8.4 '!F30</f>
        <v>276</v>
      </c>
      <c r="I29" s="66">
        <f>-'S8.4 '!G22-'S8.4 '!G30</f>
        <v>274</v>
      </c>
      <c r="J29" s="66">
        <f>-'S8.4 '!H22-'S8.4 '!H30</f>
        <v>347.56714999999997</v>
      </c>
      <c r="K29" s="66">
        <f>-'S8.4 '!I22-'S8.4 '!I30</f>
        <v>397.7</v>
      </c>
      <c r="L29" s="66">
        <f>-'S8.4 '!J22-'S8.4 '!J30</f>
        <v>281.88</v>
      </c>
      <c r="M29" s="66"/>
      <c r="N29" s="66">
        <f>-'S8.4 '!L30-'S8.4 '!L22</f>
        <v>277</v>
      </c>
      <c r="O29" s="66"/>
      <c r="P29" s="66">
        <f>-'S8.4 '!M30-'S8.4 '!M22</f>
        <v>277</v>
      </c>
      <c r="Q29" s="66"/>
      <c r="R29" s="66">
        <v>546</v>
      </c>
      <c r="S29" s="66"/>
      <c r="T29" s="66">
        <v>546</v>
      </c>
      <c r="U29" s="66"/>
      <c r="W29" s="463"/>
      <c r="X29" s="484"/>
      <c r="Y29" s="487"/>
      <c r="Z29" s="487"/>
      <c r="AA29" s="487"/>
      <c r="AB29" s="487"/>
      <c r="AC29" s="487"/>
      <c r="AD29" s="487"/>
      <c r="AE29" s="487"/>
      <c r="AF29" s="487"/>
      <c r="AG29" s="487"/>
      <c r="AH29" s="487"/>
    </row>
    <row r="30" spans="1:41">
      <c r="A30" s="17">
        <f t="shared" si="0"/>
        <v>21</v>
      </c>
      <c r="C30" s="16" t="s">
        <v>1098</v>
      </c>
      <c r="F30" s="66">
        <v>289.80208666901046</v>
      </c>
      <c r="G30" s="66">
        <v>502.81229746945979</v>
      </c>
      <c r="H30" s="66">
        <v>356.75689160000002</v>
      </c>
      <c r="I30" s="66">
        <v>393.3396501844303</v>
      </c>
      <c r="J30" s="66">
        <v>669.66549873499991</v>
      </c>
      <c r="K30" s="66">
        <v>559.61972549999996</v>
      </c>
      <c r="L30" s="66">
        <v>379.16412979500006</v>
      </c>
      <c r="M30" s="66"/>
      <c r="N30" s="66">
        <f>L30*(1+3.8%)</f>
        <v>393.57236672721007</v>
      </c>
      <c r="O30" s="66"/>
      <c r="P30" s="66">
        <f>N30*(1+2.5%)</f>
        <v>403.41167589539026</v>
      </c>
      <c r="Q30" s="66"/>
      <c r="R30" s="66">
        <v>326</v>
      </c>
      <c r="S30" s="66"/>
      <c r="T30" s="66">
        <v>336</v>
      </c>
      <c r="U30" s="66"/>
      <c r="W30" s="463"/>
      <c r="X30" s="484"/>
      <c r="Y30" s="409"/>
      <c r="Z30" s="409"/>
      <c r="AA30" s="409"/>
      <c r="AB30" s="409"/>
      <c r="AC30" s="143"/>
      <c r="AD30" s="143"/>
      <c r="AF30" s="143"/>
      <c r="AH30" s="143"/>
    </row>
    <row r="31" spans="1:41">
      <c r="A31" s="17">
        <f t="shared" si="0"/>
        <v>22</v>
      </c>
      <c r="C31" s="16" t="s">
        <v>836</v>
      </c>
      <c r="F31" s="66">
        <f>'S8.8 '!D40</f>
        <v>362</v>
      </c>
      <c r="G31" s="66">
        <v>208.17041</v>
      </c>
      <c r="H31" s="66">
        <v>79.910669999999996</v>
      </c>
      <c r="I31" s="66">
        <v>0</v>
      </c>
      <c r="J31" s="66">
        <v>47.477040000000052</v>
      </c>
      <c r="K31" s="66">
        <v>-125.31865999999999</v>
      </c>
      <c r="L31" s="66">
        <v>-21.887810000000002</v>
      </c>
      <c r="M31" s="66"/>
      <c r="N31" s="66">
        <v>0</v>
      </c>
      <c r="O31" s="66"/>
      <c r="P31" s="66">
        <v>0</v>
      </c>
      <c r="Q31" s="66"/>
      <c r="R31" s="66">
        <v>362</v>
      </c>
      <c r="S31" s="66"/>
      <c r="T31" s="66">
        <v>0</v>
      </c>
      <c r="U31" s="66"/>
      <c r="W31" s="463"/>
      <c r="X31" s="484"/>
      <c r="AD31" s="438"/>
      <c r="AF31" s="488"/>
    </row>
    <row r="32" spans="1:41">
      <c r="A32" s="17">
        <f t="shared" si="0"/>
        <v>23</v>
      </c>
      <c r="C32" s="16" t="s">
        <v>1099</v>
      </c>
      <c r="E32" s="17" t="s">
        <v>1100</v>
      </c>
      <c r="F32" s="66">
        <f>-'S8.6 '!D31</f>
        <v>223.02023000000008</v>
      </c>
      <c r="G32" s="66">
        <f>-'S8.6 '!E31</f>
        <v>183</v>
      </c>
      <c r="H32" s="66">
        <f>-'S8.6 '!F31</f>
        <v>439.97628000000003</v>
      </c>
      <c r="I32" s="66">
        <f>-'S8.6 '!G31</f>
        <v>687.91872000000012</v>
      </c>
      <c r="J32" s="66">
        <f>-'S8.6 '!H31</f>
        <v>497.42874999999998</v>
      </c>
      <c r="K32" s="66">
        <f>-'S8.6 '!I31</f>
        <v>310.09196999999995</v>
      </c>
      <c r="L32" s="66">
        <f>-'S8.6 '!J31</f>
        <v>874.17283999999995</v>
      </c>
      <c r="M32" s="66"/>
      <c r="N32" s="66">
        <f>-'S8.6 '!L31</f>
        <v>999.82980591900605</v>
      </c>
      <c r="O32" s="66"/>
      <c r="P32" s="66">
        <f>-'S8.6 '!N31</f>
        <v>1263.7979882390289</v>
      </c>
      <c r="Q32" s="66"/>
      <c r="R32" s="66">
        <v>50</v>
      </c>
      <c r="S32" s="66"/>
      <c r="T32" s="66">
        <v>50</v>
      </c>
      <c r="U32" s="66"/>
      <c r="W32" s="463"/>
      <c r="X32" s="484"/>
      <c r="Y32" s="463"/>
      <c r="Z32" s="463"/>
      <c r="AA32" s="463"/>
      <c r="AB32" s="463"/>
      <c r="AC32" s="463"/>
      <c r="AD32" s="463"/>
    </row>
    <row r="33" spans="1:34">
      <c r="A33" s="17">
        <f t="shared" si="0"/>
        <v>24</v>
      </c>
      <c r="C33" s="16" t="s">
        <v>1101</v>
      </c>
      <c r="E33" s="17" t="s">
        <v>1102</v>
      </c>
      <c r="F33" s="66">
        <f>'S8.8 '!D48</f>
        <v>135.76</v>
      </c>
      <c r="G33" s="66">
        <f>'S8.8 '!E48</f>
        <v>0</v>
      </c>
      <c r="H33" s="66">
        <f>'S8.8 '!F48</f>
        <v>0</v>
      </c>
      <c r="I33" s="66">
        <f>'S8.8 '!G48</f>
        <v>0</v>
      </c>
      <c r="J33" s="66">
        <f>'S8.8 '!H48</f>
        <v>0</v>
      </c>
      <c r="K33" s="66">
        <f>'S8.8 '!I48</f>
        <v>0</v>
      </c>
      <c r="L33" s="66">
        <f>'S8.8 '!J48</f>
        <v>0</v>
      </c>
      <c r="M33" s="66">
        <f>'S8.8 '!K48</f>
        <v>0</v>
      </c>
      <c r="N33" s="66">
        <f>'S8.8 '!L48</f>
        <v>0</v>
      </c>
      <c r="O33" s="66">
        <f>'S8.8 '!M48</f>
        <v>0</v>
      </c>
      <c r="P33" s="66">
        <f>'S8.8 '!N48</f>
        <v>0</v>
      </c>
      <c r="Q33" s="66"/>
      <c r="R33" s="66">
        <v>135.76</v>
      </c>
      <c r="S33" s="66"/>
      <c r="T33" s="66">
        <v>0</v>
      </c>
      <c r="U33" s="66"/>
      <c r="W33" s="463"/>
      <c r="X33" s="484"/>
    </row>
    <row r="34" spans="1:34">
      <c r="A34" s="17">
        <f t="shared" si="0"/>
        <v>25</v>
      </c>
      <c r="C34" s="16" t="s">
        <v>1103</v>
      </c>
      <c r="E34" s="17" t="s">
        <v>1104</v>
      </c>
      <c r="F34" s="66">
        <f>-'S3.1'!G22</f>
        <v>216.44013061222142</v>
      </c>
      <c r="G34" s="66">
        <v>4.5218800000000003</v>
      </c>
      <c r="H34" s="66">
        <v>501</v>
      </c>
      <c r="I34" s="66">
        <v>87.94</v>
      </c>
      <c r="J34" s="66">
        <v>0</v>
      </c>
      <c r="K34" s="66">
        <v>0</v>
      </c>
      <c r="L34" s="66">
        <v>0</v>
      </c>
      <c r="M34" s="66"/>
      <c r="N34" s="66">
        <f>-'S3.1'!O22</f>
        <v>49.275024999999999</v>
      </c>
      <c r="O34" s="66"/>
      <c r="P34" s="66">
        <f>-'S3.1'!Q22</f>
        <v>0</v>
      </c>
      <c r="Q34" s="66"/>
      <c r="R34" s="66">
        <v>110.488106</v>
      </c>
      <c r="S34" s="66"/>
      <c r="T34" s="66">
        <v>86.295681000000016</v>
      </c>
      <c r="U34" s="66"/>
      <c r="W34" s="463"/>
      <c r="X34" s="484"/>
    </row>
    <row r="35" spans="1:34">
      <c r="A35" s="17">
        <f t="shared" si="0"/>
        <v>26</v>
      </c>
      <c r="C35" s="16" t="s">
        <v>1105</v>
      </c>
      <c r="F35" s="66">
        <v>34.622</v>
      </c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>
        <v>28.236000000000001</v>
      </c>
      <c r="S35" s="66"/>
      <c r="T35" s="66">
        <v>26.26</v>
      </c>
      <c r="U35" s="66"/>
      <c r="W35" s="463"/>
      <c r="X35" s="484"/>
      <c r="AF35" s="134"/>
      <c r="AH35" s="134"/>
    </row>
    <row r="36" spans="1:34">
      <c r="A36" s="17">
        <f t="shared" si="0"/>
        <v>27</v>
      </c>
      <c r="C36" s="16" t="s">
        <v>1106</v>
      </c>
      <c r="F36" s="66">
        <v>0</v>
      </c>
      <c r="G36" s="66"/>
      <c r="H36" s="66"/>
      <c r="I36" s="66"/>
      <c r="J36" s="66"/>
      <c r="K36" s="66">
        <v>185.03449663594373</v>
      </c>
      <c r="L36" s="66">
        <v>1176.8001698068683</v>
      </c>
      <c r="M36" s="66"/>
      <c r="N36" s="66">
        <v>472.9441155861598</v>
      </c>
      <c r="O36" s="66"/>
      <c r="P36" s="66">
        <v>71.080300000000008</v>
      </c>
      <c r="Q36" s="66"/>
      <c r="R36" s="66"/>
      <c r="S36" s="66"/>
      <c r="T36" s="66"/>
      <c r="U36" s="66"/>
      <c r="W36" s="463"/>
      <c r="X36" s="484"/>
      <c r="AF36" s="143"/>
      <c r="AH36" s="463"/>
    </row>
    <row r="37" spans="1:34">
      <c r="A37" s="17">
        <f t="shared" si="0"/>
        <v>28</v>
      </c>
      <c r="C37" s="16" t="s">
        <v>1107</v>
      </c>
      <c r="F37" s="66">
        <v>44.739609999999999</v>
      </c>
      <c r="G37" s="66">
        <v>62.944870000000002</v>
      </c>
      <c r="H37" s="66">
        <v>81.811870000000056</v>
      </c>
      <c r="I37" s="66">
        <v>19.705089999999952</v>
      </c>
      <c r="J37" s="66">
        <v>0</v>
      </c>
      <c r="K37" s="66">
        <v>125.01967999999997</v>
      </c>
      <c r="L37" s="66">
        <v>90.862520000000075</v>
      </c>
      <c r="M37" s="66"/>
      <c r="N37" s="66">
        <v>88</v>
      </c>
      <c r="O37" s="66"/>
      <c r="P37" s="66">
        <v>91</v>
      </c>
      <c r="Q37" s="66"/>
      <c r="R37" s="66"/>
      <c r="S37" s="66"/>
      <c r="T37" s="66"/>
      <c r="U37" s="66"/>
      <c r="W37" s="463"/>
      <c r="X37" s="484"/>
      <c r="AF37" s="463"/>
      <c r="AH37" s="463"/>
    </row>
    <row r="38" spans="1:34">
      <c r="A38" s="17">
        <f t="shared" si="0"/>
        <v>29</v>
      </c>
      <c r="C38" s="16" t="s">
        <v>1108</v>
      </c>
      <c r="E38" s="17" t="s">
        <v>1109</v>
      </c>
      <c r="F38" s="66">
        <v>0</v>
      </c>
      <c r="G38" s="66">
        <v>0</v>
      </c>
      <c r="H38" s="66">
        <v>0</v>
      </c>
      <c r="I38" s="66">
        <v>0</v>
      </c>
      <c r="J38" s="66">
        <v>0</v>
      </c>
      <c r="K38" s="66">
        <v>0</v>
      </c>
      <c r="L38" s="66">
        <f>'S8.8 '!J32</f>
        <v>134.61385999999999</v>
      </c>
      <c r="M38" s="66"/>
      <c r="N38" s="66">
        <f>'S8.8 '!L32</f>
        <v>1232.3861400000001</v>
      </c>
      <c r="O38" s="66"/>
      <c r="P38" s="66">
        <v>0</v>
      </c>
      <c r="Q38" s="66"/>
      <c r="R38" s="66"/>
      <c r="S38" s="66"/>
      <c r="T38" s="66"/>
      <c r="U38" s="66"/>
      <c r="W38" s="463"/>
      <c r="X38" s="484"/>
      <c r="AF38" s="463"/>
      <c r="AH38" s="463"/>
    </row>
    <row r="39" spans="1:34">
      <c r="A39" s="17">
        <f t="shared" si="0"/>
        <v>30</v>
      </c>
      <c r="C39" s="16" t="s">
        <v>1110</v>
      </c>
      <c r="E39" s="301"/>
      <c r="F39" s="66">
        <v>1054.6055204551501</v>
      </c>
      <c r="G39" s="66">
        <v>924.51137698175944</v>
      </c>
      <c r="H39" s="66">
        <v>538.0836051156549</v>
      </c>
      <c r="I39" s="66">
        <v>710.63999902555872</v>
      </c>
      <c r="J39" s="66">
        <v>831.68823472786789</v>
      </c>
      <c r="K39" s="66">
        <v>913.72708830075078</v>
      </c>
      <c r="L39" s="66">
        <v>816.22374697580051</v>
      </c>
      <c r="M39" s="66"/>
      <c r="N39" s="66">
        <v>498.4827767200984</v>
      </c>
      <c r="O39" s="66"/>
      <c r="P39" s="66">
        <v>689.59555693382868</v>
      </c>
      <c r="Q39" s="66"/>
      <c r="R39" s="66">
        <v>800</v>
      </c>
      <c r="S39" s="66"/>
      <c r="T39" s="66">
        <v>824</v>
      </c>
      <c r="U39" s="69"/>
      <c r="W39" s="463"/>
      <c r="X39" s="484"/>
      <c r="AF39" s="463"/>
      <c r="AH39" s="463"/>
    </row>
    <row r="40" spans="1:34">
      <c r="A40" s="17">
        <f t="shared" si="0"/>
        <v>31</v>
      </c>
      <c r="C40" s="16" t="s">
        <v>1091</v>
      </c>
      <c r="F40" s="233">
        <f t="shared" ref="F40:L40" si="2">SUM(F26:F39)</f>
        <v>9997.191357736383</v>
      </c>
      <c r="G40" s="233">
        <f t="shared" si="2"/>
        <v>9650.9390144512199</v>
      </c>
      <c r="H40" s="233">
        <f t="shared" si="2"/>
        <v>8498.359316715656</v>
      </c>
      <c r="I40" s="233">
        <f t="shared" si="2"/>
        <v>8448.5151755640181</v>
      </c>
      <c r="J40" s="233">
        <f t="shared" si="2"/>
        <v>8478.4875581588567</v>
      </c>
      <c r="K40" s="233">
        <f t="shared" si="2"/>
        <v>7863.095336359379</v>
      </c>
      <c r="L40" s="233">
        <f t="shared" si="2"/>
        <v>9493.4707503693098</v>
      </c>
      <c r="M40" s="69"/>
      <c r="N40" s="233">
        <f>SUM(N26:N39)</f>
        <v>17754.364033365699</v>
      </c>
      <c r="O40" s="69"/>
      <c r="P40" s="233">
        <f>SUM(P26:P39)</f>
        <v>10993.815720549737</v>
      </c>
      <c r="Q40" s="66"/>
      <c r="R40" s="233">
        <f>SUM(R26:R39)</f>
        <v>9865.5061060000025</v>
      </c>
      <c r="S40" s="66"/>
      <c r="T40" s="233">
        <f>SUM(T26:T39)</f>
        <v>8514.5976809999993</v>
      </c>
      <c r="U40" s="66"/>
      <c r="W40" s="463"/>
      <c r="X40" s="484"/>
      <c r="AF40" s="43"/>
      <c r="AH40" s="463"/>
    </row>
    <row r="41" spans="1:34">
      <c r="A41" s="17">
        <f t="shared" si="0"/>
        <v>32</v>
      </c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W41" s="463"/>
      <c r="X41" s="484"/>
      <c r="AF41" s="43"/>
    </row>
    <row r="42" spans="1:34">
      <c r="A42" s="17">
        <f t="shared" si="0"/>
        <v>33</v>
      </c>
      <c r="C42" s="16" t="s">
        <v>1111</v>
      </c>
      <c r="F42" s="66">
        <f t="shared" ref="F42:L42" si="3">+F10+F23-F40</f>
        <v>-364.5508727363831</v>
      </c>
      <c r="G42" s="66">
        <f t="shared" si="3"/>
        <v>1659.0365205487815</v>
      </c>
      <c r="H42" s="66">
        <f t="shared" si="3"/>
        <v>3429.0284532843489</v>
      </c>
      <c r="I42" s="66">
        <f t="shared" si="3"/>
        <v>3836.1449544359803</v>
      </c>
      <c r="J42" s="66">
        <f t="shared" si="3"/>
        <v>4219.4976168411467</v>
      </c>
      <c r="K42" s="66">
        <f t="shared" si="3"/>
        <v>4597.8641786406233</v>
      </c>
      <c r="L42" s="66">
        <f t="shared" si="3"/>
        <v>2897.1373296306883</v>
      </c>
      <c r="M42" s="66"/>
      <c r="N42" s="66">
        <f>+N10+N23-N40</f>
        <v>-8729.3845177173316</v>
      </c>
      <c r="O42" s="66"/>
      <c r="P42" s="66">
        <f>+P10+P23-P40</f>
        <v>4198.9219679538419</v>
      </c>
      <c r="Q42" s="66"/>
      <c r="R42" s="66">
        <f>+R10+R23-R40</f>
        <v>-1565.2658611987772</v>
      </c>
      <c r="S42" s="66"/>
      <c r="T42" s="66">
        <f>+T10+T23-T40</f>
        <v>1136.4491616829328</v>
      </c>
      <c r="U42" s="69"/>
      <c r="W42" s="463"/>
      <c r="X42" s="484"/>
      <c r="AF42" s="134"/>
      <c r="AH42" s="134"/>
    </row>
    <row r="43" spans="1:34">
      <c r="A43" s="17">
        <f t="shared" si="0"/>
        <v>34</v>
      </c>
      <c r="C43" s="16" t="s">
        <v>1112</v>
      </c>
      <c r="F43" s="234">
        <v>0.3</v>
      </c>
      <c r="G43" s="234">
        <v>0.3</v>
      </c>
      <c r="H43" s="234">
        <v>0.27</v>
      </c>
      <c r="I43" s="234">
        <v>0.27</v>
      </c>
      <c r="J43" s="234">
        <v>0.27</v>
      </c>
      <c r="K43" s="234">
        <v>0.27</v>
      </c>
      <c r="L43" s="234">
        <v>0.27</v>
      </c>
      <c r="M43" s="47"/>
      <c r="N43" s="234">
        <v>0.27</v>
      </c>
      <c r="O43" s="47"/>
      <c r="P43" s="234">
        <v>0.27</v>
      </c>
      <c r="Q43" s="129"/>
      <c r="R43" s="234">
        <v>0.3</v>
      </c>
      <c r="S43" s="129"/>
      <c r="T43" s="234">
        <v>0.3</v>
      </c>
      <c r="U43" s="129"/>
      <c r="W43" s="463"/>
      <c r="X43" s="484"/>
      <c r="AF43" s="134"/>
      <c r="AH43" s="134"/>
    </row>
    <row r="44" spans="1:34">
      <c r="A44" s="17">
        <f t="shared" si="0"/>
        <v>35</v>
      </c>
      <c r="C44" s="16" t="s">
        <v>648</v>
      </c>
      <c r="F44" s="66">
        <f t="shared" ref="F44:L44" si="4">+F42*F43</f>
        <v>-109.36526182091492</v>
      </c>
      <c r="G44" s="66">
        <f t="shared" si="4"/>
        <v>497.71095616463441</v>
      </c>
      <c r="H44" s="66">
        <f t="shared" si="4"/>
        <v>925.8376823867743</v>
      </c>
      <c r="I44" s="66">
        <f t="shared" si="4"/>
        <v>1035.7591376977148</v>
      </c>
      <c r="J44" s="66">
        <f t="shared" si="4"/>
        <v>1139.2643565471096</v>
      </c>
      <c r="K44" s="66">
        <f t="shared" si="4"/>
        <v>1241.4233282329683</v>
      </c>
      <c r="L44" s="66">
        <f t="shared" si="4"/>
        <v>782.22707900028593</v>
      </c>
      <c r="M44" s="66"/>
      <c r="N44" s="66">
        <f>+N42*N43</f>
        <v>-2356.9338197836796</v>
      </c>
      <c r="O44" s="66"/>
      <c r="P44" s="66">
        <f>+P42*P43</f>
        <v>1133.7089313475374</v>
      </c>
      <c r="Q44" s="66"/>
      <c r="R44" s="66">
        <f>+R42*R43</f>
        <v>-469.57975835963316</v>
      </c>
      <c r="S44" s="66"/>
      <c r="T44" s="66">
        <f>+T42*T43</f>
        <v>340.93474850487979</v>
      </c>
      <c r="U44" s="66"/>
      <c r="W44" s="463"/>
      <c r="X44" s="484"/>
    </row>
    <row r="45" spans="1:34">
      <c r="A45" s="17">
        <f t="shared" si="0"/>
        <v>36</v>
      </c>
      <c r="C45" s="16" t="s">
        <v>1113</v>
      </c>
      <c r="F45" s="69">
        <v>19</v>
      </c>
      <c r="G45" s="69">
        <v>-303.75778000000014</v>
      </c>
      <c r="H45" s="69">
        <v>-124</v>
      </c>
      <c r="I45" s="69">
        <v>21.5</v>
      </c>
      <c r="J45" s="69">
        <v>-167</v>
      </c>
      <c r="K45" s="69">
        <v>-179.25387000000001</v>
      </c>
      <c r="L45" s="69">
        <v>13</v>
      </c>
      <c r="M45" s="69"/>
      <c r="N45" s="69">
        <v>0</v>
      </c>
      <c r="O45" s="69"/>
      <c r="P45" s="69">
        <v>0</v>
      </c>
      <c r="Q45" s="66"/>
      <c r="R45" s="69">
        <v>0</v>
      </c>
      <c r="S45" s="66"/>
      <c r="T45" s="69">
        <v>0</v>
      </c>
      <c r="U45" s="66"/>
      <c r="W45" s="463"/>
      <c r="X45" s="484"/>
    </row>
    <row r="46" spans="1:34" ht="16" thickBot="1">
      <c r="A46" s="17">
        <f t="shared" si="0"/>
        <v>37</v>
      </c>
      <c r="C46" s="16" t="s">
        <v>1114</v>
      </c>
      <c r="F46" s="196">
        <f>ROUND(SUM(F44:F45),0)</f>
        <v>-90</v>
      </c>
      <c r="G46" s="196">
        <f t="shared" ref="G46:L46" si="5">ROUND(SUM(G44:G45),0)</f>
        <v>194</v>
      </c>
      <c r="H46" s="196">
        <f t="shared" si="5"/>
        <v>802</v>
      </c>
      <c r="I46" s="196">
        <f t="shared" si="5"/>
        <v>1057</v>
      </c>
      <c r="J46" s="196">
        <f>ROUND(SUM(J44:J45),0)</f>
        <v>972</v>
      </c>
      <c r="K46" s="196">
        <f t="shared" si="5"/>
        <v>1062</v>
      </c>
      <c r="L46" s="196">
        <f t="shared" si="5"/>
        <v>795</v>
      </c>
      <c r="M46" s="143"/>
      <c r="N46" s="196">
        <f>ROUND(SUM(N44:N45),0)</f>
        <v>-2357</v>
      </c>
      <c r="O46" s="143"/>
      <c r="P46" s="196">
        <f>ROUND(SUM(P44:P45),0)</f>
        <v>1134</v>
      </c>
      <c r="Q46" s="143"/>
      <c r="R46" s="196">
        <f>ROUND(SUM(R44:R45),0)</f>
        <v>-470</v>
      </c>
      <c r="S46" s="143"/>
      <c r="T46" s="196">
        <f>ROUND(SUM(T44:T45),0)</f>
        <v>341</v>
      </c>
      <c r="U46" s="143"/>
      <c r="W46" s="463"/>
      <c r="X46" s="484"/>
    </row>
    <row r="47" spans="1:34" ht="16" thickTop="1">
      <c r="AF47" s="488"/>
    </row>
    <row r="48" spans="1:34">
      <c r="F48" s="301"/>
      <c r="G48" s="143"/>
      <c r="H48" s="143"/>
      <c r="I48" s="143"/>
      <c r="J48" s="143"/>
      <c r="K48" s="143"/>
      <c r="L48" s="143"/>
      <c r="M48" s="143"/>
      <c r="N48" s="143"/>
      <c r="O48" s="143"/>
      <c r="P48" s="143"/>
      <c r="AF48" s="488"/>
    </row>
    <row r="49" spans="6:17">
      <c r="F49" s="301"/>
      <c r="G49" s="301"/>
      <c r="H49" s="301"/>
      <c r="I49" s="301"/>
      <c r="J49" s="301"/>
      <c r="K49" s="301"/>
      <c r="L49" s="301"/>
      <c r="N49" s="143"/>
      <c r="P49" s="143"/>
    </row>
    <row r="50" spans="6:17"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</row>
    <row r="51" spans="6:17">
      <c r="F51" s="257"/>
      <c r="G51" s="60"/>
      <c r="H51" s="60"/>
      <c r="I51" s="60"/>
      <c r="J51" s="60"/>
      <c r="K51" s="60"/>
      <c r="L51" s="60"/>
    </row>
    <row r="52" spans="6:17">
      <c r="F52" s="301"/>
      <c r="G52" s="301"/>
      <c r="H52" s="301"/>
      <c r="I52" s="301"/>
      <c r="J52" s="301"/>
      <c r="K52" s="301"/>
      <c r="L52" s="301"/>
    </row>
    <row r="53" spans="6:17">
      <c r="F53" s="301"/>
    </row>
    <row r="54" spans="6:17">
      <c r="F54" s="301"/>
      <c r="G54" s="301"/>
      <c r="H54" s="301"/>
      <c r="I54" s="301"/>
      <c r="J54" s="301"/>
      <c r="K54" s="301"/>
      <c r="L54" s="301"/>
    </row>
    <row r="55" spans="6:17">
      <c r="F55" s="247"/>
      <c r="G55" s="143"/>
    </row>
    <row r="58" spans="6:17">
      <c r="N58" s="143"/>
    </row>
    <row r="59" spans="6:17">
      <c r="N59" s="143"/>
    </row>
    <row r="60" spans="6:17">
      <c r="N60" s="143"/>
    </row>
    <row r="61" spans="6:17">
      <c r="N61" s="143"/>
    </row>
    <row r="62" spans="6:17">
      <c r="N62" s="143"/>
    </row>
    <row r="63" spans="6:17">
      <c r="N63" s="143"/>
    </row>
    <row r="64" spans="6:17">
      <c r="N64" s="143"/>
    </row>
    <row r="66" spans="10:16">
      <c r="N66" s="143"/>
      <c r="P66" s="143"/>
    </row>
    <row r="67" spans="10:16">
      <c r="J67" s="134"/>
      <c r="N67" s="143"/>
    </row>
    <row r="69" spans="10:16">
      <c r="N69" s="143"/>
      <c r="O69" s="134"/>
      <c r="P69" s="337"/>
    </row>
    <row r="71" spans="10:16">
      <c r="N71" s="143"/>
    </row>
  </sheetData>
  <mergeCells count="7">
    <mergeCell ref="A2:T2"/>
    <mergeCell ref="F7:L7"/>
    <mergeCell ref="AI17:AL17"/>
    <mergeCell ref="R7:T7"/>
    <mergeCell ref="N7:P7"/>
    <mergeCell ref="A5:T5"/>
    <mergeCell ref="A4:T4"/>
  </mergeCells>
  <phoneticPr fontId="12" type="noConversion"/>
  <conditionalFormatting sqref="Y14:AB14">
    <cfRule type="cellIs" dxfId="0" priority="1" operator="notEqual">
      <formula>0</formula>
    </cfRule>
  </conditionalFormatting>
  <printOptions horizontalCentered="1"/>
  <pageMargins left="0.5" right="0.5" top="0.75" bottom="0.75" header="0.5" footer="0.5"/>
  <pageSetup scale="59" orientation="landscape" r:id="rId1"/>
  <headerFooter alignWithMargins="0">
    <oddHeader>&amp;R&amp;"Arial,Bold"Schedule 10.1
Page &amp;P of 1</oddHeader>
  </headerFooter>
  <ignoredErrors>
    <ignoredError sqref="N15" formulaRange="1"/>
    <ignoredError sqref="A5" numberStoredAsText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6976C-6AC0-46CF-988D-3B7B4ABD4E15}">
  <sheetPr>
    <pageSetUpPr fitToPage="1"/>
  </sheetPr>
  <dimension ref="A1:K44"/>
  <sheetViews>
    <sheetView topLeftCell="A25" zoomScaleNormal="100" zoomScaleSheetLayoutView="100" workbookViewId="0">
      <selection activeCell="D56" sqref="D56"/>
    </sheetView>
  </sheetViews>
  <sheetFormatPr defaultColWidth="9" defaultRowHeight="14"/>
  <cols>
    <col min="1" max="1" width="9" style="71"/>
    <col min="2" max="2" width="64.81640625" style="71" customWidth="1"/>
    <col min="3" max="3" width="15.26953125" style="71" customWidth="1"/>
    <col min="4" max="4" width="12.26953125" style="71" customWidth="1"/>
    <col min="5" max="5" width="2.81640625" style="71" customWidth="1"/>
    <col min="6" max="16384" width="9" style="71"/>
  </cols>
  <sheetData>
    <row r="1" spans="1:11" ht="14.15" customHeight="1">
      <c r="A1" s="540" t="str">
        <f>'S1.1'!A1</f>
        <v>ATCO Electric Yukon (AEY)</v>
      </c>
      <c r="B1" s="540"/>
      <c r="C1" s="540"/>
      <c r="D1" s="540"/>
      <c r="E1" s="187"/>
      <c r="F1" s="369"/>
      <c r="G1" s="369"/>
      <c r="H1" s="369"/>
      <c r="I1" s="369"/>
      <c r="J1" s="369"/>
      <c r="K1" s="369"/>
    </row>
    <row r="2" spans="1:11" ht="14.15" customHeight="1">
      <c r="A2" s="540" t="str">
        <f>'S1.1'!A2</f>
        <v>2023 - 2024 General Rate Application (GRA)</v>
      </c>
      <c r="B2" s="540"/>
      <c r="C2" s="540"/>
      <c r="D2" s="540"/>
      <c r="E2" s="187"/>
      <c r="F2" s="369"/>
      <c r="G2" s="369"/>
      <c r="H2" s="369"/>
      <c r="I2" s="369"/>
      <c r="J2" s="369"/>
      <c r="K2" s="369"/>
    </row>
    <row r="3" spans="1:11">
      <c r="A3" s="372"/>
      <c r="B3" s="372"/>
      <c r="C3" s="372"/>
      <c r="D3" s="372"/>
      <c r="E3" s="187"/>
      <c r="F3" s="369"/>
      <c r="G3" s="369"/>
      <c r="H3" s="369"/>
      <c r="I3" s="369"/>
      <c r="J3" s="369"/>
      <c r="K3" s="369"/>
    </row>
    <row r="4" spans="1:11" ht="14.15" customHeight="1">
      <c r="A4" s="540" t="s">
        <v>1115</v>
      </c>
      <c r="B4" s="540"/>
      <c r="C4" s="540"/>
      <c r="D4" s="540"/>
      <c r="E4" s="187"/>
      <c r="F4" s="369"/>
      <c r="G4" s="369"/>
      <c r="H4" s="369"/>
      <c r="I4" s="369"/>
      <c r="J4" s="369"/>
      <c r="K4" s="369"/>
    </row>
    <row r="5" spans="1:11">
      <c r="A5" s="372"/>
      <c r="B5" s="372"/>
      <c r="C5" s="371"/>
      <c r="D5" s="372"/>
      <c r="E5" s="370"/>
      <c r="F5" s="369"/>
      <c r="G5" s="369"/>
      <c r="H5" s="369"/>
      <c r="I5" s="369"/>
      <c r="J5" s="369"/>
      <c r="K5" s="369"/>
    </row>
    <row r="6" spans="1:11">
      <c r="A6" s="373"/>
      <c r="B6" s="372"/>
      <c r="C6" s="371"/>
      <c r="D6" s="372"/>
      <c r="E6" s="370"/>
      <c r="F6" s="369"/>
      <c r="G6" s="369"/>
      <c r="H6" s="369"/>
      <c r="I6" s="369"/>
      <c r="J6" s="369"/>
      <c r="K6" s="369"/>
    </row>
    <row r="7" spans="1:11">
      <c r="A7" s="369"/>
      <c r="B7" s="368"/>
      <c r="C7" s="367"/>
      <c r="D7" s="368"/>
      <c r="E7" s="369"/>
      <c r="F7" s="369"/>
      <c r="G7" s="369"/>
      <c r="H7" s="369"/>
      <c r="I7" s="369"/>
      <c r="J7" s="369"/>
      <c r="K7" s="369"/>
    </row>
    <row r="8" spans="1:11">
      <c r="A8" s="180" t="s">
        <v>7</v>
      </c>
      <c r="B8" s="368"/>
      <c r="C8" s="367"/>
      <c r="D8" s="368"/>
      <c r="E8" s="369"/>
      <c r="F8" s="369"/>
      <c r="G8" s="369"/>
      <c r="H8" s="369"/>
      <c r="I8" s="369"/>
      <c r="J8" s="369"/>
      <c r="K8" s="369"/>
    </row>
    <row r="9" spans="1:11">
      <c r="A9" s="184" t="s">
        <v>12</v>
      </c>
      <c r="B9" s="391" t="s">
        <v>13</v>
      </c>
      <c r="C9" s="392" t="s">
        <v>1116</v>
      </c>
      <c r="D9" s="392" t="s">
        <v>1117</v>
      </c>
      <c r="E9" s="369"/>
      <c r="F9" s="369"/>
      <c r="G9" s="369"/>
      <c r="H9" s="369"/>
      <c r="I9" s="369"/>
      <c r="J9" s="369"/>
      <c r="K9" s="369"/>
    </row>
    <row r="11" spans="1:11">
      <c r="A11" s="182">
        <v>1</v>
      </c>
      <c r="B11" s="183" t="s">
        <v>1118</v>
      </c>
    </row>
    <row r="12" spans="1:11">
      <c r="A12" s="182">
        <f t="shared" ref="A12:A28" si="0">A11+1</f>
        <v>2</v>
      </c>
      <c r="B12" s="383" t="s">
        <v>1119</v>
      </c>
      <c r="C12" s="367" t="s">
        <v>1120</v>
      </c>
      <c r="D12" s="384">
        <f>'S2.1'!O61</f>
        <v>60992.130169687764</v>
      </c>
      <c r="E12" s="369"/>
      <c r="F12" s="369"/>
    </row>
    <row r="13" spans="1:11">
      <c r="A13" s="182">
        <f t="shared" si="0"/>
        <v>3</v>
      </c>
      <c r="B13" s="383" t="s">
        <v>1121</v>
      </c>
      <c r="C13" s="367" t="s">
        <v>1120</v>
      </c>
      <c r="D13" s="385">
        <f>'S2.1'!N61</f>
        <v>62203.284942971499</v>
      </c>
      <c r="E13" s="369"/>
      <c r="F13" s="369"/>
    </row>
    <row r="14" spans="1:11">
      <c r="A14" s="182">
        <f t="shared" si="0"/>
        <v>4</v>
      </c>
      <c r="B14" s="386" t="s">
        <v>1122</v>
      </c>
      <c r="C14" s="367"/>
      <c r="D14" s="384">
        <f>D12-D13</f>
        <v>-1211.1547732837353</v>
      </c>
      <c r="E14" s="369"/>
      <c r="F14" s="369"/>
    </row>
    <row r="15" spans="1:11">
      <c r="A15" s="182">
        <f t="shared" si="0"/>
        <v>5</v>
      </c>
    </row>
    <row r="16" spans="1:11">
      <c r="A16" s="182">
        <f t="shared" si="0"/>
        <v>6</v>
      </c>
      <c r="B16" s="183" t="s">
        <v>1123</v>
      </c>
    </row>
    <row r="17" spans="1:6">
      <c r="A17" s="182">
        <f t="shared" si="0"/>
        <v>7</v>
      </c>
      <c r="B17" s="383" t="s">
        <v>1124</v>
      </c>
      <c r="C17" s="367" t="s">
        <v>1125</v>
      </c>
      <c r="D17" s="384">
        <f>'S2.1'!N39</f>
        <v>55582.599479568584</v>
      </c>
    </row>
    <row r="18" spans="1:6">
      <c r="A18" s="182">
        <f t="shared" si="0"/>
        <v>8</v>
      </c>
      <c r="B18" s="383" t="s">
        <v>1126</v>
      </c>
      <c r="C18" s="367" t="s">
        <v>1127</v>
      </c>
      <c r="D18" s="384">
        <v>8964.4768128037394</v>
      </c>
    </row>
    <row r="19" spans="1:6">
      <c r="A19" s="182">
        <f t="shared" si="0"/>
        <v>9</v>
      </c>
      <c r="B19" s="383" t="s">
        <v>1128</v>
      </c>
      <c r="C19" s="367" t="s">
        <v>1127</v>
      </c>
      <c r="D19" s="384">
        <v>10038.392100433901</v>
      </c>
    </row>
    <row r="20" spans="1:6">
      <c r="A20" s="182">
        <f t="shared" si="0"/>
        <v>10</v>
      </c>
      <c r="B20" s="386" t="s">
        <v>1129</v>
      </c>
      <c r="C20" s="367"/>
      <c r="D20" s="387">
        <f>SUM(D17:D19)</f>
        <v>74585.46839280623</v>
      </c>
    </row>
    <row r="21" spans="1:6">
      <c r="A21" s="182">
        <f t="shared" si="0"/>
        <v>11</v>
      </c>
    </row>
    <row r="22" spans="1:6">
      <c r="A22" s="182">
        <f t="shared" si="0"/>
        <v>12</v>
      </c>
      <c r="B22" s="386" t="s">
        <v>1130</v>
      </c>
      <c r="C22" s="473" t="s">
        <v>1131</v>
      </c>
      <c r="D22" s="388">
        <f>D14/D20</f>
        <v>-1.6238481830068537E-2</v>
      </c>
      <c r="F22" s="388"/>
    </row>
    <row r="23" spans="1:6">
      <c r="A23" s="182">
        <f t="shared" si="0"/>
        <v>13</v>
      </c>
      <c r="C23" s="182"/>
    </row>
    <row r="24" spans="1:6">
      <c r="A24" s="182">
        <f t="shared" si="0"/>
        <v>14</v>
      </c>
      <c r="B24" s="386" t="s">
        <v>1132</v>
      </c>
      <c r="C24" s="367" t="s">
        <v>1133</v>
      </c>
      <c r="D24" s="388">
        <v>8.3000000000000004E-2</v>
      </c>
    </row>
    <row r="25" spans="1:6">
      <c r="A25" s="182">
        <f t="shared" si="0"/>
        <v>15</v>
      </c>
      <c r="C25" s="182"/>
    </row>
    <row r="26" spans="1:6" ht="14.5" thickBot="1">
      <c r="A26" s="182">
        <f t="shared" si="0"/>
        <v>16</v>
      </c>
      <c r="B26" s="386" t="s">
        <v>1134</v>
      </c>
      <c r="C26" s="473" t="s">
        <v>1135</v>
      </c>
      <c r="D26" s="389">
        <f>D22+D24</f>
        <v>6.6761518169931464E-2</v>
      </c>
    </row>
    <row r="27" spans="1:6" ht="14.5" thickTop="1">
      <c r="A27" s="182">
        <f t="shared" si="0"/>
        <v>17</v>
      </c>
      <c r="B27" s="386"/>
      <c r="C27" s="473"/>
      <c r="D27" s="390"/>
    </row>
    <row r="28" spans="1:6">
      <c r="A28" s="182">
        <f t="shared" si="0"/>
        <v>18</v>
      </c>
      <c r="B28" s="183" t="s">
        <v>1136</v>
      </c>
      <c r="C28" s="474"/>
    </row>
    <row r="29" spans="1:6">
      <c r="A29" s="182">
        <f t="shared" ref="A29:A43" si="1">A28+1</f>
        <v>19</v>
      </c>
      <c r="B29" s="383" t="s">
        <v>1137</v>
      </c>
      <c r="C29" s="367" t="s">
        <v>1120</v>
      </c>
      <c r="D29" s="458">
        <f>'S2.1'!Q61</f>
        <v>68095.572810736208</v>
      </c>
      <c r="E29" s="369"/>
      <c r="F29" s="369"/>
    </row>
    <row r="30" spans="1:6">
      <c r="A30" s="182">
        <f t="shared" si="1"/>
        <v>20</v>
      </c>
      <c r="B30" s="383" t="s">
        <v>1138</v>
      </c>
      <c r="C30" s="367" t="s">
        <v>1120</v>
      </c>
      <c r="D30" s="385">
        <f>'S2.1'!P61</f>
        <v>64152.449708751454</v>
      </c>
      <c r="E30" s="369"/>
      <c r="F30" s="369"/>
    </row>
    <row r="31" spans="1:6">
      <c r="A31" s="182">
        <f t="shared" si="1"/>
        <v>21</v>
      </c>
      <c r="B31" s="386" t="s">
        <v>1139</v>
      </c>
      <c r="C31" s="473"/>
      <c r="D31" s="384">
        <f>D29-D30</f>
        <v>3943.1231019847546</v>
      </c>
      <c r="E31" s="369"/>
      <c r="F31" s="369"/>
    </row>
    <row r="32" spans="1:6">
      <c r="A32" s="182">
        <f t="shared" si="1"/>
        <v>22</v>
      </c>
      <c r="C32" s="474"/>
    </row>
    <row r="33" spans="1:6">
      <c r="A33" s="182">
        <f t="shared" si="1"/>
        <v>23</v>
      </c>
      <c r="B33" s="183" t="s">
        <v>1140</v>
      </c>
      <c r="C33" s="474"/>
    </row>
    <row r="34" spans="1:6">
      <c r="A34" s="182">
        <f t="shared" si="1"/>
        <v>24</v>
      </c>
      <c r="B34" s="383" t="s">
        <v>1124</v>
      </c>
      <c r="C34" s="367" t="s">
        <v>1125</v>
      </c>
      <c r="D34" s="384">
        <f>'S2.1'!P39</f>
        <v>57427.87590108953</v>
      </c>
    </row>
    <row r="35" spans="1:6">
      <c r="A35" s="182">
        <f t="shared" si="1"/>
        <v>25</v>
      </c>
      <c r="B35" s="383" t="s">
        <v>1126</v>
      </c>
      <c r="C35" s="367" t="s">
        <v>1127</v>
      </c>
      <c r="D35" s="384">
        <v>9856.9306262853788</v>
      </c>
    </row>
    <row r="36" spans="1:6">
      <c r="A36" s="182">
        <f t="shared" si="1"/>
        <v>26</v>
      </c>
      <c r="B36" s="383" t="s">
        <v>1128</v>
      </c>
      <c r="C36" s="367" t="s">
        <v>1127</v>
      </c>
      <c r="D36" s="384">
        <v>8586.564736021699</v>
      </c>
    </row>
    <row r="37" spans="1:6">
      <c r="A37" s="182">
        <f t="shared" si="1"/>
        <v>27</v>
      </c>
      <c r="B37" s="386" t="s">
        <v>1129</v>
      </c>
      <c r="C37" s="473"/>
      <c r="D37" s="387">
        <f>SUM(D34:D36)</f>
        <v>75871.371263396606</v>
      </c>
    </row>
    <row r="38" spans="1:6">
      <c r="A38" s="182">
        <f t="shared" si="1"/>
        <v>28</v>
      </c>
      <c r="C38" s="474"/>
    </row>
    <row r="39" spans="1:6">
      <c r="A39" s="182">
        <f t="shared" si="1"/>
        <v>29</v>
      </c>
      <c r="B39" s="386" t="s">
        <v>1130</v>
      </c>
      <c r="C39" s="473" t="s">
        <v>1141</v>
      </c>
      <c r="D39" s="388">
        <f>D31/D37</f>
        <v>5.1971159033039324E-2</v>
      </c>
      <c r="F39" s="388"/>
    </row>
    <row r="40" spans="1:6">
      <c r="A40" s="182">
        <f t="shared" si="1"/>
        <v>30</v>
      </c>
      <c r="C40" s="475"/>
    </row>
    <row r="41" spans="1:6">
      <c r="A41" s="182">
        <f t="shared" si="1"/>
        <v>31</v>
      </c>
      <c r="B41" s="386" t="s">
        <v>1132</v>
      </c>
      <c r="C41" s="367" t="s">
        <v>1133</v>
      </c>
      <c r="D41" s="388">
        <v>8.3000000000000004E-2</v>
      </c>
    </row>
    <row r="42" spans="1:6">
      <c r="A42" s="182">
        <f t="shared" si="1"/>
        <v>32</v>
      </c>
      <c r="C42" s="475"/>
    </row>
    <row r="43" spans="1:6" ht="14.5" thickBot="1">
      <c r="A43" s="182">
        <f t="shared" si="1"/>
        <v>33</v>
      </c>
      <c r="B43" s="386" t="s">
        <v>1142</v>
      </c>
      <c r="C43" s="473" t="s">
        <v>1143</v>
      </c>
      <c r="D43" s="389">
        <f>D39+D41</f>
        <v>0.13497115903303933</v>
      </c>
    </row>
    <row r="44" spans="1:6" ht="14.5" thickTop="1"/>
  </sheetData>
  <mergeCells count="3">
    <mergeCell ref="A1:D1"/>
    <mergeCell ref="A2:D2"/>
    <mergeCell ref="A4:D4"/>
  </mergeCells>
  <printOptions horizontalCentered="1"/>
  <pageMargins left="0.5" right="0.5" top="0.75" bottom="0.75" header="0.5" footer="0.5"/>
  <pageSetup scale="96" orientation="portrait" r:id="rId1"/>
  <headerFooter alignWithMargins="0">
    <oddHeader>&amp;R&amp;"Arial,Bold"Schedule 13.1
Page &amp;P of 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AH88"/>
  <sheetViews>
    <sheetView zoomScale="80" zoomScaleNormal="80" zoomScaleSheetLayoutView="100" workbookViewId="0">
      <pane xSplit="4" ySplit="10" topLeftCell="E57" activePane="bottomRight" state="frozen"/>
      <selection pane="topRight" activeCell="E1" sqref="E1"/>
      <selection pane="bottomLeft" activeCell="A10" sqref="A10"/>
      <selection pane="bottomRight" activeCell="Z61" sqref="Z61"/>
    </sheetView>
  </sheetViews>
  <sheetFormatPr defaultColWidth="7.54296875" defaultRowHeight="12.5"/>
  <cols>
    <col min="1" max="1" width="6.26953125" style="145" bestFit="1" customWidth="1"/>
    <col min="2" max="2" width="2.1796875" style="145" customWidth="1"/>
    <col min="3" max="3" width="43.453125" style="145" customWidth="1"/>
    <col min="4" max="4" width="2.1796875" style="145" customWidth="1"/>
    <col min="5" max="5" width="13.453125" style="151" bestFit="1" customWidth="1"/>
    <col min="6" max="6" width="13.453125" style="151" customWidth="1"/>
    <col min="7" max="7" width="12.26953125" style="145" bestFit="1" customWidth="1"/>
    <col min="8" max="12" width="12.54296875" style="145" customWidth="1"/>
    <col min="13" max="13" width="1.81640625" style="145" customWidth="1"/>
    <col min="14" max="17" width="12.54296875" style="145" customWidth="1"/>
    <col min="18" max="18" width="3.453125" style="145" customWidth="1"/>
    <col min="19" max="19" width="12.54296875" style="145" customWidth="1"/>
    <col min="20" max="20" width="2.1796875" style="145" customWidth="1"/>
    <col min="21" max="21" width="12.54296875" style="145" customWidth="1"/>
    <col min="22" max="22" width="2.1796875" style="145" customWidth="1"/>
    <col min="23" max="23" width="8.54296875" style="145" bestFit="1" customWidth="1"/>
    <col min="24" max="24" width="9.7265625" style="145" bestFit="1" customWidth="1"/>
    <col min="25" max="25" width="7.7265625" style="145" bestFit="1" customWidth="1"/>
    <col min="26" max="16384" width="7.54296875" style="145"/>
  </cols>
  <sheetData>
    <row r="1" spans="1:25" s="16" customFormat="1" ht="15.5">
      <c r="A1" s="14" t="s">
        <v>0</v>
      </c>
      <c r="B1" s="15"/>
      <c r="C1" s="15"/>
      <c r="D1" s="15"/>
      <c r="E1" s="15"/>
      <c r="F1" s="15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"/>
      <c r="V1" s="31"/>
    </row>
    <row r="2" spans="1:25" s="16" customFormat="1" ht="15.5">
      <c r="A2" s="14" t="str">
        <f>'S1.1'!A2</f>
        <v>2023 - 2024 General Rate Application (GRA)</v>
      </c>
      <c r="B2" s="15"/>
      <c r="C2" s="15"/>
      <c r="D2" s="15"/>
      <c r="E2" s="15"/>
      <c r="F2" s="15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"/>
      <c r="V2" s="31"/>
    </row>
    <row r="3" spans="1:25" s="16" customFormat="1" ht="15.5">
      <c r="A3" s="14"/>
      <c r="B3" s="15"/>
      <c r="C3" s="15"/>
      <c r="D3" s="15"/>
      <c r="E3" s="15"/>
      <c r="F3" s="15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"/>
      <c r="V3" s="31"/>
    </row>
    <row r="4" spans="1:25" s="16" customFormat="1" ht="15.5">
      <c r="A4" s="14" t="s">
        <v>41</v>
      </c>
      <c r="B4" s="15"/>
      <c r="C4" s="15"/>
      <c r="D4" s="15"/>
      <c r="E4" s="15"/>
      <c r="F4" s="15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"/>
      <c r="V4" s="17"/>
    </row>
    <row r="5" spans="1:25" s="16" customFormat="1" ht="15.5">
      <c r="A5" s="6"/>
      <c r="B5" s="17"/>
      <c r="C5" s="17"/>
      <c r="D5" s="17"/>
      <c r="E5" s="324"/>
      <c r="F5" s="17"/>
    </row>
    <row r="6" spans="1:25" s="16" customFormat="1" ht="15.5">
      <c r="A6" s="6"/>
      <c r="B6" s="6"/>
      <c r="C6" s="6"/>
      <c r="D6" s="6"/>
      <c r="E6" s="6"/>
      <c r="F6" s="6"/>
      <c r="N6" s="519" t="s">
        <v>10</v>
      </c>
      <c r="O6" s="519"/>
      <c r="P6" s="519"/>
      <c r="Q6" s="519"/>
      <c r="R6" s="18"/>
    </row>
    <row r="7" spans="1:25" s="16" customFormat="1" ht="15.5">
      <c r="A7" s="163" t="s">
        <v>7</v>
      </c>
      <c r="B7" s="6"/>
      <c r="C7" s="6"/>
      <c r="D7" s="6"/>
      <c r="E7" s="6" t="s">
        <v>8</v>
      </c>
      <c r="F7" s="521" t="s">
        <v>9</v>
      </c>
      <c r="G7" s="521"/>
      <c r="H7" s="521"/>
      <c r="I7" s="521"/>
      <c r="J7" s="521"/>
      <c r="K7" s="521"/>
      <c r="L7" s="521"/>
      <c r="M7" s="132"/>
      <c r="N7" s="519">
        <v>2023</v>
      </c>
      <c r="O7" s="519"/>
      <c r="P7" s="140">
        <v>2024</v>
      </c>
      <c r="Q7" s="140"/>
      <c r="R7" s="6"/>
      <c r="S7" s="519" t="s">
        <v>11</v>
      </c>
      <c r="T7" s="519"/>
      <c r="U7" s="519"/>
      <c r="V7" s="6"/>
    </row>
    <row r="8" spans="1:25" s="16" customFormat="1" ht="15.5">
      <c r="A8" s="164" t="s">
        <v>12</v>
      </c>
      <c r="B8" s="6"/>
      <c r="C8" s="7" t="s">
        <v>13</v>
      </c>
      <c r="D8" s="6"/>
      <c r="E8" s="7" t="s">
        <v>14</v>
      </c>
      <c r="F8" s="7">
        <v>2016</v>
      </c>
      <c r="G8" s="7">
        <v>2017</v>
      </c>
      <c r="H8" s="7">
        <v>2018</v>
      </c>
      <c r="I8" s="7">
        <v>2019</v>
      </c>
      <c r="J8" s="7">
        <v>2020</v>
      </c>
      <c r="K8" s="7">
        <v>2021</v>
      </c>
      <c r="L8" s="7">
        <v>2022</v>
      </c>
      <c r="M8" s="6"/>
      <c r="N8" s="7" t="s">
        <v>42</v>
      </c>
      <c r="O8" s="7" t="s">
        <v>43</v>
      </c>
      <c r="P8" s="7" t="s">
        <v>42</v>
      </c>
      <c r="Q8" s="7" t="s">
        <v>43</v>
      </c>
      <c r="S8" s="240">
        <v>2016</v>
      </c>
      <c r="T8" s="6"/>
      <c r="U8" s="240">
        <v>2017</v>
      </c>
      <c r="V8" s="6"/>
    </row>
    <row r="9" spans="1:25" s="16" customFormat="1" ht="9" customHeight="1">
      <c r="A9" s="163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5" s="16" customFormat="1" ht="15.5">
      <c r="A10" s="165">
        <v>1</v>
      </c>
      <c r="C10" s="18" t="s">
        <v>44</v>
      </c>
      <c r="D10" s="18"/>
      <c r="E10" s="6"/>
      <c r="F10" s="6"/>
    </row>
    <row r="11" spans="1:25" s="16" customFormat="1" ht="15.5">
      <c r="A11" s="165">
        <v>2</v>
      </c>
      <c r="C11" s="16" t="s">
        <v>45</v>
      </c>
      <c r="E11" s="17"/>
      <c r="F11" s="143">
        <v>14857.5</v>
      </c>
      <c r="G11" s="143">
        <v>15113.5</v>
      </c>
      <c r="H11" s="143">
        <v>15429.5</v>
      </c>
      <c r="I11" s="143">
        <v>15774.5</v>
      </c>
      <c r="J11" s="143">
        <v>16155.416666666666</v>
      </c>
      <c r="K11" s="143">
        <v>16567.166666666668</v>
      </c>
      <c r="L11" s="143">
        <v>17025.333333333332</v>
      </c>
      <c r="M11" s="143"/>
      <c r="N11" s="143">
        <v>17469.23</v>
      </c>
      <c r="O11" s="400"/>
      <c r="P11" s="143">
        <v>17877.03</v>
      </c>
      <c r="Q11" s="143"/>
      <c r="R11" s="143"/>
      <c r="S11" s="143">
        <v>14851.01</v>
      </c>
      <c r="T11" s="143"/>
      <c r="U11" s="143">
        <v>15038.78</v>
      </c>
      <c r="V11" s="143"/>
      <c r="W11" s="143"/>
    </row>
    <row r="12" spans="1:25" s="16" customFormat="1" ht="15.5">
      <c r="A12" s="165">
        <v>3</v>
      </c>
      <c r="C12" s="16" t="s">
        <v>46</v>
      </c>
      <c r="E12" s="17"/>
      <c r="F12" s="143">
        <v>151351.32094093703</v>
      </c>
      <c r="G12" s="143">
        <v>165654.36266150896</v>
      </c>
      <c r="H12" s="143">
        <v>167596.43748461429</v>
      </c>
      <c r="I12" s="143">
        <v>166454.65395724127</v>
      </c>
      <c r="J12" s="143">
        <v>185234.72241724317</v>
      </c>
      <c r="K12" s="143">
        <v>188526.10802573024</v>
      </c>
      <c r="L12" s="143">
        <v>188388.041</v>
      </c>
      <c r="M12" s="143"/>
      <c r="N12" s="143">
        <v>187499.46726531992</v>
      </c>
      <c r="O12" s="400"/>
      <c r="P12" s="143">
        <v>195965.95749623457</v>
      </c>
      <c r="Q12" s="143"/>
      <c r="R12" s="143"/>
      <c r="S12" s="143">
        <v>148443.94607387041</v>
      </c>
      <c r="T12" s="143"/>
      <c r="U12" s="143">
        <v>155826.56841323533</v>
      </c>
      <c r="V12" s="143"/>
    </row>
    <row r="13" spans="1:25" s="114" customFormat="1" ht="15.5">
      <c r="A13" s="165">
        <v>4</v>
      </c>
      <c r="C13" s="114" t="s">
        <v>47</v>
      </c>
      <c r="E13" s="119"/>
      <c r="F13" s="152">
        <f t="shared" ref="F13:K13" si="0">F12/F11</f>
        <v>10.186863263734613</v>
      </c>
      <c r="G13" s="152">
        <f t="shared" si="0"/>
        <v>10.960688302610842</v>
      </c>
      <c r="H13" s="152">
        <f t="shared" si="0"/>
        <v>10.862078322992598</v>
      </c>
      <c r="I13" s="152">
        <f t="shared" si="0"/>
        <v>10.552135025340979</v>
      </c>
      <c r="J13" s="152">
        <f t="shared" si="0"/>
        <v>11.46579665750351</v>
      </c>
      <c r="K13" s="152">
        <f t="shared" si="0"/>
        <v>11.379502109135352</v>
      </c>
      <c r="L13" s="152">
        <f>L12/L11</f>
        <v>11.065160212232751</v>
      </c>
      <c r="M13" s="152"/>
      <c r="N13" s="152">
        <f>N12/N11</f>
        <v>10.733127176488027</v>
      </c>
      <c r="O13" s="401"/>
      <c r="P13" s="152">
        <f>P12/P11</f>
        <v>10.961885587048553</v>
      </c>
      <c r="Q13" s="152"/>
      <c r="R13" s="152"/>
      <c r="S13" s="152">
        <v>9.9955454931260839</v>
      </c>
      <c r="T13" s="152"/>
      <c r="U13" s="152">
        <v>10.361649576178076</v>
      </c>
      <c r="V13" s="152"/>
    </row>
    <row r="14" spans="1:25" s="16" customFormat="1" ht="15.5">
      <c r="A14" s="165">
        <v>5</v>
      </c>
      <c r="C14" s="16" t="s">
        <v>48</v>
      </c>
      <c r="E14" s="41"/>
      <c r="F14" s="143">
        <v>21452.168332068828</v>
      </c>
      <c r="G14" s="143">
        <v>23262.018759996252</v>
      </c>
      <c r="H14" s="143">
        <v>23490.687335053797</v>
      </c>
      <c r="I14" s="143">
        <v>23505.760649999986</v>
      </c>
      <c r="J14" s="143">
        <v>25959.551889999999</v>
      </c>
      <c r="K14" s="143">
        <v>26443.219761077798</v>
      </c>
      <c r="L14" s="143">
        <v>26838.599490914188</v>
      </c>
      <c r="M14" s="66"/>
      <c r="N14" s="143">
        <v>26425.189512175395</v>
      </c>
      <c r="O14" s="402"/>
      <c r="P14" s="143">
        <v>27530.433503179684</v>
      </c>
      <c r="Q14" s="66"/>
      <c r="R14" s="143"/>
      <c r="S14" s="143">
        <v>21011.937688612834</v>
      </c>
      <c r="T14" s="143"/>
      <c r="U14" s="143">
        <v>21969.036940490143</v>
      </c>
      <c r="V14" s="143"/>
      <c r="X14" s="143"/>
      <c r="Y14" s="143"/>
    </row>
    <row r="15" spans="1:25" s="113" customFormat="1" ht="15.5">
      <c r="A15" s="165">
        <v>6</v>
      </c>
      <c r="C15" s="113" t="s">
        <v>49</v>
      </c>
      <c r="E15" s="118"/>
      <c r="F15" s="152">
        <f t="shared" ref="F15:K15" si="1">F14/F12*100</f>
        <v>14.173756924421074</v>
      </c>
      <c r="G15" s="152">
        <f t="shared" si="1"/>
        <v>14.042502947857081</v>
      </c>
      <c r="H15" s="152">
        <f t="shared" si="1"/>
        <v>14.016221160554378</v>
      </c>
      <c r="I15" s="152">
        <f t="shared" si="1"/>
        <v>14.121419912980098</v>
      </c>
      <c r="J15" s="152">
        <f t="shared" si="1"/>
        <v>14.014409151393242</v>
      </c>
      <c r="K15" s="152">
        <f t="shared" si="1"/>
        <v>14.026290596031824</v>
      </c>
      <c r="L15" s="152">
        <f>L14/L12*100</f>
        <v>14.246445447624879</v>
      </c>
      <c r="M15" s="152"/>
      <c r="N15" s="152">
        <f>N14/N12*100</f>
        <v>14.093474449600754</v>
      </c>
      <c r="O15" s="401"/>
      <c r="P15" s="152">
        <f>P14/P12*100</f>
        <v>14.048579587456498</v>
      </c>
      <c r="Q15" s="152"/>
      <c r="R15" s="152"/>
      <c r="S15" s="152">
        <v>14.154795964637474</v>
      </c>
      <c r="T15" s="152"/>
      <c r="U15" s="152">
        <v>14.098389744572065</v>
      </c>
      <c r="V15" s="152"/>
    </row>
    <row r="16" spans="1:25" s="16" customFormat="1" ht="17.25" customHeight="1">
      <c r="A16" s="165">
        <v>7</v>
      </c>
      <c r="C16" s="18" t="s">
        <v>50</v>
      </c>
      <c r="D16" s="18"/>
      <c r="E16" s="6"/>
    </row>
    <row r="17" spans="1:25" s="117" customFormat="1" ht="15.5">
      <c r="A17" s="165">
        <v>8</v>
      </c>
      <c r="C17" s="117" t="s">
        <v>45</v>
      </c>
      <c r="E17" s="115"/>
      <c r="F17" s="143">
        <v>2999.9166666666665</v>
      </c>
      <c r="G17" s="143">
        <v>3036.3333333333335</v>
      </c>
      <c r="H17" s="143">
        <v>3095.3333333333335</v>
      </c>
      <c r="I17" s="143">
        <v>3144.75</v>
      </c>
      <c r="J17" s="143">
        <v>3177.9166666666665</v>
      </c>
      <c r="K17" s="143">
        <v>3219.0833333333335</v>
      </c>
      <c r="L17" s="143">
        <v>3272.25</v>
      </c>
      <c r="M17" s="143"/>
      <c r="N17" s="143">
        <v>3330.55</v>
      </c>
      <c r="O17" s="400"/>
      <c r="P17" s="143">
        <v>3364.02</v>
      </c>
      <c r="Q17" s="143"/>
      <c r="R17" s="143"/>
      <c r="S17" s="143">
        <v>2998.12</v>
      </c>
      <c r="T17" s="143"/>
      <c r="U17" s="143">
        <v>3038.51</v>
      </c>
      <c r="V17" s="143"/>
    </row>
    <row r="18" spans="1:25" s="117" customFormat="1" ht="15.5">
      <c r="A18" s="165">
        <v>9</v>
      </c>
      <c r="C18" s="117" t="s">
        <v>46</v>
      </c>
      <c r="E18" s="115"/>
      <c r="F18" s="143">
        <v>157661.83569641944</v>
      </c>
      <c r="G18" s="143">
        <v>165924.07639489693</v>
      </c>
      <c r="H18" s="143">
        <v>168285.19912006269</v>
      </c>
      <c r="I18" s="143">
        <v>168680.2787325239</v>
      </c>
      <c r="J18" s="143">
        <v>163932.53875654077</v>
      </c>
      <c r="K18" s="143">
        <v>166021.92028579017</v>
      </c>
      <c r="L18" s="143">
        <v>168540.658</v>
      </c>
      <c r="M18" s="143"/>
      <c r="N18" s="143">
        <v>170320.02058891236</v>
      </c>
      <c r="O18" s="400"/>
      <c r="P18" s="143">
        <v>175243.73329870912</v>
      </c>
      <c r="Q18" s="143"/>
      <c r="R18" s="143"/>
      <c r="S18" s="143">
        <v>156283.08013396952</v>
      </c>
      <c r="T18" s="143"/>
      <c r="U18" s="143">
        <v>162350.08196907814</v>
      </c>
      <c r="V18" s="143"/>
    </row>
    <row r="19" spans="1:25" s="114" customFormat="1" ht="15.5">
      <c r="A19" s="165">
        <v>10</v>
      </c>
      <c r="C19" s="114" t="s">
        <v>47</v>
      </c>
      <c r="E19" s="119"/>
      <c r="F19" s="152">
        <f t="shared" ref="F19:L19" si="2">F18/F17</f>
        <v>52.555405104503826</v>
      </c>
      <c r="G19" s="152">
        <f t="shared" si="2"/>
        <v>54.646199273761198</v>
      </c>
      <c r="H19" s="152">
        <f t="shared" si="2"/>
        <v>54.367391488282152</v>
      </c>
      <c r="I19" s="152">
        <f t="shared" si="2"/>
        <v>53.638692656816566</v>
      </c>
      <c r="J19" s="152">
        <f t="shared" si="2"/>
        <v>51.584907960626445</v>
      </c>
      <c r="K19" s="152">
        <f t="shared" si="2"/>
        <v>51.574284693610551</v>
      </c>
      <c r="L19" s="152">
        <f t="shared" si="2"/>
        <v>51.506045687218275</v>
      </c>
      <c r="M19" s="152"/>
      <c r="N19" s="152">
        <f>N18/N17</f>
        <v>51.138706997016214</v>
      </c>
      <c r="O19" s="401"/>
      <c r="P19" s="152">
        <f>P18/P17</f>
        <v>52.093546797792264</v>
      </c>
      <c r="Q19" s="152"/>
      <c r="R19" s="152"/>
      <c r="S19" s="152">
        <v>52.127026314480247</v>
      </c>
      <c r="T19" s="152"/>
      <c r="U19" s="152">
        <v>53.430820359017453</v>
      </c>
      <c r="V19" s="152"/>
    </row>
    <row r="20" spans="1:25" s="117" customFormat="1" ht="15.5">
      <c r="A20" s="165">
        <v>11</v>
      </c>
      <c r="C20" s="117" t="s">
        <v>48</v>
      </c>
      <c r="E20" s="116"/>
      <c r="F20" s="143">
        <v>25798.269766833655</v>
      </c>
      <c r="G20" s="143">
        <v>27101.6870589426</v>
      </c>
      <c r="H20" s="143">
        <v>27353.127608155039</v>
      </c>
      <c r="I20" s="143">
        <v>27589.266369999998</v>
      </c>
      <c r="J20" s="143">
        <v>27109.891039999999</v>
      </c>
      <c r="K20" s="143">
        <v>27169.656935989999</v>
      </c>
      <c r="L20" s="143">
        <f>28108.06633684-96</f>
        <v>28012.066336839998</v>
      </c>
      <c r="M20" s="143"/>
      <c r="N20" s="143">
        <v>27952.600827393191</v>
      </c>
      <c r="O20" s="400"/>
      <c r="P20" s="143">
        <v>28682.329107909845</v>
      </c>
      <c r="Q20" s="143"/>
      <c r="R20" s="143"/>
      <c r="S20" s="143">
        <v>25600.641752259031</v>
      </c>
      <c r="T20" s="143"/>
      <c r="U20" s="143">
        <v>26518.749236844389</v>
      </c>
      <c r="V20" s="143"/>
      <c r="Y20" s="143"/>
    </row>
    <row r="21" spans="1:25" s="113" customFormat="1" ht="15.5">
      <c r="A21" s="165">
        <v>12</v>
      </c>
      <c r="C21" s="113" t="s">
        <v>49</v>
      </c>
      <c r="E21" s="118"/>
      <c r="F21" s="152">
        <f t="shared" ref="F21:L21" si="3">F20/F18*100</f>
        <v>16.3630403343195</v>
      </c>
      <c r="G21" s="152">
        <f t="shared" si="3"/>
        <v>16.333788108267647</v>
      </c>
      <c r="H21" s="152">
        <f t="shared" si="3"/>
        <v>16.254030509623139</v>
      </c>
      <c r="I21" s="152">
        <f t="shared" si="3"/>
        <v>16.355952561442148</v>
      </c>
      <c r="J21" s="152">
        <f t="shared" si="3"/>
        <v>16.537223937135138</v>
      </c>
      <c r="K21" s="152">
        <f t="shared" si="3"/>
        <v>16.365102204106631</v>
      </c>
      <c r="L21" s="152">
        <f t="shared" si="3"/>
        <v>16.620361323639781</v>
      </c>
      <c r="M21" s="152"/>
      <c r="N21" s="152">
        <f>N20/N18*100</f>
        <v>16.411811559640498</v>
      </c>
      <c r="O21" s="401"/>
      <c r="P21" s="152">
        <f>P20/P18*100</f>
        <v>16.36710686767886</v>
      </c>
      <c r="Q21" s="152"/>
      <c r="R21" s="152"/>
      <c r="S21" s="152">
        <v>16.380942665267131</v>
      </c>
      <c r="T21" s="152"/>
      <c r="U21" s="152">
        <v>16.334299875435391</v>
      </c>
      <c r="V21" s="152"/>
    </row>
    <row r="22" spans="1:25" s="113" customFormat="1" ht="15.5">
      <c r="A22" s="165">
        <f>+A21+1</f>
        <v>13</v>
      </c>
      <c r="C22" s="18" t="s">
        <v>51</v>
      </c>
      <c r="E22" s="118"/>
    </row>
    <row r="23" spans="1:25" s="113" customFormat="1" ht="15.5">
      <c r="A23" s="165">
        <f>A22+1</f>
        <v>14</v>
      </c>
      <c r="C23" s="117" t="s">
        <v>45</v>
      </c>
      <c r="E23" s="118"/>
      <c r="F23" s="143">
        <v>0</v>
      </c>
      <c r="G23" s="143">
        <v>0</v>
      </c>
      <c r="H23" s="143">
        <v>0</v>
      </c>
      <c r="I23" s="143">
        <v>0</v>
      </c>
      <c r="J23" s="143">
        <v>0</v>
      </c>
      <c r="K23" s="143">
        <v>0</v>
      </c>
      <c r="L23" s="143">
        <v>0</v>
      </c>
      <c r="M23" s="143"/>
      <c r="N23" s="143"/>
      <c r="O23" s="143"/>
      <c r="P23" s="143"/>
      <c r="Q23" s="143"/>
      <c r="R23" s="143"/>
      <c r="S23" s="143">
        <v>0</v>
      </c>
      <c r="T23" s="143"/>
      <c r="U23" s="143">
        <v>0</v>
      </c>
      <c r="V23" s="143"/>
    </row>
    <row r="24" spans="1:25" s="113" customFormat="1" ht="15.5">
      <c r="A24" s="165">
        <f>A23+1</f>
        <v>15</v>
      </c>
      <c r="C24" s="117" t="s">
        <v>46</v>
      </c>
      <c r="E24" s="118"/>
      <c r="F24" s="143">
        <v>0</v>
      </c>
      <c r="G24" s="143">
        <v>0</v>
      </c>
      <c r="H24" s="143">
        <v>0</v>
      </c>
      <c r="I24" s="143">
        <v>0</v>
      </c>
      <c r="J24" s="143">
        <v>0</v>
      </c>
      <c r="K24" s="143">
        <v>0</v>
      </c>
      <c r="L24" s="143">
        <v>0</v>
      </c>
      <c r="M24" s="143"/>
      <c r="N24" s="143"/>
      <c r="O24" s="143"/>
      <c r="P24" s="143"/>
      <c r="Q24" s="143"/>
      <c r="R24" s="143"/>
      <c r="S24" s="143">
        <v>0</v>
      </c>
      <c r="T24" s="143"/>
      <c r="U24" s="143">
        <v>0</v>
      </c>
      <c r="V24" s="143"/>
    </row>
    <row r="25" spans="1:25" s="113" customFormat="1" ht="15.5">
      <c r="A25" s="165">
        <f>A24+1</f>
        <v>16</v>
      </c>
      <c r="C25" s="114" t="s">
        <v>47</v>
      </c>
      <c r="E25" s="118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2"/>
      <c r="R25" s="152"/>
      <c r="S25" s="152"/>
      <c r="T25" s="152"/>
      <c r="U25" s="152"/>
      <c r="V25" s="152"/>
    </row>
    <row r="26" spans="1:25" s="113" customFormat="1" ht="15.5">
      <c r="A26" s="165">
        <f>A25+1</f>
        <v>17</v>
      </c>
      <c r="C26" s="117" t="s">
        <v>48</v>
      </c>
      <c r="E26" s="118"/>
      <c r="F26" s="143">
        <v>0</v>
      </c>
      <c r="G26" s="143">
        <v>0</v>
      </c>
      <c r="H26" s="143">
        <v>0</v>
      </c>
      <c r="I26" s="143">
        <v>0</v>
      </c>
      <c r="J26" s="143">
        <v>0</v>
      </c>
      <c r="K26" s="143">
        <v>0</v>
      </c>
      <c r="L26" s="143">
        <v>0</v>
      </c>
      <c r="M26" s="143"/>
      <c r="N26" s="143"/>
      <c r="O26" s="143"/>
      <c r="P26" s="143"/>
      <c r="Q26" s="143"/>
      <c r="R26" s="143"/>
      <c r="S26" s="66">
        <v>0</v>
      </c>
      <c r="T26" s="143"/>
      <c r="U26" s="66">
        <v>0</v>
      </c>
      <c r="V26" s="143"/>
    </row>
    <row r="27" spans="1:25" s="113" customFormat="1" ht="15.5">
      <c r="A27" s="165">
        <f>A26+1</f>
        <v>18</v>
      </c>
      <c r="C27" s="113" t="s">
        <v>49</v>
      </c>
      <c r="E27" s="118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43">
        <v>0</v>
      </c>
      <c r="T27" s="152"/>
      <c r="U27" s="143">
        <v>0</v>
      </c>
      <c r="V27" s="152"/>
    </row>
    <row r="28" spans="1:25" s="16" customFormat="1" ht="15.5">
      <c r="A28" s="165">
        <f t="shared" ref="A28:A75" si="4">A27+1</f>
        <v>19</v>
      </c>
      <c r="C28" s="18" t="s">
        <v>52</v>
      </c>
      <c r="D28" s="18"/>
      <c r="E28" s="6"/>
    </row>
    <row r="29" spans="1:25" s="117" customFormat="1" ht="15.5">
      <c r="A29" s="165">
        <f t="shared" si="4"/>
        <v>20</v>
      </c>
      <c r="C29" s="117" t="s">
        <v>46</v>
      </c>
      <c r="E29" s="115"/>
      <c r="F29" s="117">
        <v>3922.9219499999995</v>
      </c>
      <c r="G29" s="117">
        <v>3942.2667700000002</v>
      </c>
      <c r="H29" s="117">
        <v>3950.83527</v>
      </c>
      <c r="I29" s="117">
        <v>3875.953120000001</v>
      </c>
      <c r="J29" s="117">
        <v>3888.72615</v>
      </c>
      <c r="K29" s="117">
        <v>3936.5061299999998</v>
      </c>
      <c r="L29" s="117">
        <v>3883.7163199999995</v>
      </c>
      <c r="N29" s="117">
        <v>3873.9511699999998</v>
      </c>
      <c r="O29" s="400"/>
      <c r="P29" s="117">
        <v>3882.5615000000007</v>
      </c>
      <c r="S29" s="117">
        <v>3944.2087200000005</v>
      </c>
      <c r="U29" s="117">
        <v>4007.906500000001</v>
      </c>
    </row>
    <row r="30" spans="1:25" s="117" customFormat="1" ht="15.5">
      <c r="A30" s="165">
        <f t="shared" si="4"/>
        <v>21</v>
      </c>
      <c r="C30" s="117" t="s">
        <v>48</v>
      </c>
      <c r="E30" s="116"/>
      <c r="F30" s="117">
        <v>997.20186000000035</v>
      </c>
      <c r="G30" s="117">
        <v>1008.6765800000003</v>
      </c>
      <c r="H30" s="117">
        <v>1021.1584900000369</v>
      </c>
      <c r="I30" s="117">
        <v>1014.4235600000015</v>
      </c>
      <c r="J30" s="117">
        <v>1036.9252100000142</v>
      </c>
      <c r="K30" s="117">
        <v>1079.1334700000039</v>
      </c>
      <c r="L30" s="117">
        <v>1079.0861300000076</v>
      </c>
      <c r="N30" s="117">
        <v>1083.2491800000012</v>
      </c>
      <c r="O30" s="400"/>
      <c r="P30" s="117">
        <v>1095.6294600000001</v>
      </c>
      <c r="S30" s="117">
        <v>1002.2030200000004</v>
      </c>
      <c r="U30" s="117">
        <v>1020.3611600000005</v>
      </c>
    </row>
    <row r="31" spans="1:25" s="113" customFormat="1" ht="15.5">
      <c r="A31" s="165">
        <f t="shared" si="4"/>
        <v>22</v>
      </c>
      <c r="C31" s="113" t="s">
        <v>49</v>
      </c>
      <c r="E31" s="118"/>
      <c r="F31" s="113">
        <f t="shared" ref="F31:L31" si="5">F30/F29*100</f>
        <v>25.41987510100731</v>
      </c>
      <c r="G31" s="113">
        <f t="shared" si="5"/>
        <v>25.586208109401998</v>
      </c>
      <c r="H31" s="113">
        <f t="shared" si="5"/>
        <v>25.846648119045391</v>
      </c>
      <c r="I31" s="113">
        <f t="shared" si="5"/>
        <v>26.172235024349348</v>
      </c>
      <c r="J31" s="113">
        <f t="shared" si="5"/>
        <v>26.664906964457092</v>
      </c>
      <c r="K31" s="113">
        <f t="shared" si="5"/>
        <v>27.413483794066995</v>
      </c>
      <c r="L31" s="113">
        <f t="shared" si="5"/>
        <v>27.784885431591142</v>
      </c>
      <c r="N31" s="113">
        <f>N30/N29*100</f>
        <v>27.962386010146879</v>
      </c>
      <c r="O31" s="403"/>
      <c r="P31" s="113">
        <f>P30/P29*100</f>
        <v>28.219242889005102</v>
      </c>
      <c r="S31" s="113">
        <v>25.409482386621779</v>
      </c>
      <c r="U31" s="113">
        <v>25.458706683900939</v>
      </c>
    </row>
    <row r="32" spans="1:25" s="16" customFormat="1" ht="15.5">
      <c r="A32" s="165">
        <f t="shared" si="4"/>
        <v>23</v>
      </c>
      <c r="C32" s="18" t="s">
        <v>53</v>
      </c>
      <c r="D32" s="18"/>
      <c r="E32" s="6"/>
    </row>
    <row r="33" spans="1:22" s="117" customFormat="1" ht="15.5">
      <c r="A33" s="165">
        <f t="shared" si="4"/>
        <v>24</v>
      </c>
      <c r="C33" s="117" t="s">
        <v>46</v>
      </c>
      <c r="E33" s="115"/>
      <c r="F33" s="143">
        <v>496.28553000000005</v>
      </c>
      <c r="G33" s="143">
        <v>495.31733000000008</v>
      </c>
      <c r="H33" s="143">
        <v>485.60540000000003</v>
      </c>
      <c r="I33" s="143">
        <v>480.46578999999997</v>
      </c>
      <c r="J33" s="143">
        <v>452.17452000000009</v>
      </c>
      <c r="K33" s="143">
        <v>451.90928000000002</v>
      </c>
      <c r="L33" s="143">
        <v>456.23185000000001</v>
      </c>
      <c r="M33" s="143"/>
      <c r="N33" s="117">
        <v>442.28949</v>
      </c>
      <c r="O33" s="400"/>
      <c r="P33" s="117">
        <v>430.84599999999983</v>
      </c>
      <c r="Q33" s="143"/>
      <c r="R33" s="143"/>
      <c r="S33" s="143">
        <v>492.89352999999988</v>
      </c>
      <c r="T33" s="143"/>
      <c r="U33" s="143">
        <v>471.89049999999997</v>
      </c>
      <c r="V33" s="143"/>
    </row>
    <row r="34" spans="1:22" s="117" customFormat="1" ht="15.5">
      <c r="A34" s="165">
        <f t="shared" si="4"/>
        <v>25</v>
      </c>
      <c r="C34" s="117" t="s">
        <v>48</v>
      </c>
      <c r="E34" s="116"/>
      <c r="F34" s="143">
        <v>132.56147999999993</v>
      </c>
      <c r="G34" s="143">
        <v>132.06114999999997</v>
      </c>
      <c r="H34" s="143">
        <v>129.95428999999962</v>
      </c>
      <c r="I34" s="143">
        <v>127.74706000000002</v>
      </c>
      <c r="J34" s="143">
        <v>121.36851000000003</v>
      </c>
      <c r="K34" s="143">
        <v>122.47521000000002</v>
      </c>
      <c r="L34" s="143">
        <v>125.52561000000001</v>
      </c>
      <c r="M34" s="143"/>
      <c r="N34" s="117">
        <v>121.55995999999998</v>
      </c>
      <c r="O34" s="400"/>
      <c r="P34" s="117">
        <v>119.48382999999994</v>
      </c>
      <c r="Q34" s="143"/>
      <c r="R34" s="143"/>
      <c r="S34" s="143">
        <v>132.46106</v>
      </c>
      <c r="T34" s="143"/>
      <c r="U34" s="143">
        <v>127.67580999999998</v>
      </c>
      <c r="V34" s="143"/>
    </row>
    <row r="35" spans="1:22" s="113" customFormat="1" ht="15.5">
      <c r="A35" s="165">
        <f t="shared" si="4"/>
        <v>26</v>
      </c>
      <c r="C35" s="113" t="s">
        <v>49</v>
      </c>
      <c r="E35" s="118"/>
      <c r="F35" s="152">
        <f t="shared" ref="F35:L35" si="6">F34/F33*100</f>
        <v>26.710728398629701</v>
      </c>
      <c r="G35" s="152">
        <f t="shared" si="6"/>
        <v>26.661928020971921</v>
      </c>
      <c r="H35" s="152">
        <f t="shared" si="6"/>
        <v>26.761294252493816</v>
      </c>
      <c r="I35" s="152">
        <f t="shared" si="6"/>
        <v>26.588169784158833</v>
      </c>
      <c r="J35" s="152">
        <f t="shared" si="6"/>
        <v>26.841076759477733</v>
      </c>
      <c r="K35" s="152">
        <f t="shared" si="6"/>
        <v>27.101724930278042</v>
      </c>
      <c r="L35" s="152">
        <f t="shared" si="6"/>
        <v>27.513556977663882</v>
      </c>
      <c r="M35" s="152"/>
      <c r="N35" s="113">
        <f>N34/N33*100</f>
        <v>27.484252451940467</v>
      </c>
      <c r="O35" s="401"/>
      <c r="P35" s="113">
        <f>P34/P33*100</f>
        <v>27.732375373103146</v>
      </c>
      <c r="Q35" s="152"/>
      <c r="R35" s="152"/>
      <c r="S35" s="152">
        <v>26.874173008519719</v>
      </c>
      <c r="T35" s="152"/>
      <c r="U35" s="152">
        <v>27.056236563355267</v>
      </c>
      <c r="V35" s="152"/>
    </row>
    <row r="36" spans="1:22" s="16" customFormat="1" ht="15" customHeight="1">
      <c r="A36" s="165">
        <f t="shared" si="4"/>
        <v>27</v>
      </c>
      <c r="C36" s="18" t="s">
        <v>54</v>
      </c>
      <c r="D36" s="18"/>
      <c r="E36" s="6"/>
    </row>
    <row r="37" spans="1:22" s="117" customFormat="1" ht="15" customHeight="1">
      <c r="A37" s="165">
        <f t="shared" si="4"/>
        <v>28</v>
      </c>
      <c r="C37" s="117" t="s">
        <v>55</v>
      </c>
      <c r="E37" s="115"/>
      <c r="F37" s="143">
        <f t="shared" ref="F37:L37" si="7">F11+F17</f>
        <v>17857.416666666668</v>
      </c>
      <c r="G37" s="143">
        <f t="shared" si="7"/>
        <v>18149.833333333332</v>
      </c>
      <c r="H37" s="143">
        <f t="shared" si="7"/>
        <v>18524.833333333332</v>
      </c>
      <c r="I37" s="143">
        <f t="shared" si="7"/>
        <v>18919.25</v>
      </c>
      <c r="J37" s="143">
        <f t="shared" si="7"/>
        <v>19333.333333333332</v>
      </c>
      <c r="K37" s="143">
        <f t="shared" si="7"/>
        <v>19786.25</v>
      </c>
      <c r="L37" s="143">
        <f t="shared" si="7"/>
        <v>20297.583333333332</v>
      </c>
      <c r="M37" s="143"/>
      <c r="N37" s="143">
        <f>N11+N17</f>
        <v>20799.78</v>
      </c>
      <c r="O37" s="143"/>
      <c r="P37" s="143">
        <f>P11+P17</f>
        <v>21241.05</v>
      </c>
      <c r="Q37" s="143"/>
      <c r="R37" s="143"/>
      <c r="S37" s="143">
        <v>17849.13</v>
      </c>
      <c r="T37" s="143"/>
      <c r="U37" s="143">
        <v>18077.29</v>
      </c>
      <c r="V37" s="143"/>
    </row>
    <row r="38" spans="1:22" s="117" customFormat="1" ht="15" customHeight="1">
      <c r="A38" s="165">
        <f t="shared" si="4"/>
        <v>29</v>
      </c>
      <c r="C38" s="117" t="s">
        <v>46</v>
      </c>
      <c r="E38" s="115"/>
      <c r="F38" s="143">
        <f t="shared" ref="F38:L38" si="8">F12+F18+F29+F33+F24</f>
        <v>313432.36411735648</v>
      </c>
      <c r="G38" s="143">
        <f t="shared" si="8"/>
        <v>336016.02315640589</v>
      </c>
      <c r="H38" s="143">
        <f t="shared" si="8"/>
        <v>340318.07727467694</v>
      </c>
      <c r="I38" s="143">
        <f t="shared" si="8"/>
        <v>339491.35159976518</v>
      </c>
      <c r="J38" s="143">
        <f t="shared" si="8"/>
        <v>353508.16184378392</v>
      </c>
      <c r="K38" s="143">
        <f t="shared" si="8"/>
        <v>358936.44372152042</v>
      </c>
      <c r="L38" s="143">
        <f t="shared" si="8"/>
        <v>361268.64717000001</v>
      </c>
      <c r="M38" s="143"/>
      <c r="N38" s="143">
        <f>N12+N18+N29+N33+N24</f>
        <v>362135.72851423232</v>
      </c>
      <c r="O38" s="143"/>
      <c r="P38" s="143">
        <f>P12+P18+P29+P33+P24</f>
        <v>375523.09829494375</v>
      </c>
      <c r="Q38" s="143"/>
      <c r="R38" s="143"/>
      <c r="S38" s="143">
        <v>309164.12845783995</v>
      </c>
      <c r="T38" s="143"/>
      <c r="U38" s="143">
        <v>322656.44738231343</v>
      </c>
      <c r="V38" s="143"/>
    </row>
    <row r="39" spans="1:22" s="117" customFormat="1" ht="15" customHeight="1">
      <c r="A39" s="165">
        <f t="shared" si="4"/>
        <v>30</v>
      </c>
      <c r="C39" s="117" t="s">
        <v>48</v>
      </c>
      <c r="E39" s="115"/>
      <c r="F39" s="143">
        <f t="shared" ref="F39:L39" si="9">F14+F20+F30+F34+F26</f>
        <v>48380.201438902477</v>
      </c>
      <c r="G39" s="143">
        <f t="shared" si="9"/>
        <v>51504.443548938849</v>
      </c>
      <c r="H39" s="143">
        <f t="shared" si="9"/>
        <v>51994.927723208879</v>
      </c>
      <c r="I39" s="143">
        <f t="shared" si="9"/>
        <v>52237.197639999984</v>
      </c>
      <c r="J39" s="143">
        <f t="shared" si="9"/>
        <v>54227.736650000013</v>
      </c>
      <c r="K39" s="143">
        <f t="shared" si="9"/>
        <v>54814.485377067795</v>
      </c>
      <c r="L39" s="143">
        <f t="shared" si="9"/>
        <v>56055.277567754194</v>
      </c>
      <c r="M39" s="143"/>
      <c r="N39" s="143">
        <f>N14+N20+N30+N34+N26</f>
        <v>55582.599479568584</v>
      </c>
      <c r="O39" s="143"/>
      <c r="P39" s="143">
        <f>P14+P20+P30+P34+P26</f>
        <v>57427.87590108953</v>
      </c>
      <c r="Q39" s="143"/>
      <c r="R39" s="143"/>
      <c r="S39" s="143">
        <v>47747.243520871867</v>
      </c>
      <c r="T39" s="143"/>
      <c r="U39" s="143">
        <v>49635.823147334537</v>
      </c>
      <c r="V39" s="143"/>
    </row>
    <row r="40" spans="1:22" s="113" customFormat="1" ht="15" customHeight="1">
      <c r="A40" s="165">
        <f t="shared" si="4"/>
        <v>31</v>
      </c>
      <c r="C40" s="113" t="s">
        <v>49</v>
      </c>
      <c r="E40" s="118"/>
      <c r="F40" s="152">
        <f t="shared" ref="F40:L40" si="10">F39/F38*100</f>
        <v>15.435611308086802</v>
      </c>
      <c r="G40" s="152">
        <f t="shared" si="10"/>
        <v>15.327972477361593</v>
      </c>
      <c r="H40" s="152">
        <f t="shared" si="10"/>
        <v>15.278332593905326</v>
      </c>
      <c r="I40" s="152">
        <f t="shared" si="10"/>
        <v>15.386900842641705</v>
      </c>
      <c r="J40" s="152">
        <f t="shared" si="10"/>
        <v>15.339882498657378</v>
      </c>
      <c r="K40" s="152">
        <f t="shared" si="10"/>
        <v>15.271362475412337</v>
      </c>
      <c r="L40" s="152">
        <f t="shared" si="10"/>
        <v>15.516230928663068</v>
      </c>
      <c r="M40" s="152"/>
      <c r="N40" s="152">
        <f>N39/N38*100</f>
        <v>15.348554451562249</v>
      </c>
      <c r="O40" s="152"/>
      <c r="P40" s="152">
        <f>P39/P38*100</f>
        <v>15.29276791809607</v>
      </c>
      <c r="Q40" s="152"/>
      <c r="R40" s="152"/>
      <c r="S40" s="152">
        <v>15.443979144360229</v>
      </c>
      <c r="T40" s="152"/>
      <c r="U40" s="152">
        <v>15.383490257215096</v>
      </c>
      <c r="V40" s="152"/>
    </row>
    <row r="41" spans="1:22" s="16" customFormat="1" ht="16.5" customHeight="1">
      <c r="A41" s="165">
        <f t="shared" si="4"/>
        <v>32</v>
      </c>
      <c r="C41" s="18" t="s">
        <v>56</v>
      </c>
      <c r="E41" s="17"/>
    </row>
    <row r="42" spans="1:22" s="117" customFormat="1" ht="15" customHeight="1">
      <c r="A42" s="165">
        <f t="shared" si="4"/>
        <v>33</v>
      </c>
      <c r="C42" s="117" t="s">
        <v>45</v>
      </c>
      <c r="E42" s="115"/>
      <c r="F42" s="143">
        <v>3.1666666666666665</v>
      </c>
      <c r="G42" s="143">
        <v>4.916666666666667</v>
      </c>
      <c r="H42" s="143">
        <v>4.916666666666667</v>
      </c>
      <c r="I42" s="143">
        <v>5</v>
      </c>
      <c r="J42" s="143">
        <v>4.916666666666667</v>
      </c>
      <c r="K42" s="143">
        <v>9.6666666666666661</v>
      </c>
      <c r="L42" s="143">
        <v>8.5</v>
      </c>
      <c r="M42" s="143"/>
      <c r="N42" s="143">
        <v>5</v>
      </c>
      <c r="O42" s="143"/>
      <c r="P42" s="143">
        <v>5</v>
      </c>
      <c r="Q42" s="143"/>
      <c r="R42" s="143"/>
      <c r="S42" s="66">
        <v>2.75</v>
      </c>
      <c r="T42" s="143"/>
      <c r="U42" s="66">
        <v>3</v>
      </c>
      <c r="V42" s="143"/>
    </row>
    <row r="43" spans="1:22" s="117" customFormat="1" ht="15" customHeight="1">
      <c r="A43" s="165">
        <f t="shared" si="4"/>
        <v>34</v>
      </c>
      <c r="C43" s="117" t="s">
        <v>46</v>
      </c>
      <c r="E43" s="115"/>
      <c r="F43" s="143">
        <v>4835.1000000000004</v>
      </c>
      <c r="G43" s="143">
        <v>8385.0300000000007</v>
      </c>
      <c r="H43" s="143">
        <v>257.95499999999998</v>
      </c>
      <c r="I43" s="143">
        <v>0.55500000000000005</v>
      </c>
      <c r="J43" s="143">
        <v>479.13</v>
      </c>
      <c r="K43" s="143">
        <v>4430.0249999999996</v>
      </c>
      <c r="L43" s="143">
        <v>3439.2</v>
      </c>
      <c r="M43" s="143"/>
      <c r="N43" s="143">
        <v>2931.1849999999999</v>
      </c>
      <c r="O43" s="143"/>
      <c r="P43" s="143">
        <v>2931.11</v>
      </c>
      <c r="Q43" s="143"/>
      <c r="R43" s="143"/>
      <c r="S43" s="66">
        <v>9429.0020000000004</v>
      </c>
      <c r="T43" s="143"/>
      <c r="U43" s="66">
        <v>9429.0020000000004</v>
      </c>
      <c r="V43" s="143"/>
    </row>
    <row r="44" spans="1:22" s="114" customFormat="1" ht="15" customHeight="1">
      <c r="A44" s="165">
        <f t="shared" si="4"/>
        <v>35</v>
      </c>
      <c r="C44" s="114" t="s">
        <v>47</v>
      </c>
      <c r="E44" s="119"/>
      <c r="F44" s="43">
        <f t="shared" ref="F44:L44" si="11">F43/F42</f>
        <v>1526.8736842105266</v>
      </c>
      <c r="G44" s="43">
        <f t="shared" si="11"/>
        <v>1705.4298305084747</v>
      </c>
      <c r="H44" s="43">
        <f t="shared" si="11"/>
        <v>52.465423728813555</v>
      </c>
      <c r="I44" s="43">
        <f t="shared" si="11"/>
        <v>0.11100000000000002</v>
      </c>
      <c r="J44" s="43">
        <f t="shared" si="11"/>
        <v>97.450169491525415</v>
      </c>
      <c r="K44" s="43">
        <f t="shared" si="11"/>
        <v>458.27844827586205</v>
      </c>
      <c r="L44" s="43">
        <f t="shared" si="11"/>
        <v>404.61176470588231</v>
      </c>
      <c r="M44" s="43"/>
      <c r="N44" s="43">
        <f>N43/N42</f>
        <v>586.23699999999997</v>
      </c>
      <c r="O44" s="43"/>
      <c r="P44" s="43">
        <f>P43/P42</f>
        <v>586.22199999999998</v>
      </c>
      <c r="Q44" s="43"/>
      <c r="R44" s="152"/>
      <c r="S44" s="43">
        <v>3428.7280000000001</v>
      </c>
      <c r="T44" s="152"/>
      <c r="U44" s="43">
        <v>3143.0006666666668</v>
      </c>
      <c r="V44" s="152"/>
    </row>
    <row r="45" spans="1:22" s="114" customFormat="1" ht="15" customHeight="1">
      <c r="A45" s="165">
        <f t="shared" si="4"/>
        <v>36</v>
      </c>
      <c r="C45" s="114" t="s">
        <v>48</v>
      </c>
      <c r="E45" s="119"/>
      <c r="F45" s="143">
        <v>296.43890999999996</v>
      </c>
      <c r="G45" s="143">
        <v>552.87327000000005</v>
      </c>
      <c r="H45" s="143">
        <v>20.60425</v>
      </c>
      <c r="I45" s="143">
        <v>4.6429999999999999E-2</v>
      </c>
      <c r="J45" s="143">
        <v>33.897970000000001</v>
      </c>
      <c r="K45" s="143">
        <v>361.16216000000003</v>
      </c>
      <c r="L45" s="143">
        <v>400.79581999999994</v>
      </c>
      <c r="M45" s="143"/>
      <c r="N45" s="143">
        <v>389.84740000000005</v>
      </c>
      <c r="O45" s="143"/>
      <c r="P45" s="143">
        <v>389.83762999999999</v>
      </c>
      <c r="Q45" s="143"/>
      <c r="R45" s="143"/>
      <c r="S45" s="66">
        <v>518.59510999999998</v>
      </c>
      <c r="T45" s="143"/>
      <c r="U45" s="66">
        <v>518.59510999999998</v>
      </c>
      <c r="V45" s="143"/>
    </row>
    <row r="46" spans="1:22" s="16" customFormat="1" ht="15" customHeight="1">
      <c r="A46" s="165">
        <f t="shared" si="4"/>
        <v>37</v>
      </c>
      <c r="C46" s="230" t="s">
        <v>49</v>
      </c>
      <c r="E46" s="17"/>
      <c r="F46" s="152">
        <f t="shared" ref="F46:L46" si="12">F45/F43*100</f>
        <v>6.1309778494757081</v>
      </c>
      <c r="G46" s="152">
        <f t="shared" si="12"/>
        <v>6.5935753360453102</v>
      </c>
      <c r="H46" s="152">
        <f t="shared" si="12"/>
        <v>7.9875365858386154</v>
      </c>
      <c r="I46" s="152">
        <f t="shared" si="12"/>
        <v>8.3657657657657651</v>
      </c>
      <c r="J46" s="152">
        <f t="shared" si="12"/>
        <v>7.0749003401999468</v>
      </c>
      <c r="K46" s="152">
        <f t="shared" si="12"/>
        <v>8.152598687366325</v>
      </c>
      <c r="L46" s="152">
        <f t="shared" si="12"/>
        <v>11.653751453826471</v>
      </c>
      <c r="M46" s="152"/>
      <c r="N46" s="152">
        <f>N45/N43*100</f>
        <v>13.299993006241506</v>
      </c>
      <c r="O46" s="152"/>
      <c r="P46" s="152">
        <f>P45/P43*100</f>
        <v>13.299999999999997</v>
      </c>
      <c r="Q46" s="152"/>
      <c r="R46" s="152"/>
      <c r="S46" s="152">
        <v>5.4999999999999991</v>
      </c>
      <c r="T46" s="152"/>
      <c r="U46" s="152">
        <v>5.4999999999999991</v>
      </c>
      <c r="V46" s="152"/>
    </row>
    <row r="47" spans="1:22" s="16" customFormat="1" ht="16.5" customHeight="1">
      <c r="A47" s="165">
        <f t="shared" si="4"/>
        <v>38</v>
      </c>
      <c r="C47" s="18" t="s">
        <v>57</v>
      </c>
      <c r="E47" s="17"/>
    </row>
    <row r="48" spans="1:22" s="16" customFormat="1" ht="15" customHeight="1">
      <c r="A48" s="165">
        <f t="shared" si="4"/>
        <v>39</v>
      </c>
      <c r="C48" s="16" t="s">
        <v>45</v>
      </c>
      <c r="E48" s="17"/>
      <c r="F48" s="143">
        <v>2</v>
      </c>
      <c r="G48" s="143">
        <v>2</v>
      </c>
      <c r="H48" s="143">
        <v>2</v>
      </c>
      <c r="I48" s="143">
        <v>2</v>
      </c>
      <c r="J48" s="143">
        <v>2</v>
      </c>
      <c r="K48" s="143">
        <v>2</v>
      </c>
      <c r="L48" s="143">
        <v>2</v>
      </c>
      <c r="M48" s="143"/>
      <c r="N48" s="143">
        <v>2</v>
      </c>
      <c r="O48" s="143"/>
      <c r="P48" s="143">
        <v>2</v>
      </c>
      <c r="Q48" s="143"/>
      <c r="R48" s="143"/>
      <c r="S48" s="143">
        <v>2</v>
      </c>
      <c r="T48" s="143"/>
      <c r="U48" s="143">
        <v>2</v>
      </c>
      <c r="V48" s="143"/>
    </row>
    <row r="49" spans="1:34" s="16" customFormat="1" ht="15" customHeight="1">
      <c r="A49" s="165">
        <f t="shared" si="4"/>
        <v>40</v>
      </c>
      <c r="C49" s="16" t="s">
        <v>46</v>
      </c>
      <c r="E49" s="17"/>
      <c r="F49" s="143">
        <v>547.67999999999995</v>
      </c>
      <c r="G49" s="143">
        <v>584.26</v>
      </c>
      <c r="H49" s="143">
        <v>635.78</v>
      </c>
      <c r="I49" s="143">
        <v>692.5</v>
      </c>
      <c r="J49" s="143">
        <v>703.84</v>
      </c>
      <c r="K49" s="143">
        <v>486.82</v>
      </c>
      <c r="L49" s="143">
        <v>420.06</v>
      </c>
      <c r="M49" s="66"/>
      <c r="N49" s="143">
        <v>484.98666666666662</v>
      </c>
      <c r="O49" s="66"/>
      <c r="P49" s="143">
        <v>450.85999999999996</v>
      </c>
      <c r="Q49" s="66"/>
      <c r="R49" s="143"/>
      <c r="S49" s="66">
        <v>427.26333333333332</v>
      </c>
      <c r="T49" s="143"/>
      <c r="U49" s="66">
        <v>427.26333333333332</v>
      </c>
      <c r="V49" s="143"/>
    </row>
    <row r="50" spans="1:34" s="16" customFormat="1" ht="15" customHeight="1">
      <c r="A50" s="165">
        <f t="shared" si="4"/>
        <v>41</v>
      </c>
      <c r="C50" s="16" t="s">
        <v>47</v>
      </c>
      <c r="E50" s="17"/>
      <c r="F50" s="152">
        <f t="shared" ref="F50" si="13">F49/F48</f>
        <v>273.83999999999997</v>
      </c>
      <c r="G50" s="152">
        <f t="shared" ref="G50:L50" si="14">G49/G48</f>
        <v>292.13</v>
      </c>
      <c r="H50" s="152">
        <f t="shared" si="14"/>
        <v>317.89</v>
      </c>
      <c r="I50" s="152">
        <f t="shared" si="14"/>
        <v>346.25</v>
      </c>
      <c r="J50" s="152">
        <f t="shared" si="14"/>
        <v>351.92</v>
      </c>
      <c r="K50" s="152">
        <f t="shared" si="14"/>
        <v>243.41</v>
      </c>
      <c r="L50" s="152">
        <f t="shared" si="14"/>
        <v>210.03</v>
      </c>
      <c r="M50" s="152"/>
      <c r="N50" s="152">
        <f>N49/N48</f>
        <v>242.49333333333331</v>
      </c>
      <c r="O50" s="152"/>
      <c r="P50" s="152">
        <f>P49/P48</f>
        <v>225.42999999999998</v>
      </c>
      <c r="Q50" s="152"/>
      <c r="R50" s="152"/>
      <c r="S50" s="152">
        <v>213.63166666666666</v>
      </c>
      <c r="T50" s="152"/>
      <c r="U50" s="152">
        <v>213.63166666666666</v>
      </c>
      <c r="V50" s="152"/>
    </row>
    <row r="51" spans="1:34" s="16" customFormat="1" ht="15" customHeight="1">
      <c r="A51" s="165">
        <f t="shared" si="4"/>
        <v>42</v>
      </c>
      <c r="C51" s="16" t="s">
        <v>48</v>
      </c>
      <c r="E51" s="17"/>
      <c r="F51" s="143">
        <v>45.446499999999993</v>
      </c>
      <c r="G51" s="143">
        <v>48.481930000000006</v>
      </c>
      <c r="H51" s="143">
        <v>52.75703</v>
      </c>
      <c r="I51" s="143">
        <v>57.463669999999986</v>
      </c>
      <c r="J51" s="143">
        <v>58.404650000000004</v>
      </c>
      <c r="K51" s="143">
        <v>40.39632000000001</v>
      </c>
      <c r="L51" s="143">
        <v>34.856610000000003</v>
      </c>
      <c r="M51" s="66"/>
      <c r="N51" s="66">
        <v>40.244186800000001</v>
      </c>
      <c r="O51" s="66"/>
      <c r="P51" s="66">
        <v>37.412362799999997</v>
      </c>
      <c r="Q51" s="66"/>
      <c r="R51" s="143"/>
      <c r="S51" s="66">
        <v>35.454311400000002</v>
      </c>
      <c r="T51" s="143"/>
      <c r="U51" s="66">
        <v>35.454311400000002</v>
      </c>
      <c r="V51" s="143"/>
    </row>
    <row r="52" spans="1:34" s="16" customFormat="1" ht="15" customHeight="1">
      <c r="A52" s="165">
        <f t="shared" si="4"/>
        <v>43</v>
      </c>
      <c r="C52" s="113" t="s">
        <v>49</v>
      </c>
      <c r="E52" s="17"/>
      <c r="F52" s="152">
        <f t="shared" ref="F52" si="15">F51/F49*100</f>
        <v>8.2980024832018682</v>
      </c>
      <c r="G52" s="152">
        <f t="shared" ref="G52:L52" si="16">G51/G49*100</f>
        <v>8.2980060247150256</v>
      </c>
      <c r="H52" s="152">
        <f t="shared" si="16"/>
        <v>8.2980008808078267</v>
      </c>
      <c r="I52" s="152">
        <f t="shared" si="16"/>
        <v>8.298002888086641</v>
      </c>
      <c r="J52" s="152">
        <f t="shared" si="16"/>
        <v>8.2980009661286651</v>
      </c>
      <c r="K52" s="152">
        <f t="shared" si="16"/>
        <v>8.2979992605069661</v>
      </c>
      <c r="L52" s="152">
        <f t="shared" si="16"/>
        <v>8.2980074275103561</v>
      </c>
      <c r="M52" s="152"/>
      <c r="N52" s="152">
        <f>N51/N49*100</f>
        <v>8.2979985978995998</v>
      </c>
      <c r="O52" s="152"/>
      <c r="P52" s="152">
        <f>P51/P49*100</f>
        <v>8.298</v>
      </c>
      <c r="Q52" s="152"/>
      <c r="R52" s="152"/>
      <c r="S52" s="152">
        <v>8.2980000000000018</v>
      </c>
      <c r="T52" s="152"/>
      <c r="U52" s="152">
        <v>8.2980000000000018</v>
      </c>
      <c r="V52" s="152"/>
    </row>
    <row r="53" spans="1:34" s="16" customFormat="1" ht="15.5">
      <c r="A53" s="165">
        <f t="shared" si="4"/>
        <v>44</v>
      </c>
      <c r="C53" s="18" t="s">
        <v>58</v>
      </c>
      <c r="D53" s="18"/>
      <c r="E53" s="6"/>
    </row>
    <row r="54" spans="1:34" s="16" customFormat="1" ht="15.5">
      <c r="A54" s="165">
        <f t="shared" si="4"/>
        <v>45</v>
      </c>
      <c r="C54" s="16" t="s">
        <v>55</v>
      </c>
      <c r="E54" s="17"/>
      <c r="F54" s="143">
        <f t="shared" ref="F54:L54" si="17">F11+F17+F42+F48</f>
        <v>17862.583333333336</v>
      </c>
      <c r="G54" s="143">
        <f t="shared" si="17"/>
        <v>18156.75</v>
      </c>
      <c r="H54" s="143">
        <f t="shared" si="17"/>
        <v>18531.75</v>
      </c>
      <c r="I54" s="143">
        <f t="shared" si="17"/>
        <v>18926.25</v>
      </c>
      <c r="J54" s="143">
        <f t="shared" si="17"/>
        <v>19340.25</v>
      </c>
      <c r="K54" s="143">
        <f t="shared" si="17"/>
        <v>19797.916666666668</v>
      </c>
      <c r="L54" s="143">
        <f t="shared" si="17"/>
        <v>20308.083333333332</v>
      </c>
      <c r="M54" s="143"/>
      <c r="N54" s="143">
        <f>N11+N17+N42+N48</f>
        <v>20806.78</v>
      </c>
      <c r="O54" s="143"/>
      <c r="P54" s="143">
        <f>P11+P17+P42+P48</f>
        <v>21248.05</v>
      </c>
      <c r="Q54" s="143"/>
      <c r="R54" s="143"/>
      <c r="S54" s="143">
        <v>17853.88</v>
      </c>
      <c r="T54" s="143"/>
      <c r="U54" s="143">
        <v>18082.29</v>
      </c>
      <c r="V54" s="143"/>
    </row>
    <row r="55" spans="1:34" s="16" customFormat="1" ht="15.5">
      <c r="A55" s="165">
        <f t="shared" si="4"/>
        <v>46</v>
      </c>
      <c r="C55" s="16" t="s">
        <v>46</v>
      </c>
      <c r="E55" s="17"/>
      <c r="F55" s="143">
        <f t="shared" ref="F55:L55" si="18">F12+F18+F29+F33+F43+F49</f>
        <v>318815.14411735645</v>
      </c>
      <c r="G55" s="143">
        <f t="shared" si="18"/>
        <v>344985.31315640593</v>
      </c>
      <c r="H55" s="143">
        <f t="shared" si="18"/>
        <v>341211.81227467698</v>
      </c>
      <c r="I55" s="143">
        <f t="shared" si="18"/>
        <v>340184.40659976518</v>
      </c>
      <c r="J55" s="143">
        <f t="shared" si="18"/>
        <v>354691.13184378395</v>
      </c>
      <c r="K55" s="143">
        <f t="shared" si="18"/>
        <v>363853.28872152045</v>
      </c>
      <c r="L55" s="143">
        <f t="shared" si="18"/>
        <v>365127.90717000002</v>
      </c>
      <c r="M55" s="143"/>
      <c r="N55" s="143">
        <f>N12+N18+N29+N33+N43+N49</f>
        <v>365551.90018089901</v>
      </c>
      <c r="O55" s="143"/>
      <c r="P55" s="143">
        <f>P12+P18+P29+P33+P43+P49</f>
        <v>378905.06829494372</v>
      </c>
      <c r="Q55" s="143"/>
      <c r="R55" s="143"/>
      <c r="S55" s="143">
        <v>319020.39379117324</v>
      </c>
      <c r="T55" s="143"/>
      <c r="U55" s="143">
        <v>332512.71271564672</v>
      </c>
      <c r="V55" s="143"/>
    </row>
    <row r="56" spans="1:34" s="16" customFormat="1" ht="15.5">
      <c r="A56" s="165">
        <f t="shared" si="4"/>
        <v>47</v>
      </c>
      <c r="C56" s="16" t="s">
        <v>48</v>
      </c>
      <c r="E56" s="17"/>
      <c r="F56" s="143">
        <f t="shared" ref="F56:L56" si="19">F14+F20+F30+F34+F45+F51</f>
        <v>48722.086848902472</v>
      </c>
      <c r="G56" s="143">
        <f t="shared" si="19"/>
        <v>52105.798748938854</v>
      </c>
      <c r="H56" s="143">
        <f t="shared" si="19"/>
        <v>52068.289003208876</v>
      </c>
      <c r="I56" s="143">
        <f t="shared" si="19"/>
        <v>52294.707739999983</v>
      </c>
      <c r="J56" s="143">
        <f t="shared" si="19"/>
        <v>54320.039270000008</v>
      </c>
      <c r="K56" s="143">
        <f t="shared" si="19"/>
        <v>55216.043857067794</v>
      </c>
      <c r="L56" s="143">
        <f t="shared" si="19"/>
        <v>56490.929997754196</v>
      </c>
      <c r="M56" s="143"/>
      <c r="N56" s="143">
        <f>N14+N20+N30+N34+N45+N51</f>
        <v>56012.691066368585</v>
      </c>
      <c r="O56" s="143"/>
      <c r="P56" s="143">
        <f>P14+P20+P30+P34+P45+P51</f>
        <v>57855.125893889533</v>
      </c>
      <c r="Q56" s="297"/>
      <c r="R56" s="143"/>
      <c r="S56" s="143">
        <v>48301.292942271866</v>
      </c>
      <c r="T56" s="143"/>
      <c r="U56" s="143">
        <v>50189.872568734536</v>
      </c>
      <c r="V56" s="143"/>
    </row>
    <row r="57" spans="1:34" s="16" customFormat="1" ht="15.5">
      <c r="A57" s="165">
        <f t="shared" si="4"/>
        <v>48</v>
      </c>
      <c r="C57" s="113" t="s">
        <v>49</v>
      </c>
      <c r="E57" s="17"/>
      <c r="F57" s="152">
        <f t="shared" ref="F57:L57" si="20">+F56/F55*100</f>
        <v>15.282237292644977</v>
      </c>
      <c r="G57" s="152">
        <f t="shared" si="20"/>
        <v>15.103773048250218</v>
      </c>
      <c r="H57" s="152">
        <f t="shared" si="20"/>
        <v>15.259814323571447</v>
      </c>
      <c r="I57" s="152">
        <f t="shared" si="20"/>
        <v>15.37245879747978</v>
      </c>
      <c r="J57" s="152">
        <f t="shared" si="20"/>
        <v>15.31474412332477</v>
      </c>
      <c r="K57" s="152">
        <f t="shared" si="20"/>
        <v>15.17535929140057</v>
      </c>
      <c r="L57" s="152">
        <f t="shared" si="20"/>
        <v>15.471545419685645</v>
      </c>
      <c r="M57" s="152"/>
      <c r="N57" s="152">
        <f>+N56/N55*100</f>
        <v>15.322773876609542</v>
      </c>
      <c r="O57" s="152"/>
      <c r="P57" s="152">
        <f>+P56/P55*100</f>
        <v>15.269029299142151</v>
      </c>
      <c r="Q57" s="152"/>
      <c r="R57" s="152"/>
      <c r="S57" s="152">
        <v>15.140503203657033</v>
      </c>
      <c r="T57" s="152"/>
      <c r="U57" s="152">
        <v>15.094121412330832</v>
      </c>
      <c r="V57" s="152"/>
      <c r="Y57" s="143"/>
    </row>
    <row r="58" spans="1:34" s="16" customFormat="1" ht="15.5">
      <c r="A58" s="165">
        <f t="shared" si="4"/>
        <v>49</v>
      </c>
      <c r="C58" s="16" t="s">
        <v>59</v>
      </c>
      <c r="F58" s="143">
        <f t="shared" ref="F58:L58" si="21">F56</f>
        <v>48722.086848902472</v>
      </c>
      <c r="G58" s="143">
        <f t="shared" si="21"/>
        <v>52105.798748938854</v>
      </c>
      <c r="H58" s="143">
        <f t="shared" si="21"/>
        <v>52068.289003208876</v>
      </c>
      <c r="I58" s="143">
        <f t="shared" si="21"/>
        <v>52294.707739999983</v>
      </c>
      <c r="J58" s="143">
        <f t="shared" si="21"/>
        <v>54320.039270000008</v>
      </c>
      <c r="K58" s="143">
        <f t="shared" si="21"/>
        <v>55216.043857067794</v>
      </c>
      <c r="L58" s="143">
        <f t="shared" si="21"/>
        <v>56490.929997754196</v>
      </c>
      <c r="M58" s="143"/>
      <c r="N58" s="143">
        <f>N56</f>
        <v>56012.691066368585</v>
      </c>
      <c r="O58" s="143"/>
      <c r="P58" s="143">
        <f>P56</f>
        <v>57855.125893889533</v>
      </c>
      <c r="Q58" s="143"/>
      <c r="R58" s="143"/>
      <c r="S58" s="143">
        <v>48301.292942271866</v>
      </c>
      <c r="T58" s="143"/>
      <c r="U58" s="143">
        <f>U56</f>
        <v>50189.872568734536</v>
      </c>
      <c r="V58" s="143"/>
    </row>
    <row r="59" spans="1:34" s="16" customFormat="1" ht="15" customHeight="1">
      <c r="A59" s="165">
        <f t="shared" si="4"/>
        <v>50</v>
      </c>
      <c r="C59" s="18" t="s">
        <v>60</v>
      </c>
      <c r="E59" s="17"/>
      <c r="F59" s="143">
        <v>3792.5034310975316</v>
      </c>
      <c r="G59" s="143">
        <v>5349.0168800000001</v>
      </c>
      <c r="H59" s="143">
        <v>5363.2055900000096</v>
      </c>
      <c r="I59" s="143">
        <v>5259.1350000000002</v>
      </c>
      <c r="J59" s="143">
        <v>5758.8932099999984</v>
      </c>
      <c r="K59" s="143">
        <v>6115.0244599999996</v>
      </c>
      <c r="L59" s="143">
        <v>6058.6694814050798</v>
      </c>
      <c r="M59" s="143"/>
      <c r="N59" s="143">
        <v>6190.5938766029176</v>
      </c>
      <c r="O59" s="143">
        <f>'S1.1'!O11-'S2.1'!N61-'S2.1'!O62</f>
        <v>-1211.1547732837344</v>
      </c>
      <c r="P59" s="143">
        <v>6297.3238148619184</v>
      </c>
      <c r="Q59" s="143">
        <f>'S1.1'!Q11-'S2.1'!P61-'S2.1'!Q62</f>
        <v>3943.1231019847505</v>
      </c>
      <c r="R59" s="143"/>
      <c r="S59" s="143">
        <f>4052+1059</f>
        <v>5111</v>
      </c>
      <c r="T59" s="143"/>
      <c r="U59" s="143">
        <f>4049+1972</f>
        <v>6021</v>
      </c>
      <c r="V59" s="143"/>
      <c r="Y59" s="143"/>
      <c r="Z59" s="143"/>
      <c r="AA59" s="143"/>
      <c r="AB59" s="143"/>
      <c r="AC59" s="143"/>
      <c r="AD59" s="143"/>
      <c r="AE59" s="143"/>
      <c r="AF59" s="143"/>
      <c r="AG59" s="143"/>
      <c r="AH59" s="143"/>
    </row>
    <row r="60" spans="1:34" s="16" customFormat="1" ht="15" customHeight="1">
      <c r="A60" s="165">
        <f t="shared" si="4"/>
        <v>51</v>
      </c>
      <c r="C60" s="16" t="s">
        <v>61</v>
      </c>
      <c r="E60" s="17" t="s">
        <v>62</v>
      </c>
      <c r="F60" s="143">
        <f>'S3.1'!G21</f>
        <v>5273.4772899999998</v>
      </c>
      <c r="G60" s="143">
        <f>'S3.1'!H21</f>
        <v>6486.7082600000031</v>
      </c>
      <c r="H60" s="143">
        <f>'S3.1'!I21</f>
        <v>8679.9022000000095</v>
      </c>
      <c r="I60" s="143">
        <f>'S3.1'!J21</f>
        <v>8920.1679700000004</v>
      </c>
      <c r="J60" s="143">
        <f>'S3.1'!K21</f>
        <v>17027.728179999998</v>
      </c>
      <c r="K60" s="143">
        <f>'S3.1'!L21</f>
        <v>19529.158469999998</v>
      </c>
      <c r="L60" s="143">
        <f>'S3.1'!M21</f>
        <v>21920.60728</v>
      </c>
      <c r="M60" s="61"/>
      <c r="N60" s="61"/>
      <c r="O60" s="61"/>
      <c r="P60" s="61"/>
      <c r="Q60" s="61"/>
      <c r="R60" s="143"/>
      <c r="V60" s="143"/>
    </row>
    <row r="61" spans="1:34" s="16" customFormat="1" ht="15" customHeight="1">
      <c r="A61" s="165">
        <f t="shared" si="4"/>
        <v>52</v>
      </c>
      <c r="C61" s="18" t="s">
        <v>63</v>
      </c>
      <c r="E61" s="17"/>
      <c r="F61" s="229">
        <f t="shared" ref="F61:L61" si="22">F58+F60+F59</f>
        <v>57788.067570000007</v>
      </c>
      <c r="G61" s="229">
        <f t="shared" si="22"/>
        <v>63941.523888938864</v>
      </c>
      <c r="H61" s="229">
        <f t="shared" si="22"/>
        <v>66111.3967932089</v>
      </c>
      <c r="I61" s="229">
        <f t="shared" si="22"/>
        <v>66474.010709999988</v>
      </c>
      <c r="J61" s="229">
        <f t="shared" si="22"/>
        <v>77106.660660000009</v>
      </c>
      <c r="K61" s="229">
        <f t="shared" si="22"/>
        <v>80860.22678706779</v>
      </c>
      <c r="L61" s="229">
        <f t="shared" si="22"/>
        <v>84470.206759159279</v>
      </c>
      <c r="M61" s="143"/>
      <c r="N61" s="229">
        <f>N58+N60+N59</f>
        <v>62203.284942971499</v>
      </c>
      <c r="O61" s="229">
        <f>N61+O59</f>
        <v>60992.130169687764</v>
      </c>
      <c r="P61" s="229">
        <f>P58+P60+P59</f>
        <v>64152.449708751454</v>
      </c>
      <c r="Q61" s="229">
        <f>P61+Q59</f>
        <v>68095.572810736208</v>
      </c>
      <c r="R61" s="143"/>
      <c r="S61" s="229">
        <f>SUM(S58:S59)</f>
        <v>53412.292942271866</v>
      </c>
      <c r="T61" s="143"/>
      <c r="U61" s="229">
        <f>SUM(U58:U59)</f>
        <v>56210.872568734536</v>
      </c>
      <c r="V61" s="143"/>
    </row>
    <row r="62" spans="1:34" s="16" customFormat="1" ht="15" customHeight="1">
      <c r="A62" s="165">
        <f t="shared" si="4"/>
        <v>53</v>
      </c>
      <c r="C62" s="16" t="s">
        <v>64</v>
      </c>
      <c r="E62" s="17" t="s">
        <v>65</v>
      </c>
      <c r="F62" s="143"/>
      <c r="G62" s="143"/>
      <c r="H62" s="143"/>
      <c r="I62" s="143"/>
      <c r="J62" s="143"/>
      <c r="K62" s="143"/>
      <c r="L62" s="143"/>
      <c r="M62" s="143"/>
      <c r="N62" s="143"/>
      <c r="O62" s="143">
        <v>3697.9150005108959</v>
      </c>
      <c r="P62" s="143"/>
      <c r="Q62" s="143">
        <v>3640.1934783519723</v>
      </c>
      <c r="R62" s="143"/>
      <c r="S62" s="143">
        <v>-1341.7172526752347</v>
      </c>
      <c r="T62" s="143"/>
      <c r="U62" s="143">
        <v>-1351.4633832789443</v>
      </c>
      <c r="V62" s="143"/>
    </row>
    <row r="63" spans="1:34" s="16" customFormat="1" ht="15.5">
      <c r="A63" s="165">
        <f>A62+1</f>
        <v>54</v>
      </c>
      <c r="C63" s="18"/>
      <c r="E63" s="17"/>
      <c r="F63" s="70"/>
      <c r="G63" s="70"/>
      <c r="H63" s="70"/>
      <c r="I63" s="70"/>
      <c r="J63" s="70"/>
      <c r="K63" s="70"/>
      <c r="L63" s="70"/>
      <c r="M63" s="143"/>
      <c r="N63" s="70"/>
      <c r="O63" s="70"/>
      <c r="P63" s="70"/>
      <c r="Q63" s="70"/>
      <c r="R63" s="143"/>
      <c r="S63" s="70"/>
      <c r="T63" s="143"/>
      <c r="U63" s="70"/>
      <c r="V63" s="143"/>
    </row>
    <row r="64" spans="1:34" s="16" customFormat="1" ht="15" customHeight="1">
      <c r="A64" s="165">
        <f t="shared" si="4"/>
        <v>55</v>
      </c>
      <c r="C64" s="18" t="s">
        <v>66</v>
      </c>
      <c r="E64" s="17"/>
      <c r="F64" s="143">
        <f>F62+F61</f>
        <v>57788.067570000007</v>
      </c>
      <c r="G64" s="143">
        <f t="shared" ref="G64:L64" si="23">G62+G61</f>
        <v>63941.523888938864</v>
      </c>
      <c r="H64" s="143">
        <f t="shared" si="23"/>
        <v>66111.3967932089</v>
      </c>
      <c r="I64" s="143">
        <f t="shared" si="23"/>
        <v>66474.010709999988</v>
      </c>
      <c r="J64" s="143">
        <f t="shared" si="23"/>
        <v>77106.660660000009</v>
      </c>
      <c r="K64" s="143">
        <f t="shared" si="23"/>
        <v>80860.22678706779</v>
      </c>
      <c r="L64" s="143">
        <f t="shared" si="23"/>
        <v>84470.206759159279</v>
      </c>
      <c r="M64" s="143"/>
      <c r="N64" s="143">
        <f>N62+N61</f>
        <v>62203.284942971499</v>
      </c>
      <c r="O64" s="143">
        <f>O62+O61</f>
        <v>64690.04517019866</v>
      </c>
      <c r="P64" s="143">
        <f>P62+P61</f>
        <v>64152.449708751454</v>
      </c>
      <c r="Q64" s="143">
        <f>Q62+Q61</f>
        <v>71735.766289088177</v>
      </c>
      <c r="R64" s="143"/>
      <c r="S64" s="143">
        <f>+S62+S61</f>
        <v>52070.575689596633</v>
      </c>
      <c r="T64" s="143"/>
      <c r="U64" s="143">
        <f>+U62+U61</f>
        <v>54859.409185455588</v>
      </c>
      <c r="V64" s="143"/>
      <c r="W64" s="143"/>
    </row>
    <row r="65" spans="1:23" s="1" customFormat="1" ht="16.5" customHeight="1">
      <c r="A65" s="165">
        <f t="shared" si="4"/>
        <v>56</v>
      </c>
      <c r="C65" s="238" t="s">
        <v>67</v>
      </c>
      <c r="D65" s="16"/>
      <c r="E65" s="17"/>
      <c r="F65" s="143"/>
      <c r="H65" s="143"/>
      <c r="J65" s="143"/>
      <c r="L65" s="143"/>
      <c r="M65" s="143"/>
      <c r="N65" s="143"/>
      <c r="O65" s="143"/>
      <c r="P65" s="143"/>
      <c r="Q65" s="143"/>
      <c r="R65" s="143"/>
      <c r="S65" s="143"/>
      <c r="T65" s="143"/>
      <c r="U65" s="239"/>
      <c r="V65" s="143"/>
      <c r="W65" s="175"/>
    </row>
    <row r="66" spans="1:23" s="1" customFormat="1" ht="15.5">
      <c r="A66" s="165">
        <f t="shared" si="4"/>
        <v>57</v>
      </c>
      <c r="C66" s="162" t="s">
        <v>68</v>
      </c>
      <c r="D66" s="16"/>
      <c r="E66" s="17" t="s">
        <v>69</v>
      </c>
      <c r="F66" s="143"/>
      <c r="H66" s="143"/>
      <c r="J66" s="143"/>
      <c r="K66" s="143"/>
      <c r="L66" s="143"/>
      <c r="M66" s="143"/>
      <c r="N66" s="143">
        <f>+N39</f>
        <v>55582.599479568584</v>
      </c>
      <c r="P66" s="143">
        <f>+P39</f>
        <v>57427.87590108953</v>
      </c>
      <c r="R66" s="143"/>
      <c r="S66" s="143">
        <f>+S39</f>
        <v>47747.243520871867</v>
      </c>
      <c r="T66" s="143"/>
      <c r="U66" s="143">
        <f>+U39</f>
        <v>49635.823147334537</v>
      </c>
      <c r="V66" s="143"/>
    </row>
    <row r="67" spans="1:23" s="1" customFormat="1" ht="15.5">
      <c r="A67" s="165">
        <f t="shared" si="4"/>
        <v>58</v>
      </c>
      <c r="C67" s="162" t="s">
        <v>70</v>
      </c>
      <c r="D67" s="16"/>
      <c r="E67" s="17"/>
      <c r="F67" s="143"/>
      <c r="H67" s="143"/>
      <c r="J67" s="143"/>
      <c r="L67" s="100"/>
      <c r="M67" s="100"/>
      <c r="N67" s="70">
        <v>19002.868913237649</v>
      </c>
      <c r="O67" s="343"/>
      <c r="P67" s="70">
        <v>18443.495362307076</v>
      </c>
      <c r="R67" s="143"/>
      <c r="S67" s="75">
        <v>8536.5955806094371</v>
      </c>
      <c r="T67" s="143"/>
      <c r="U67" s="75">
        <v>6597.87</v>
      </c>
      <c r="V67" s="143"/>
    </row>
    <row r="68" spans="1:23" s="1" customFormat="1" ht="15.5">
      <c r="A68" s="165">
        <f t="shared" si="4"/>
        <v>59</v>
      </c>
      <c r="C68" s="162" t="s">
        <v>71</v>
      </c>
      <c r="D68" s="16"/>
      <c r="E68" s="17" t="s">
        <v>72</v>
      </c>
      <c r="F68" s="143"/>
      <c r="H68" s="143"/>
      <c r="J68" s="143"/>
      <c r="K68" s="143"/>
      <c r="L68" s="143"/>
      <c r="M68" s="143"/>
      <c r="N68" s="143">
        <f>N66+N67</f>
        <v>74585.46839280623</v>
      </c>
      <c r="O68" s="340"/>
      <c r="P68" s="143">
        <f>P66+P67</f>
        <v>75871.371263396606</v>
      </c>
      <c r="R68" s="143"/>
      <c r="S68" s="143">
        <f>S66+S67</f>
        <v>56283.839101481302</v>
      </c>
      <c r="T68" s="143"/>
      <c r="U68" s="143">
        <f>U66+U67</f>
        <v>56233.693147334539</v>
      </c>
      <c r="V68" s="143"/>
    </row>
    <row r="69" spans="1:23" s="1" customFormat="1" ht="15.5">
      <c r="A69" s="165">
        <f t="shared" si="4"/>
        <v>60</v>
      </c>
      <c r="C69" s="162"/>
      <c r="D69" s="16"/>
      <c r="E69" s="17"/>
      <c r="F69" s="143"/>
      <c r="H69" s="143"/>
      <c r="J69" s="143"/>
      <c r="K69" s="143"/>
      <c r="L69" s="143"/>
      <c r="M69" s="143"/>
      <c r="N69" s="143"/>
      <c r="P69" s="143"/>
      <c r="R69" s="143"/>
      <c r="S69" s="143"/>
      <c r="T69" s="143"/>
      <c r="U69" s="143"/>
      <c r="V69" s="143"/>
    </row>
    <row r="70" spans="1:23" s="1" customFormat="1" ht="16" thickBot="1">
      <c r="A70" s="165">
        <f t="shared" si="4"/>
        <v>61</v>
      </c>
      <c r="C70" s="18" t="s">
        <v>73</v>
      </c>
      <c r="D70" s="16"/>
      <c r="E70" s="17" t="s">
        <v>74</v>
      </c>
      <c r="F70" s="16"/>
      <c r="H70" s="16"/>
      <c r="J70" s="16"/>
      <c r="K70" s="129"/>
      <c r="L70" s="16"/>
      <c r="M70" s="16"/>
      <c r="N70" s="129"/>
      <c r="O70" s="499">
        <f>O59/N68</f>
        <v>-1.6238481830068527E-2</v>
      </c>
      <c r="P70" s="129"/>
      <c r="Q70" s="499">
        <f>Q59/P68</f>
        <v>5.1971159033039269E-2</v>
      </c>
    </row>
    <row r="71" spans="1:23" ht="16" thickTop="1">
      <c r="A71" s="165">
        <f t="shared" si="4"/>
        <v>62</v>
      </c>
      <c r="B71" s="1"/>
      <c r="C71" s="162"/>
      <c r="D71" s="16"/>
      <c r="E71" s="17"/>
      <c r="F71" s="16"/>
      <c r="H71" s="16"/>
      <c r="J71" s="16"/>
      <c r="K71" s="16"/>
      <c r="L71" s="16"/>
      <c r="M71" s="16"/>
      <c r="N71" s="16"/>
      <c r="O71" s="437"/>
      <c r="P71" s="129"/>
      <c r="Q71" s="437"/>
      <c r="R71" s="16"/>
      <c r="S71" s="16"/>
      <c r="T71" s="16"/>
      <c r="U71" s="16"/>
      <c r="V71" s="16"/>
    </row>
    <row r="72" spans="1:23" ht="16" thickBot="1">
      <c r="A72" s="165">
        <f t="shared" si="4"/>
        <v>63</v>
      </c>
      <c r="C72" s="18" t="s">
        <v>75</v>
      </c>
      <c r="E72" s="17" t="s">
        <v>76</v>
      </c>
      <c r="F72" s="145"/>
      <c r="K72" s="143"/>
      <c r="N72" s="129"/>
      <c r="O72" s="499">
        <f>(O62+O59)/N68</f>
        <v>3.33410821278292E-2</v>
      </c>
      <c r="P72" s="129"/>
      <c r="Q72" s="499">
        <f>(Q62+Q59)/P68</f>
        <v>9.994964443189415E-2</v>
      </c>
    </row>
    <row r="73" spans="1:23" ht="16" thickTop="1">
      <c r="A73" s="165">
        <f t="shared" si="4"/>
        <v>64</v>
      </c>
      <c r="G73" s="297"/>
      <c r="H73" s="297"/>
      <c r="I73" s="297"/>
      <c r="J73" s="297"/>
      <c r="K73" s="297"/>
      <c r="L73" s="297"/>
      <c r="N73" s="297"/>
      <c r="P73" s="318"/>
    </row>
    <row r="74" spans="1:23" ht="15.5">
      <c r="A74" s="165">
        <f t="shared" si="4"/>
        <v>65</v>
      </c>
      <c r="C74" s="162" t="s">
        <v>77</v>
      </c>
    </row>
    <row r="75" spans="1:23" ht="15.5">
      <c r="A75" s="165">
        <f t="shared" si="4"/>
        <v>66</v>
      </c>
      <c r="C75" s="162" t="s">
        <v>78</v>
      </c>
    </row>
    <row r="78" spans="1:23">
      <c r="F78" s="323"/>
      <c r="G78" s="296"/>
      <c r="H78" s="296"/>
      <c r="I78" s="296"/>
      <c r="J78" s="296"/>
      <c r="K78" s="296"/>
      <c r="L78" s="296"/>
      <c r="N78" s="311"/>
    </row>
    <row r="79" spans="1:23">
      <c r="F79" s="323"/>
      <c r="G79" s="296"/>
      <c r="H79" s="296"/>
      <c r="I79" s="296"/>
      <c r="J79" s="296"/>
      <c r="K79" s="296"/>
      <c r="L79" s="296"/>
    </row>
    <row r="82" spans="7:16">
      <c r="G82" s="156"/>
      <c r="H82" s="381"/>
      <c r="I82" s="381"/>
      <c r="J82" s="381"/>
      <c r="K82" s="381"/>
      <c r="L82" s="381"/>
      <c r="M82" s="381"/>
    </row>
    <row r="84" spans="7:16">
      <c r="L84" s="155"/>
    </row>
    <row r="85" spans="7:16">
      <c r="L85" s="315"/>
    </row>
    <row r="86" spans="7:16">
      <c r="L86" s="315"/>
    </row>
    <row r="87" spans="7:16">
      <c r="L87" s="155"/>
    </row>
    <row r="88" spans="7:16">
      <c r="L88" s="311"/>
      <c r="P88" s="311"/>
    </row>
  </sheetData>
  <mergeCells count="4">
    <mergeCell ref="S7:U7"/>
    <mergeCell ref="N6:Q6"/>
    <mergeCell ref="F7:L7"/>
    <mergeCell ref="N7:O7"/>
  </mergeCells>
  <phoneticPr fontId="10" type="noConversion"/>
  <printOptions horizontalCentered="1"/>
  <pageMargins left="0.5" right="0.5" top="0.75" bottom="0.75" header="0.23" footer="0.28999999999999998"/>
  <pageSetup scale="44" orientation="landscape" useFirstPageNumber="1" horizontalDpi="1200" verticalDpi="1200" r:id="rId1"/>
  <headerFooter alignWithMargins="0">
    <oddHeader>&amp;R&amp;"Arial,Bold"Schedule 2.1
Page &amp;P of 1</oddHeader>
  </headerFooter>
  <ignoredErrors>
    <ignoredError sqref="O61:P61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V31"/>
  <sheetViews>
    <sheetView zoomScaleNormal="100" zoomScaleSheetLayoutView="100" workbookViewId="0">
      <selection activeCell="A5" sqref="A5"/>
    </sheetView>
  </sheetViews>
  <sheetFormatPr defaultColWidth="7.54296875" defaultRowHeight="14"/>
  <cols>
    <col min="1" max="1" width="6" style="71" bestFit="1" customWidth="1"/>
    <col min="2" max="2" width="2.1796875" style="71" customWidth="1"/>
    <col min="3" max="3" width="31.1796875" style="71" bestFit="1" customWidth="1"/>
    <col min="4" max="4" width="2.1796875" style="71" customWidth="1"/>
    <col min="5" max="5" width="18.54296875" style="71" bestFit="1" customWidth="1"/>
    <col min="6" max="6" width="2.1796875" style="71" customWidth="1"/>
    <col min="7" max="7" width="12" style="71" customWidth="1"/>
    <col min="8" max="8" width="8.54296875" style="71" customWidth="1"/>
    <col min="9" max="13" width="10.1796875" style="71" customWidth="1"/>
    <col min="14" max="14" width="2" style="71" customWidth="1"/>
    <col min="15" max="15" width="8.453125" style="71" customWidth="1"/>
    <col min="16" max="16" width="2.453125" style="71" customWidth="1"/>
    <col min="17" max="17" width="10" style="71" customWidth="1"/>
    <col min="18" max="18" width="2.1796875" style="71" customWidth="1"/>
    <col min="19" max="19" width="7.7265625" style="71" bestFit="1" customWidth="1"/>
    <col min="20" max="20" width="2.1796875" style="71" customWidth="1"/>
    <col min="21" max="21" width="7.7265625" style="71" bestFit="1" customWidth="1"/>
    <col min="22" max="22" width="2.1796875" style="71" customWidth="1"/>
    <col min="23" max="16384" width="7.54296875" style="71"/>
  </cols>
  <sheetData>
    <row r="1" spans="1:22">
      <c r="A1" s="181" t="s">
        <v>0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179"/>
    </row>
    <row r="2" spans="1:22">
      <c r="A2" s="181" t="str">
        <f>'S1.1'!A2</f>
        <v>2023 - 2024 General Rate Application (GRA)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179"/>
    </row>
    <row r="3" spans="1:22">
      <c r="A3" s="181"/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  <c r="U3" s="357"/>
      <c r="V3" s="179"/>
    </row>
    <row r="4" spans="1:22">
      <c r="A4" s="181" t="s">
        <v>4</v>
      </c>
      <c r="B4" s="357"/>
      <c r="C4" s="357"/>
      <c r="D4" s="357"/>
      <c r="E4" s="357"/>
      <c r="F4" s="357"/>
      <c r="G4" s="357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  <c r="T4" s="357"/>
      <c r="U4" s="357"/>
    </row>
    <row r="5" spans="1:22">
      <c r="A5" s="358" t="s">
        <v>6</v>
      </c>
      <c r="B5" s="357"/>
      <c r="C5" s="357"/>
      <c r="D5" s="357"/>
      <c r="E5" s="357"/>
      <c r="F5" s="357"/>
      <c r="G5" s="357"/>
      <c r="H5" s="357"/>
      <c r="I5" s="357"/>
      <c r="J5" s="357"/>
      <c r="K5" s="357"/>
      <c r="L5" s="357"/>
      <c r="M5" s="357"/>
      <c r="N5" s="357"/>
      <c r="O5" s="357"/>
      <c r="P5" s="357"/>
      <c r="Q5" s="357"/>
      <c r="R5" s="357"/>
      <c r="S5" s="357"/>
      <c r="T5" s="357"/>
      <c r="U5" s="357"/>
    </row>
    <row r="6" spans="1:22">
      <c r="A6" s="181"/>
      <c r="B6" s="357"/>
      <c r="C6" s="357"/>
      <c r="D6" s="357"/>
      <c r="E6" s="357"/>
      <c r="F6" s="357"/>
      <c r="G6" s="357"/>
      <c r="H6" s="357"/>
      <c r="I6" s="357"/>
      <c r="J6" s="357"/>
      <c r="K6" s="357"/>
      <c r="L6" s="357"/>
      <c r="M6" s="357"/>
      <c r="N6" s="357"/>
      <c r="O6" s="357"/>
      <c r="P6" s="357"/>
      <c r="Q6" s="357"/>
      <c r="R6" s="357"/>
      <c r="S6" s="357"/>
      <c r="T6" s="357"/>
      <c r="U6" s="357"/>
    </row>
    <row r="7" spans="1:22">
      <c r="A7" s="180" t="s">
        <v>7</v>
      </c>
      <c r="B7" s="180"/>
      <c r="C7" s="180"/>
      <c r="D7" s="180"/>
      <c r="E7" s="180" t="s">
        <v>8</v>
      </c>
      <c r="F7" s="180"/>
      <c r="G7" s="522" t="s">
        <v>9</v>
      </c>
      <c r="H7" s="522"/>
      <c r="I7" s="522"/>
      <c r="J7" s="522"/>
      <c r="K7" s="522"/>
      <c r="L7" s="522"/>
      <c r="M7" s="522"/>
      <c r="N7" s="180"/>
      <c r="O7" s="523" t="s">
        <v>10</v>
      </c>
      <c r="P7" s="523"/>
      <c r="Q7" s="523"/>
      <c r="R7" s="183"/>
      <c r="S7" s="522" t="s">
        <v>11</v>
      </c>
      <c r="T7" s="522"/>
      <c r="U7" s="522"/>
    </row>
    <row r="8" spans="1:22">
      <c r="A8" s="184" t="s">
        <v>12</v>
      </c>
      <c r="B8" s="180"/>
      <c r="C8" s="184" t="s">
        <v>13</v>
      </c>
      <c r="D8" s="180"/>
      <c r="E8" s="184" t="s">
        <v>14</v>
      </c>
      <c r="F8" s="180"/>
      <c r="G8" s="184">
        <v>2016</v>
      </c>
      <c r="H8" s="184">
        <v>2017</v>
      </c>
      <c r="I8" s="184">
        <v>2018</v>
      </c>
      <c r="J8" s="184">
        <v>2019</v>
      </c>
      <c r="K8" s="184">
        <v>2020</v>
      </c>
      <c r="L8" s="184">
        <v>2021</v>
      </c>
      <c r="M8" s="184">
        <v>2022</v>
      </c>
      <c r="N8" s="180"/>
      <c r="O8" s="359">
        <v>2023</v>
      </c>
      <c r="P8" s="359"/>
      <c r="Q8" s="359">
        <v>2024</v>
      </c>
      <c r="R8" s="180"/>
      <c r="S8" s="184">
        <v>2016</v>
      </c>
      <c r="T8" s="180"/>
      <c r="U8" s="184">
        <v>2017</v>
      </c>
    </row>
    <row r="10" spans="1:22">
      <c r="A10" s="182">
        <v>1</v>
      </c>
      <c r="C10" s="71" t="s">
        <v>79</v>
      </c>
      <c r="G10" s="185">
        <v>184.36602999999999</v>
      </c>
      <c r="H10" s="185">
        <v>177.52360000000002</v>
      </c>
      <c r="I10" s="185">
        <v>227.55021000000002</v>
      </c>
      <c r="J10" s="185">
        <v>217.70430999999999</v>
      </c>
      <c r="K10" s="185">
        <v>169.48492000000002</v>
      </c>
      <c r="L10" s="185">
        <v>207.23583000000002</v>
      </c>
      <c r="M10" s="185">
        <v>203.76832999999999</v>
      </c>
      <c r="N10" s="185"/>
      <c r="O10" s="185">
        <v>200.54453333333336</v>
      </c>
      <c r="P10" s="185"/>
      <c r="Q10" s="185">
        <v>204.38135555555556</v>
      </c>
      <c r="S10" s="185">
        <v>200.23244751999999</v>
      </c>
      <c r="U10" s="185">
        <v>204.63756136544001</v>
      </c>
    </row>
    <row r="11" spans="1:22">
      <c r="A11" s="182">
        <f>A10+1</f>
        <v>2</v>
      </c>
      <c r="C11" s="71" t="s">
        <v>80</v>
      </c>
      <c r="G11" s="185">
        <v>804.36221999999964</v>
      </c>
      <c r="H11" s="185">
        <v>857.90436999999963</v>
      </c>
      <c r="I11" s="185">
        <v>989.0458799999999</v>
      </c>
      <c r="J11" s="185">
        <v>952.28139999999985</v>
      </c>
      <c r="K11" s="185">
        <v>1041.3384399999998</v>
      </c>
      <c r="L11" s="185">
        <v>1126.0048300000001</v>
      </c>
      <c r="M11" s="185">
        <v>1127.1868699999998</v>
      </c>
      <c r="N11" s="185"/>
      <c r="O11" s="185">
        <v>1228.0643325000001</v>
      </c>
      <c r="P11" s="185"/>
      <c r="Q11" s="185">
        <v>1274.7307771350002</v>
      </c>
      <c r="S11" s="185">
        <v>780.76571985999999</v>
      </c>
      <c r="U11" s="185">
        <v>797.94256569692004</v>
      </c>
    </row>
    <row r="12" spans="1:22">
      <c r="A12" s="182">
        <f t="shared" ref="A12:A21" si="0">A11+1</f>
        <v>3</v>
      </c>
      <c r="C12" s="71" t="s">
        <v>81</v>
      </c>
      <c r="G12" s="185">
        <v>79.599429999999998</v>
      </c>
      <c r="H12" s="185">
        <v>53.112909999999999</v>
      </c>
      <c r="I12" s="185">
        <v>49.244769999999995</v>
      </c>
      <c r="J12" s="185">
        <v>85.351979999999998</v>
      </c>
      <c r="K12" s="185">
        <v>119.50329000000001</v>
      </c>
      <c r="L12" s="185">
        <v>171.14683000000002</v>
      </c>
      <c r="M12" s="185">
        <v>19.724150000000002</v>
      </c>
      <c r="N12" s="185"/>
      <c r="O12" s="185">
        <v>20</v>
      </c>
      <c r="P12" s="185"/>
      <c r="Q12" s="185">
        <v>20</v>
      </c>
      <c r="S12" s="185">
        <v>69.625865540000007</v>
      </c>
      <c r="U12" s="185">
        <v>71.157634581880004</v>
      </c>
    </row>
    <row r="13" spans="1:22">
      <c r="A13" s="182">
        <f t="shared" si="0"/>
        <v>4</v>
      </c>
      <c r="C13" s="71" t="s">
        <v>82</v>
      </c>
      <c r="E13" s="71" t="s">
        <v>65</v>
      </c>
      <c r="G13" s="218">
        <v>0</v>
      </c>
      <c r="H13" s="218">
        <v>0</v>
      </c>
      <c r="I13" s="218">
        <v>0</v>
      </c>
      <c r="J13" s="218">
        <v>0</v>
      </c>
      <c r="K13" s="218">
        <v>0</v>
      </c>
      <c r="L13" s="185">
        <v>458.52601999999996</v>
      </c>
      <c r="M13" s="185">
        <v>52.624379999999995</v>
      </c>
      <c r="N13" s="185"/>
      <c r="O13" s="218">
        <v>0</v>
      </c>
      <c r="P13" s="218"/>
      <c r="Q13" s="218">
        <v>0</v>
      </c>
      <c r="S13" s="218">
        <v>0</v>
      </c>
      <c r="T13" s="218"/>
      <c r="U13" s="218">
        <v>0</v>
      </c>
    </row>
    <row r="14" spans="1:22">
      <c r="A14" s="182">
        <f t="shared" si="0"/>
        <v>5</v>
      </c>
      <c r="C14" s="71" t="s">
        <v>83</v>
      </c>
      <c r="G14" s="218">
        <v>0</v>
      </c>
      <c r="H14" s="218">
        <v>0</v>
      </c>
      <c r="I14" s="218">
        <v>0</v>
      </c>
      <c r="J14" s="218">
        <v>0</v>
      </c>
      <c r="K14" s="218">
        <v>0</v>
      </c>
      <c r="L14" s="218">
        <v>0</v>
      </c>
      <c r="M14" s="185">
        <v>831.91</v>
      </c>
      <c r="N14" s="185"/>
      <c r="O14" s="185">
        <v>334.33082162177459</v>
      </c>
      <c r="P14" s="185"/>
      <c r="Q14" s="185">
        <v>296.85452478426612</v>
      </c>
      <c r="S14" s="218">
        <v>0</v>
      </c>
      <c r="T14" s="218"/>
      <c r="U14" s="218">
        <v>0</v>
      </c>
    </row>
    <row r="15" spans="1:22">
      <c r="A15" s="182">
        <f t="shared" si="0"/>
        <v>6</v>
      </c>
      <c r="C15" s="71" t="s">
        <v>84</v>
      </c>
      <c r="E15" s="71" t="s">
        <v>76</v>
      </c>
      <c r="G15" s="360">
        <v>169.67198000000027</v>
      </c>
      <c r="H15" s="360">
        <v>215.52671000000024</v>
      </c>
      <c r="I15" s="360">
        <v>138.53235000000001</v>
      </c>
      <c r="J15" s="360">
        <v>206.66258999999999</v>
      </c>
      <c r="K15" s="360">
        <f>209.31126+0.5</f>
        <v>209.81126</v>
      </c>
      <c r="L15" s="360">
        <v>269.04403000000002</v>
      </c>
      <c r="M15" s="360">
        <v>293.48436000000004</v>
      </c>
      <c r="N15" s="185"/>
      <c r="O15" s="360">
        <v>320.29024000000004</v>
      </c>
      <c r="Q15" s="360">
        <v>390.03439524000004</v>
      </c>
      <c r="S15" s="360">
        <v>248.73870349999999</v>
      </c>
      <c r="U15" s="360">
        <v>254.210954977</v>
      </c>
    </row>
    <row r="16" spans="1:22">
      <c r="A16" s="182">
        <f t="shared" si="0"/>
        <v>7</v>
      </c>
    </row>
    <row r="17" spans="1:21" ht="14.5" thickBot="1">
      <c r="A17" s="182">
        <f t="shared" si="0"/>
        <v>8</v>
      </c>
      <c r="C17" s="71" t="s">
        <v>85</v>
      </c>
      <c r="E17" s="182"/>
      <c r="F17" s="182"/>
      <c r="G17" s="361">
        <f>SUM(G10:G15)</f>
        <v>1237.9996599999999</v>
      </c>
      <c r="H17" s="361">
        <f>SUM(H10:H15)</f>
        <v>1304.0675900000001</v>
      </c>
      <c r="I17" s="361">
        <f>SUM(I10:I15)</f>
        <v>1404.37321</v>
      </c>
      <c r="J17" s="361">
        <f>SUM(J10:J16)</f>
        <v>1462.0002799999997</v>
      </c>
      <c r="K17" s="361">
        <f>SUM(K10:K16)</f>
        <v>1540.1379099999999</v>
      </c>
      <c r="L17" s="361">
        <f>SUM(L10:L16)</f>
        <v>2231.9575400000003</v>
      </c>
      <c r="M17" s="361">
        <f>SUM(M10:M16)</f>
        <v>2528.6980899999999</v>
      </c>
      <c r="N17" s="185"/>
      <c r="O17" s="361">
        <f>SUM(O10:O16)</f>
        <v>2103.2299274551078</v>
      </c>
      <c r="P17" s="185"/>
      <c r="Q17" s="361">
        <f>SUM(Q10:Q16)</f>
        <v>2186.0010527148215</v>
      </c>
      <c r="S17" s="361">
        <f>SUM(S10:S16)</f>
        <v>1299.3627364199999</v>
      </c>
      <c r="U17" s="361">
        <f>SUM(U10:U16)</f>
        <v>1327.94871662124</v>
      </c>
    </row>
    <row r="18" spans="1:21" ht="14.5" thickTop="1">
      <c r="A18" s="182">
        <f t="shared" si="0"/>
        <v>9</v>
      </c>
    </row>
    <row r="19" spans="1:21" ht="27" customHeight="1">
      <c r="A19" s="182">
        <f t="shared" si="0"/>
        <v>10</v>
      </c>
      <c r="C19" s="524" t="s">
        <v>86</v>
      </c>
      <c r="D19" s="524"/>
      <c r="E19" s="524"/>
      <c r="F19" s="524"/>
      <c r="G19" s="524"/>
      <c r="H19" s="524"/>
      <c r="I19" s="524"/>
      <c r="J19" s="524"/>
      <c r="K19" s="524"/>
      <c r="L19" s="524"/>
      <c r="M19" s="524"/>
      <c r="N19" s="524"/>
      <c r="O19" s="524"/>
      <c r="P19" s="524"/>
      <c r="Q19" s="524"/>
      <c r="R19" s="524"/>
      <c r="S19" s="524"/>
      <c r="T19" s="524"/>
    </row>
    <row r="20" spans="1:21">
      <c r="A20" s="182">
        <f t="shared" si="0"/>
        <v>11</v>
      </c>
    </row>
    <row r="21" spans="1:21">
      <c r="A21" s="182">
        <f t="shared" si="0"/>
        <v>12</v>
      </c>
      <c r="C21" s="525" t="s">
        <v>87</v>
      </c>
      <c r="D21" s="525"/>
      <c r="E21" s="525"/>
      <c r="F21" s="525"/>
      <c r="G21" s="525"/>
      <c r="H21" s="525"/>
      <c r="I21" s="525"/>
      <c r="J21" s="525"/>
      <c r="K21" s="525"/>
      <c r="L21" s="525"/>
      <c r="M21" s="525"/>
      <c r="N21" s="525"/>
      <c r="O21" s="525"/>
      <c r="P21" s="525"/>
      <c r="Q21" s="525"/>
      <c r="R21" s="525"/>
      <c r="S21" s="525"/>
      <c r="T21" s="525"/>
    </row>
    <row r="22" spans="1:21">
      <c r="E22"/>
      <c r="F22"/>
      <c r="G22"/>
      <c r="H22"/>
      <c r="I22"/>
      <c r="J22"/>
      <c r="K22"/>
      <c r="L22"/>
      <c r="M22"/>
      <c r="N22"/>
      <c r="O22"/>
    </row>
    <row r="23" spans="1:21">
      <c r="E23"/>
      <c r="F23"/>
      <c r="G23"/>
      <c r="H23"/>
      <c r="I23"/>
      <c r="J23"/>
      <c r="K23"/>
      <c r="L23"/>
      <c r="M23"/>
      <c r="N23"/>
      <c r="O23"/>
    </row>
    <row r="24" spans="1:21">
      <c r="E24"/>
      <c r="F24"/>
      <c r="G24"/>
      <c r="H24"/>
      <c r="I24"/>
      <c r="J24"/>
      <c r="K24"/>
      <c r="L24"/>
      <c r="M24"/>
      <c r="N24"/>
      <c r="O24"/>
      <c r="Q24" s="185"/>
    </row>
    <row r="25" spans="1:21">
      <c r="E25"/>
      <c r="F25"/>
      <c r="G25"/>
      <c r="H25"/>
      <c r="I25"/>
      <c r="J25"/>
      <c r="K25"/>
      <c r="L25"/>
      <c r="M25"/>
      <c r="N25"/>
      <c r="O25"/>
    </row>
    <row r="26" spans="1:21">
      <c r="E26"/>
      <c r="F26"/>
      <c r="G26"/>
      <c r="H26"/>
      <c r="I26"/>
      <c r="J26"/>
      <c r="K26"/>
      <c r="L26"/>
      <c r="M26"/>
      <c r="N26"/>
      <c r="O26"/>
    </row>
    <row r="27" spans="1:21">
      <c r="E27"/>
      <c r="F27"/>
      <c r="G27"/>
      <c r="H27"/>
      <c r="I27"/>
      <c r="J27"/>
      <c r="K27"/>
      <c r="L27"/>
      <c r="M27"/>
      <c r="N27"/>
      <c r="O27"/>
    </row>
    <row r="28" spans="1:21">
      <c r="E28"/>
      <c r="F28"/>
      <c r="G28"/>
      <c r="H28"/>
      <c r="I28"/>
      <c r="J28"/>
      <c r="K28"/>
      <c r="L28"/>
      <c r="M28"/>
      <c r="N28"/>
      <c r="O28"/>
    </row>
    <row r="29" spans="1:21">
      <c r="E29"/>
      <c r="F29"/>
      <c r="G29"/>
      <c r="H29"/>
      <c r="I29"/>
      <c r="J29"/>
      <c r="K29"/>
      <c r="L29"/>
      <c r="M29"/>
      <c r="N29"/>
      <c r="O29"/>
    </row>
    <row r="31" spans="1:21">
      <c r="L31" s="185"/>
      <c r="M31" s="185"/>
    </row>
  </sheetData>
  <mergeCells count="5">
    <mergeCell ref="S7:U7"/>
    <mergeCell ref="O7:Q7"/>
    <mergeCell ref="G7:M7"/>
    <mergeCell ref="C19:T19"/>
    <mergeCell ref="C21:T21"/>
  </mergeCells>
  <phoneticPr fontId="10" type="noConversion"/>
  <printOptions horizontalCentered="1"/>
  <pageMargins left="0.5" right="0.5" top="0.75" bottom="0.75" header="0.5" footer="0.5"/>
  <pageSetup scale="74" orientation="landscape" useFirstPageNumber="1" r:id="rId1"/>
  <headerFooter alignWithMargins="0">
    <oddHeader>&amp;R&amp;"Arial,Bold"Schedule 2.2
Page &amp;P of 1</oddHeader>
  </headerFooter>
  <ignoredErrors>
    <ignoredError sqref="A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Y46"/>
  <sheetViews>
    <sheetView zoomScale="80" zoomScaleNormal="80" zoomScaleSheetLayoutView="100" workbookViewId="0">
      <selection activeCell="C35" sqref="C35"/>
    </sheetView>
  </sheetViews>
  <sheetFormatPr defaultColWidth="7.54296875" defaultRowHeight="15.5"/>
  <cols>
    <col min="1" max="1" width="9.453125" style="16" customWidth="1"/>
    <col min="2" max="2" width="2.1796875" style="16" customWidth="1"/>
    <col min="3" max="3" width="54.1796875" style="16" bestFit="1" customWidth="1"/>
    <col min="4" max="4" width="1.7265625" style="16" customWidth="1"/>
    <col min="5" max="5" width="14.1796875" style="17" customWidth="1"/>
    <col min="6" max="6" width="1.54296875" style="17" customWidth="1"/>
    <col min="7" max="7" width="14.1796875" style="17" customWidth="1"/>
    <col min="8" max="13" width="14.1796875" style="16" customWidth="1"/>
    <col min="14" max="14" width="3.453125" style="16" customWidth="1"/>
    <col min="15" max="15" width="13.26953125" style="16" bestFit="1" customWidth="1"/>
    <col min="16" max="16" width="2" style="16" customWidth="1"/>
    <col min="17" max="17" width="11.7265625" style="16" customWidth="1"/>
    <col min="18" max="18" width="2.81640625" style="16" customWidth="1"/>
    <col min="19" max="19" width="14" style="16" customWidth="1"/>
    <col min="20" max="20" width="2.453125" style="16" customWidth="1"/>
    <col min="21" max="21" width="14.1796875" style="16" customWidth="1"/>
    <col min="22" max="22" width="9.453125" style="16" customWidth="1"/>
    <col min="23" max="24" width="7.54296875" style="16"/>
    <col min="25" max="25" width="14.26953125" style="16" bestFit="1" customWidth="1"/>
    <col min="26" max="16384" width="7.54296875" style="16"/>
  </cols>
  <sheetData>
    <row r="1" spans="1:22">
      <c r="A1" s="14" t="s">
        <v>88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31"/>
    </row>
    <row r="2" spans="1:22">
      <c r="A2" s="14" t="str">
        <f>'S1.1'!A2</f>
        <v>2023 - 2024 General Rate Application (GRA)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31"/>
    </row>
    <row r="3" spans="1:22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31"/>
    </row>
    <row r="4" spans="1:22">
      <c r="A4" s="520" t="s">
        <v>89</v>
      </c>
      <c r="B4" s="520"/>
      <c r="C4" s="520"/>
      <c r="D4" s="520"/>
      <c r="E4" s="520"/>
      <c r="F4" s="520"/>
      <c r="G4" s="520"/>
      <c r="H4" s="520"/>
      <c r="I4" s="520"/>
      <c r="J4" s="520"/>
      <c r="K4" s="520"/>
      <c r="L4" s="520"/>
      <c r="M4" s="520"/>
      <c r="N4" s="520"/>
      <c r="O4" s="520"/>
      <c r="P4" s="520"/>
      <c r="Q4" s="520"/>
      <c r="R4" s="520"/>
      <c r="S4" s="520"/>
      <c r="T4" s="520"/>
      <c r="U4" s="520"/>
      <c r="V4" s="15"/>
    </row>
    <row r="5" spans="1:22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286"/>
      <c r="M5" s="15"/>
      <c r="N5" s="15"/>
      <c r="O5" s="15"/>
      <c r="P5" s="15"/>
      <c r="Q5" s="15"/>
      <c r="R5" s="15"/>
      <c r="S5" s="15"/>
      <c r="T5" s="15"/>
      <c r="U5" s="15"/>
      <c r="V5" s="15"/>
    </row>
    <row r="6" spans="1:22">
      <c r="A6" s="6" t="s">
        <v>7</v>
      </c>
      <c r="B6" s="6"/>
      <c r="C6" s="6"/>
      <c r="D6" s="6"/>
      <c r="E6" s="6" t="s">
        <v>8</v>
      </c>
      <c r="F6" s="6"/>
      <c r="G6" s="521" t="s">
        <v>90</v>
      </c>
      <c r="H6" s="521"/>
      <c r="I6" s="521"/>
      <c r="J6" s="521"/>
      <c r="K6" s="521"/>
      <c r="L6" s="521"/>
      <c r="M6" s="521"/>
      <c r="N6" s="132"/>
      <c r="O6" s="519" t="s">
        <v>10</v>
      </c>
      <c r="P6" s="519"/>
      <c r="Q6" s="519"/>
      <c r="R6" s="18"/>
      <c r="S6" s="519" t="s">
        <v>11</v>
      </c>
      <c r="T6" s="519"/>
      <c r="U6" s="519"/>
      <c r="V6" s="6"/>
    </row>
    <row r="7" spans="1:22">
      <c r="A7" s="7" t="s">
        <v>12</v>
      </c>
      <c r="B7" s="6"/>
      <c r="C7" s="7" t="s">
        <v>13</v>
      </c>
      <c r="D7" s="6"/>
      <c r="E7" s="7" t="s">
        <v>14</v>
      </c>
      <c r="F7" s="6"/>
      <c r="G7" s="7">
        <v>2016</v>
      </c>
      <c r="H7" s="7">
        <v>2017</v>
      </c>
      <c r="I7" s="7">
        <v>2018</v>
      </c>
      <c r="J7" s="7">
        <v>2019</v>
      </c>
      <c r="K7" s="7">
        <v>2020</v>
      </c>
      <c r="L7" s="7">
        <v>2021</v>
      </c>
      <c r="M7" s="7">
        <v>2022</v>
      </c>
      <c r="N7" s="18"/>
      <c r="O7" s="240">
        <v>2023</v>
      </c>
      <c r="P7" s="240"/>
      <c r="Q7" s="240">
        <v>2024</v>
      </c>
      <c r="R7" s="18"/>
      <c r="S7" s="7">
        <v>2016</v>
      </c>
      <c r="T7" s="6"/>
      <c r="U7" s="7">
        <v>2017</v>
      </c>
      <c r="V7" s="6"/>
    </row>
    <row r="8" spans="1:22">
      <c r="H8" s="17"/>
      <c r="I8" s="17"/>
      <c r="J8" s="17"/>
      <c r="K8" s="17"/>
      <c r="L8" s="17"/>
      <c r="M8" s="17"/>
      <c r="U8" s="6"/>
    </row>
    <row r="9" spans="1:22">
      <c r="A9" s="17">
        <v>1</v>
      </c>
      <c r="C9" s="87" t="s">
        <v>91</v>
      </c>
      <c r="K9" s="61"/>
    </row>
    <row r="10" spans="1:22">
      <c r="A10" s="17">
        <f>A9+1</f>
        <v>2</v>
      </c>
      <c r="C10" s="28" t="s">
        <v>92</v>
      </c>
      <c r="G10" s="257">
        <v>302582.90000000002</v>
      </c>
      <c r="H10" s="257">
        <v>326206.38312999997</v>
      </c>
      <c r="I10" s="257">
        <v>333310.51500000001</v>
      </c>
      <c r="J10" s="257">
        <v>331490.53499999997</v>
      </c>
      <c r="K10" s="257">
        <v>347277.25099999999</v>
      </c>
      <c r="L10" s="257">
        <v>348983.05</v>
      </c>
      <c r="M10" s="257">
        <v>347017.92879999999</v>
      </c>
      <c r="N10" s="62"/>
      <c r="O10" s="62">
        <f>'S3.2'!O19-O11</f>
        <v>349662.35471817391</v>
      </c>
      <c r="P10" s="62"/>
      <c r="Q10" s="62">
        <f>'S3.2'!Q19-Q11</f>
        <v>362568.58097987412</v>
      </c>
      <c r="R10" s="62"/>
      <c r="S10" s="62">
        <f>+'S3.2'!S19-S11</f>
        <v>300363.07788009231</v>
      </c>
      <c r="T10" s="62"/>
      <c r="U10" s="62">
        <f>+'S3.2'!U19-U11</f>
        <v>314233.91583844845</v>
      </c>
      <c r="V10" s="62"/>
    </row>
    <row r="11" spans="1:22">
      <c r="A11" s="17">
        <f>A10+1</f>
        <v>3</v>
      </c>
      <c r="C11" s="28" t="s">
        <v>56</v>
      </c>
      <c r="E11" s="17" t="s">
        <v>93</v>
      </c>
      <c r="G11" s="305">
        <f>'S2.1'!F43</f>
        <v>4835.1000000000004</v>
      </c>
      <c r="H11" s="305">
        <f>'S2.1'!G43</f>
        <v>8385.0300000000007</v>
      </c>
      <c r="I11" s="305">
        <f>'S2.1'!H43</f>
        <v>257.95499999999998</v>
      </c>
      <c r="J11" s="305">
        <f>'S2.1'!I43</f>
        <v>0.55500000000000005</v>
      </c>
      <c r="K11" s="305">
        <f>'S2.1'!J43</f>
        <v>479.13</v>
      </c>
      <c r="L11" s="305">
        <f>'S2.1'!K43</f>
        <v>4430.0249999999996</v>
      </c>
      <c r="M11" s="305">
        <f>'S2.1'!L43</f>
        <v>3439.2</v>
      </c>
      <c r="N11" s="62"/>
      <c r="O11" s="76">
        <f>'S2.1'!N43</f>
        <v>2931.1849999999999</v>
      </c>
      <c r="P11" s="62"/>
      <c r="Q11" s="76">
        <f>'S2.1'!P43</f>
        <v>2931.11</v>
      </c>
      <c r="R11" s="62"/>
      <c r="S11" s="76">
        <f>+'S2.1'!S43</f>
        <v>9429.0020000000004</v>
      </c>
      <c r="T11" s="62"/>
      <c r="U11" s="76">
        <f>+'S2.1'!U43</f>
        <v>9429.0020000000004</v>
      </c>
    </row>
    <row r="12" spans="1:22">
      <c r="A12" s="17">
        <f>A11+1</f>
        <v>4</v>
      </c>
      <c r="C12" s="28"/>
      <c r="G12" s="134">
        <f t="shared" ref="G12:H12" si="0">SUM(G10:G11)</f>
        <v>307418</v>
      </c>
      <c r="H12" s="134">
        <f t="shared" si="0"/>
        <v>334591.41313</v>
      </c>
      <c r="I12" s="134">
        <f>SUM(I10:I11)</f>
        <v>333568.47000000003</v>
      </c>
      <c r="J12" s="134">
        <f>SUM(J10:J11)</f>
        <v>331491.08999999997</v>
      </c>
      <c r="K12" s="134">
        <f>SUM(K10:K11)</f>
        <v>347756.38099999999</v>
      </c>
      <c r="L12" s="134">
        <f>SUM(L10:L11)</f>
        <v>353413.07500000001</v>
      </c>
      <c r="M12" s="134">
        <f>SUM(M10:M11)</f>
        <v>350457.12880000001</v>
      </c>
      <c r="N12" s="134"/>
      <c r="O12" s="134">
        <f>SUM(O10:O11)</f>
        <v>352593.53971817391</v>
      </c>
      <c r="P12" s="134"/>
      <c r="Q12" s="134">
        <f>SUM(Q10:Q11)</f>
        <v>365499.69097987411</v>
      </c>
      <c r="R12" s="134"/>
      <c r="S12" s="134">
        <f>SUM(S10:S11)</f>
        <v>309792.07988009229</v>
      </c>
      <c r="T12" s="134"/>
      <c r="U12" s="134">
        <f>SUM(U10:U11)</f>
        <v>323662.91783844843</v>
      </c>
    </row>
    <row r="13" spans="1:22">
      <c r="A13" s="17">
        <f t="shared" ref="A13:A15" si="1">A12+1</f>
        <v>5</v>
      </c>
      <c r="C13" s="28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</row>
    <row r="14" spans="1:22">
      <c r="A14" s="17">
        <f t="shared" si="1"/>
        <v>6</v>
      </c>
      <c r="C14" s="87" t="s">
        <v>94</v>
      </c>
    </row>
    <row r="15" spans="1:22">
      <c r="A15" s="17">
        <f t="shared" si="1"/>
        <v>7</v>
      </c>
      <c r="C15" s="28" t="s">
        <v>95</v>
      </c>
      <c r="G15" s="258">
        <v>8.298000039199907E-2</v>
      </c>
      <c r="H15" s="258">
        <v>8.298000039199907E-2</v>
      </c>
      <c r="I15" s="258">
        <v>8.2979999999999998E-2</v>
      </c>
      <c r="J15" s="258">
        <v>8.2979999999999998E-2</v>
      </c>
      <c r="K15" s="258">
        <v>8.2979999999999998E-2</v>
      </c>
      <c r="L15" s="258">
        <v>8.2979999999999998E-2</v>
      </c>
      <c r="M15" s="258">
        <v>8.2979999999999998E-2</v>
      </c>
      <c r="N15" s="48"/>
      <c r="O15" s="307">
        <f>M15</f>
        <v>8.2979999999999998E-2</v>
      </c>
      <c r="P15" s="48"/>
      <c r="Q15" s="307">
        <f>O15</f>
        <v>8.2979999999999998E-2</v>
      </c>
      <c r="R15" s="48"/>
      <c r="S15" s="48">
        <f>+Q15</f>
        <v>8.2979999999999998E-2</v>
      </c>
      <c r="T15" s="48"/>
      <c r="U15" s="48">
        <f>+Q15</f>
        <v>8.2979999999999998E-2</v>
      </c>
      <c r="V15" s="46"/>
    </row>
    <row r="16" spans="1:22">
      <c r="A16" s="17">
        <f t="shared" ref="A16:A33" si="2">A15+1</f>
        <v>8</v>
      </c>
      <c r="C16" s="28" t="s">
        <v>96</v>
      </c>
      <c r="G16" s="258">
        <v>5.0309778494757096E-2</v>
      </c>
      <c r="H16" s="258">
        <v>5.4878480846623945E-2</v>
      </c>
      <c r="I16" s="258">
        <v>6.2288651248900997E-2</v>
      </c>
      <c r="J16" s="258">
        <v>7.400000000000001E-2</v>
      </c>
      <c r="K16" s="258">
        <v>1.6800148692363442E-2</v>
      </c>
      <c r="L16" s="258">
        <v>7.4538476038472093E-2</v>
      </c>
      <c r="M16" s="258">
        <v>8.0393469411491059E-2</v>
      </c>
      <c r="N16" s="124"/>
      <c r="O16" s="307">
        <f>12.2/100</f>
        <v>0.122</v>
      </c>
      <c r="P16" s="124"/>
      <c r="Q16" s="307">
        <f>O16</f>
        <v>0.122</v>
      </c>
      <c r="R16" s="124"/>
      <c r="S16" s="124">
        <v>4.3999999999999997E-2</v>
      </c>
      <c r="T16" s="124"/>
      <c r="U16" s="124">
        <v>4.3999999999999997E-2</v>
      </c>
      <c r="V16" s="20"/>
    </row>
    <row r="17" spans="1:25">
      <c r="A17" s="17">
        <f t="shared" si="2"/>
        <v>9</v>
      </c>
      <c r="C17" s="28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20"/>
    </row>
    <row r="18" spans="1:25">
      <c r="A18" s="17">
        <f t="shared" si="2"/>
        <v>10</v>
      </c>
      <c r="C18" s="87" t="s">
        <v>97</v>
      </c>
      <c r="L18" s="149"/>
    </row>
    <row r="19" spans="1:25">
      <c r="A19" s="17">
        <f t="shared" si="2"/>
        <v>11</v>
      </c>
      <c r="C19" s="28" t="s">
        <v>98</v>
      </c>
      <c r="E19" s="17" t="s">
        <v>99</v>
      </c>
      <c r="G19" s="60">
        <f>+G15*G10</f>
        <v>25108.329160612218</v>
      </c>
      <c r="H19" s="60">
        <f t="shared" ref="H19:M19" si="3">+H15*H10</f>
        <v>27068.605799999998</v>
      </c>
      <c r="I19" s="60">
        <f t="shared" si="3"/>
        <v>27658.1065347</v>
      </c>
      <c r="J19" s="60">
        <f t="shared" si="3"/>
        <v>27507.084594299999</v>
      </c>
      <c r="K19" s="60">
        <f t="shared" si="3"/>
        <v>28817.06628798</v>
      </c>
      <c r="L19" s="60">
        <f t="shared" si="3"/>
        <v>28958.613488999999</v>
      </c>
      <c r="M19" s="60">
        <f t="shared" si="3"/>
        <v>28795.547731823997</v>
      </c>
      <c r="N19" s="38"/>
      <c r="O19" s="38">
        <f>+O15*O10</f>
        <v>29014.982194514072</v>
      </c>
      <c r="P19" s="38"/>
      <c r="Q19" s="38">
        <f>+Q15*Q10</f>
        <v>30085.940849709954</v>
      </c>
      <c r="R19" s="38"/>
      <c r="S19" s="38">
        <f>+S15*S10</f>
        <v>24924.128202490061</v>
      </c>
      <c r="T19" s="38"/>
      <c r="U19" s="38">
        <f>+U15*U10</f>
        <v>26075.130336274451</v>
      </c>
    </row>
    <row r="20" spans="1:25">
      <c r="A20" s="17">
        <f t="shared" si="2"/>
        <v>12</v>
      </c>
      <c r="C20" s="28" t="s">
        <v>100</v>
      </c>
      <c r="E20" s="17" t="s">
        <v>101</v>
      </c>
      <c r="G20" s="257">
        <f>G11*G16</f>
        <v>243.25281000000004</v>
      </c>
      <c r="H20" s="257">
        <f t="shared" ref="H20:M20" si="4">H11*H16</f>
        <v>460.15770825336722</v>
      </c>
      <c r="I20" s="257">
        <f t="shared" si="4"/>
        <v>16.067669032910256</v>
      </c>
      <c r="J20" s="257">
        <f t="shared" si="4"/>
        <v>4.1070000000000009E-2</v>
      </c>
      <c r="K20" s="257">
        <f t="shared" si="4"/>
        <v>8.0494552429720958</v>
      </c>
      <c r="L20" s="257">
        <f t="shared" si="4"/>
        <v>330.20731231233231</v>
      </c>
      <c r="M20" s="257">
        <f t="shared" si="4"/>
        <v>276.48922000000005</v>
      </c>
      <c r="N20" s="38"/>
      <c r="O20" s="38">
        <f>+O16*O11</f>
        <v>357.60456999999997</v>
      </c>
      <c r="P20" s="38"/>
      <c r="Q20" s="38">
        <f>+Q16*Q11</f>
        <v>357.59541999999999</v>
      </c>
      <c r="R20" s="38"/>
      <c r="S20" s="38">
        <f>+S11*S16</f>
        <v>414.87608799999998</v>
      </c>
      <c r="T20" s="38"/>
      <c r="U20" s="38">
        <f>U11*U16</f>
        <v>414.87608799999998</v>
      </c>
      <c r="Y20" s="134"/>
    </row>
    <row r="21" spans="1:25">
      <c r="A21" s="17">
        <f t="shared" si="2"/>
        <v>13</v>
      </c>
      <c r="C21" s="28" t="s">
        <v>102</v>
      </c>
      <c r="G21" s="257">
        <v>5273.4772899999998</v>
      </c>
      <c r="H21" s="257">
        <v>6486.7082600000031</v>
      </c>
      <c r="I21" s="339">
        <v>8679.9022000000095</v>
      </c>
      <c r="J21" s="257">
        <v>8920.1679700000004</v>
      </c>
      <c r="K21" s="257">
        <v>17027.728179999998</v>
      </c>
      <c r="L21" s="257">
        <v>19529.158469999998</v>
      </c>
      <c r="M21" s="257">
        <v>21920.60728</v>
      </c>
      <c r="N21" s="38"/>
      <c r="O21" s="38">
        <f>'S2.1'!N60</f>
        <v>0</v>
      </c>
      <c r="P21" s="38"/>
      <c r="Q21" s="38">
        <f>'S2.1'!Q60</f>
        <v>0</v>
      </c>
      <c r="R21" s="38"/>
      <c r="S21" s="38">
        <v>0</v>
      </c>
      <c r="T21" s="38"/>
      <c r="U21" s="38">
        <v>0</v>
      </c>
    </row>
    <row r="22" spans="1:25">
      <c r="A22" s="17">
        <f t="shared" si="2"/>
        <v>14</v>
      </c>
      <c r="C22" s="28" t="s">
        <v>103</v>
      </c>
      <c r="G22" s="395">
        <v>-216.44013061222142</v>
      </c>
      <c r="H22" s="395">
        <v>-4.5218800000000048</v>
      </c>
      <c r="I22" s="395">
        <v>0</v>
      </c>
      <c r="J22" s="395">
        <v>-87.94</v>
      </c>
      <c r="K22" s="395">
        <v>0</v>
      </c>
      <c r="L22" s="395">
        <v>0</v>
      </c>
      <c r="M22" s="395"/>
      <c r="N22" s="38"/>
      <c r="O22" s="42">
        <v>-49.275024999999999</v>
      </c>
      <c r="P22" s="38"/>
      <c r="Q22" s="42">
        <v>0</v>
      </c>
      <c r="R22" s="38"/>
      <c r="S22" s="42">
        <v>-110.488106</v>
      </c>
      <c r="T22" s="38"/>
      <c r="U22" s="42">
        <v>-86.295681000000016</v>
      </c>
      <c r="Y22" s="134"/>
    </row>
    <row r="23" spans="1:25" ht="16" thickBot="1">
      <c r="A23" s="17">
        <f t="shared" si="2"/>
        <v>15</v>
      </c>
      <c r="C23" s="28" t="s">
        <v>104</v>
      </c>
      <c r="G23" s="123">
        <f t="shared" ref="G23:L23" si="5">SUM(G19:G22)</f>
        <v>30408.619129999999</v>
      </c>
      <c r="H23" s="123">
        <f t="shared" si="5"/>
        <v>34010.949888253366</v>
      </c>
      <c r="I23" s="123">
        <f t="shared" si="5"/>
        <v>36354.076403732921</v>
      </c>
      <c r="J23" s="123">
        <f t="shared" si="5"/>
        <v>36339.353634299994</v>
      </c>
      <c r="K23" s="123">
        <f t="shared" si="5"/>
        <v>45852.843923222972</v>
      </c>
      <c r="L23" s="123">
        <f t="shared" si="5"/>
        <v>48817.979271312332</v>
      </c>
      <c r="M23" s="123">
        <f>SUM(M19:M21)</f>
        <v>50992.644231824001</v>
      </c>
      <c r="N23" s="38"/>
      <c r="O23" s="123">
        <f>SUM(O19:O22)</f>
        <v>29323.311739514073</v>
      </c>
      <c r="P23" s="38"/>
      <c r="Q23" s="123">
        <f>SUM(Q19:Q22)</f>
        <v>30443.536269709955</v>
      </c>
      <c r="R23" s="38"/>
      <c r="S23" s="123">
        <f>SUM(S19:S22)</f>
        <v>25228.516184490061</v>
      </c>
      <c r="T23" s="38"/>
      <c r="U23" s="123">
        <f>SUM(U19:U22)</f>
        <v>26403.710743274452</v>
      </c>
    </row>
    <row r="24" spans="1:25">
      <c r="A24" s="17">
        <f t="shared" si="2"/>
        <v>16</v>
      </c>
      <c r="C24" s="2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</row>
    <row r="25" spans="1:25">
      <c r="A25" s="17">
        <f t="shared" si="2"/>
        <v>17</v>
      </c>
      <c r="C25" s="87" t="s">
        <v>91</v>
      </c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</row>
    <row r="26" spans="1:25">
      <c r="A26" s="17">
        <f t="shared" si="2"/>
        <v>18</v>
      </c>
      <c r="C26" s="28" t="s">
        <v>105</v>
      </c>
      <c r="E26" s="17" t="s">
        <v>106</v>
      </c>
      <c r="G26" s="134"/>
      <c r="H26" s="134"/>
      <c r="I26" s="134"/>
      <c r="J26" s="134"/>
      <c r="K26" s="134"/>
      <c r="L26" s="134">
        <f>'S3.2'!L20</f>
        <v>211.59999000000002</v>
      </c>
      <c r="M26" s="134">
        <f>'S3.2'!M20</f>
        <v>475.11978449215331</v>
      </c>
      <c r="N26" s="134"/>
      <c r="O26" s="134">
        <f>'S3.2'!O20</f>
        <v>587.44100000000003</v>
      </c>
      <c r="P26" s="134"/>
      <c r="Q26" s="134">
        <f>'S3.2'!Q20</f>
        <v>648.81600000000003</v>
      </c>
      <c r="R26" s="134"/>
      <c r="S26" s="134"/>
      <c r="T26" s="134"/>
      <c r="U26" s="134"/>
    </row>
    <row r="27" spans="1:25">
      <c r="A27" s="17">
        <f t="shared" si="2"/>
        <v>19</v>
      </c>
      <c r="C27" s="28"/>
      <c r="G27" s="38"/>
      <c r="H27" s="38"/>
      <c r="I27" s="38"/>
      <c r="J27" s="38"/>
      <c r="K27" s="38"/>
      <c r="L27" s="19"/>
      <c r="M27" s="38"/>
      <c r="N27" s="38"/>
      <c r="O27" s="38"/>
      <c r="P27" s="38"/>
      <c r="Q27" s="38"/>
      <c r="R27" s="38"/>
      <c r="S27" s="38"/>
      <c r="T27" s="38"/>
      <c r="U27" s="38"/>
    </row>
    <row r="28" spans="1:25">
      <c r="A28" s="17">
        <f t="shared" si="2"/>
        <v>20</v>
      </c>
      <c r="C28" s="28" t="s">
        <v>107</v>
      </c>
      <c r="G28" s="38"/>
      <c r="H28" s="38"/>
      <c r="I28" s="38"/>
      <c r="J28" s="38"/>
      <c r="K28" s="38"/>
      <c r="L28" s="283">
        <v>0.67721265053732616</v>
      </c>
      <c r="M28" s="283">
        <v>0.74</v>
      </c>
      <c r="N28" s="38"/>
      <c r="O28" s="189">
        <v>0.76812000000000002</v>
      </c>
      <c r="P28" s="38"/>
      <c r="Q28" s="283">
        <v>0.79730856000000006</v>
      </c>
      <c r="R28" s="38"/>
      <c r="S28" s="38"/>
      <c r="T28" s="38"/>
      <c r="U28" s="38"/>
    </row>
    <row r="29" spans="1:25">
      <c r="A29" s="17">
        <f t="shared" si="2"/>
        <v>21</v>
      </c>
      <c r="C29" s="28"/>
      <c r="G29" s="38"/>
      <c r="H29" s="38"/>
      <c r="I29" s="38"/>
      <c r="J29" s="38"/>
      <c r="K29" s="38"/>
      <c r="L29" s="42"/>
      <c r="M29" s="42"/>
      <c r="N29" s="38"/>
      <c r="O29" s="42"/>
      <c r="P29" s="38"/>
      <c r="Q29" s="42"/>
      <c r="R29" s="38"/>
      <c r="S29" s="38"/>
      <c r="T29" s="38"/>
      <c r="U29" s="38"/>
    </row>
    <row r="30" spans="1:25">
      <c r="A30" s="17">
        <f t="shared" si="2"/>
        <v>22</v>
      </c>
      <c r="C30" s="28" t="s">
        <v>108</v>
      </c>
      <c r="E30" s="17" t="s">
        <v>109</v>
      </c>
      <c r="L30" s="60">
        <f>L26*L28</f>
        <v>143.29819008157173</v>
      </c>
      <c r="M30" s="60">
        <f>M26*M28</f>
        <v>351.58864052419347</v>
      </c>
      <c r="N30" s="60"/>
      <c r="O30" s="60">
        <f>O26*O28</f>
        <v>451.22518092000001</v>
      </c>
      <c r="P30" s="62"/>
      <c r="Q30" s="60">
        <f>Q26*Q28</f>
        <v>517.30655066496001</v>
      </c>
      <c r="R30" s="60"/>
      <c r="S30" s="38"/>
      <c r="T30" s="38"/>
      <c r="U30" s="38"/>
    </row>
    <row r="31" spans="1:25">
      <c r="A31" s="17">
        <f t="shared" si="2"/>
        <v>23</v>
      </c>
      <c r="C31" s="28" t="s">
        <v>110</v>
      </c>
      <c r="L31" s="395">
        <v>0</v>
      </c>
      <c r="M31" s="314">
        <v>74.787871518473096</v>
      </c>
      <c r="O31" s="395">
        <v>3.5</v>
      </c>
      <c r="P31" s="38"/>
      <c r="Q31" s="395">
        <v>0</v>
      </c>
      <c r="R31" s="38"/>
      <c r="S31" s="38"/>
      <c r="T31" s="38"/>
      <c r="U31" s="38"/>
    </row>
    <row r="32" spans="1:25" ht="16" thickBot="1">
      <c r="A32" s="17">
        <f t="shared" si="2"/>
        <v>24</v>
      </c>
      <c r="C32" s="16" t="s">
        <v>111</v>
      </c>
      <c r="E32" s="16"/>
      <c r="F32" s="16"/>
      <c r="G32" s="16"/>
      <c r="L32" s="394">
        <f>SUM(L30:L31)</f>
        <v>143.29819008157173</v>
      </c>
      <c r="M32" s="394">
        <f>SUM(M30:M31)</f>
        <v>426.37651204266655</v>
      </c>
      <c r="N32" s="19"/>
      <c r="O32" s="394">
        <f>SUM(O30:O31)</f>
        <v>454.72518092000001</v>
      </c>
      <c r="P32" s="19"/>
      <c r="Q32" s="394">
        <f>SUM(Q30:Q31)</f>
        <v>517.30655066496001</v>
      </c>
    </row>
    <row r="33" spans="1:17">
      <c r="A33" s="17">
        <f t="shared" si="2"/>
        <v>25</v>
      </c>
      <c r="C33" s="18" t="s">
        <v>112</v>
      </c>
      <c r="G33" s="43">
        <f t="shared" ref="G33:L33" si="6">G23+G32</f>
        <v>30408.619129999999</v>
      </c>
      <c r="H33" s="43">
        <f t="shared" si="6"/>
        <v>34010.949888253366</v>
      </c>
      <c r="I33" s="43">
        <f t="shared" si="6"/>
        <v>36354.076403732921</v>
      </c>
      <c r="J33" s="43">
        <f t="shared" si="6"/>
        <v>36339.353634299994</v>
      </c>
      <c r="K33" s="43">
        <f t="shared" si="6"/>
        <v>45852.843923222972</v>
      </c>
      <c r="L33" s="43">
        <f t="shared" si="6"/>
        <v>48961.277461393904</v>
      </c>
      <c r="M33" s="43">
        <f>M23+M32</f>
        <v>51419.020743866669</v>
      </c>
      <c r="O33" s="43">
        <f>O23+O32</f>
        <v>29778.036920434071</v>
      </c>
      <c r="Q33" s="43">
        <f>Q23+Q32</f>
        <v>30960.842820374914</v>
      </c>
    </row>
    <row r="34" spans="1:17">
      <c r="G34" s="300"/>
      <c r="H34" s="300"/>
      <c r="I34" s="300"/>
      <c r="J34" s="300"/>
      <c r="K34" s="300"/>
      <c r="L34" s="300"/>
      <c r="M34" s="300"/>
      <c r="O34" s="300"/>
      <c r="Q34" s="300"/>
    </row>
    <row r="35" spans="1:17">
      <c r="C35"/>
      <c r="D35"/>
      <c r="E35"/>
      <c r="F35"/>
      <c r="G35"/>
      <c r="H35"/>
      <c r="I35"/>
      <c r="J35"/>
      <c r="K35"/>
      <c r="L35"/>
      <c r="M35"/>
      <c r="N35"/>
      <c r="O35"/>
      <c r="Q35" s="300"/>
    </row>
    <row r="36" spans="1:17">
      <c r="C36"/>
      <c r="D36"/>
      <c r="E36"/>
      <c r="F36"/>
      <c r="G36"/>
      <c r="H36"/>
      <c r="I36"/>
      <c r="J36"/>
      <c r="K36"/>
      <c r="L36"/>
      <c r="M36"/>
      <c r="N36"/>
      <c r="O36"/>
    </row>
    <row r="37" spans="1:17"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1:17">
      <c r="C38"/>
      <c r="D38"/>
      <c r="E38"/>
      <c r="F38"/>
      <c r="G38"/>
      <c r="H38"/>
      <c r="I38"/>
      <c r="J38"/>
      <c r="K38"/>
      <c r="L38"/>
      <c r="M38"/>
      <c r="N38"/>
      <c r="O38"/>
    </row>
    <row r="39" spans="1:17">
      <c r="C39"/>
      <c r="D39"/>
      <c r="E39"/>
      <c r="F39"/>
      <c r="G39"/>
      <c r="H39"/>
      <c r="I39"/>
      <c r="J39"/>
      <c r="K39"/>
      <c r="L39"/>
      <c r="M39"/>
      <c r="N39"/>
      <c r="O39"/>
    </row>
    <row r="40" spans="1:17">
      <c r="C40"/>
      <c r="D40"/>
      <c r="E40"/>
      <c r="F40"/>
      <c r="G40"/>
      <c r="H40"/>
      <c r="I40"/>
      <c r="J40"/>
      <c r="K40"/>
      <c r="L40"/>
      <c r="M40"/>
      <c r="N40"/>
      <c r="O40"/>
    </row>
    <row r="41" spans="1:17">
      <c r="C41"/>
      <c r="D41"/>
      <c r="E41"/>
      <c r="F41"/>
      <c r="G41"/>
      <c r="H41"/>
      <c r="I41"/>
      <c r="J41"/>
      <c r="K41"/>
      <c r="L41"/>
      <c r="M41"/>
      <c r="N41"/>
      <c r="O41"/>
    </row>
    <row r="42" spans="1:17">
      <c r="C42"/>
      <c r="D42"/>
      <c r="E42"/>
      <c r="F42"/>
      <c r="G42"/>
      <c r="H42"/>
      <c r="I42"/>
      <c r="J42"/>
      <c r="K42"/>
      <c r="L42"/>
      <c r="M42"/>
      <c r="N42"/>
      <c r="O42"/>
    </row>
    <row r="43" spans="1:17">
      <c r="C43"/>
      <c r="D43"/>
      <c r="E43"/>
      <c r="F43"/>
      <c r="G43"/>
      <c r="H43"/>
      <c r="I43"/>
      <c r="J43"/>
      <c r="K43"/>
      <c r="L43"/>
      <c r="M43"/>
      <c r="N43"/>
      <c r="O43"/>
    </row>
    <row r="46" spans="1:17">
      <c r="G46" s="38"/>
      <c r="H46" s="38"/>
      <c r="I46" s="38"/>
      <c r="J46" s="38"/>
      <c r="K46" s="38"/>
      <c r="L46" s="38"/>
      <c r="M46" s="38"/>
      <c r="O46" s="38"/>
      <c r="Q46" s="38"/>
    </row>
  </sheetData>
  <mergeCells count="4">
    <mergeCell ref="S6:U6"/>
    <mergeCell ref="O6:Q6"/>
    <mergeCell ref="G6:M6"/>
    <mergeCell ref="A4:U4"/>
  </mergeCells>
  <phoneticPr fontId="10" type="noConversion"/>
  <printOptions horizontalCentered="1"/>
  <pageMargins left="0.5" right="0.5" top="0.75" bottom="0.75" header="0.5" footer="0.5"/>
  <pageSetup scale="53" orientation="landscape" useFirstPageNumber="1" r:id="rId1"/>
  <headerFooter alignWithMargins="0">
    <oddHeader>&amp;R&amp;"Arial,Bold"Schedule 3.1
Page &amp;P of 1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pageSetUpPr fitToPage="1"/>
  </sheetPr>
  <dimension ref="A1:AC39"/>
  <sheetViews>
    <sheetView zoomScale="80" zoomScaleNormal="80" zoomScaleSheetLayoutView="100" workbookViewId="0">
      <selection activeCell="AA26" sqref="AA26"/>
    </sheetView>
  </sheetViews>
  <sheetFormatPr defaultColWidth="7.54296875" defaultRowHeight="15.5"/>
  <cols>
    <col min="1" max="1" width="6" style="16" bestFit="1" customWidth="1"/>
    <col min="2" max="2" width="2.1796875" style="16" customWidth="1"/>
    <col min="3" max="3" width="46" style="16" customWidth="1"/>
    <col min="4" max="4" width="2.1796875" style="16" customWidth="1"/>
    <col min="5" max="5" width="17.1796875" style="17" bestFit="1" customWidth="1"/>
    <col min="6" max="6" width="2.1796875" style="17" customWidth="1"/>
    <col min="7" max="7" width="15" style="17" customWidth="1"/>
    <col min="8" max="8" width="11.54296875" style="16" bestFit="1" customWidth="1"/>
    <col min="9" max="13" width="12.7265625" style="16" customWidth="1"/>
    <col min="14" max="14" width="2" style="16" customWidth="1"/>
    <col min="15" max="15" width="16.1796875" style="16" customWidth="1"/>
    <col min="16" max="16" width="2.453125" style="16" customWidth="1"/>
    <col min="17" max="17" width="14.1796875" style="16" bestFit="1" customWidth="1"/>
    <col min="18" max="18" width="2.1796875" style="16" customWidth="1"/>
    <col min="19" max="19" width="12.7265625" style="16" customWidth="1"/>
    <col min="20" max="20" width="2.1796875" style="16" customWidth="1"/>
    <col min="21" max="21" width="12.7265625" style="16" customWidth="1"/>
    <col min="22" max="22" width="2.1796875" style="16" customWidth="1"/>
    <col min="23" max="16384" width="7.54296875" style="16"/>
  </cols>
  <sheetData>
    <row r="1" spans="1:29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31"/>
    </row>
    <row r="2" spans="1:29">
      <c r="A2" s="14" t="str">
        <f>'S1.1'!A2</f>
        <v>2023 - 2024 General Rate Application (GRA)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31"/>
    </row>
    <row r="3" spans="1:29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31"/>
    </row>
    <row r="4" spans="1:29">
      <c r="A4" s="14" t="s">
        <v>113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</row>
    <row r="5" spans="1:29">
      <c r="A5" s="14" t="s">
        <v>114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9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1:29">
      <c r="A7" s="6" t="s">
        <v>7</v>
      </c>
      <c r="B7" s="6"/>
      <c r="C7" s="6"/>
      <c r="D7" s="6"/>
      <c r="E7" s="6" t="s">
        <v>8</v>
      </c>
      <c r="F7" s="6"/>
      <c r="G7" s="519" t="s">
        <v>9</v>
      </c>
      <c r="H7" s="519"/>
      <c r="I7" s="519"/>
      <c r="J7" s="519"/>
      <c r="K7" s="519"/>
      <c r="L7" s="519"/>
      <c r="M7" s="519"/>
      <c r="N7" s="18"/>
      <c r="O7" s="519" t="s">
        <v>10</v>
      </c>
      <c r="P7" s="519"/>
      <c r="Q7" s="519"/>
      <c r="R7" s="18"/>
      <c r="S7" s="519" t="s">
        <v>11</v>
      </c>
      <c r="T7" s="519"/>
      <c r="U7" s="519"/>
    </row>
    <row r="8" spans="1:29">
      <c r="A8" s="7" t="s">
        <v>12</v>
      </c>
      <c r="B8" s="6"/>
      <c r="C8" s="7" t="s">
        <v>13</v>
      </c>
      <c r="D8" s="6"/>
      <c r="E8" s="7" t="s">
        <v>14</v>
      </c>
      <c r="F8" s="6"/>
      <c r="G8" s="7">
        <v>2016</v>
      </c>
      <c r="H8" s="7">
        <v>2017</v>
      </c>
      <c r="I8" s="7">
        <v>2018</v>
      </c>
      <c r="J8" s="7">
        <v>2019</v>
      </c>
      <c r="K8" s="7">
        <v>2020</v>
      </c>
      <c r="L8" s="7">
        <v>2021</v>
      </c>
      <c r="M8" s="7">
        <v>2022</v>
      </c>
      <c r="N8" s="6"/>
      <c r="O8" s="240">
        <v>2023</v>
      </c>
      <c r="P8" s="240"/>
      <c r="Q8" s="240">
        <v>2024</v>
      </c>
      <c r="R8" s="6"/>
      <c r="S8" s="7">
        <v>2016</v>
      </c>
      <c r="T8" s="6"/>
      <c r="U8" s="240">
        <v>2017</v>
      </c>
    </row>
    <row r="10" spans="1:29">
      <c r="A10" s="17">
        <v>1</v>
      </c>
      <c r="C10" s="18" t="s">
        <v>115</v>
      </c>
    </row>
    <row r="11" spans="1:29">
      <c r="A11" s="17">
        <v>2</v>
      </c>
      <c r="C11" s="28" t="s">
        <v>116</v>
      </c>
      <c r="E11" s="17" t="s">
        <v>117</v>
      </c>
      <c r="G11" s="61">
        <f>+'S2.1'!F55</f>
        <v>318815.14411735645</v>
      </c>
      <c r="H11" s="61">
        <f>+'S2.1'!G55</f>
        <v>344985.31315640593</v>
      </c>
      <c r="I11" s="61">
        <f>+'S2.1'!H55</f>
        <v>341211.81227467698</v>
      </c>
      <c r="J11" s="61">
        <f>+'S2.1'!I55</f>
        <v>340184.40659976518</v>
      </c>
      <c r="K11" s="61">
        <f>+'S2.1'!J55</f>
        <v>354691.13184378395</v>
      </c>
      <c r="L11" s="61">
        <f>+'S2.1'!K55</f>
        <v>363853.28872152045</v>
      </c>
      <c r="M11" s="61">
        <f>+'S2.1'!L55</f>
        <v>365127.90717000002</v>
      </c>
      <c r="N11" s="61"/>
      <c r="O11" s="61">
        <f>+'S2.1'!N55</f>
        <v>365551.90018089901</v>
      </c>
      <c r="P11" s="61"/>
      <c r="Q11" s="61">
        <f>+'S2.1'!P55</f>
        <v>378905.06829494372</v>
      </c>
      <c r="R11" s="61"/>
      <c r="S11" s="61">
        <v>319020.39379117324</v>
      </c>
      <c r="T11" s="61"/>
      <c r="U11" s="61">
        <v>332512.71271564672</v>
      </c>
    </row>
    <row r="12" spans="1:29">
      <c r="A12" s="17">
        <v>3</v>
      </c>
      <c r="C12" s="28" t="s">
        <v>118</v>
      </c>
      <c r="G12" s="61">
        <f t="shared" ref="G12:M12" si="0">G14-G11</f>
        <v>17535.162882643519</v>
      </c>
      <c r="H12" s="61">
        <f t="shared" si="0"/>
        <v>18869.597973594093</v>
      </c>
      <c r="I12" s="61">
        <f t="shared" si="0"/>
        <v>20599.470725323074</v>
      </c>
      <c r="J12" s="61">
        <f t="shared" si="0"/>
        <v>19575.10540023481</v>
      </c>
      <c r="K12" s="61">
        <f t="shared" si="0"/>
        <v>21783.600156216067</v>
      </c>
      <c r="L12" s="61">
        <f t="shared" si="0"/>
        <v>23586.765568479546</v>
      </c>
      <c r="M12" s="61">
        <f t="shared" si="0"/>
        <v>19964.106414492126</v>
      </c>
      <c r="N12" s="61"/>
      <c r="O12" s="61">
        <f>O11*O13</f>
        <v>22129.433976858509</v>
      </c>
      <c r="P12" s="61"/>
      <c r="Q12" s="61">
        <f>Q11*Q13</f>
        <v>22937.795394253444</v>
      </c>
      <c r="R12" s="61"/>
      <c r="S12" s="60">
        <v>19779.264415052741</v>
      </c>
      <c r="T12" s="61"/>
      <c r="U12" s="60">
        <v>20615.788188370097</v>
      </c>
      <c r="AC12" s="134"/>
    </row>
    <row r="13" spans="1:29">
      <c r="A13" s="17">
        <v>4</v>
      </c>
      <c r="C13" s="28" t="s">
        <v>119</v>
      </c>
      <c r="G13" s="47">
        <v>5.5E-2</v>
      </c>
      <c r="H13" s="47">
        <f t="shared" ref="H13:L13" si="1">H12/H11</f>
        <v>5.4696815354105192E-2</v>
      </c>
      <c r="I13" s="47">
        <f t="shared" si="1"/>
        <v>6.0371505277022508E-2</v>
      </c>
      <c r="J13" s="47">
        <f t="shared" si="1"/>
        <v>5.7542629880932124E-2</v>
      </c>
      <c r="K13" s="47">
        <f t="shared" si="1"/>
        <v>6.141568875144638E-2</v>
      </c>
      <c r="L13" s="47">
        <f t="shared" si="1"/>
        <v>6.4824934388684238E-2</v>
      </c>
      <c r="M13" s="47">
        <f>M12/M11</f>
        <v>5.4677021455927857E-2</v>
      </c>
      <c r="N13" s="47"/>
      <c r="O13" s="47">
        <v>6.0537050869951474E-2</v>
      </c>
      <c r="P13" s="47"/>
      <c r="Q13" s="47">
        <f>O13</f>
        <v>6.0537050869951474E-2</v>
      </c>
      <c r="R13" s="39"/>
      <c r="S13" s="47">
        <v>6.2E-2</v>
      </c>
      <c r="T13" s="39"/>
      <c r="U13" s="47">
        <v>6.2E-2</v>
      </c>
      <c r="X13" s="129"/>
    </row>
    <row r="14" spans="1:29" ht="16" thickBot="1">
      <c r="A14" s="17">
        <v>5</v>
      </c>
      <c r="C14" s="28" t="s">
        <v>120</v>
      </c>
      <c r="E14" s="17" t="s">
        <v>121</v>
      </c>
      <c r="G14" s="63">
        <f>G22</f>
        <v>336350.30699999997</v>
      </c>
      <c r="H14" s="63">
        <f t="shared" ref="H14" si="2">H22</f>
        <v>363854.91113000002</v>
      </c>
      <c r="I14" s="63">
        <f>I22</f>
        <v>361811.28300000005</v>
      </c>
      <c r="J14" s="63">
        <f>J22</f>
        <v>359759.51199999999</v>
      </c>
      <c r="K14" s="63">
        <f>K22</f>
        <v>376474.73200000002</v>
      </c>
      <c r="L14" s="63">
        <f>L22</f>
        <v>387440.05429</v>
      </c>
      <c r="M14" s="63">
        <f>M22</f>
        <v>385092.01358449215</v>
      </c>
      <c r="N14" s="62"/>
      <c r="O14" s="63">
        <f>+O11+O12</f>
        <v>387681.33415775752</v>
      </c>
      <c r="P14" s="62"/>
      <c r="Q14" s="63">
        <f>+Q11+Q12</f>
        <v>401842.86368919717</v>
      </c>
      <c r="R14" s="61"/>
      <c r="S14" s="63">
        <v>338799.65820622595</v>
      </c>
      <c r="T14" s="61"/>
      <c r="U14" s="63">
        <v>353128.50090401684</v>
      </c>
    </row>
    <row r="15" spans="1:29">
      <c r="A15" s="17">
        <v>6</v>
      </c>
      <c r="C15" s="18" t="s">
        <v>122</v>
      </c>
      <c r="I15" s="134"/>
      <c r="J15" s="134"/>
      <c r="K15" s="134"/>
      <c r="L15" s="134"/>
      <c r="M15" s="134"/>
      <c r="N15" s="134"/>
      <c r="O15" s="134"/>
      <c r="P15" s="134"/>
      <c r="Q15" s="134"/>
    </row>
    <row r="16" spans="1:29">
      <c r="A16" s="17">
        <v>7</v>
      </c>
      <c r="C16" s="16" t="s">
        <v>123</v>
      </c>
      <c r="G16" s="61">
        <v>8051</v>
      </c>
      <c r="H16" s="61">
        <v>7103.12</v>
      </c>
      <c r="I16" s="61">
        <v>5458.1220000000003</v>
      </c>
      <c r="J16" s="61">
        <v>4973.0789999999997</v>
      </c>
      <c r="K16" s="61">
        <v>5033.6639999999998</v>
      </c>
      <c r="L16" s="61">
        <v>9843.1163000000015</v>
      </c>
      <c r="M16" s="61">
        <v>9597.3359999999993</v>
      </c>
      <c r="N16" s="61"/>
      <c r="O16" s="61">
        <v>9521.5460000000003</v>
      </c>
      <c r="P16" s="61"/>
      <c r="Q16" s="61">
        <v>10142.933999999999</v>
      </c>
      <c r="S16" s="61">
        <v>8245</v>
      </c>
      <c r="U16" s="61">
        <v>8536</v>
      </c>
    </row>
    <row r="17" spans="1:21">
      <c r="A17" s="17">
        <v>8</v>
      </c>
      <c r="C17" s="16" t="s">
        <v>124</v>
      </c>
      <c r="E17" s="17" t="s">
        <v>125</v>
      </c>
      <c r="G17" s="61">
        <f>+'S4.2'!F23</f>
        <v>44</v>
      </c>
      <c r="H17" s="61">
        <f>+'S4.2'!G23</f>
        <v>99.382000000000005</v>
      </c>
      <c r="I17" s="61">
        <f>+'S4.2'!H23</f>
        <v>110.292</v>
      </c>
      <c r="J17" s="61">
        <f>+'S4.2'!I23</f>
        <v>184.63900000000001</v>
      </c>
      <c r="K17" s="61">
        <f>+'S4.2'!J23</f>
        <v>346.416</v>
      </c>
      <c r="L17" s="61">
        <f>+'S4.2'!K23</f>
        <v>102.77200000000001</v>
      </c>
      <c r="M17" s="61">
        <f>+'S4.2'!L23</f>
        <v>283.84399999999999</v>
      </c>
      <c r="N17" s="61"/>
      <c r="O17" s="61">
        <f>+'S4.2'!N23</f>
        <v>114.89009969950209</v>
      </c>
      <c r="P17" s="61"/>
      <c r="Q17" s="61">
        <f>+'S4.2'!P23</f>
        <v>208.33097471109556</v>
      </c>
      <c r="R17" s="61"/>
      <c r="S17" s="61">
        <v>39.410888141050243</v>
      </c>
      <c r="T17" s="61"/>
      <c r="U17" s="61">
        <v>40.25768132238877</v>
      </c>
    </row>
    <row r="18" spans="1:21">
      <c r="A18" s="17">
        <v>9</v>
      </c>
      <c r="C18" s="16" t="s">
        <v>126</v>
      </c>
      <c r="E18" s="17" t="s">
        <v>127</v>
      </c>
      <c r="G18" s="61">
        <f>+'S4.1'!F10-G17</f>
        <v>20837.306999999997</v>
      </c>
      <c r="H18" s="61">
        <f>+'S4.1'!G10-H17</f>
        <v>22060.995999999996</v>
      </c>
      <c r="I18" s="61">
        <f>+'S4.1'!H10-I17</f>
        <v>22024.398999999998</v>
      </c>
      <c r="J18" s="61">
        <f>+'S4.1'!I10-J17</f>
        <v>21810.703999999998</v>
      </c>
      <c r="K18" s="61">
        <f>+'S4.1'!J10-K17</f>
        <v>21714.271000000001</v>
      </c>
      <c r="L18" s="61">
        <f>+'S4.1'!K10-L17</f>
        <v>21698.490999999998</v>
      </c>
      <c r="M18" s="61">
        <f>+'S4.1'!L10-M17</f>
        <v>21515.585000000003</v>
      </c>
      <c r="N18" s="61"/>
      <c r="O18" s="61">
        <f>+'S4.1'!N10-O17</f>
        <v>21585.500939884147</v>
      </c>
      <c r="P18" s="61"/>
      <c r="Q18" s="61">
        <f>+'S4.1'!P10-Q17</f>
        <v>21550.091734611953</v>
      </c>
      <c r="R18" s="61"/>
      <c r="S18" s="61">
        <v>20723.167437992612</v>
      </c>
      <c r="T18" s="61"/>
      <c r="U18" s="61">
        <v>20889.325384246029</v>
      </c>
    </row>
    <row r="19" spans="1:21">
      <c r="A19" s="17">
        <v>10</v>
      </c>
      <c r="C19" s="16" t="s">
        <v>128</v>
      </c>
      <c r="E19" s="17" t="s">
        <v>129</v>
      </c>
      <c r="G19" s="61">
        <f>'S3.1'!G12</f>
        <v>307418</v>
      </c>
      <c r="H19" s="61">
        <f>+'S3.1'!H12</f>
        <v>334591.41313</v>
      </c>
      <c r="I19" s="61">
        <f>+'S3.1'!I12</f>
        <v>333568.47000000003</v>
      </c>
      <c r="J19" s="61">
        <f>+'S3.1'!J12</f>
        <v>331491.08999999997</v>
      </c>
      <c r="K19" s="61">
        <f>+'S3.1'!K12</f>
        <v>347756.38099999999</v>
      </c>
      <c r="L19" s="61">
        <f>+'S3.1'!L12</f>
        <v>353413.07500000001</v>
      </c>
      <c r="M19" s="61">
        <f>+'S3.1'!M12</f>
        <v>350457.12880000001</v>
      </c>
      <c r="N19" s="61"/>
      <c r="O19" s="61">
        <f>+O14-O16-O17-O18-O20-O21</f>
        <v>352593.53971817391</v>
      </c>
      <c r="P19" s="61"/>
      <c r="Q19" s="61">
        <f>+Q14-Q16-Q17-Q18-Q20-Q21</f>
        <v>365499.69097987411</v>
      </c>
      <c r="R19" s="61"/>
      <c r="S19" s="61">
        <v>309792.07988009229</v>
      </c>
      <c r="T19" s="61"/>
      <c r="U19" s="61">
        <v>323662.91783844843</v>
      </c>
    </row>
    <row r="20" spans="1:21" ht="16.5" customHeight="1">
      <c r="A20" s="17">
        <f>A19+1</f>
        <v>11</v>
      </c>
      <c r="C20" s="16" t="s">
        <v>130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211.59999000000002</v>
      </c>
      <c r="M20" s="61">
        <v>475.11978449215331</v>
      </c>
      <c r="N20" s="61"/>
      <c r="O20" s="61">
        <v>587.44100000000003</v>
      </c>
      <c r="P20" s="61"/>
      <c r="Q20" s="61">
        <v>648.81600000000003</v>
      </c>
      <c r="R20" s="61"/>
      <c r="S20" s="61">
        <v>0</v>
      </c>
      <c r="T20" s="61"/>
      <c r="U20" s="61">
        <v>0</v>
      </c>
    </row>
    <row r="21" spans="1:21" ht="18.5">
      <c r="A21" s="17">
        <v>12</v>
      </c>
      <c r="C21" s="16" t="s">
        <v>131</v>
      </c>
      <c r="G21" s="61">
        <v>0</v>
      </c>
      <c r="H21" s="61">
        <v>0</v>
      </c>
      <c r="I21" s="61">
        <v>650</v>
      </c>
      <c r="J21" s="61">
        <v>1300</v>
      </c>
      <c r="K21" s="61">
        <v>1624</v>
      </c>
      <c r="L21" s="61">
        <v>2171</v>
      </c>
      <c r="M21" s="61">
        <v>2763</v>
      </c>
      <c r="N21" s="61"/>
      <c r="O21" s="61">
        <v>3278.4164000000001</v>
      </c>
      <c r="P21" s="61"/>
      <c r="Q21" s="61">
        <v>3793</v>
      </c>
      <c r="R21" s="61"/>
      <c r="S21" s="61">
        <v>0</v>
      </c>
      <c r="T21" s="61"/>
      <c r="U21" s="61">
        <v>0</v>
      </c>
    </row>
    <row r="22" spans="1:21" ht="16" thickBot="1">
      <c r="A22" s="17">
        <f>A21+1</f>
        <v>13</v>
      </c>
      <c r="G22" s="63">
        <f>SUM(G16:G19)</f>
        <v>336350.30699999997</v>
      </c>
      <c r="H22" s="63">
        <f>SUM(H16:H19)</f>
        <v>363854.91113000002</v>
      </c>
      <c r="I22" s="63">
        <f>SUM(I16:I21)</f>
        <v>361811.28300000005</v>
      </c>
      <c r="J22" s="63">
        <f>SUM(J16:J21)</f>
        <v>359759.51199999999</v>
      </c>
      <c r="K22" s="63">
        <f>SUM(K16:K21)</f>
        <v>376474.73200000002</v>
      </c>
      <c r="L22" s="63">
        <f>SUM(L16:L21)</f>
        <v>387440.05429</v>
      </c>
      <c r="M22" s="63">
        <f>SUM(M16:M21)</f>
        <v>385092.01358449215</v>
      </c>
      <c r="N22" s="62"/>
      <c r="O22" s="63">
        <f>SUM(O16:O21)</f>
        <v>387681.33415775752</v>
      </c>
      <c r="P22" s="62"/>
      <c r="Q22" s="63">
        <f>SUM(Q16:Q21)</f>
        <v>401842.86368919717</v>
      </c>
      <c r="R22" s="60"/>
      <c r="S22" s="63">
        <f>SUM(S16:S19)</f>
        <v>338799.65820622595</v>
      </c>
      <c r="T22" s="60"/>
      <c r="U22" s="63">
        <f>SUM(U16:U19)</f>
        <v>353128.50090401684</v>
      </c>
    </row>
    <row r="23" spans="1:21">
      <c r="A23" s="17">
        <f>A22+1</f>
        <v>14</v>
      </c>
      <c r="C23" s="18" t="s">
        <v>132</v>
      </c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19"/>
      <c r="S23" s="35"/>
      <c r="T23" s="19"/>
      <c r="U23" s="35"/>
    </row>
    <row r="24" spans="1:21">
      <c r="A24" s="17">
        <f>A23+1</f>
        <v>15</v>
      </c>
      <c r="C24" s="16" t="s">
        <v>133</v>
      </c>
      <c r="G24" s="129">
        <f t="shared" ref="G24:M24" si="3">G16/G22</f>
        <v>2.3936353951358222E-2</v>
      </c>
      <c r="H24" s="129">
        <f t="shared" si="3"/>
        <v>1.9521847260327782E-2</v>
      </c>
      <c r="I24" s="129">
        <f t="shared" si="3"/>
        <v>1.5085549446505236E-2</v>
      </c>
      <c r="J24" s="129">
        <f t="shared" si="3"/>
        <v>1.3823342633397835E-2</v>
      </c>
      <c r="K24" s="129">
        <f t="shared" si="3"/>
        <v>1.3370522832326499E-2</v>
      </c>
      <c r="L24" s="129">
        <f t="shared" si="3"/>
        <v>2.5405520650253678E-2</v>
      </c>
      <c r="M24" s="129">
        <f t="shared" si="3"/>
        <v>2.4922189142970296E-2</v>
      </c>
      <c r="N24" s="129"/>
      <c r="O24" s="129">
        <f>O16/O22</f>
        <v>2.4560238425421425E-2</v>
      </c>
      <c r="P24" s="129"/>
      <c r="Q24" s="129">
        <f>Q16/Q22</f>
        <v>2.5241045484498108E-2</v>
      </c>
      <c r="R24" s="19"/>
      <c r="S24" s="129">
        <f>S16/S22</f>
        <v>2.4335915932303869E-2</v>
      </c>
      <c r="T24" s="19"/>
      <c r="U24" s="129">
        <f>U16/U22</f>
        <v>2.4172503715071566E-2</v>
      </c>
    </row>
    <row r="25" spans="1:21">
      <c r="A25" s="17">
        <f>A24+1</f>
        <v>16</v>
      </c>
      <c r="C25" s="16" t="s">
        <v>126</v>
      </c>
      <c r="G25" s="47">
        <f t="shared" ref="G25:M25" si="4">(G17+G18)/G22</f>
        <v>6.2082021527633091E-2</v>
      </c>
      <c r="H25" s="47">
        <f t="shared" si="4"/>
        <v>6.0904435592687163E-2</v>
      </c>
      <c r="I25" s="47">
        <f t="shared" si="4"/>
        <v>6.1177448133921231E-2</v>
      </c>
      <c r="J25" s="47">
        <f t="shared" si="4"/>
        <v>6.113901722214922E-2</v>
      </c>
      <c r="K25" s="47">
        <f t="shared" si="4"/>
        <v>5.8598054862284886E-2</v>
      </c>
      <c r="L25" s="47">
        <f t="shared" si="4"/>
        <v>5.627002876600283E-2</v>
      </c>
      <c r="M25" s="47">
        <f t="shared" si="4"/>
        <v>5.6608364315550892E-2</v>
      </c>
      <c r="N25" s="47"/>
      <c r="O25" s="47">
        <f>(O17+O18)/O22</f>
        <v>5.5974815209321384E-2</v>
      </c>
      <c r="P25" s="47"/>
      <c r="Q25" s="47">
        <f>(Q17+Q18)/Q22</f>
        <v>5.4146594789728462E-2</v>
      </c>
      <c r="R25" s="19"/>
      <c r="S25" s="47">
        <f>(S17+S18)/S22</f>
        <v>6.1282760543682618E-2</v>
      </c>
      <c r="T25" s="19"/>
      <c r="U25" s="47">
        <f>(U17+U18)/U22</f>
        <v>5.9269028163935276E-2</v>
      </c>
    </row>
    <row r="26" spans="1:21">
      <c r="A26" s="17">
        <f>A25+1</f>
        <v>17</v>
      </c>
      <c r="C26" s="16" t="s">
        <v>128</v>
      </c>
      <c r="G26" s="47">
        <f t="shared" ref="G26:M26" si="5">G19/G22</f>
        <v>0.91398162452100873</v>
      </c>
      <c r="H26" s="47">
        <f t="shared" si="5"/>
        <v>0.91957371714698499</v>
      </c>
      <c r="I26" s="47">
        <f t="shared" si="5"/>
        <v>0.92194048575317644</v>
      </c>
      <c r="J26" s="47">
        <f t="shared" si="5"/>
        <v>0.92142411511832378</v>
      </c>
      <c r="K26" s="47">
        <f t="shared" si="5"/>
        <v>0.92371771978577299</v>
      </c>
      <c r="L26" s="47">
        <f t="shared" si="5"/>
        <v>0.91217485411425558</v>
      </c>
      <c r="M26" s="47">
        <f t="shared" si="5"/>
        <v>0.91006075544879361</v>
      </c>
      <c r="N26" s="47"/>
      <c r="O26" s="47">
        <f>O19/O22</f>
        <v>0.90949320653827126</v>
      </c>
      <c r="P26" s="47"/>
      <c r="Q26" s="47">
        <f>Q19/Q22</f>
        <v>0.90955874548656301</v>
      </c>
      <c r="R26" s="19"/>
      <c r="S26" s="47">
        <f>S19/S22</f>
        <v>0.91438132352401347</v>
      </c>
      <c r="T26" s="19"/>
      <c r="U26" s="47">
        <f>U19/U22</f>
        <v>0.91655846812099317</v>
      </c>
    </row>
    <row r="27" spans="1:21">
      <c r="A27" s="17">
        <v>18</v>
      </c>
      <c r="C27" s="16" t="s">
        <v>130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f>L20/L22</f>
        <v>5.461489788085173E-4</v>
      </c>
      <c r="M27" s="47">
        <f>M20/M22</f>
        <v>1.2337824928376718E-3</v>
      </c>
      <c r="N27" s="47"/>
      <c r="O27" s="297">
        <f>O20/O22</f>
        <v>1.5152676908632263E-3</v>
      </c>
      <c r="P27" s="47"/>
      <c r="Q27" s="297">
        <f>Q20/Q22</f>
        <v>1.6146012748451412E-3</v>
      </c>
      <c r="R27" s="35"/>
      <c r="S27" s="47">
        <v>0</v>
      </c>
      <c r="T27" s="35"/>
      <c r="U27" s="47">
        <v>0</v>
      </c>
    </row>
    <row r="28" spans="1:21" ht="18.5">
      <c r="A28" s="17">
        <v>19</v>
      </c>
      <c r="C28" s="16" t="s">
        <v>131</v>
      </c>
      <c r="G28" s="60">
        <v>0</v>
      </c>
      <c r="H28" s="60">
        <v>0</v>
      </c>
      <c r="I28" s="297">
        <f>I21/I22</f>
        <v>1.7965166663970508E-3</v>
      </c>
      <c r="J28" s="297">
        <f>J21/J22</f>
        <v>3.6135250261291217E-3</v>
      </c>
      <c r="K28" s="297">
        <f>K21/K22</f>
        <v>4.3137025196155789E-3</v>
      </c>
      <c r="L28" s="297">
        <f>L21/L22</f>
        <v>5.6034474906794234E-3</v>
      </c>
      <c r="M28" s="297">
        <f>M21/M22</f>
        <v>7.1749085998475959E-3</v>
      </c>
      <c r="N28" s="47"/>
      <c r="O28" s="297">
        <f>O21/O22</f>
        <v>8.4564721361228296E-3</v>
      </c>
      <c r="P28" s="47"/>
      <c r="Q28" s="297">
        <f>Q21/Q22</f>
        <v>9.4390129643652752E-3</v>
      </c>
      <c r="R28" s="35"/>
      <c r="S28" s="60">
        <v>0</v>
      </c>
      <c r="T28" s="35"/>
      <c r="U28" s="60">
        <v>0</v>
      </c>
    </row>
    <row r="29" spans="1:21">
      <c r="A29" s="17">
        <f>A28+1</f>
        <v>20</v>
      </c>
      <c r="G29" s="131">
        <f t="shared" ref="G29:M29" si="6">SUM(G24:G28)</f>
        <v>1</v>
      </c>
      <c r="H29" s="131">
        <f t="shared" si="6"/>
        <v>1</v>
      </c>
      <c r="I29" s="131">
        <f t="shared" si="6"/>
        <v>0.99999999999999989</v>
      </c>
      <c r="J29" s="131">
        <f t="shared" si="6"/>
        <v>1</v>
      </c>
      <c r="K29" s="131">
        <f t="shared" si="6"/>
        <v>1</v>
      </c>
      <c r="L29" s="131">
        <f t="shared" si="6"/>
        <v>1</v>
      </c>
      <c r="M29" s="131">
        <f t="shared" si="6"/>
        <v>1</v>
      </c>
      <c r="N29" s="47"/>
      <c r="O29" s="131">
        <f>SUM(O24:O28)</f>
        <v>1</v>
      </c>
      <c r="P29" s="47"/>
      <c r="Q29" s="131">
        <f>SUM(Q24:Q28)</f>
        <v>1</v>
      </c>
      <c r="R29" s="19"/>
      <c r="S29" s="131">
        <f>SUM(S24:S26)</f>
        <v>1</v>
      </c>
      <c r="T29" s="19"/>
      <c r="U29" s="131">
        <f>SUM(U24:U26)</f>
        <v>1</v>
      </c>
    </row>
    <row r="30" spans="1:21">
      <c r="A30" s="17">
        <f t="shared" ref="A30:A31" si="7">A29+1</f>
        <v>21</v>
      </c>
    </row>
    <row r="31" spans="1:21" ht="15" customHeight="1">
      <c r="A31" s="17">
        <f t="shared" si="7"/>
        <v>22</v>
      </c>
      <c r="C31" s="162" t="s">
        <v>134</v>
      </c>
      <c r="D31" s="338"/>
      <c r="E31" s="338"/>
      <c r="F31" s="338"/>
      <c r="G31" s="338"/>
      <c r="H31" s="338"/>
      <c r="I31" s="338"/>
      <c r="J31" s="338"/>
      <c r="K31" s="338"/>
      <c r="L31" s="129"/>
    </row>
    <row r="33" spans="7:17">
      <c r="G33" s="324"/>
      <c r="I33" s="129"/>
      <c r="L33" s="129"/>
    </row>
    <row r="34" spans="7:17">
      <c r="G34" s="136"/>
      <c r="O34" s="152"/>
      <c r="Q34" s="152"/>
    </row>
    <row r="35" spans="7:17">
      <c r="L35" s="129"/>
    </row>
    <row r="39" spans="7:17"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</row>
  </sheetData>
  <mergeCells count="3">
    <mergeCell ref="S7:U7"/>
    <mergeCell ref="O7:Q7"/>
    <mergeCell ref="G7:M7"/>
  </mergeCells>
  <phoneticPr fontId="10" type="noConversion"/>
  <printOptions horizontalCentered="1"/>
  <pageMargins left="0.5" right="0.5" top="0.75" bottom="0.75" header="0.5" footer="0.5"/>
  <pageSetup scale="55" orientation="landscape" useFirstPageNumber="1" r:id="rId1"/>
  <headerFooter alignWithMargins="0">
    <oddHeader>&amp;R&amp;"Arial,Bold"Schedule 3.2
Page &amp;P of 1</oddHeader>
  </headerFooter>
  <ignoredErrors>
    <ignoredError sqref="S22:U22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pageSetUpPr fitToPage="1"/>
  </sheetPr>
  <dimension ref="A1:U19"/>
  <sheetViews>
    <sheetView zoomScaleNormal="100" zoomScaleSheetLayoutView="100" workbookViewId="0">
      <selection activeCell="A5" sqref="A5"/>
    </sheetView>
  </sheetViews>
  <sheetFormatPr defaultColWidth="7.54296875" defaultRowHeight="15.5"/>
  <cols>
    <col min="1" max="1" width="6" style="16" bestFit="1" customWidth="1"/>
    <col min="2" max="2" width="2.1796875" style="16" customWidth="1"/>
    <col min="3" max="3" width="35.453125" style="16" bestFit="1" customWidth="1"/>
    <col min="4" max="4" width="2.1796875" style="16" customWidth="1"/>
    <col min="5" max="5" width="16.54296875" style="17" bestFit="1" customWidth="1"/>
    <col min="6" max="6" width="10.54296875" style="17" customWidth="1"/>
    <col min="7" max="7" width="10.7265625" style="16" bestFit="1" customWidth="1"/>
    <col min="8" max="12" width="12.7265625" style="16" customWidth="1"/>
    <col min="13" max="13" width="2" style="16" customWidth="1"/>
    <col min="14" max="14" width="12.7265625" style="16" customWidth="1"/>
    <col min="15" max="15" width="2.453125" style="16" customWidth="1"/>
    <col min="16" max="16" width="12.7265625" style="16" customWidth="1"/>
    <col min="17" max="17" width="2.1796875" style="16" customWidth="1"/>
    <col min="18" max="18" width="12.7265625" style="16" customWidth="1"/>
    <col min="19" max="19" width="2.1796875" style="16" customWidth="1"/>
    <col min="20" max="20" width="12.7265625" style="16" customWidth="1"/>
    <col min="21" max="21" width="2.1796875" style="16" customWidth="1"/>
    <col min="22" max="16384" width="7.54296875" style="16"/>
  </cols>
  <sheetData>
    <row r="1" spans="1:21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31"/>
    </row>
    <row r="2" spans="1:21">
      <c r="A2" s="14" t="str">
        <f>'S1.1'!A2</f>
        <v>2023 - 2024 General Rate Application (GRA)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31"/>
    </row>
    <row r="3" spans="1:2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31"/>
    </row>
    <row r="4" spans="1:21">
      <c r="A4" s="14" t="s">
        <v>135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</row>
    <row r="5" spans="1:21">
      <c r="A5" s="344" t="s">
        <v>6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</row>
    <row r="6" spans="1:21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1">
      <c r="A7" s="6" t="s">
        <v>7</v>
      </c>
      <c r="B7" s="6"/>
      <c r="C7" s="6"/>
      <c r="D7" s="6"/>
      <c r="E7" s="6" t="s">
        <v>8</v>
      </c>
      <c r="F7" s="519" t="s">
        <v>9</v>
      </c>
      <c r="G7" s="519"/>
      <c r="H7" s="519"/>
      <c r="I7" s="519"/>
      <c r="J7" s="519"/>
      <c r="K7" s="519"/>
      <c r="L7" s="519"/>
      <c r="M7" s="18"/>
      <c r="N7" s="519" t="str">
        <f>'S3.2'!O7</f>
        <v>Test Period</v>
      </c>
      <c r="O7" s="519"/>
      <c r="P7" s="519"/>
      <c r="Q7" s="18"/>
      <c r="R7" s="519" t="s">
        <v>11</v>
      </c>
      <c r="S7" s="519"/>
      <c r="T7" s="519"/>
    </row>
    <row r="8" spans="1:21">
      <c r="A8" s="7" t="s">
        <v>12</v>
      </c>
      <c r="B8" s="6"/>
      <c r="C8" s="7" t="s">
        <v>13</v>
      </c>
      <c r="D8" s="6"/>
      <c r="E8" s="7" t="s">
        <v>14</v>
      </c>
      <c r="F8" s="7">
        <v>2016</v>
      </c>
      <c r="G8" s="7">
        <v>2017</v>
      </c>
      <c r="H8" s="7">
        <v>2018</v>
      </c>
      <c r="I8" s="7">
        <v>2019</v>
      </c>
      <c r="J8" s="7">
        <v>2020</v>
      </c>
      <c r="K8" s="7">
        <v>2021</v>
      </c>
      <c r="L8" s="7">
        <v>2022</v>
      </c>
      <c r="M8" s="6"/>
      <c r="N8" s="240">
        <v>2023</v>
      </c>
      <c r="O8" s="240"/>
      <c r="P8" s="240">
        <v>2024</v>
      </c>
      <c r="Q8" s="6"/>
      <c r="R8" s="7">
        <v>2016</v>
      </c>
      <c r="S8" s="6"/>
      <c r="T8" s="240">
        <v>2017</v>
      </c>
    </row>
    <row r="9" spans="1:21">
      <c r="A9" s="17"/>
      <c r="C9" s="50"/>
      <c r="E9" s="16"/>
      <c r="F9" s="16"/>
    </row>
    <row r="10" spans="1:21" ht="16" thickBot="1">
      <c r="A10" s="17">
        <v>1</v>
      </c>
      <c r="C10" s="44" t="s">
        <v>136</v>
      </c>
      <c r="E10" s="17" t="s">
        <v>137</v>
      </c>
      <c r="F10" s="125">
        <f>+'S4.2'!F24</f>
        <v>20881.306999999997</v>
      </c>
      <c r="G10" s="125">
        <f>+'S4.2'!G24</f>
        <v>22160.377999999997</v>
      </c>
      <c r="H10" s="125">
        <f>+'S4.2'!H24</f>
        <v>22134.690999999999</v>
      </c>
      <c r="I10" s="125">
        <f>+'S4.2'!I24</f>
        <v>21995.342999999997</v>
      </c>
      <c r="J10" s="125">
        <f>+'S4.2'!J24</f>
        <v>22060.687000000002</v>
      </c>
      <c r="K10" s="125">
        <f>+'S4.2'!K24</f>
        <v>21801.262999999999</v>
      </c>
      <c r="L10" s="125">
        <f>+'S4.2'!L24</f>
        <v>21799.429000000004</v>
      </c>
      <c r="M10" s="57"/>
      <c r="N10" s="125">
        <f>+'S4.2'!N24</f>
        <v>21700.39103958365</v>
      </c>
      <c r="O10" s="57"/>
      <c r="P10" s="125">
        <f>+'S4.2'!P24</f>
        <v>21758.422709323047</v>
      </c>
      <c r="Q10" s="57"/>
      <c r="R10" s="125">
        <f>+'S4.2'!R24</f>
        <v>20762.578326133662</v>
      </c>
      <c r="S10" s="57"/>
      <c r="T10" s="125">
        <f>+'S4.2'!T24</f>
        <v>20929.583065568419</v>
      </c>
    </row>
    <row r="11" spans="1:21" ht="16" thickBot="1">
      <c r="A11" s="17">
        <v>2</v>
      </c>
      <c r="C11" s="44" t="s">
        <v>138</v>
      </c>
      <c r="E11" s="16"/>
      <c r="F11" s="232">
        <f t="shared" ref="F11:L11" si="0">F10/F12</f>
        <v>3.6926545058258244</v>
      </c>
      <c r="G11" s="232">
        <f t="shared" si="0"/>
        <v>3.7706185766455764</v>
      </c>
      <c r="H11" s="232">
        <f t="shared" si="0"/>
        <v>3.8276961663480393</v>
      </c>
      <c r="I11" s="232">
        <f t="shared" si="0"/>
        <v>3.7842074936545269</v>
      </c>
      <c r="J11" s="232">
        <f t="shared" si="0"/>
        <v>3.7451908730904151</v>
      </c>
      <c r="K11" s="232">
        <f t="shared" si="0"/>
        <v>3.8083841271741585</v>
      </c>
      <c r="L11" s="232">
        <f t="shared" si="0"/>
        <v>3.7122386135813819</v>
      </c>
      <c r="M11" s="245"/>
      <c r="N11" s="232">
        <f>N10/N12</f>
        <v>3.7817144582600992</v>
      </c>
      <c r="O11" s="245"/>
      <c r="P11" s="232">
        <f>P10/P12</f>
        <v>3.7783739566822176</v>
      </c>
      <c r="Q11" s="85"/>
      <c r="R11" s="232">
        <f>R10/R12</f>
        <v>3.7126114995496837</v>
      </c>
      <c r="S11" s="85"/>
      <c r="T11" s="232">
        <f>T10/T12</f>
        <v>3.7088962781577144</v>
      </c>
    </row>
    <row r="12" spans="1:21">
      <c r="A12" s="17">
        <v>3</v>
      </c>
      <c r="C12" s="44" t="s">
        <v>139</v>
      </c>
      <c r="E12" s="17" t="s">
        <v>140</v>
      </c>
      <c r="F12" s="76">
        <f>+'S4.2'!F41</f>
        <v>5654.8228292292151</v>
      </c>
      <c r="G12" s="76">
        <f>+'S4.2'!G41</f>
        <v>5877.1200400000007</v>
      </c>
      <c r="H12" s="76">
        <f>+'S4.2'!H41</f>
        <v>5782.7711599999984</v>
      </c>
      <c r="I12" s="76">
        <f>+'S4.2'!I41</f>
        <v>5812.4040599999998</v>
      </c>
      <c r="J12" s="76">
        <f>+'S4.2'!J41</f>
        <v>5890.4039199999997</v>
      </c>
      <c r="K12" s="76">
        <f>+'S4.2'!K41</f>
        <v>5724.5441299999993</v>
      </c>
      <c r="L12" s="76">
        <f>+'S4.2'!L41</f>
        <v>5872.3135199999997</v>
      </c>
      <c r="M12" s="62"/>
      <c r="N12" s="76">
        <f>+'S4.2'!N41</f>
        <v>5738.2415513115238</v>
      </c>
      <c r="O12" s="62"/>
      <c r="P12" s="76">
        <f>+'S4.2'!P41</f>
        <v>5758.6736937042288</v>
      </c>
      <c r="Q12" s="61"/>
      <c r="R12" s="76">
        <f>+'S4.2'!R41</f>
        <v>5592.4457295496795</v>
      </c>
      <c r="S12" s="61"/>
      <c r="T12" s="76">
        <f>+'S4.2'!T41</f>
        <v>5643.0758629800712</v>
      </c>
    </row>
    <row r="13" spans="1:21">
      <c r="A13" s="17">
        <v>4</v>
      </c>
      <c r="C13" s="44" t="s">
        <v>141</v>
      </c>
      <c r="F13" s="61">
        <v>4894.5747799999999</v>
      </c>
      <c r="G13" s="61">
        <v>5642.4184999999998</v>
      </c>
      <c r="H13" s="61">
        <v>6627.1315700000005</v>
      </c>
      <c r="I13" s="61">
        <v>6586.1472000000003</v>
      </c>
      <c r="J13" s="61">
        <v>5749.6115599999994</v>
      </c>
      <c r="K13" s="61">
        <v>6659.7949100000005</v>
      </c>
      <c r="L13" s="61">
        <v>9443.1053400000001</v>
      </c>
      <c r="M13" s="61"/>
      <c r="N13" s="61">
        <v>9180.7313510468011</v>
      </c>
      <c r="O13" s="61"/>
      <c r="P13" s="61">
        <v>9022.9838795776323</v>
      </c>
      <c r="Q13" s="61"/>
      <c r="R13" s="35">
        <v>5256.7773279867424</v>
      </c>
      <c r="S13" s="61"/>
      <c r="T13" s="35">
        <v>5333.5660769584301</v>
      </c>
    </row>
    <row r="14" spans="1:21">
      <c r="A14" s="17">
        <v>5</v>
      </c>
      <c r="C14" s="44" t="s">
        <v>142</v>
      </c>
      <c r="F14" s="61">
        <v>468.83107000000007</v>
      </c>
      <c r="G14" s="515">
        <v>-71.474820000000136</v>
      </c>
      <c r="H14" s="515">
        <v>-1224.3234199999999</v>
      </c>
      <c r="I14" s="515">
        <v>-1154.37158</v>
      </c>
      <c r="J14" s="515">
        <v>-40.984109999999866</v>
      </c>
      <c r="K14" s="516">
        <v>-1307.0518400000003</v>
      </c>
      <c r="L14" s="515">
        <v>-3676.68604</v>
      </c>
      <c r="M14" s="66"/>
      <c r="N14" s="66">
        <v>0</v>
      </c>
      <c r="O14" s="66"/>
      <c r="P14" s="66">
        <v>0</v>
      </c>
      <c r="Q14" s="61"/>
      <c r="R14" s="66">
        <v>0</v>
      </c>
      <c r="S14" s="61"/>
      <c r="T14" s="66">
        <v>0</v>
      </c>
    </row>
    <row r="15" spans="1:21">
      <c r="A15" s="17">
        <v>6</v>
      </c>
      <c r="C15" s="44" t="s">
        <v>143</v>
      </c>
      <c r="F15" s="61">
        <f>F13+F14</f>
        <v>5363.4058500000001</v>
      </c>
      <c r="G15" s="61">
        <f t="shared" ref="G15:L15" si="1">G13+G14</f>
        <v>5570.9436799999994</v>
      </c>
      <c r="H15" s="61">
        <f t="shared" si="1"/>
        <v>5402.8081500000008</v>
      </c>
      <c r="I15" s="61">
        <f t="shared" si="1"/>
        <v>5431.7756200000003</v>
      </c>
      <c r="J15" s="61">
        <f t="shared" si="1"/>
        <v>5708.62745</v>
      </c>
      <c r="K15" s="60">
        <f t="shared" si="1"/>
        <v>5352.7430700000004</v>
      </c>
      <c r="L15" s="61">
        <f t="shared" si="1"/>
        <v>5766.4192999999996</v>
      </c>
      <c r="M15" s="61"/>
      <c r="N15" s="61">
        <f>N13+N14</f>
        <v>9180.7313510468011</v>
      </c>
      <c r="O15" s="61"/>
      <c r="P15" s="61">
        <f>P13+P14</f>
        <v>9022.9838795776323</v>
      </c>
      <c r="Q15" s="61"/>
      <c r="R15" s="61">
        <f>R13+R14</f>
        <v>5256.7773279867424</v>
      </c>
      <c r="S15" s="61"/>
      <c r="T15" s="61">
        <f>T13+T14</f>
        <v>5333.5660769584301</v>
      </c>
    </row>
    <row r="16" spans="1:21">
      <c r="A16" s="17">
        <v>7</v>
      </c>
      <c r="C16" s="44" t="s">
        <v>144</v>
      </c>
      <c r="E16" s="17" t="s">
        <v>145</v>
      </c>
      <c r="F16" s="86">
        <f>F13/F12*100</f>
        <v>86.555758293618524</v>
      </c>
      <c r="G16" s="86">
        <f t="shared" ref="G16:L16" si="2">G13/G12*100</f>
        <v>96.00652124845827</v>
      </c>
      <c r="H16" s="86">
        <f t="shared" si="2"/>
        <v>114.60131114716292</v>
      </c>
      <c r="I16" s="86">
        <f t="shared" si="2"/>
        <v>113.31192965961834</v>
      </c>
      <c r="J16" s="86">
        <f t="shared" si="2"/>
        <v>97.609801264698319</v>
      </c>
      <c r="K16" s="86">
        <f t="shared" si="2"/>
        <v>116.33755909223818</v>
      </c>
      <c r="L16" s="86">
        <f t="shared" si="2"/>
        <v>160.80724075508829</v>
      </c>
      <c r="M16" s="96"/>
      <c r="N16" s="86">
        <f>N13/N12*100</f>
        <v>159.99206845777459</v>
      </c>
      <c r="O16" s="96"/>
      <c r="P16" s="86">
        <f>P13/P12*100</f>
        <v>156.68510423575776</v>
      </c>
      <c r="Q16" s="61"/>
      <c r="R16" s="86">
        <f>+R13/R12*100</f>
        <v>93.997824604907407</v>
      </c>
      <c r="S16" s="61"/>
      <c r="T16" s="86">
        <f>+T13/T12*100</f>
        <v>94.51522904286827</v>
      </c>
    </row>
    <row r="18" spans="6:12">
      <c r="F18" s="301"/>
      <c r="G18" s="143"/>
      <c r="H18" s="143"/>
      <c r="I18" s="143"/>
      <c r="J18" s="143"/>
      <c r="K18" s="143"/>
      <c r="L18" s="143"/>
    </row>
    <row r="19" spans="6:12">
      <c r="F19" s="134"/>
      <c r="G19" s="134"/>
      <c r="H19" s="134"/>
      <c r="I19" s="134"/>
      <c r="J19" s="134"/>
      <c r="K19" s="134"/>
      <c r="L19" s="134"/>
    </row>
  </sheetData>
  <mergeCells count="3">
    <mergeCell ref="R7:T7"/>
    <mergeCell ref="N7:P7"/>
    <mergeCell ref="F7:L7"/>
  </mergeCells>
  <phoneticPr fontId="10" type="noConversion"/>
  <printOptions horizontalCentered="1"/>
  <pageMargins left="0.5" right="0.5" top="0.75" bottom="0.75" header="0.5" footer="0.5"/>
  <pageSetup scale="61" fitToHeight="0" orientation="landscape" useFirstPageNumber="1" r:id="rId1"/>
  <headerFooter alignWithMargins="0">
    <oddHeader>&amp;R&amp;"Arial,Bold"Schedule 4.1
Page &amp;P of 1</oddHeader>
  </headerFooter>
  <ignoredErrors>
    <ignoredError sqref="A5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pageSetUpPr fitToPage="1"/>
  </sheetPr>
  <dimension ref="A1:AF60"/>
  <sheetViews>
    <sheetView zoomScale="80" zoomScaleNormal="80" zoomScaleSheetLayoutView="100" workbookViewId="0">
      <selection activeCell="Y16" sqref="Y16"/>
    </sheetView>
  </sheetViews>
  <sheetFormatPr defaultColWidth="7.54296875" defaultRowHeight="15.5"/>
  <cols>
    <col min="1" max="1" width="6" style="16" bestFit="1" customWidth="1"/>
    <col min="2" max="2" width="2.1796875" style="16" customWidth="1"/>
    <col min="3" max="3" width="39.54296875" style="16" customWidth="1"/>
    <col min="4" max="4" width="2.1796875" style="16" customWidth="1"/>
    <col min="5" max="5" width="14.1796875" style="17" bestFit="1" customWidth="1"/>
    <col min="6" max="6" width="12.1796875" style="17" bestFit="1" customWidth="1"/>
    <col min="7" max="7" width="13.7265625" style="16" bestFit="1" customWidth="1"/>
    <col min="8" max="8" width="15.54296875" style="16" bestFit="1" customWidth="1"/>
    <col min="9" max="11" width="13.7265625" style="16" bestFit="1" customWidth="1"/>
    <col min="12" max="12" width="15.1796875" style="16" customWidth="1"/>
    <col min="13" max="13" width="2" style="16" customWidth="1"/>
    <col min="14" max="14" width="12.1796875" style="16" bestFit="1" customWidth="1"/>
    <col min="15" max="15" width="2.453125" style="16" customWidth="1"/>
    <col min="16" max="16" width="12.1796875" style="16" bestFit="1" customWidth="1"/>
    <col min="17" max="17" width="2.1796875" style="16" customWidth="1"/>
    <col min="18" max="18" width="12.7265625" style="16" customWidth="1"/>
    <col min="19" max="19" width="2.1796875" style="16" customWidth="1"/>
    <col min="20" max="20" width="12.7265625" style="16" customWidth="1"/>
    <col min="21" max="21" width="2.1796875" style="16" customWidth="1"/>
    <col min="22" max="16384" width="7.54296875" style="16"/>
  </cols>
  <sheetData>
    <row r="1" spans="1:21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31"/>
    </row>
    <row r="2" spans="1:21">
      <c r="A2" s="14" t="str">
        <f>'S1.1'!A2</f>
        <v>2023 - 2024 General Rate Application (GRA)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31"/>
    </row>
    <row r="3" spans="1:2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31"/>
    </row>
    <row r="4" spans="1:21">
      <c r="A4" s="14" t="s">
        <v>146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</row>
    <row r="5" spans="1:21">
      <c r="A5" s="520"/>
      <c r="B5" s="520"/>
      <c r="C5" s="520"/>
      <c r="D5" s="520"/>
      <c r="E5" s="520"/>
      <c r="F5" s="520"/>
      <c r="G5" s="520"/>
      <c r="H5" s="520"/>
      <c r="I5" s="520"/>
      <c r="J5" s="520"/>
      <c r="K5" s="520"/>
      <c r="L5" s="520"/>
      <c r="M5" s="520"/>
      <c r="N5" s="520"/>
      <c r="O5" s="520"/>
      <c r="P5" s="520"/>
      <c r="Q5" s="520"/>
      <c r="R5" s="520"/>
      <c r="S5" s="520"/>
      <c r="T5" s="520"/>
    </row>
    <row r="6" spans="1:21">
      <c r="A6" s="6" t="s">
        <v>7</v>
      </c>
      <c r="B6" s="6"/>
      <c r="C6" s="6"/>
      <c r="D6" s="6"/>
      <c r="E6" s="6" t="s">
        <v>8</v>
      </c>
      <c r="F6" s="519" t="s">
        <v>9</v>
      </c>
      <c r="G6" s="519"/>
      <c r="H6" s="519"/>
      <c r="I6" s="519"/>
      <c r="J6" s="519"/>
      <c r="K6" s="519"/>
      <c r="L6" s="519"/>
      <c r="M6" s="6"/>
      <c r="N6" s="519" t="s">
        <v>10</v>
      </c>
      <c r="O6" s="519"/>
      <c r="P6" s="519"/>
      <c r="Q6" s="18"/>
      <c r="R6" s="519" t="s">
        <v>11</v>
      </c>
      <c r="S6" s="519"/>
      <c r="T6" s="519"/>
    </row>
    <row r="7" spans="1:21">
      <c r="A7" s="7" t="s">
        <v>12</v>
      </c>
      <c r="B7" s="6"/>
      <c r="C7" s="7" t="s">
        <v>13</v>
      </c>
      <c r="D7" s="6"/>
      <c r="E7" s="7" t="s">
        <v>14</v>
      </c>
      <c r="F7" s="7">
        <v>2016</v>
      </c>
      <c r="G7" s="7">
        <v>2017</v>
      </c>
      <c r="H7" s="7">
        <v>2018</v>
      </c>
      <c r="I7" s="7">
        <v>2019</v>
      </c>
      <c r="J7" s="7">
        <v>2020</v>
      </c>
      <c r="K7" s="7">
        <v>2021</v>
      </c>
      <c r="L7" s="7">
        <v>2022</v>
      </c>
      <c r="M7" s="18"/>
      <c r="N7" s="282">
        <v>2023</v>
      </c>
      <c r="O7" s="282"/>
      <c r="P7" s="282">
        <v>2024</v>
      </c>
      <c r="Q7" s="18"/>
      <c r="R7" s="7">
        <v>2016</v>
      </c>
      <c r="S7" s="6"/>
      <c r="T7" s="240">
        <v>2017</v>
      </c>
    </row>
    <row r="8" spans="1:21">
      <c r="A8" s="17"/>
      <c r="C8" s="50"/>
      <c r="E8" s="16"/>
      <c r="F8" s="16"/>
    </row>
    <row r="9" spans="1:21">
      <c r="A9" s="17">
        <v>1</v>
      </c>
      <c r="C9" s="236" t="s">
        <v>147</v>
      </c>
      <c r="E9" s="16"/>
      <c r="F9" s="16"/>
    </row>
    <row r="10" spans="1:21">
      <c r="A10" s="17">
        <f>A9+1</f>
        <v>2</v>
      </c>
      <c r="C10" s="44" t="s">
        <v>148</v>
      </c>
      <c r="F10" s="320">
        <v>73.412220477404048</v>
      </c>
      <c r="G10" s="189">
        <v>83.652557889251796</v>
      </c>
      <c r="H10" s="189">
        <v>100.04667300763256</v>
      </c>
      <c r="I10" s="189">
        <v>99.10765180018366</v>
      </c>
      <c r="J10" s="189">
        <v>74.969314671023881</v>
      </c>
      <c r="K10" s="189">
        <v>95.708861218936107</v>
      </c>
      <c r="L10" s="189">
        <v>147.45515202700864</v>
      </c>
      <c r="M10" s="189"/>
      <c r="N10" s="189">
        <v>135.2128798209408</v>
      </c>
      <c r="O10" s="189"/>
      <c r="P10" s="189">
        <v>135.2128798209408</v>
      </c>
      <c r="Q10" s="189"/>
      <c r="R10" s="189">
        <v>76.180000000000007</v>
      </c>
      <c r="S10" s="189"/>
      <c r="T10" s="189">
        <v>76.180000000000007</v>
      </c>
      <c r="U10" s="62"/>
    </row>
    <row r="11" spans="1:21">
      <c r="A11" s="17">
        <f>A10+1</f>
        <v>3</v>
      </c>
      <c r="C11" s="44" t="s">
        <v>149</v>
      </c>
      <c r="F11" s="320">
        <v>73.612540469636187</v>
      </c>
      <c r="G11" s="189">
        <v>82.875242035596827</v>
      </c>
      <c r="H11" s="189">
        <v>100.12745597207942</v>
      </c>
      <c r="I11" s="189">
        <v>96.115745528434545</v>
      </c>
      <c r="J11" s="189">
        <v>78.974188677441504</v>
      </c>
      <c r="K11" s="189">
        <v>94.160265230263136</v>
      </c>
      <c r="L11" s="189">
        <v>139.16126348824619</v>
      </c>
      <c r="M11" s="189"/>
      <c r="N11" s="189">
        <v>151.39413587566676</v>
      </c>
      <c r="O11" s="189"/>
      <c r="P11" s="189">
        <v>151.39413587566676</v>
      </c>
      <c r="Q11" s="189"/>
      <c r="R11" s="189">
        <v>92.4</v>
      </c>
      <c r="S11" s="189"/>
      <c r="T11" s="189">
        <v>92.4</v>
      </c>
      <c r="U11" s="62"/>
    </row>
    <row r="12" spans="1:21">
      <c r="A12" s="17">
        <f>A11+1</f>
        <v>4</v>
      </c>
      <c r="C12" s="44" t="s">
        <v>150</v>
      </c>
      <c r="F12" s="320">
        <v>71.347911741078235</v>
      </c>
      <c r="G12" s="189">
        <v>79.975944405736726</v>
      </c>
      <c r="H12" s="189">
        <v>97.553144264122281</v>
      </c>
      <c r="I12" s="189">
        <v>93.107180239544817</v>
      </c>
      <c r="J12" s="189">
        <v>76.929566067899472</v>
      </c>
      <c r="K12" s="189">
        <v>92.369918043289829</v>
      </c>
      <c r="L12" s="189">
        <v>137.66066523090686</v>
      </c>
      <c r="M12" s="189"/>
      <c r="N12" s="189">
        <v>132.65267884337092</v>
      </c>
      <c r="O12" s="189"/>
      <c r="P12" s="189">
        <v>132.65267884337092</v>
      </c>
      <c r="Q12" s="189"/>
      <c r="R12" s="189">
        <v>91.9</v>
      </c>
      <c r="S12" s="189"/>
      <c r="T12" s="189">
        <v>91.9</v>
      </c>
      <c r="U12" s="62"/>
    </row>
    <row r="13" spans="1:21">
      <c r="A13" s="17">
        <f>A12+1</f>
        <v>5</v>
      </c>
      <c r="C13" s="44" t="s">
        <v>151</v>
      </c>
      <c r="F13" s="320">
        <v>179.46055025438011</v>
      </c>
      <c r="G13" s="189">
        <v>187.36355519954378</v>
      </c>
      <c r="H13" s="189">
        <v>225.9919588109066</v>
      </c>
      <c r="I13" s="189">
        <v>229.35643905422904</v>
      </c>
      <c r="J13" s="189">
        <v>232.31482004299124</v>
      </c>
      <c r="K13" s="189">
        <v>247.21048472582234</v>
      </c>
      <c r="L13" s="189">
        <v>308.55159823126291</v>
      </c>
      <c r="M13" s="189"/>
      <c r="N13" s="189">
        <v>319.2120607296506</v>
      </c>
      <c r="O13" s="189"/>
      <c r="P13" s="189">
        <v>319.2120607296506</v>
      </c>
      <c r="Q13" s="189"/>
      <c r="R13" s="189">
        <v>201.71</v>
      </c>
      <c r="S13" s="189"/>
      <c r="T13" s="189">
        <v>201.71</v>
      </c>
      <c r="U13" s="62"/>
    </row>
    <row r="14" spans="1:21">
      <c r="A14" s="17">
        <f>A13+1</f>
        <v>6</v>
      </c>
      <c r="C14" s="44" t="s">
        <v>152</v>
      </c>
      <c r="F14" s="320">
        <v>76.258729570103839</v>
      </c>
      <c r="G14" s="189">
        <v>89.442943720492195</v>
      </c>
      <c r="H14" s="189">
        <v>106.68535912273609</v>
      </c>
      <c r="I14" s="189">
        <v>102.20889115456704</v>
      </c>
      <c r="J14" s="189">
        <v>84.847080576326007</v>
      </c>
      <c r="K14" s="189">
        <v>96.767174656648038</v>
      </c>
      <c r="L14" s="189">
        <v>142.77265436481298</v>
      </c>
      <c r="M14" s="189"/>
      <c r="N14" s="189">
        <v>147.47053978623694</v>
      </c>
      <c r="O14" s="189"/>
      <c r="P14" s="189">
        <v>147.47053978623694</v>
      </c>
      <c r="Q14" s="189"/>
      <c r="R14" s="189">
        <v>88.72</v>
      </c>
      <c r="S14" s="189"/>
      <c r="T14" s="189">
        <v>88.72</v>
      </c>
      <c r="U14" s="62"/>
    </row>
    <row r="15" spans="1:21">
      <c r="A15" s="17">
        <f t="shared" ref="A15:A41" si="0">A14+1</f>
        <v>7</v>
      </c>
      <c r="C15" s="44" t="s">
        <v>153</v>
      </c>
      <c r="F15" s="320">
        <v>100.73608982311461</v>
      </c>
      <c r="G15" s="189">
        <v>98.377914380269644</v>
      </c>
      <c r="H15" s="189">
        <v>61.85476050929195</v>
      </c>
      <c r="I15" s="189">
        <v>96.104557663543105</v>
      </c>
      <c r="J15" s="189">
        <v>94.178884570522925</v>
      </c>
      <c r="K15" s="189">
        <v>98.950299512277553</v>
      </c>
      <c r="L15" s="189">
        <v>122.93593868060393</v>
      </c>
      <c r="M15" s="189"/>
      <c r="N15" s="189">
        <v>122.93593868060393</v>
      </c>
      <c r="O15" s="189"/>
      <c r="P15" s="189">
        <v>122.93593868060393</v>
      </c>
      <c r="Q15" s="189"/>
      <c r="R15" s="189">
        <v>97.81</v>
      </c>
      <c r="S15" s="189"/>
      <c r="T15" s="189">
        <v>97.81</v>
      </c>
      <c r="U15" s="62"/>
    </row>
    <row r="16" spans="1:21">
      <c r="A16" s="17">
        <f t="shared" si="0"/>
        <v>8</v>
      </c>
      <c r="C16" s="44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</row>
    <row r="17" spans="1:32">
      <c r="A17" s="17">
        <f t="shared" si="0"/>
        <v>9</v>
      </c>
      <c r="C17" s="236" t="s">
        <v>154</v>
      </c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</row>
    <row r="18" spans="1:32">
      <c r="A18" s="17">
        <f t="shared" si="0"/>
        <v>10</v>
      </c>
      <c r="C18" s="44" t="s">
        <v>148</v>
      </c>
      <c r="F18" s="38">
        <v>14991.6</v>
      </c>
      <c r="G18" s="38">
        <v>15296.011</v>
      </c>
      <c r="H18" s="38">
        <v>15386.069</v>
      </c>
      <c r="I18" s="38">
        <v>15170.571</v>
      </c>
      <c r="J18" s="38">
        <v>14755.829</v>
      </c>
      <c r="K18" s="38">
        <v>15139.585999999999</v>
      </c>
      <c r="L18" s="38">
        <v>15116.373</v>
      </c>
      <c r="M18" s="69"/>
      <c r="N18" s="35">
        <v>14915.967856330823</v>
      </c>
      <c r="O18" s="35"/>
      <c r="P18" s="35">
        <v>15195.182729478458</v>
      </c>
      <c r="Q18" s="69"/>
      <c r="R18" s="69">
        <v>14690.233997155203</v>
      </c>
      <c r="S18" s="69"/>
      <c r="T18" s="69">
        <v>14688.156265707297</v>
      </c>
    </row>
    <row r="19" spans="1:32">
      <c r="A19" s="17">
        <f t="shared" si="0"/>
        <v>11</v>
      </c>
      <c r="C19" s="44" t="s">
        <v>149</v>
      </c>
      <c r="F19" s="38">
        <v>1791.7329999999999</v>
      </c>
      <c r="G19" s="38">
        <v>2006.125</v>
      </c>
      <c r="H19" s="38">
        <v>1911.35</v>
      </c>
      <c r="I19" s="38">
        <v>1836.7329999999999</v>
      </c>
      <c r="J19" s="38">
        <v>1841.165</v>
      </c>
      <c r="K19" s="38">
        <v>1803.21</v>
      </c>
      <c r="L19" s="38">
        <v>1744.5050000000001</v>
      </c>
      <c r="M19" s="69"/>
      <c r="N19" s="35">
        <v>1683.5346093902745</v>
      </c>
      <c r="O19" s="35"/>
      <c r="P19" s="35">
        <v>1626.7473753105046</v>
      </c>
      <c r="Q19" s="69"/>
      <c r="R19" s="69">
        <v>1820.4219754347328</v>
      </c>
      <c r="S19" s="69"/>
      <c r="T19" s="69">
        <v>1907.9677792307532</v>
      </c>
    </row>
    <row r="20" spans="1:32">
      <c r="A20" s="17">
        <f t="shared" si="0"/>
        <v>12</v>
      </c>
      <c r="C20" s="44" t="s">
        <v>150</v>
      </c>
      <c r="F20" s="38">
        <v>1556.4559999999999</v>
      </c>
      <c r="G20" s="38">
        <v>1880.384</v>
      </c>
      <c r="H20" s="38">
        <v>1936.2170000000001</v>
      </c>
      <c r="I20" s="38">
        <v>1966.162</v>
      </c>
      <c r="J20" s="38">
        <v>2016.79</v>
      </c>
      <c r="K20" s="38">
        <v>1957.9459999999999</v>
      </c>
      <c r="L20" s="38">
        <v>1922.8109999999999</v>
      </c>
      <c r="M20" s="69"/>
      <c r="N20" s="35">
        <v>2066.5575579210026</v>
      </c>
      <c r="O20" s="35"/>
      <c r="P20" s="35">
        <v>2141.9478474601133</v>
      </c>
      <c r="Q20" s="69"/>
      <c r="R20" s="69">
        <v>1781.8565091969574</v>
      </c>
      <c r="S20" s="69"/>
      <c r="T20" s="69">
        <v>1756.2273424056307</v>
      </c>
    </row>
    <row r="21" spans="1:32">
      <c r="A21" s="17">
        <f t="shared" si="0"/>
        <v>13</v>
      </c>
      <c r="C21" s="44" t="s">
        <v>151</v>
      </c>
      <c r="F21" s="38">
        <v>2277.9969999999998</v>
      </c>
      <c r="G21" s="38">
        <v>2575.1559999999999</v>
      </c>
      <c r="H21" s="38">
        <v>2522.261</v>
      </c>
      <c r="I21" s="38">
        <v>2569.2950000000001</v>
      </c>
      <c r="J21" s="38">
        <v>2853.0590000000002</v>
      </c>
      <c r="K21" s="38">
        <v>2566.5700000000002</v>
      </c>
      <c r="L21" s="38">
        <v>2517.2060000000001</v>
      </c>
      <c r="M21" s="69"/>
      <c r="N21" s="35">
        <v>2713.9279717478662</v>
      </c>
      <c r="O21" s="35"/>
      <c r="P21" s="35">
        <v>2365.0426687422291</v>
      </c>
      <c r="Q21" s="69"/>
      <c r="R21" s="69">
        <v>2215.596197223183</v>
      </c>
      <c r="S21" s="69"/>
      <c r="T21" s="69">
        <v>2308.9554028865878</v>
      </c>
    </row>
    <row r="22" spans="1:32">
      <c r="A22" s="17">
        <f t="shared" si="0"/>
        <v>14</v>
      </c>
      <c r="C22" s="44" t="s">
        <v>152</v>
      </c>
      <c r="F22" s="38">
        <v>219.52099999999999</v>
      </c>
      <c r="G22" s="38">
        <v>303.32</v>
      </c>
      <c r="H22" s="38">
        <v>268.50200000000001</v>
      </c>
      <c r="I22" s="38">
        <v>267.94299999999998</v>
      </c>
      <c r="J22" s="38">
        <v>247.428</v>
      </c>
      <c r="K22" s="38">
        <v>231.179</v>
      </c>
      <c r="L22" s="38">
        <v>214.69</v>
      </c>
      <c r="M22" s="69"/>
      <c r="N22" s="35">
        <v>205.51294449418148</v>
      </c>
      <c r="O22" s="35"/>
      <c r="P22" s="35">
        <v>221.17111362064821</v>
      </c>
      <c r="Q22" s="69"/>
      <c r="R22" s="69">
        <v>215.05875898253842</v>
      </c>
      <c r="S22" s="69"/>
      <c r="T22" s="69">
        <v>228.01859401576371</v>
      </c>
    </row>
    <row r="23" spans="1:32">
      <c r="A23" s="17">
        <f t="shared" si="0"/>
        <v>15</v>
      </c>
      <c r="C23" s="44" t="s">
        <v>153</v>
      </c>
      <c r="F23" s="42">
        <v>44</v>
      </c>
      <c r="G23" s="42">
        <v>99.382000000000005</v>
      </c>
      <c r="H23" s="42">
        <v>110.292</v>
      </c>
      <c r="I23" s="42">
        <v>184.63900000000001</v>
      </c>
      <c r="J23" s="42">
        <v>346.416</v>
      </c>
      <c r="K23" s="42">
        <v>102.77200000000001</v>
      </c>
      <c r="L23" s="42">
        <v>283.84399999999999</v>
      </c>
      <c r="M23" s="69"/>
      <c r="N23" s="42">
        <v>114.89009969950209</v>
      </c>
      <c r="O23" s="35"/>
      <c r="P23" s="42">
        <v>208.33097471109556</v>
      </c>
      <c r="Q23" s="69"/>
      <c r="R23" s="42">
        <v>39.410888141050243</v>
      </c>
      <c r="S23" s="69"/>
      <c r="T23" s="75">
        <v>40.25768132238877</v>
      </c>
    </row>
    <row r="24" spans="1:32">
      <c r="A24" s="17">
        <f t="shared" si="0"/>
        <v>16</v>
      </c>
      <c r="F24" s="143">
        <f t="shared" ref="F24:L24" si="1">SUM(F18:F23)</f>
        <v>20881.306999999997</v>
      </c>
      <c r="G24" s="143">
        <f t="shared" si="1"/>
        <v>22160.377999999997</v>
      </c>
      <c r="H24" s="143">
        <f t="shared" si="1"/>
        <v>22134.690999999999</v>
      </c>
      <c r="I24" s="143">
        <f t="shared" si="1"/>
        <v>21995.342999999997</v>
      </c>
      <c r="J24" s="143">
        <f t="shared" si="1"/>
        <v>22060.687000000002</v>
      </c>
      <c r="K24" s="143">
        <f t="shared" si="1"/>
        <v>21801.262999999999</v>
      </c>
      <c r="L24" s="143">
        <f t="shared" si="1"/>
        <v>21799.429000000004</v>
      </c>
      <c r="M24" s="143"/>
      <c r="N24" s="143">
        <f>SUM(N18:N23)</f>
        <v>21700.39103958365</v>
      </c>
      <c r="O24" s="143"/>
      <c r="P24" s="143">
        <f>SUM(P18:P23)</f>
        <v>21758.422709323047</v>
      </c>
      <c r="Q24" s="143"/>
      <c r="R24" s="143">
        <f>SUM(R18:R23)</f>
        <v>20762.578326133662</v>
      </c>
      <c r="S24" s="143"/>
      <c r="T24" s="143">
        <f>SUM(T18:T23)</f>
        <v>20929.583065568419</v>
      </c>
      <c r="X24" s="143"/>
    </row>
    <row r="25" spans="1:32">
      <c r="A25" s="17">
        <f t="shared" si="0"/>
        <v>17</v>
      </c>
      <c r="F25" s="16"/>
    </row>
    <row r="26" spans="1:32">
      <c r="A26" s="17">
        <f t="shared" si="0"/>
        <v>18</v>
      </c>
      <c r="C26" s="237" t="s">
        <v>155</v>
      </c>
      <c r="F26" s="16"/>
      <c r="K26" s="16" t="s">
        <v>156</v>
      </c>
      <c r="X26" s="18"/>
    </row>
    <row r="27" spans="1:32">
      <c r="A27" s="17">
        <f t="shared" si="0"/>
        <v>19</v>
      </c>
      <c r="C27" s="44" t="s">
        <v>148</v>
      </c>
      <c r="F27" s="189">
        <v>3.8981463759615318</v>
      </c>
      <c r="G27" s="189">
        <v>3.8997247983321586</v>
      </c>
      <c r="H27" s="189">
        <v>3.9343329180763211</v>
      </c>
      <c r="I27" s="189">
        <v>3.8914185192603776</v>
      </c>
      <c r="J27" s="189">
        <v>3.8724772582358531</v>
      </c>
      <c r="K27" s="189">
        <v>3.9194413178091598</v>
      </c>
      <c r="L27" s="189">
        <v>3.7863637973659743</v>
      </c>
      <c r="M27" s="191"/>
      <c r="N27" s="283">
        <v>3.8803519717692394</v>
      </c>
      <c r="O27" s="283"/>
      <c r="P27" s="283">
        <v>3.8803519717692394</v>
      </c>
      <c r="Q27" s="191"/>
      <c r="R27" s="191">
        <v>3.8486464109157734</v>
      </c>
      <c r="S27" s="191"/>
      <c r="T27" s="191">
        <v>3.8486464109157734</v>
      </c>
      <c r="X27" s="152"/>
    </row>
    <row r="28" spans="1:32">
      <c r="A28" s="17">
        <f t="shared" si="0"/>
        <v>20</v>
      </c>
      <c r="C28" s="44" t="s">
        <v>149</v>
      </c>
      <c r="F28" s="189">
        <v>3.6494889037578839</v>
      </c>
      <c r="G28" s="189">
        <v>3.5882216005529735</v>
      </c>
      <c r="H28" s="189">
        <v>3.5866578168189225</v>
      </c>
      <c r="I28" s="189">
        <v>3.5554769980528373</v>
      </c>
      <c r="J28" s="189">
        <v>3.4377970867607472</v>
      </c>
      <c r="K28" s="189">
        <v>4.0244518913055858</v>
      </c>
      <c r="L28" s="189">
        <v>3.4054337761568823</v>
      </c>
      <c r="M28" s="191"/>
      <c r="N28" s="283">
        <v>3.5896008907872092</v>
      </c>
      <c r="O28" s="283"/>
      <c r="P28" s="283">
        <v>3.5896008907872092</v>
      </c>
      <c r="Q28" s="191"/>
      <c r="R28" s="191">
        <v>3.4252614508470209</v>
      </c>
      <c r="S28" s="191"/>
      <c r="T28" s="191">
        <v>3.4252614508470209</v>
      </c>
      <c r="X28" s="152"/>
    </row>
    <row r="29" spans="1:32">
      <c r="A29" s="17">
        <f t="shared" si="0"/>
        <v>21</v>
      </c>
      <c r="C29" s="44" t="s">
        <v>150</v>
      </c>
      <c r="F29" s="189">
        <v>3.3663573337272976</v>
      </c>
      <c r="G29" s="189">
        <v>3.4151054391901283</v>
      </c>
      <c r="H29" s="189">
        <v>3.6698694630060715</v>
      </c>
      <c r="I29" s="189">
        <v>3.5421008768103155</v>
      </c>
      <c r="J29" s="189">
        <v>3.7071109736929282</v>
      </c>
      <c r="K29" s="189">
        <v>4.074757759063667</v>
      </c>
      <c r="L29" s="189">
        <v>3.1140571652307689</v>
      </c>
      <c r="M29" s="191"/>
      <c r="N29" s="283">
        <v>3.5967221736964872</v>
      </c>
      <c r="O29" s="283"/>
      <c r="P29" s="283">
        <v>3.5967221736964872</v>
      </c>
      <c r="Q29" s="191"/>
      <c r="R29" s="191">
        <v>3.6107047748508792</v>
      </c>
      <c r="S29" s="191"/>
      <c r="T29" s="191">
        <v>3.6107047748508792</v>
      </c>
      <c r="X29" s="152"/>
    </row>
    <row r="30" spans="1:32">
      <c r="A30" s="17">
        <f t="shared" si="0"/>
        <v>22</v>
      </c>
      <c r="C30" s="44" t="s">
        <v>151</v>
      </c>
      <c r="F30" s="189">
        <v>3.4011341950564984</v>
      </c>
      <c r="G30" s="189">
        <v>3.6077521315374841</v>
      </c>
      <c r="H30" s="189">
        <v>3.6840821833391986</v>
      </c>
      <c r="I30" s="189">
        <v>3.8364256490362951</v>
      </c>
      <c r="J30" s="189">
        <v>3.5273920561534364</v>
      </c>
      <c r="K30" s="189">
        <v>3.237131576797903</v>
      </c>
      <c r="L30" s="189">
        <v>4.4361811691043664</v>
      </c>
      <c r="M30" s="191"/>
      <c r="N30" s="283">
        <v>3.6976157647300285</v>
      </c>
      <c r="O30" s="283"/>
      <c r="P30" s="283">
        <v>3.6976157647300285</v>
      </c>
      <c r="Q30" s="191"/>
      <c r="R30" s="191">
        <v>3.397084706270594</v>
      </c>
      <c r="S30" s="191"/>
      <c r="T30" s="191">
        <v>3.397084706270594</v>
      </c>
      <c r="X30" s="152"/>
    </row>
    <row r="31" spans="1:32">
      <c r="A31" s="17">
        <f t="shared" si="0"/>
        <v>23</v>
      </c>
      <c r="C31" s="44" t="s">
        <v>152</v>
      </c>
      <c r="F31" s="189">
        <v>2.7553734404620829</v>
      </c>
      <c r="G31" s="189">
        <v>3.0241354563830374</v>
      </c>
      <c r="H31" s="189">
        <v>2.9662895032800183</v>
      </c>
      <c r="I31" s="189">
        <v>2.3317059552777644</v>
      </c>
      <c r="J31" s="189">
        <v>2.8773039666019331</v>
      </c>
      <c r="K31" s="189">
        <v>2.7192794666340454</v>
      </c>
      <c r="L31" s="189">
        <v>2.4313860236696883</v>
      </c>
      <c r="M31" s="191"/>
      <c r="N31" s="283">
        <v>2.6460979973033836</v>
      </c>
      <c r="O31" s="283"/>
      <c r="P31" s="283">
        <v>2.6460979973033836</v>
      </c>
      <c r="Q31" s="191"/>
      <c r="R31" s="191">
        <v>2.6769103441460582</v>
      </c>
      <c r="S31" s="191"/>
      <c r="T31" s="191">
        <v>2.6769103441460582</v>
      </c>
      <c r="X31" s="152"/>
    </row>
    <row r="32" spans="1:32">
      <c r="A32" s="17">
        <f t="shared" si="0"/>
        <v>24</v>
      </c>
      <c r="C32" s="44" t="s">
        <v>153</v>
      </c>
      <c r="F32" s="190">
        <v>3.1395325976984374</v>
      </c>
      <c r="G32" s="190">
        <v>3.2047017684838206</v>
      </c>
      <c r="H32" s="190">
        <v>3.0305603206307095</v>
      </c>
      <c r="I32" s="190">
        <v>3.2035176424314313</v>
      </c>
      <c r="J32" s="190">
        <v>3.2821139399929571</v>
      </c>
      <c r="K32" s="190">
        <v>1.854529207409455</v>
      </c>
      <c r="L32" s="190">
        <v>3.0025018027556323</v>
      </c>
      <c r="M32" s="191"/>
      <c r="N32" s="284">
        <v>2.9409965645177167</v>
      </c>
      <c r="O32" s="284"/>
      <c r="P32" s="284">
        <v>2.9409965645177167</v>
      </c>
      <c r="Q32" s="191"/>
      <c r="R32" s="190">
        <v>2.1952563749995293</v>
      </c>
      <c r="S32" s="191"/>
      <c r="T32" s="190">
        <v>2.1952563749995293</v>
      </c>
      <c r="X32" s="152"/>
      <c r="AF32"/>
    </row>
    <row r="33" spans="1:20">
      <c r="A33" s="17">
        <f t="shared" si="0"/>
        <v>25</v>
      </c>
      <c r="C33" s="44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</row>
    <row r="34" spans="1:20">
      <c r="A34" s="17">
        <f t="shared" si="0"/>
        <v>26</v>
      </c>
      <c r="C34" s="237" t="s">
        <v>157</v>
      </c>
      <c r="F34" s="16"/>
    </row>
    <row r="35" spans="1:20">
      <c r="A35" s="17">
        <f t="shared" si="0"/>
        <v>27</v>
      </c>
      <c r="C35" s="44" t="s">
        <v>148</v>
      </c>
      <c r="F35" s="38">
        <v>3845.8278766666667</v>
      </c>
      <c r="G35" s="38">
        <v>3922.3308800000004</v>
      </c>
      <c r="H35" s="38">
        <v>3910.7186199999992</v>
      </c>
      <c r="I35" s="38">
        <v>3898.4681099999993</v>
      </c>
      <c r="J35" s="38">
        <v>3810.4365799999996</v>
      </c>
      <c r="K35" s="38">
        <v>3862.6897999999997</v>
      </c>
      <c r="L35" s="38">
        <v>3992.3192299999996</v>
      </c>
      <c r="M35" s="66"/>
      <c r="N35" s="66">
        <f>N18/N27</f>
        <v>3843.9729088621602</v>
      </c>
      <c r="O35" s="66"/>
      <c r="P35" s="66">
        <f t="shared" ref="P35:P40" si="2">P18/P27</f>
        <v>3915.9289775845364</v>
      </c>
      <c r="Q35" s="66"/>
      <c r="R35" s="66">
        <f t="shared" ref="R35:R40" si="3">+R18/R27</f>
        <v>3816.9871764498384</v>
      </c>
      <c r="S35" s="66"/>
      <c r="T35" s="66">
        <f t="shared" ref="T35:T40" si="4">+T18/T27</f>
        <v>3816.4473161389478</v>
      </c>
    </row>
    <row r="36" spans="1:20">
      <c r="A36" s="17">
        <f t="shared" si="0"/>
        <v>28</v>
      </c>
      <c r="C36" s="44" t="s">
        <v>149</v>
      </c>
      <c r="F36" s="38">
        <v>490.9545</v>
      </c>
      <c r="G36" s="38">
        <v>559.08614999999998</v>
      </c>
      <c r="H36" s="38">
        <v>532.90559000000007</v>
      </c>
      <c r="I36" s="38">
        <v>516.59256999999991</v>
      </c>
      <c r="J36" s="38">
        <v>535.56534999999997</v>
      </c>
      <c r="K36" s="38">
        <v>448.06349999999992</v>
      </c>
      <c r="L36" s="38">
        <v>512.27101000000005</v>
      </c>
      <c r="M36" s="66"/>
      <c r="N36" s="66">
        <f t="shared" ref="N36:N40" si="5">N19/N28</f>
        <v>469.00328493652415</v>
      </c>
      <c r="O36" s="66"/>
      <c r="P36" s="66">
        <f t="shared" si="2"/>
        <v>453.18335514279261</v>
      </c>
      <c r="Q36" s="66"/>
      <c r="R36" s="66">
        <f t="shared" si="3"/>
        <v>531.46949555765059</v>
      </c>
      <c r="S36" s="66"/>
      <c r="T36" s="66">
        <f t="shared" si="4"/>
        <v>557.02836312216061</v>
      </c>
    </row>
    <row r="37" spans="1:20">
      <c r="A37" s="17">
        <f t="shared" si="0"/>
        <v>29</v>
      </c>
      <c r="C37" s="44" t="s">
        <v>150</v>
      </c>
      <c r="F37" s="38">
        <v>515.03058888888893</v>
      </c>
      <c r="G37" s="38">
        <v>550.60789</v>
      </c>
      <c r="H37" s="38">
        <v>527.59832999999992</v>
      </c>
      <c r="I37" s="38">
        <v>555.0835699999999</v>
      </c>
      <c r="J37" s="38">
        <v>544.03281000000004</v>
      </c>
      <c r="K37" s="38">
        <v>480.50611000000004</v>
      </c>
      <c r="L37" s="38">
        <v>617.46169000000009</v>
      </c>
      <c r="M37" s="66"/>
      <c r="N37" s="66">
        <f t="shared" si="5"/>
        <v>574.56691346196567</v>
      </c>
      <c r="O37" s="66"/>
      <c r="P37" s="66">
        <f t="shared" si="2"/>
        <v>595.52774554692746</v>
      </c>
      <c r="Q37" s="66"/>
      <c r="R37" s="66">
        <f t="shared" si="3"/>
        <v>493.49271688116551</v>
      </c>
      <c r="S37" s="66"/>
      <c r="T37" s="66">
        <f t="shared" si="4"/>
        <v>486.39461044780717</v>
      </c>
    </row>
    <row r="38" spans="1:20">
      <c r="A38" s="17">
        <f t="shared" si="0"/>
        <v>30</v>
      </c>
      <c r="C38" s="44" t="s">
        <v>151</v>
      </c>
      <c r="F38" s="38">
        <v>702.42450399999996</v>
      </c>
      <c r="G38" s="38">
        <v>713.78406999999982</v>
      </c>
      <c r="H38" s="38">
        <v>684.63755000000003</v>
      </c>
      <c r="I38" s="38">
        <v>669.71062000000006</v>
      </c>
      <c r="J38" s="38">
        <v>808.8295700000001</v>
      </c>
      <c r="K38" s="38">
        <v>792.85316</v>
      </c>
      <c r="L38" s="38">
        <v>567.42633000000001</v>
      </c>
      <c r="M38" s="66"/>
      <c r="N38" s="66">
        <f t="shared" si="5"/>
        <v>733.96700588386216</v>
      </c>
      <c r="O38" s="66"/>
      <c r="P38" s="66">
        <f t="shared" si="2"/>
        <v>639.61288008920701</v>
      </c>
      <c r="Q38" s="66"/>
      <c r="R38" s="66">
        <f t="shared" si="3"/>
        <v>652.20516672235738</v>
      </c>
      <c r="S38" s="66"/>
      <c r="T38" s="66">
        <f t="shared" si="4"/>
        <v>679.68732090328649</v>
      </c>
    </row>
    <row r="39" spans="1:20">
      <c r="A39" s="17">
        <f t="shared" si="0"/>
        <v>31</v>
      </c>
      <c r="C39" s="44" t="s">
        <v>152</v>
      </c>
      <c r="F39" s="38">
        <v>79.670144444444446</v>
      </c>
      <c r="G39" s="38">
        <v>100.29974</v>
      </c>
      <c r="H39" s="38">
        <v>90.517799999999994</v>
      </c>
      <c r="I39" s="38">
        <v>114.91285999999999</v>
      </c>
      <c r="J39" s="38">
        <v>85.992999999999981</v>
      </c>
      <c r="K39" s="38">
        <v>85.014799999999994</v>
      </c>
      <c r="L39" s="38">
        <v>88.299430000000001</v>
      </c>
      <c r="M39" s="66"/>
      <c r="N39" s="66">
        <f t="shared" si="5"/>
        <v>77.666414737329461</v>
      </c>
      <c r="O39" s="66"/>
      <c r="P39" s="66">
        <f t="shared" si="2"/>
        <v>83.583870985141843</v>
      </c>
      <c r="Q39" s="66"/>
      <c r="R39" s="66">
        <f t="shared" si="3"/>
        <v>80.3384242781365</v>
      </c>
      <c r="S39" s="66"/>
      <c r="T39" s="66">
        <f t="shared" si="4"/>
        <v>85.179764990785401</v>
      </c>
    </row>
    <row r="40" spans="1:20">
      <c r="A40" s="17">
        <f t="shared" si="0"/>
        <v>32</v>
      </c>
      <c r="C40" s="44" t="s">
        <v>153</v>
      </c>
      <c r="F40" s="42">
        <v>20.915215229215228</v>
      </c>
      <c r="G40" s="42">
        <v>31.011310000000002</v>
      </c>
      <c r="H40" s="42">
        <v>36.393270000000001</v>
      </c>
      <c r="I40" s="42">
        <v>57.636330000000008</v>
      </c>
      <c r="J40" s="42">
        <v>105.54660999999999</v>
      </c>
      <c r="K40" s="42">
        <v>55.416760000000004</v>
      </c>
      <c r="L40" s="42">
        <v>94.535830000000004</v>
      </c>
      <c r="M40" s="69"/>
      <c r="N40" s="285">
        <f t="shared" si="5"/>
        <v>39.065023429683094</v>
      </c>
      <c r="O40" s="69"/>
      <c r="P40" s="285">
        <f t="shared" si="2"/>
        <v>70.836864355623277</v>
      </c>
      <c r="Q40" s="69"/>
      <c r="R40" s="75">
        <f t="shared" si="3"/>
        <v>17.952749660530511</v>
      </c>
      <c r="S40" s="69"/>
      <c r="T40" s="75">
        <f t="shared" si="4"/>
        <v>18.338487377082508</v>
      </c>
    </row>
    <row r="41" spans="1:20">
      <c r="A41" s="17">
        <f t="shared" si="0"/>
        <v>33</v>
      </c>
      <c r="F41" s="143">
        <f t="shared" ref="F41:L41" si="6">SUM(F35:F40)</f>
        <v>5654.8228292292151</v>
      </c>
      <c r="G41" s="143">
        <f t="shared" si="6"/>
        <v>5877.1200400000007</v>
      </c>
      <c r="H41" s="143">
        <f t="shared" si="6"/>
        <v>5782.7711599999984</v>
      </c>
      <c r="I41" s="143">
        <f t="shared" si="6"/>
        <v>5812.4040599999998</v>
      </c>
      <c r="J41" s="143">
        <f t="shared" si="6"/>
        <v>5890.4039199999997</v>
      </c>
      <c r="K41" s="143">
        <f t="shared" si="6"/>
        <v>5724.5441299999993</v>
      </c>
      <c r="L41" s="143">
        <f t="shared" si="6"/>
        <v>5872.3135199999997</v>
      </c>
      <c r="M41" s="143"/>
      <c r="N41" s="143">
        <f>SUM(N35:N40)</f>
        <v>5738.2415513115238</v>
      </c>
      <c r="O41" s="143"/>
      <c r="P41" s="143">
        <f>SUM(P35:P40)</f>
        <v>5758.6736937042288</v>
      </c>
      <c r="Q41" s="143"/>
      <c r="R41" s="143">
        <f>SUM(R35:R40)</f>
        <v>5592.4457295496795</v>
      </c>
      <c r="S41" s="143"/>
      <c r="T41" s="143">
        <f>SUM(T35:T40)</f>
        <v>5643.0758629800712</v>
      </c>
    </row>
    <row r="42" spans="1:20"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</row>
    <row r="44" spans="1:20">
      <c r="C44"/>
      <c r="F44" s="16"/>
      <c r="H44" s="319"/>
    </row>
    <row r="45" spans="1:20">
      <c r="C45"/>
      <c r="F45" s="16"/>
      <c r="N45" s="152"/>
      <c r="O45" s="152"/>
      <c r="P45" s="152"/>
      <c r="Q45" s="152"/>
    </row>
    <row r="46" spans="1:20">
      <c r="C46"/>
      <c r="F46" s="16"/>
      <c r="N46" s="152"/>
      <c r="O46" s="152"/>
      <c r="P46" s="152"/>
      <c r="Q46" s="152"/>
    </row>
    <row r="47" spans="1:20">
      <c r="C47"/>
      <c r="F47" s="16"/>
      <c r="N47" s="152"/>
      <c r="O47" s="152"/>
      <c r="P47" s="152"/>
      <c r="Q47" s="152"/>
    </row>
    <row r="48" spans="1:20">
      <c r="C48"/>
      <c r="F48" s="16"/>
      <c r="N48" s="152"/>
      <c r="O48" s="152"/>
      <c r="P48" s="152"/>
      <c r="Q48" s="152"/>
    </row>
    <row r="49" spans="3:17">
      <c r="C49"/>
      <c r="F49" s="16"/>
      <c r="N49" s="152"/>
      <c r="O49" s="152"/>
      <c r="P49" s="152"/>
      <c r="Q49" s="152"/>
    </row>
    <row r="50" spans="3:17">
      <c r="C50"/>
      <c r="F50" s="16"/>
      <c r="N50" s="152"/>
      <c r="O50" s="152"/>
      <c r="P50" s="152"/>
      <c r="Q50" s="152"/>
    </row>
    <row r="51" spans="3:17">
      <c r="C51"/>
      <c r="F51" s="16"/>
      <c r="N51" s="43"/>
      <c r="O51" s="43"/>
      <c r="P51" s="43"/>
      <c r="Q51" s="43"/>
    </row>
    <row r="52" spans="3:17">
      <c r="C52"/>
      <c r="F52" s="16"/>
    </row>
    <row r="53" spans="3:17">
      <c r="C53"/>
      <c r="F53" s="16"/>
      <c r="N53" s="43"/>
      <c r="O53" s="43"/>
      <c r="P53" s="143"/>
      <c r="Q53" s="143"/>
    </row>
    <row r="54" spans="3:17">
      <c r="C54"/>
      <c r="F54" s="16"/>
      <c r="N54" s="43"/>
      <c r="O54" s="43"/>
      <c r="P54" s="143"/>
      <c r="Q54" s="143"/>
    </row>
    <row r="55" spans="3:17">
      <c r="C55"/>
      <c r="F55" s="16"/>
      <c r="N55" s="43"/>
      <c r="O55" s="43"/>
      <c r="P55" s="143"/>
      <c r="Q55" s="143"/>
    </row>
    <row r="56" spans="3:17">
      <c r="C56"/>
      <c r="F56" s="16"/>
      <c r="N56" s="43"/>
      <c r="O56" s="43"/>
      <c r="P56" s="143"/>
      <c r="Q56" s="143"/>
    </row>
    <row r="57" spans="3:17">
      <c r="C57"/>
      <c r="F57" s="16"/>
      <c r="N57" s="43"/>
      <c r="O57" s="43"/>
      <c r="P57" s="143"/>
      <c r="Q57" s="143"/>
    </row>
    <row r="58" spans="3:17">
      <c r="C58"/>
      <c r="F58" s="16"/>
      <c r="N58" s="43"/>
      <c r="O58" s="43"/>
      <c r="P58" s="143"/>
      <c r="Q58" s="143"/>
    </row>
    <row r="59" spans="3:17">
      <c r="C59"/>
      <c r="F59" s="16"/>
      <c r="N59" s="477"/>
      <c r="O59" s="477"/>
      <c r="P59" s="477"/>
      <c r="Q59" s="143"/>
    </row>
    <row r="60" spans="3:17">
      <c r="C60"/>
    </row>
  </sheetData>
  <mergeCells count="4">
    <mergeCell ref="A5:T5"/>
    <mergeCell ref="R6:T6"/>
    <mergeCell ref="N6:P6"/>
    <mergeCell ref="F6:L6"/>
  </mergeCells>
  <phoneticPr fontId="10" type="noConversion"/>
  <printOptions horizontalCentered="1"/>
  <pageMargins left="0.5" right="0.5" top="0.75" bottom="0.75" header="0.5" footer="0.5"/>
  <pageSetup scale="59" fitToHeight="0" orientation="landscape" useFirstPageNumber="1" r:id="rId1"/>
  <headerFooter alignWithMargins="0">
    <oddHeader>&amp;R&amp;"Arial,Bold"Schedule 4.2
Page &amp;P of 1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pageSetUpPr fitToPage="1"/>
  </sheetPr>
  <dimension ref="A1:AV68"/>
  <sheetViews>
    <sheetView zoomScale="80" zoomScaleNormal="80" zoomScaleSheetLayoutView="100" workbookViewId="0">
      <pane xSplit="5" ySplit="8" topLeftCell="F42" activePane="bottomRight" state="frozen"/>
      <selection pane="topRight" activeCell="F1" sqref="F1"/>
      <selection pane="bottomLeft" activeCell="A9" sqref="A9"/>
      <selection pane="bottomRight" activeCell="G66" sqref="G66"/>
    </sheetView>
  </sheetViews>
  <sheetFormatPr defaultColWidth="7.54296875" defaultRowHeight="12.5"/>
  <cols>
    <col min="1" max="1" width="6" style="9" bestFit="1" customWidth="1"/>
    <col min="2" max="2" width="4" style="9" customWidth="1"/>
    <col min="3" max="3" width="58" style="9" bestFit="1" customWidth="1"/>
    <col min="4" max="4" width="2.1796875" style="9" customWidth="1"/>
    <col min="5" max="5" width="16.1796875" style="32" customWidth="1"/>
    <col min="6" max="6" width="12.81640625" style="32" customWidth="1"/>
    <col min="7" max="7" width="12.1796875" style="32" customWidth="1"/>
    <col min="8" max="12" width="12.7265625" style="9" customWidth="1"/>
    <col min="13" max="13" width="2.81640625" style="9" customWidth="1"/>
    <col min="14" max="14" width="12.7265625" style="9" customWidth="1"/>
    <col min="15" max="15" width="3.1796875" style="9" customWidth="1"/>
    <col min="16" max="16" width="12.7265625" style="9" customWidth="1"/>
    <col min="17" max="17" width="3.1796875" style="9" customWidth="1"/>
    <col min="18" max="18" width="12.7265625" style="9" customWidth="1"/>
    <col min="19" max="19" width="2.1796875" style="9" customWidth="1"/>
    <col min="20" max="20" width="12.7265625" style="9" customWidth="1"/>
    <col min="21" max="21" width="2.1796875" style="9" customWidth="1"/>
    <col min="22" max="22" width="35.1796875" style="9" bestFit="1" customWidth="1"/>
    <col min="23" max="23" width="9" style="9" bestFit="1" customWidth="1"/>
    <col min="24" max="24" width="9.81640625" style="9" bestFit="1" customWidth="1"/>
    <col min="25" max="16384" width="7.54296875" style="9"/>
  </cols>
  <sheetData>
    <row r="1" spans="1:48" ht="15.5">
      <c r="A1" s="14" t="s">
        <v>158</v>
      </c>
      <c r="B1" s="14"/>
      <c r="C1" s="34"/>
      <c r="D1" s="15"/>
      <c r="E1" s="15"/>
      <c r="F1" s="15"/>
      <c r="G1" s="15"/>
      <c r="H1" s="15"/>
      <c r="I1" s="15"/>
      <c r="J1" s="15"/>
      <c r="K1" s="15"/>
      <c r="L1" s="34"/>
      <c r="M1" s="34"/>
      <c r="N1" s="34"/>
      <c r="O1" s="34"/>
      <c r="P1" s="34"/>
      <c r="Q1" s="34"/>
      <c r="R1" s="34"/>
      <c r="S1" s="34"/>
      <c r="T1" s="34"/>
      <c r="U1" s="31"/>
    </row>
    <row r="2" spans="1:48" ht="15.5">
      <c r="A2" s="14" t="str">
        <f>'S1.1'!A2</f>
        <v>2023 - 2024 General Rate Application (GRA)</v>
      </c>
      <c r="B2" s="15"/>
      <c r="C2" s="15"/>
      <c r="D2" s="15"/>
      <c r="E2" s="15"/>
      <c r="F2" s="15"/>
      <c r="G2" s="15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1"/>
    </row>
    <row r="3" spans="1:48" ht="15.5">
      <c r="A3" s="14"/>
      <c r="B3" s="15"/>
      <c r="C3" s="15"/>
      <c r="D3" s="15"/>
      <c r="E3" s="15"/>
      <c r="F3" s="15"/>
      <c r="G3" s="15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1"/>
    </row>
    <row r="4" spans="1:48" ht="15.5">
      <c r="A4" s="344" t="s">
        <v>159</v>
      </c>
      <c r="B4" s="15"/>
      <c r="C4" s="15"/>
      <c r="D4" s="15"/>
      <c r="E4" s="15"/>
      <c r="F4" s="15"/>
      <c r="G4" s="15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</row>
    <row r="5" spans="1:48" s="8" customFormat="1" ht="15.5">
      <c r="A5" s="344" t="s">
        <v>6</v>
      </c>
      <c r="B5" s="14"/>
      <c r="C5" s="14"/>
      <c r="D5" s="14"/>
      <c r="E5" s="14"/>
      <c r="F5" s="14"/>
      <c r="G5" s="14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</row>
    <row r="6" spans="1:48" s="8" customFormat="1" ht="15.5">
      <c r="A6" s="14"/>
      <c r="B6" s="14"/>
      <c r="C6" s="14"/>
      <c r="D6" s="14"/>
      <c r="E6" s="14"/>
      <c r="F6" s="14"/>
      <c r="G6" s="14"/>
    </row>
    <row r="7" spans="1:48" s="8" customFormat="1" ht="15.5">
      <c r="A7" s="6" t="s">
        <v>7</v>
      </c>
      <c r="B7" s="6"/>
      <c r="C7" s="6"/>
      <c r="D7" s="6"/>
      <c r="E7" s="6" t="s">
        <v>8</v>
      </c>
      <c r="F7" s="519" t="s">
        <v>9</v>
      </c>
      <c r="G7" s="519"/>
      <c r="H7" s="519"/>
      <c r="I7" s="519"/>
      <c r="J7" s="519"/>
      <c r="K7" s="519"/>
      <c r="L7" s="519"/>
      <c r="M7" s="18"/>
      <c r="N7" s="519" t="str">
        <f>'S4.2'!N6</f>
        <v>Test Period</v>
      </c>
      <c r="O7" s="519"/>
      <c r="P7" s="519"/>
      <c r="Q7" s="18"/>
      <c r="R7" s="519" t="s">
        <v>11</v>
      </c>
      <c r="S7" s="519"/>
      <c r="T7" s="519"/>
    </row>
    <row r="8" spans="1:48" s="8" customFormat="1" ht="15.5">
      <c r="A8" s="7" t="s">
        <v>12</v>
      </c>
      <c r="B8" s="6"/>
      <c r="C8" s="137" t="s">
        <v>160</v>
      </c>
      <c r="D8" s="50"/>
      <c r="E8" s="7" t="s">
        <v>14</v>
      </c>
      <c r="F8" s="7">
        <v>2016</v>
      </c>
      <c r="G8" s="7">
        <v>2017</v>
      </c>
      <c r="H8" s="7">
        <v>2018</v>
      </c>
      <c r="I8" s="7">
        <v>2019</v>
      </c>
      <c r="J8" s="7">
        <v>2020</v>
      </c>
      <c r="K8" s="7">
        <v>2021</v>
      </c>
      <c r="L8" s="7">
        <v>2022</v>
      </c>
      <c r="M8" s="6"/>
      <c r="N8" s="240">
        <v>2023</v>
      </c>
      <c r="O8" s="240"/>
      <c r="P8" s="240">
        <v>2024</v>
      </c>
      <c r="Q8" s="6"/>
      <c r="R8" s="7">
        <v>2016</v>
      </c>
      <c r="S8" s="6"/>
      <c r="T8" s="7">
        <v>2017</v>
      </c>
    </row>
    <row r="9" spans="1:48" s="8" customFormat="1" ht="15.5">
      <c r="A9" s="16"/>
      <c r="B9" s="16"/>
      <c r="C9" s="16"/>
      <c r="D9" s="16"/>
      <c r="E9" s="17"/>
      <c r="F9" s="17"/>
      <c r="G9" s="17"/>
    </row>
    <row r="10" spans="1:48" s="8" customFormat="1" ht="15.5">
      <c r="A10" s="17">
        <v>1</v>
      </c>
      <c r="C10" s="18" t="s">
        <v>161</v>
      </c>
      <c r="D10" s="6"/>
      <c r="E10" s="17"/>
      <c r="F10" s="17"/>
      <c r="G10" s="29"/>
      <c r="H10" s="68"/>
      <c r="I10" s="68"/>
      <c r="J10" s="68"/>
      <c r="K10" s="68"/>
      <c r="AN10" s="379"/>
      <c r="AO10" s="379"/>
      <c r="AP10" s="379"/>
      <c r="AQ10" s="379"/>
      <c r="AR10" s="379"/>
      <c r="AS10" s="379"/>
      <c r="AT10" s="379"/>
      <c r="AU10" s="379"/>
    </row>
    <row r="11" spans="1:48" s="8" customFormat="1" ht="15.5">
      <c r="A11" s="17">
        <f>A10+1</f>
        <v>2</v>
      </c>
      <c r="C11" s="36" t="s">
        <v>162</v>
      </c>
      <c r="D11" s="6"/>
      <c r="E11" s="16" t="s">
        <v>163</v>
      </c>
      <c r="F11" s="66">
        <f>'S5.2'!E13</f>
        <v>277</v>
      </c>
      <c r="G11" s="66">
        <f>'S5.2'!F13</f>
        <v>224</v>
      </c>
      <c r="H11" s="66">
        <f>'S5.2'!G13</f>
        <v>279</v>
      </c>
      <c r="I11" s="66">
        <f>'S5.2'!H13</f>
        <v>209</v>
      </c>
      <c r="J11" s="66">
        <f>'S5.2'!I13</f>
        <v>217</v>
      </c>
      <c r="K11" s="66">
        <f>'S5.2'!J13</f>
        <v>343</v>
      </c>
      <c r="L11" s="66">
        <f>'S5.2'!K13</f>
        <v>297</v>
      </c>
      <c r="M11" s="66"/>
      <c r="N11" s="281">
        <f>'S5.2'!M13</f>
        <v>498</v>
      </c>
      <c r="O11" s="66"/>
      <c r="P11" s="281">
        <f>'S5.2'!N13</f>
        <v>336</v>
      </c>
      <c r="Q11" s="68"/>
      <c r="R11" s="16">
        <v>273</v>
      </c>
      <c r="S11" s="214"/>
      <c r="T11" s="16">
        <v>263</v>
      </c>
      <c r="W11" s="68"/>
      <c r="X11" s="68"/>
      <c r="Y11" s="68"/>
      <c r="Z11" s="68"/>
      <c r="AA11" s="68"/>
      <c r="AB11" s="68"/>
      <c r="AC11" s="68"/>
      <c r="AD11" s="68"/>
      <c r="AF11" s="378"/>
      <c r="AG11" s="378"/>
      <c r="AH11" s="378"/>
      <c r="AI11" s="378"/>
      <c r="AJ11" s="378"/>
      <c r="AK11" s="378"/>
      <c r="AL11" s="378"/>
      <c r="AM11" s="378"/>
      <c r="AN11" s="379"/>
      <c r="AO11" s="379"/>
      <c r="AP11" s="379"/>
      <c r="AQ11" s="379"/>
      <c r="AR11" s="379"/>
      <c r="AS11" s="379"/>
      <c r="AT11" s="379"/>
      <c r="AU11" s="379"/>
      <c r="AV11" s="379"/>
    </row>
    <row r="12" spans="1:48" s="8" customFormat="1" ht="15.5">
      <c r="A12" s="17">
        <f>A11+1</f>
        <v>3</v>
      </c>
      <c r="C12" s="36" t="s">
        <v>164</v>
      </c>
      <c r="D12" s="17"/>
      <c r="E12" s="16" t="s">
        <v>165</v>
      </c>
      <c r="F12" s="66">
        <f>'S5.2'!E27</f>
        <v>57</v>
      </c>
      <c r="G12" s="66">
        <f>'S5.2'!F27</f>
        <v>72</v>
      </c>
      <c r="H12" s="66">
        <f>'S5.2'!G27</f>
        <v>155</v>
      </c>
      <c r="I12" s="66">
        <f>'S5.2'!H27</f>
        <v>161</v>
      </c>
      <c r="J12" s="66">
        <f>'S5.2'!I27</f>
        <v>183</v>
      </c>
      <c r="K12" s="66">
        <f>'S5.2'!J27</f>
        <v>193</v>
      </c>
      <c r="L12" s="66">
        <f>'S5.2'!K27</f>
        <v>235</v>
      </c>
      <c r="M12" s="66"/>
      <c r="N12" s="281">
        <f>'S5.2'!M27</f>
        <v>216</v>
      </c>
      <c r="O12" s="66"/>
      <c r="P12" s="281">
        <f>'S5.2'!N27</f>
        <v>223</v>
      </c>
      <c r="Q12" s="68"/>
      <c r="R12" s="16">
        <v>70</v>
      </c>
      <c r="S12" s="214"/>
      <c r="T12" s="16">
        <v>71</v>
      </c>
      <c r="W12" s="68"/>
      <c r="X12" s="68"/>
      <c r="Y12" s="68"/>
      <c r="Z12" s="68"/>
      <c r="AA12" s="68"/>
      <c r="AB12" s="68"/>
      <c r="AC12" s="68"/>
      <c r="AD12" s="68"/>
      <c r="AF12" s="378"/>
      <c r="AG12" s="378"/>
      <c r="AH12" s="378"/>
      <c r="AI12" s="378"/>
      <c r="AJ12" s="378"/>
      <c r="AK12" s="378"/>
      <c r="AL12" s="378"/>
      <c r="AM12" s="378"/>
      <c r="AN12" s="379"/>
      <c r="AO12" s="379"/>
      <c r="AP12" s="379"/>
      <c r="AQ12" s="379"/>
      <c r="AR12" s="379"/>
      <c r="AS12" s="379"/>
      <c r="AT12" s="379"/>
      <c r="AU12" s="379"/>
      <c r="AV12" s="379"/>
    </row>
    <row r="13" spans="1:48" s="8" customFormat="1" ht="15.5">
      <c r="A13" s="17">
        <f>A12+1</f>
        <v>4</v>
      </c>
      <c r="C13" s="36" t="s">
        <v>166</v>
      </c>
      <c r="D13" s="17"/>
      <c r="E13" s="16" t="s">
        <v>167</v>
      </c>
      <c r="F13" s="66">
        <f>'S5.2'!E37</f>
        <v>444</v>
      </c>
      <c r="G13" s="66">
        <f>'S5.2'!F37</f>
        <v>365</v>
      </c>
      <c r="H13" s="66">
        <f>'S5.2'!G37</f>
        <v>422</v>
      </c>
      <c r="I13" s="66">
        <f>'S5.2'!H37</f>
        <v>399</v>
      </c>
      <c r="J13" s="66">
        <f>'S5.2'!I37</f>
        <v>473</v>
      </c>
      <c r="K13" s="66">
        <f>'S5.2'!J37</f>
        <v>535</v>
      </c>
      <c r="L13" s="66">
        <f>'S5.2'!K37</f>
        <v>490</v>
      </c>
      <c r="M13" s="66"/>
      <c r="N13" s="281">
        <f>'S5.2'!M37</f>
        <v>566</v>
      </c>
      <c r="O13" s="66"/>
      <c r="P13" s="281">
        <f>'S5.2'!N37</f>
        <v>605</v>
      </c>
      <c r="Q13" s="68"/>
      <c r="R13" s="16">
        <v>493</v>
      </c>
      <c r="S13" s="214"/>
      <c r="T13" s="16">
        <v>502</v>
      </c>
      <c r="W13" s="68"/>
      <c r="X13" s="68"/>
      <c r="Y13" s="68"/>
      <c r="Z13" s="68"/>
      <c r="AA13" s="68"/>
      <c r="AB13" s="68"/>
      <c r="AC13" s="68"/>
      <c r="AD13" s="68"/>
      <c r="AF13" s="378"/>
      <c r="AG13" s="378"/>
      <c r="AH13" s="378"/>
      <c r="AI13" s="378"/>
      <c r="AJ13" s="378"/>
      <c r="AK13" s="378"/>
      <c r="AL13" s="378"/>
      <c r="AM13" s="378"/>
      <c r="AN13" s="379"/>
      <c r="AO13" s="379"/>
      <c r="AP13" s="379"/>
      <c r="AQ13" s="379"/>
      <c r="AR13" s="379"/>
      <c r="AS13" s="379"/>
      <c r="AT13" s="379"/>
      <c r="AU13" s="379"/>
      <c r="AV13" s="379"/>
    </row>
    <row r="14" spans="1:48" s="8" customFormat="1" ht="15.5">
      <c r="A14" s="17">
        <f t="shared" ref="A14:A58" si="0">A13+1</f>
        <v>5</v>
      </c>
      <c r="C14" s="36" t="s">
        <v>168</v>
      </c>
      <c r="D14" s="17"/>
      <c r="E14" s="16" t="s">
        <v>169</v>
      </c>
      <c r="F14" s="66">
        <f>'S5.2'!E53</f>
        <v>52</v>
      </c>
      <c r="G14" s="66">
        <f>'S5.2'!F53</f>
        <v>196</v>
      </c>
      <c r="H14" s="66">
        <f>'S5.2'!G53</f>
        <v>210</v>
      </c>
      <c r="I14" s="66">
        <f>'S5.2'!H53</f>
        <v>96</v>
      </c>
      <c r="J14" s="66">
        <f>'S5.2'!I53</f>
        <v>119</v>
      </c>
      <c r="K14" s="66">
        <f>'S5.2'!J53</f>
        <v>127</v>
      </c>
      <c r="L14" s="66">
        <f>'S5.2'!K53</f>
        <v>184</v>
      </c>
      <c r="M14" s="66"/>
      <c r="N14" s="281">
        <f>'S5.2'!M53</f>
        <v>231</v>
      </c>
      <c r="O14" s="66"/>
      <c r="P14" s="281">
        <f>'S5.2'!N53</f>
        <v>237</v>
      </c>
      <c r="Q14" s="68"/>
      <c r="R14" s="16">
        <v>65</v>
      </c>
      <c r="S14" s="214"/>
      <c r="T14" s="16">
        <v>81</v>
      </c>
      <c r="W14" s="68"/>
      <c r="X14" s="68"/>
      <c r="Y14" s="68"/>
      <c r="Z14" s="68"/>
      <c r="AA14" s="68"/>
      <c r="AB14" s="68"/>
      <c r="AC14" s="68"/>
      <c r="AD14" s="68"/>
      <c r="AF14" s="378"/>
      <c r="AG14" s="378"/>
      <c r="AH14" s="378"/>
      <c r="AI14" s="378"/>
      <c r="AJ14" s="378"/>
      <c r="AK14" s="378"/>
      <c r="AL14" s="378"/>
      <c r="AM14" s="378"/>
      <c r="AN14" s="379"/>
      <c r="AO14" s="379"/>
      <c r="AP14" s="379"/>
      <c r="AQ14" s="379"/>
      <c r="AR14" s="379"/>
      <c r="AS14" s="379"/>
      <c r="AT14" s="379"/>
      <c r="AU14" s="379"/>
      <c r="AV14" s="379"/>
    </row>
    <row r="15" spans="1:48" s="8" customFormat="1" ht="15.5">
      <c r="A15" s="17">
        <f t="shared" si="0"/>
        <v>6</v>
      </c>
      <c r="C15" s="36" t="s">
        <v>170</v>
      </c>
      <c r="D15" s="17" t="s">
        <v>156</v>
      </c>
      <c r="E15" s="16" t="s">
        <v>171</v>
      </c>
      <c r="F15" s="281">
        <f>'S5.2'!E67</f>
        <v>1299</v>
      </c>
      <c r="G15" s="281">
        <f>'S5.2'!F67</f>
        <v>1463</v>
      </c>
      <c r="H15" s="281">
        <f>'S5.2'!G67</f>
        <v>1208</v>
      </c>
      <c r="I15" s="281">
        <f>'S5.2'!H67</f>
        <v>1249</v>
      </c>
      <c r="J15" s="281">
        <f>'S5.2'!I67</f>
        <v>890</v>
      </c>
      <c r="K15" s="281">
        <f>'S5.2'!J67</f>
        <v>1371</v>
      </c>
      <c r="L15" s="281">
        <f>'S5.2'!K67</f>
        <v>1901</v>
      </c>
      <c r="M15" s="66"/>
      <c r="N15" s="281">
        <f>'S5.2'!M67</f>
        <v>1865</v>
      </c>
      <c r="O15" s="66"/>
      <c r="P15" s="281">
        <f>'S5.2'!N67</f>
        <v>1695</v>
      </c>
      <c r="Q15" s="68"/>
      <c r="R15" s="117">
        <v>1147</v>
      </c>
      <c r="S15" s="214"/>
      <c r="T15" s="117">
        <v>1063</v>
      </c>
      <c r="W15" s="68"/>
      <c r="X15" s="68"/>
      <c r="Y15" s="68"/>
      <c r="Z15" s="68"/>
      <c r="AA15" s="68"/>
      <c r="AB15" s="68"/>
      <c r="AC15" s="68"/>
      <c r="AD15" s="68"/>
      <c r="AF15" s="378"/>
      <c r="AG15" s="378"/>
      <c r="AH15" s="378"/>
      <c r="AI15" s="378"/>
      <c r="AJ15" s="378"/>
      <c r="AK15" s="378"/>
      <c r="AL15" s="378"/>
      <c r="AM15" s="378"/>
      <c r="AN15" s="379"/>
      <c r="AO15" s="379"/>
      <c r="AP15" s="379"/>
      <c r="AQ15" s="379"/>
      <c r="AR15" s="379"/>
      <c r="AS15" s="379"/>
      <c r="AT15" s="379"/>
      <c r="AU15" s="379"/>
      <c r="AV15" s="379"/>
    </row>
    <row r="16" spans="1:48" s="8" customFormat="1" ht="15.5">
      <c r="A16" s="17">
        <f t="shared" si="0"/>
        <v>7</v>
      </c>
      <c r="C16" s="16"/>
      <c r="D16" s="17"/>
      <c r="E16" s="16"/>
      <c r="F16" s="233">
        <f t="shared" ref="F16:L16" si="1">SUM(F11:F15)</f>
        <v>2129</v>
      </c>
      <c r="G16" s="233">
        <f t="shared" si="1"/>
        <v>2320</v>
      </c>
      <c r="H16" s="233">
        <f t="shared" si="1"/>
        <v>2274</v>
      </c>
      <c r="I16" s="233">
        <f t="shared" si="1"/>
        <v>2114</v>
      </c>
      <c r="J16" s="233">
        <f t="shared" si="1"/>
        <v>1882</v>
      </c>
      <c r="K16" s="233">
        <f>SUM(K11:K15)</f>
        <v>2569</v>
      </c>
      <c r="L16" s="233">
        <f t="shared" si="1"/>
        <v>3107</v>
      </c>
      <c r="M16" s="69"/>
      <c r="N16" s="233">
        <f>SUM(N11:N15)</f>
        <v>3376</v>
      </c>
      <c r="O16" s="69"/>
      <c r="P16" s="233">
        <f>SUM(P11:P15)</f>
        <v>3096</v>
      </c>
      <c r="Q16" s="68"/>
      <c r="R16" s="215">
        <f>SUM(R11:R15)</f>
        <v>2048</v>
      </c>
      <c r="S16" s="214"/>
      <c r="T16" s="215">
        <f>SUM(T11:T15)</f>
        <v>1980</v>
      </c>
      <c r="W16" s="68"/>
      <c r="X16" s="68"/>
      <c r="Y16" s="68"/>
      <c r="Z16" s="68"/>
      <c r="AA16" s="68"/>
      <c r="AB16" s="68"/>
      <c r="AC16" s="68"/>
      <c r="AD16" s="68"/>
      <c r="AF16" s="378"/>
      <c r="AG16" s="378"/>
      <c r="AH16" s="378"/>
      <c r="AI16" s="378"/>
      <c r="AJ16" s="378"/>
      <c r="AK16" s="378"/>
      <c r="AL16" s="378"/>
      <c r="AM16" s="378"/>
      <c r="AN16" s="379"/>
      <c r="AO16" s="379"/>
      <c r="AP16" s="379"/>
      <c r="AQ16" s="379"/>
      <c r="AR16" s="379"/>
      <c r="AS16" s="379"/>
      <c r="AT16" s="379"/>
      <c r="AU16" s="379"/>
      <c r="AV16" s="379"/>
    </row>
    <row r="17" spans="1:48" s="8" customFormat="1" ht="15.5">
      <c r="A17" s="17">
        <f t="shared" si="0"/>
        <v>8</v>
      </c>
      <c r="B17" s="16"/>
      <c r="C17" s="18" t="s">
        <v>172</v>
      </c>
      <c r="D17" s="18"/>
      <c r="E17" s="16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214"/>
      <c r="S17" s="214"/>
      <c r="T17" s="214"/>
      <c r="W17" s="68"/>
      <c r="X17" s="68"/>
      <c r="Y17" s="68"/>
      <c r="Z17" s="68"/>
      <c r="AA17" s="68"/>
      <c r="AB17" s="68"/>
      <c r="AC17" s="68"/>
      <c r="AD17" s="68"/>
      <c r="AF17" s="378"/>
      <c r="AG17" s="378"/>
      <c r="AH17" s="378"/>
      <c r="AI17" s="378"/>
      <c r="AJ17" s="378"/>
      <c r="AK17" s="378"/>
      <c r="AL17" s="378"/>
      <c r="AM17" s="378"/>
      <c r="AN17" s="379"/>
      <c r="AO17" s="379"/>
      <c r="AP17" s="379"/>
      <c r="AQ17" s="379"/>
      <c r="AR17" s="379"/>
      <c r="AS17" s="379"/>
      <c r="AT17" s="379"/>
      <c r="AU17" s="379"/>
      <c r="AV17" s="379"/>
    </row>
    <row r="18" spans="1:48" s="8" customFormat="1" ht="15.5">
      <c r="A18" s="17">
        <f t="shared" si="0"/>
        <v>9</v>
      </c>
      <c r="B18" s="16"/>
      <c r="C18" s="36" t="s">
        <v>173</v>
      </c>
      <c r="D18" s="36"/>
      <c r="E18" s="16" t="s">
        <v>174</v>
      </c>
      <c r="F18" s="66">
        <f>'S5.2'!E84</f>
        <v>260</v>
      </c>
      <c r="G18" s="66">
        <f>'S5.2'!F84</f>
        <v>376</v>
      </c>
      <c r="H18" s="66">
        <f>'S5.2'!G84</f>
        <v>304</v>
      </c>
      <c r="I18" s="66">
        <f>'S5.2'!H84</f>
        <v>333</v>
      </c>
      <c r="J18" s="66">
        <f>'S5.2'!I84</f>
        <v>236</v>
      </c>
      <c r="K18" s="66">
        <f>'S5.2'!J84</f>
        <v>375</v>
      </c>
      <c r="L18" s="66">
        <f>'S5.2'!K84</f>
        <v>384</v>
      </c>
      <c r="M18" s="66"/>
      <c r="N18" s="66">
        <f>'S5.2'!M84</f>
        <v>394</v>
      </c>
      <c r="O18" s="66"/>
      <c r="P18" s="66">
        <f>'S5.2'!N84</f>
        <v>405.52</v>
      </c>
      <c r="Q18" s="66"/>
      <c r="R18" s="16">
        <v>325</v>
      </c>
      <c r="S18" s="214"/>
      <c r="T18" s="16">
        <v>332</v>
      </c>
      <c r="W18" s="68"/>
      <c r="X18" s="68"/>
      <c r="Y18" s="68"/>
      <c r="Z18" s="68"/>
      <c r="AA18" s="68"/>
      <c r="AB18" s="68"/>
      <c r="AC18" s="68"/>
      <c r="AD18" s="68"/>
      <c r="AF18" s="378"/>
      <c r="AG18" s="378"/>
      <c r="AH18" s="378"/>
      <c r="AI18" s="378"/>
      <c r="AJ18" s="378"/>
      <c r="AK18" s="378"/>
      <c r="AL18" s="378"/>
      <c r="AM18" s="378"/>
      <c r="AN18" s="379"/>
      <c r="AO18" s="379"/>
      <c r="AP18" s="379"/>
      <c r="AQ18" s="379"/>
      <c r="AR18" s="379"/>
      <c r="AS18" s="379"/>
      <c r="AT18" s="379"/>
      <c r="AU18" s="379"/>
      <c r="AV18" s="379"/>
    </row>
    <row r="19" spans="1:48" s="8" customFormat="1" ht="15.5">
      <c r="A19" s="17">
        <f t="shared" si="0"/>
        <v>10</v>
      </c>
      <c r="B19" s="16"/>
      <c r="C19" s="36" t="s">
        <v>175</v>
      </c>
      <c r="D19" s="36"/>
      <c r="E19" s="16" t="s">
        <v>176</v>
      </c>
      <c r="F19" s="66">
        <f>'S5.2'!E96</f>
        <v>460</v>
      </c>
      <c r="G19" s="66">
        <f>'S5.2'!F96</f>
        <v>681</v>
      </c>
      <c r="H19" s="66">
        <f>'S5.2'!G96</f>
        <v>278</v>
      </c>
      <c r="I19" s="66">
        <f>'S5.2'!H96</f>
        <v>458</v>
      </c>
      <c r="J19" s="66">
        <f>'S5.2'!I96</f>
        <v>466</v>
      </c>
      <c r="K19" s="66">
        <f>'S5.2'!J96</f>
        <v>795</v>
      </c>
      <c r="L19" s="66">
        <f>'S5.2'!K96</f>
        <v>907</v>
      </c>
      <c r="M19" s="66"/>
      <c r="N19" s="66">
        <f>'S5.2'!M96</f>
        <v>606</v>
      </c>
      <c r="O19" s="66"/>
      <c r="P19" s="66">
        <f>'S5.2'!N96</f>
        <v>621</v>
      </c>
      <c r="Q19" s="66"/>
      <c r="R19" s="16">
        <v>413</v>
      </c>
      <c r="S19" s="214"/>
      <c r="T19" s="16">
        <v>421</v>
      </c>
      <c r="W19" s="68"/>
      <c r="X19" s="68"/>
      <c r="Y19" s="68"/>
      <c r="Z19" s="68"/>
      <c r="AA19" s="68"/>
      <c r="AB19" s="68"/>
      <c r="AC19" s="68"/>
      <c r="AD19" s="68"/>
      <c r="AF19" s="378"/>
      <c r="AG19" s="378"/>
      <c r="AH19" s="378"/>
      <c r="AI19" s="378"/>
      <c r="AJ19" s="378"/>
      <c r="AK19" s="378"/>
      <c r="AL19" s="378"/>
      <c r="AM19" s="378"/>
      <c r="AN19" s="379"/>
      <c r="AO19" s="379"/>
      <c r="AP19" s="379"/>
      <c r="AQ19" s="379"/>
      <c r="AR19" s="379"/>
      <c r="AS19" s="379"/>
      <c r="AT19" s="379"/>
      <c r="AU19" s="379"/>
      <c r="AV19" s="379"/>
    </row>
    <row r="20" spans="1:48" s="8" customFormat="1" ht="15.5">
      <c r="A20" s="17">
        <f t="shared" si="0"/>
        <v>11</v>
      </c>
      <c r="B20" s="16"/>
      <c r="C20" s="36" t="s">
        <v>177</v>
      </c>
      <c r="D20" s="36"/>
      <c r="E20" s="16" t="s">
        <v>178</v>
      </c>
      <c r="F20" s="66">
        <f>'S5.2'!E112</f>
        <v>-272</v>
      </c>
      <c r="G20" s="66">
        <f>'S5.2'!F112</f>
        <v>-311</v>
      </c>
      <c r="H20" s="66">
        <f>'S5.2'!G112</f>
        <v>-327</v>
      </c>
      <c r="I20" s="66">
        <f>'S5.2'!H112</f>
        <v>-319</v>
      </c>
      <c r="J20" s="66">
        <f>'S5.2'!I112</f>
        <v>-344</v>
      </c>
      <c r="K20" s="66">
        <f>'S5.2'!J112</f>
        <v>-336</v>
      </c>
      <c r="L20" s="66">
        <f>'S5.2'!K112</f>
        <v>-360</v>
      </c>
      <c r="M20" s="66"/>
      <c r="N20" s="66">
        <f>'S5.2'!M112</f>
        <v>-352</v>
      </c>
      <c r="O20" s="66"/>
      <c r="P20" s="66">
        <f>'S5.2'!N112</f>
        <v>-361</v>
      </c>
      <c r="Q20" s="66"/>
      <c r="R20" s="29">
        <v>-211</v>
      </c>
      <c r="S20" s="214"/>
      <c r="T20" s="29">
        <v>-215</v>
      </c>
      <c r="W20" s="68"/>
      <c r="X20" s="68"/>
      <c r="Y20" s="68"/>
      <c r="Z20" s="68"/>
      <c r="AA20" s="68"/>
      <c r="AB20" s="68"/>
      <c r="AC20" s="68"/>
      <c r="AD20" s="68"/>
      <c r="AF20" s="378"/>
      <c r="AG20" s="378"/>
      <c r="AH20" s="378"/>
      <c r="AI20" s="378"/>
      <c r="AJ20" s="378"/>
      <c r="AK20" s="378"/>
      <c r="AL20" s="378"/>
      <c r="AM20" s="378"/>
      <c r="AN20" s="379"/>
      <c r="AO20" s="379"/>
      <c r="AP20" s="379"/>
      <c r="AQ20" s="379"/>
      <c r="AR20" s="379"/>
      <c r="AS20" s="379"/>
      <c r="AT20" s="379"/>
      <c r="AU20" s="379"/>
      <c r="AV20" s="379"/>
    </row>
    <row r="21" spans="1:48" s="8" customFormat="1" ht="15.5">
      <c r="A21" s="17">
        <f t="shared" si="0"/>
        <v>12</v>
      </c>
      <c r="B21" s="16"/>
      <c r="C21" s="36" t="s">
        <v>179</v>
      </c>
      <c r="D21" s="36"/>
      <c r="E21" s="16" t="s">
        <v>180</v>
      </c>
      <c r="F21" s="66">
        <f>'S5.2'!E117</f>
        <v>1999</v>
      </c>
      <c r="G21" s="66">
        <f>'S5.2'!F117</f>
        <v>1904</v>
      </c>
      <c r="H21" s="66">
        <f>'S5.2'!G117</f>
        <v>2098</v>
      </c>
      <c r="I21" s="66">
        <f>'S5.2'!H117</f>
        <v>2268</v>
      </c>
      <c r="J21" s="66">
        <f>'S5.2'!I117</f>
        <v>2311</v>
      </c>
      <c r="K21" s="66">
        <f>'S5.2'!J117</f>
        <v>2300</v>
      </c>
      <c r="L21" s="66">
        <f>'S5.2'!K117</f>
        <v>2969.5</v>
      </c>
      <c r="M21" s="66"/>
      <c r="N21" s="66">
        <f>'S5.2'!M117</f>
        <v>2851</v>
      </c>
      <c r="O21" s="66"/>
      <c r="P21" s="66">
        <f>'S5.2'!N117</f>
        <v>2931</v>
      </c>
      <c r="Q21" s="66"/>
      <c r="R21" s="117">
        <v>2061</v>
      </c>
      <c r="S21" s="214"/>
      <c r="T21" s="117">
        <v>2101</v>
      </c>
      <c r="W21" s="68"/>
      <c r="X21" s="68"/>
      <c r="Y21" s="68"/>
      <c r="Z21" s="68"/>
      <c r="AA21" s="68"/>
      <c r="AB21" s="68"/>
      <c r="AC21" s="68"/>
      <c r="AD21" s="68"/>
      <c r="AF21" s="378"/>
      <c r="AG21" s="378"/>
      <c r="AH21" s="378"/>
      <c r="AI21" s="378"/>
      <c r="AJ21" s="378"/>
      <c r="AK21" s="378"/>
      <c r="AL21" s="378"/>
      <c r="AM21" s="378"/>
      <c r="AN21" s="379"/>
      <c r="AO21" s="379"/>
      <c r="AP21" s="379"/>
      <c r="AQ21" s="379"/>
      <c r="AR21" s="379"/>
      <c r="AS21" s="379"/>
      <c r="AT21" s="379"/>
      <c r="AU21" s="379"/>
      <c r="AV21" s="379"/>
    </row>
    <row r="22" spans="1:48" s="8" customFormat="1" ht="15.5">
      <c r="A22" s="17">
        <f t="shared" si="0"/>
        <v>13</v>
      </c>
      <c r="B22" s="16"/>
      <c r="C22" s="36" t="s">
        <v>181</v>
      </c>
      <c r="D22" s="36"/>
      <c r="E22" s="16" t="s">
        <v>182</v>
      </c>
      <c r="F22" s="66">
        <f>'S5.2'!E136</f>
        <v>79.599429999999998</v>
      </c>
      <c r="G22" s="66">
        <f>'S5.2'!F136</f>
        <v>53.112909999999999</v>
      </c>
      <c r="H22" s="66">
        <f>'S5.2'!G136</f>
        <v>49.244769999999995</v>
      </c>
      <c r="I22" s="66">
        <f>'S5.2'!H136</f>
        <v>85.351979999999998</v>
      </c>
      <c r="J22" s="66">
        <f>'S5.2'!I136</f>
        <v>119.50329000000001</v>
      </c>
      <c r="K22" s="66">
        <f>'S5.2'!J136</f>
        <v>629.14683000000002</v>
      </c>
      <c r="L22" s="66">
        <f>'S5.2'!K136</f>
        <v>148.72415000000001</v>
      </c>
      <c r="M22" s="66"/>
      <c r="N22" s="66">
        <f>'S5.2'!M136</f>
        <v>20</v>
      </c>
      <c r="O22" s="66"/>
      <c r="P22" s="66">
        <f>'S5.2'!N136</f>
        <v>20</v>
      </c>
      <c r="Q22" s="66"/>
      <c r="R22" s="16">
        <v>120</v>
      </c>
      <c r="S22" s="214"/>
      <c r="T22" s="16">
        <v>122</v>
      </c>
      <c r="W22" s="68"/>
      <c r="X22" s="68"/>
      <c r="Y22" s="68"/>
      <c r="Z22" s="68"/>
      <c r="AA22" s="68"/>
      <c r="AB22" s="68"/>
      <c r="AC22" s="68"/>
      <c r="AD22" s="68"/>
      <c r="AF22" s="378"/>
      <c r="AG22" s="378"/>
      <c r="AH22" s="378"/>
      <c r="AI22" s="378"/>
      <c r="AJ22" s="378"/>
      <c r="AK22" s="378"/>
      <c r="AL22" s="378"/>
      <c r="AM22" s="378"/>
      <c r="AN22" s="379"/>
      <c r="AO22" s="379"/>
      <c r="AP22" s="379"/>
      <c r="AQ22" s="379"/>
      <c r="AR22" s="379"/>
      <c r="AS22" s="379"/>
      <c r="AT22" s="379"/>
      <c r="AU22" s="379"/>
      <c r="AV22" s="379"/>
    </row>
    <row r="23" spans="1:48" s="8" customFormat="1" ht="15.5">
      <c r="A23" s="17">
        <f t="shared" si="0"/>
        <v>14</v>
      </c>
      <c r="B23" s="16" t="s">
        <v>183</v>
      </c>
      <c r="C23" s="36" t="s">
        <v>184</v>
      </c>
      <c r="D23" s="36"/>
      <c r="E23" s="16" t="s">
        <v>185</v>
      </c>
      <c r="F23" s="66">
        <f>'S5.2'!E144</f>
        <v>172</v>
      </c>
      <c r="G23" s="66">
        <f>'S5.2'!F144</f>
        <v>205</v>
      </c>
      <c r="H23" s="66">
        <f>'S5.2'!G144</f>
        <v>223</v>
      </c>
      <c r="I23" s="66">
        <f>'S5.2'!H144</f>
        <v>137</v>
      </c>
      <c r="J23" s="66">
        <f>'S5.2'!I144</f>
        <v>108</v>
      </c>
      <c r="K23" s="66">
        <f>'S5.2'!J144</f>
        <v>88</v>
      </c>
      <c r="L23" s="66">
        <f>'S5.2'!K144</f>
        <v>154</v>
      </c>
      <c r="M23" s="66"/>
      <c r="N23" s="66">
        <f>'S5.2'!M144</f>
        <v>163</v>
      </c>
      <c r="O23" s="66"/>
      <c r="P23" s="66">
        <f>'S5.2'!N144</f>
        <v>166</v>
      </c>
      <c r="Q23" s="66"/>
      <c r="R23" s="16">
        <v>150</v>
      </c>
      <c r="S23" s="214"/>
      <c r="T23" s="16">
        <v>153</v>
      </c>
      <c r="W23" s="68"/>
      <c r="X23" s="68"/>
      <c r="Y23" s="68"/>
      <c r="Z23" s="68"/>
      <c r="AA23" s="68"/>
      <c r="AB23" s="68"/>
      <c r="AC23" s="68"/>
      <c r="AD23" s="68"/>
      <c r="AF23" s="378"/>
      <c r="AG23" s="378"/>
      <c r="AH23" s="378"/>
      <c r="AI23" s="378"/>
      <c r="AJ23" s="378"/>
      <c r="AK23" s="378"/>
      <c r="AL23" s="378"/>
      <c r="AM23" s="378"/>
      <c r="AN23" s="379"/>
      <c r="AO23" s="379"/>
      <c r="AP23" s="379"/>
      <c r="AQ23" s="379"/>
      <c r="AR23" s="379"/>
      <c r="AS23" s="379"/>
      <c r="AT23" s="379"/>
      <c r="AU23" s="379"/>
      <c r="AV23" s="379"/>
    </row>
    <row r="24" spans="1:48" s="8" customFormat="1" ht="15.5">
      <c r="A24" s="17">
        <f t="shared" si="0"/>
        <v>15</v>
      </c>
      <c r="B24" s="16"/>
      <c r="C24" s="36" t="s">
        <v>186</v>
      </c>
      <c r="D24" s="36"/>
      <c r="E24" s="16" t="s">
        <v>187</v>
      </c>
      <c r="F24" s="66">
        <f>'S5.2'!E161</f>
        <v>62</v>
      </c>
      <c r="G24" s="66">
        <f>'S5.2'!F161</f>
        <v>153</v>
      </c>
      <c r="H24" s="66">
        <f>'S5.2'!G161</f>
        <v>91</v>
      </c>
      <c r="I24" s="66">
        <f>'S5.2'!H161</f>
        <v>95</v>
      </c>
      <c r="J24" s="66">
        <f>'S5.2'!I161</f>
        <v>179</v>
      </c>
      <c r="K24" s="66">
        <f>'S5.2'!J161</f>
        <v>99</v>
      </c>
      <c r="L24" s="66">
        <f>'S5.2'!K161</f>
        <v>91</v>
      </c>
      <c r="M24" s="66"/>
      <c r="N24" s="66">
        <f>'S5.2'!M161</f>
        <v>155</v>
      </c>
      <c r="O24" s="66"/>
      <c r="P24" s="66">
        <f>'S5.2'!N161</f>
        <v>103</v>
      </c>
      <c r="Q24" s="66"/>
      <c r="R24" s="16">
        <v>90</v>
      </c>
      <c r="S24" s="214"/>
      <c r="T24" s="16">
        <v>92</v>
      </c>
      <c r="W24" s="68"/>
      <c r="X24" s="68"/>
      <c r="Y24" s="68"/>
      <c r="Z24" s="68"/>
      <c r="AA24" s="68"/>
      <c r="AB24" s="68"/>
      <c r="AC24" s="68"/>
      <c r="AD24" s="68"/>
      <c r="AF24" s="378"/>
      <c r="AG24" s="378"/>
      <c r="AH24" s="378"/>
      <c r="AI24" s="378"/>
      <c r="AJ24" s="378"/>
      <c r="AK24" s="378"/>
      <c r="AL24" s="378"/>
      <c r="AM24" s="378"/>
      <c r="AN24" s="379"/>
      <c r="AO24" s="379"/>
      <c r="AP24" s="379"/>
      <c r="AQ24" s="379"/>
      <c r="AR24" s="379"/>
      <c r="AS24" s="379"/>
      <c r="AT24" s="379"/>
      <c r="AU24" s="379"/>
      <c r="AV24" s="379"/>
    </row>
    <row r="25" spans="1:48" s="8" customFormat="1" ht="15.5">
      <c r="A25" s="17">
        <f t="shared" si="0"/>
        <v>16</v>
      </c>
      <c r="B25" s="16"/>
      <c r="C25" s="36" t="s">
        <v>188</v>
      </c>
      <c r="D25" s="36"/>
      <c r="E25" s="16" t="s">
        <v>189</v>
      </c>
      <c r="F25" s="66">
        <f>'S5.2'!E173</f>
        <v>34</v>
      </c>
      <c r="G25" s="66">
        <f>'S5.2'!F173</f>
        <v>23</v>
      </c>
      <c r="H25" s="66">
        <f>'S5.2'!G173</f>
        <v>6</v>
      </c>
      <c r="I25" s="66">
        <f>'S5.2'!H173</f>
        <v>14</v>
      </c>
      <c r="J25" s="66">
        <f>'S5.2'!I173</f>
        <v>12</v>
      </c>
      <c r="K25" s="66">
        <f>'S5.2'!J173</f>
        <v>9</v>
      </c>
      <c r="L25" s="66">
        <f>'S5.2'!K173</f>
        <v>13</v>
      </c>
      <c r="M25" s="66"/>
      <c r="N25" s="66">
        <f>'S5.2'!M173</f>
        <v>12</v>
      </c>
      <c r="O25" s="66"/>
      <c r="P25" s="66">
        <f>'S5.2'!N173</f>
        <v>12</v>
      </c>
      <c r="Q25" s="66"/>
      <c r="R25" s="16">
        <v>53</v>
      </c>
      <c r="S25" s="214"/>
      <c r="T25" s="16">
        <v>54</v>
      </c>
      <c r="W25" s="68"/>
      <c r="X25" s="68"/>
      <c r="Y25" s="68"/>
      <c r="Z25" s="68"/>
      <c r="AA25" s="68"/>
      <c r="AB25" s="68"/>
      <c r="AC25" s="68"/>
      <c r="AD25" s="68"/>
      <c r="AF25" s="378"/>
      <c r="AG25" s="378"/>
      <c r="AH25" s="378"/>
      <c r="AI25" s="378"/>
      <c r="AJ25" s="378"/>
      <c r="AK25" s="378"/>
      <c r="AL25" s="378"/>
      <c r="AM25" s="378"/>
      <c r="AN25" s="379"/>
      <c r="AO25" s="379"/>
      <c r="AP25" s="379"/>
      <c r="AQ25" s="379"/>
      <c r="AR25" s="379"/>
      <c r="AS25" s="379"/>
      <c r="AT25" s="379"/>
      <c r="AU25" s="379"/>
      <c r="AV25" s="379"/>
    </row>
    <row r="26" spans="1:48" s="8" customFormat="1" ht="15.5">
      <c r="A26" s="17">
        <f t="shared" si="0"/>
        <v>17</v>
      </c>
      <c r="B26" s="16"/>
      <c r="C26" s="36" t="s">
        <v>190</v>
      </c>
      <c r="D26" s="36"/>
      <c r="E26" s="16" t="s">
        <v>191</v>
      </c>
      <c r="F26" s="66">
        <f>'S5.2'!E178</f>
        <v>177</v>
      </c>
      <c r="G26" s="66">
        <f>'S5.2'!F178</f>
        <v>133</v>
      </c>
      <c r="H26" s="66">
        <f>'S5.2'!G178</f>
        <v>214</v>
      </c>
      <c r="I26" s="66">
        <f>'S5.2'!H178</f>
        <v>118</v>
      </c>
      <c r="J26" s="66">
        <f>'S5.2'!I178</f>
        <v>166</v>
      </c>
      <c r="K26" s="66">
        <f>'S5.2'!J178</f>
        <v>291</v>
      </c>
      <c r="L26" s="66">
        <f>'S5.2'!K178</f>
        <v>174</v>
      </c>
      <c r="M26" s="66"/>
      <c r="N26" s="66">
        <f>'S5.2'!M178</f>
        <v>285</v>
      </c>
      <c r="O26" s="66"/>
      <c r="P26" s="66">
        <f>'S5.2'!N178</f>
        <v>292</v>
      </c>
      <c r="Q26" s="66"/>
      <c r="R26" s="16">
        <v>248</v>
      </c>
      <c r="S26" s="214"/>
      <c r="T26" s="16">
        <v>254</v>
      </c>
      <c r="W26" s="68"/>
      <c r="X26" s="68"/>
      <c r="Y26" s="68"/>
      <c r="Z26" s="68"/>
      <c r="AA26" s="68"/>
      <c r="AB26" s="68"/>
      <c r="AC26" s="68"/>
      <c r="AD26" s="68"/>
      <c r="AF26" s="378"/>
      <c r="AG26" s="378"/>
      <c r="AH26" s="378"/>
      <c r="AI26" s="378"/>
      <c r="AJ26" s="378"/>
      <c r="AK26" s="378"/>
      <c r="AL26" s="378"/>
      <c r="AM26" s="378"/>
      <c r="AN26" s="379"/>
      <c r="AO26" s="379"/>
      <c r="AP26" s="379"/>
      <c r="AQ26" s="379"/>
      <c r="AR26" s="379"/>
      <c r="AS26" s="379"/>
      <c r="AT26" s="379"/>
      <c r="AU26" s="379"/>
      <c r="AV26" s="379"/>
    </row>
    <row r="27" spans="1:48" s="8" customFormat="1" ht="15.5">
      <c r="A27" s="17">
        <f t="shared" si="0"/>
        <v>18</v>
      </c>
      <c r="B27" s="16"/>
      <c r="C27" s="16"/>
      <c r="D27" s="16"/>
      <c r="E27" s="16"/>
      <c r="F27" s="233">
        <f t="shared" ref="F27:L27" si="2">SUM(F18:F26)</f>
        <v>2971.5994300000002</v>
      </c>
      <c r="G27" s="233">
        <f t="shared" si="2"/>
        <v>3217.1129099999998</v>
      </c>
      <c r="H27" s="233">
        <f t="shared" si="2"/>
        <v>2936.2447699999998</v>
      </c>
      <c r="I27" s="233">
        <f t="shared" si="2"/>
        <v>3189.3519799999999</v>
      </c>
      <c r="J27" s="233">
        <f t="shared" si="2"/>
        <v>3253.5032900000001</v>
      </c>
      <c r="K27" s="233">
        <f t="shared" si="2"/>
        <v>4250.1468299999997</v>
      </c>
      <c r="L27" s="233">
        <f t="shared" si="2"/>
        <v>4481.22415</v>
      </c>
      <c r="M27" s="69"/>
      <c r="N27" s="233">
        <f>SUM(N18:N26)</f>
        <v>4134</v>
      </c>
      <c r="O27" s="69"/>
      <c r="P27" s="233">
        <f>SUM(P18:P26)</f>
        <v>4189.5200000000004</v>
      </c>
      <c r="Q27" s="68"/>
      <c r="R27" s="215">
        <v>3248</v>
      </c>
      <c r="S27" s="214"/>
      <c r="T27" s="215">
        <f>SUM(T18:T26)</f>
        <v>3314</v>
      </c>
      <c r="W27" s="68"/>
      <c r="X27" s="68"/>
      <c r="Y27" s="68"/>
      <c r="Z27" s="68"/>
      <c r="AA27" s="68"/>
      <c r="AB27" s="68"/>
      <c r="AC27" s="68"/>
      <c r="AD27" s="68"/>
      <c r="AF27" s="378"/>
      <c r="AG27" s="378"/>
      <c r="AH27" s="378"/>
      <c r="AI27" s="378"/>
      <c r="AJ27" s="378"/>
      <c r="AK27" s="378"/>
      <c r="AL27" s="378"/>
      <c r="AM27" s="378"/>
      <c r="AN27" s="379"/>
      <c r="AO27" s="379"/>
      <c r="AP27" s="379"/>
      <c r="AQ27" s="379"/>
      <c r="AR27" s="379"/>
      <c r="AS27" s="379"/>
      <c r="AT27" s="379"/>
      <c r="AU27" s="379"/>
      <c r="AV27" s="379"/>
    </row>
    <row r="28" spans="1:48" s="8" customFormat="1" ht="15.5">
      <c r="A28" s="17">
        <f t="shared" si="0"/>
        <v>19</v>
      </c>
      <c r="B28" s="16"/>
      <c r="C28" s="18" t="s">
        <v>192</v>
      </c>
      <c r="D28" s="18"/>
      <c r="E28" s="16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8"/>
      <c r="R28" s="216"/>
      <c r="S28" s="214"/>
      <c r="T28" s="216"/>
      <c r="W28" s="68"/>
      <c r="X28" s="68"/>
      <c r="Y28" s="68"/>
      <c r="Z28" s="68"/>
      <c r="AA28" s="68"/>
      <c r="AB28" s="68"/>
      <c r="AC28" s="68"/>
      <c r="AD28" s="68"/>
      <c r="AF28" s="378"/>
      <c r="AG28" s="378"/>
      <c r="AH28" s="378"/>
      <c r="AI28" s="378"/>
      <c r="AJ28" s="378"/>
      <c r="AK28" s="378"/>
      <c r="AL28" s="378"/>
      <c r="AM28" s="378"/>
      <c r="AN28" s="379"/>
      <c r="AO28" s="379"/>
      <c r="AP28" s="379"/>
      <c r="AQ28" s="379"/>
      <c r="AR28" s="379"/>
      <c r="AS28" s="379"/>
      <c r="AT28" s="379"/>
      <c r="AU28" s="379"/>
      <c r="AV28" s="379"/>
    </row>
    <row r="29" spans="1:48" s="8" customFormat="1" ht="15.5">
      <c r="A29" s="17">
        <f t="shared" si="0"/>
        <v>20</v>
      </c>
      <c r="B29" s="16"/>
      <c r="C29" s="36" t="s">
        <v>193</v>
      </c>
      <c r="D29" s="36"/>
      <c r="E29" s="16" t="s">
        <v>194</v>
      </c>
      <c r="F29" s="66">
        <f>'S5.2'!E193</f>
        <v>12</v>
      </c>
      <c r="G29" s="66">
        <f>'S5.2'!F193</f>
        <v>27</v>
      </c>
      <c r="H29" s="66">
        <f>'S5.2'!G193</f>
        <v>41</v>
      </c>
      <c r="I29" s="66">
        <f>'S5.2'!H193</f>
        <v>36</v>
      </c>
      <c r="J29" s="66">
        <f>'S5.2'!I193</f>
        <v>39</v>
      </c>
      <c r="K29" s="66">
        <f>'S5.2'!J193</f>
        <v>48</v>
      </c>
      <c r="L29" s="66">
        <f>'S5.2'!K193</f>
        <v>59</v>
      </c>
      <c r="M29" s="66"/>
      <c r="N29" s="66">
        <f>'S5.2'!M193</f>
        <v>120</v>
      </c>
      <c r="O29" s="66"/>
      <c r="P29" s="66">
        <f>'S5.2'!N193</f>
        <v>123.3</v>
      </c>
      <c r="Q29" s="68"/>
      <c r="R29" s="16">
        <v>25</v>
      </c>
      <c r="S29" s="214"/>
      <c r="T29" s="16">
        <v>25</v>
      </c>
      <c r="W29" s="68"/>
      <c r="X29" s="68"/>
      <c r="Y29" s="68"/>
      <c r="Z29" s="68"/>
      <c r="AA29" s="68"/>
      <c r="AB29" s="68"/>
      <c r="AC29" s="68"/>
      <c r="AD29" s="68"/>
      <c r="AF29" s="378"/>
      <c r="AG29" s="378"/>
      <c r="AH29" s="378"/>
      <c r="AI29" s="378"/>
      <c r="AJ29" s="378"/>
      <c r="AK29" s="378"/>
      <c r="AL29" s="378"/>
      <c r="AM29" s="378"/>
      <c r="AN29" s="379"/>
      <c r="AO29" s="379"/>
      <c r="AP29" s="379"/>
      <c r="AQ29" s="379"/>
      <c r="AR29" s="379"/>
      <c r="AS29" s="379"/>
      <c r="AT29" s="379"/>
      <c r="AU29" s="379"/>
      <c r="AV29" s="379"/>
    </row>
    <row r="30" spans="1:48" s="8" customFormat="1" ht="15.5">
      <c r="A30" s="17">
        <f t="shared" si="0"/>
        <v>21</v>
      </c>
      <c r="B30" s="16"/>
      <c r="C30" s="36" t="s">
        <v>195</v>
      </c>
      <c r="D30" s="36"/>
      <c r="E30" s="16" t="s">
        <v>196</v>
      </c>
      <c r="F30" s="66">
        <f>'S5.2'!E200</f>
        <v>69</v>
      </c>
      <c r="G30" s="66">
        <f>'S5.2'!F200</f>
        <v>108</v>
      </c>
      <c r="H30" s="66">
        <f>'S5.2'!G200</f>
        <v>-29</v>
      </c>
      <c r="I30" s="66">
        <f>'S5.2'!H200</f>
        <v>27</v>
      </c>
      <c r="J30" s="66">
        <f>'S5.2'!I200</f>
        <v>35</v>
      </c>
      <c r="K30" s="66">
        <f>'S5.2'!J200</f>
        <v>34</v>
      </c>
      <c r="L30" s="66">
        <f>'S5.2'!K200</f>
        <v>21</v>
      </c>
      <c r="M30" s="66"/>
      <c r="N30" s="66">
        <f>'S5.2'!M200</f>
        <v>48</v>
      </c>
      <c r="O30" s="66"/>
      <c r="P30" s="66">
        <f>'S5.2'!N200</f>
        <v>49</v>
      </c>
      <c r="Q30" s="68"/>
      <c r="R30" s="16">
        <v>54</v>
      </c>
      <c r="S30" s="214"/>
      <c r="T30" s="16">
        <v>52</v>
      </c>
      <c r="W30" s="68"/>
      <c r="X30" s="68"/>
      <c r="Y30" s="68"/>
      <c r="Z30" s="68"/>
      <c r="AA30" s="68"/>
      <c r="AB30" s="68"/>
      <c r="AC30" s="68"/>
      <c r="AD30" s="68"/>
      <c r="AF30" s="378"/>
      <c r="AG30" s="378"/>
      <c r="AH30" s="378"/>
      <c r="AI30" s="378"/>
      <c r="AJ30" s="378"/>
      <c r="AK30" s="378"/>
      <c r="AL30" s="378"/>
      <c r="AM30" s="378"/>
      <c r="AN30" s="379"/>
      <c r="AO30" s="379"/>
      <c r="AP30" s="379"/>
      <c r="AQ30" s="379"/>
      <c r="AR30" s="379"/>
      <c r="AS30" s="379"/>
      <c r="AT30" s="379"/>
      <c r="AU30" s="379"/>
      <c r="AV30" s="379"/>
    </row>
    <row r="31" spans="1:48" s="8" customFormat="1" ht="15.5">
      <c r="A31" s="17">
        <f t="shared" si="0"/>
        <v>22</v>
      </c>
      <c r="B31" s="16"/>
      <c r="C31" s="36" t="s">
        <v>197</v>
      </c>
      <c r="D31" s="36"/>
      <c r="E31" s="16" t="s">
        <v>198</v>
      </c>
      <c r="F31" s="66">
        <f>'S5.2'!E209</f>
        <v>136</v>
      </c>
      <c r="G31" s="66">
        <f>'S5.2'!F209</f>
        <v>168</v>
      </c>
      <c r="H31" s="66">
        <f>'S5.2'!G209</f>
        <v>195</v>
      </c>
      <c r="I31" s="66">
        <f>'S5.2'!H209</f>
        <v>192</v>
      </c>
      <c r="J31" s="66">
        <f>'S5.2'!I209</f>
        <v>207</v>
      </c>
      <c r="K31" s="66">
        <f>'S5.2'!J209</f>
        <v>347</v>
      </c>
      <c r="L31" s="66">
        <f>'S5.2'!K209</f>
        <v>440</v>
      </c>
      <c r="M31" s="66"/>
      <c r="N31" s="66">
        <f>'S5.2'!M209</f>
        <v>202</v>
      </c>
      <c r="O31" s="66"/>
      <c r="P31" s="66">
        <f>'S5.2'!N209</f>
        <v>206</v>
      </c>
      <c r="Q31" s="68"/>
      <c r="R31" s="16">
        <v>154</v>
      </c>
      <c r="S31" s="214"/>
      <c r="T31" s="16">
        <v>158</v>
      </c>
      <c r="W31" s="68"/>
      <c r="X31" s="68"/>
      <c r="Y31" s="68"/>
      <c r="Z31" s="68"/>
      <c r="AA31" s="68"/>
      <c r="AB31" s="68"/>
      <c r="AC31" s="68"/>
      <c r="AD31" s="68"/>
      <c r="AF31" s="378"/>
      <c r="AG31" s="378"/>
      <c r="AH31" s="378"/>
      <c r="AI31" s="378"/>
      <c r="AJ31" s="378"/>
      <c r="AK31" s="378"/>
      <c r="AL31" s="378"/>
      <c r="AM31" s="378"/>
      <c r="AN31" s="379"/>
      <c r="AO31" s="379"/>
      <c r="AP31" s="379"/>
      <c r="AQ31" s="379"/>
      <c r="AR31" s="379"/>
      <c r="AS31" s="379"/>
      <c r="AT31" s="379"/>
      <c r="AU31" s="379"/>
      <c r="AV31" s="379"/>
    </row>
    <row r="32" spans="1:48" s="8" customFormat="1" ht="15.5">
      <c r="A32" s="17">
        <f t="shared" si="0"/>
        <v>23</v>
      </c>
      <c r="B32" s="16"/>
      <c r="C32" s="16"/>
      <c r="D32" s="16"/>
      <c r="E32" s="16"/>
      <c r="F32" s="233">
        <f t="shared" ref="F32:L32" si="3">SUM(F29:F31)</f>
        <v>217</v>
      </c>
      <c r="G32" s="233">
        <f t="shared" si="3"/>
        <v>303</v>
      </c>
      <c r="H32" s="233">
        <f t="shared" si="3"/>
        <v>207</v>
      </c>
      <c r="I32" s="233">
        <f t="shared" si="3"/>
        <v>255</v>
      </c>
      <c r="J32" s="233">
        <f t="shared" si="3"/>
        <v>281</v>
      </c>
      <c r="K32" s="233">
        <f t="shared" si="3"/>
        <v>429</v>
      </c>
      <c r="L32" s="233">
        <f t="shared" si="3"/>
        <v>520</v>
      </c>
      <c r="M32" s="69"/>
      <c r="N32" s="233">
        <f>SUM(N29:N31)</f>
        <v>370</v>
      </c>
      <c r="O32" s="69"/>
      <c r="P32" s="233">
        <f>SUM(P29:P31)</f>
        <v>378.3</v>
      </c>
      <c r="Q32" s="68"/>
      <c r="R32" s="215">
        <f>SUM(R29:R31)</f>
        <v>233</v>
      </c>
      <c r="S32" s="214"/>
      <c r="T32" s="215">
        <v>234</v>
      </c>
      <c r="W32" s="68"/>
      <c r="X32" s="68"/>
      <c r="Y32" s="68"/>
      <c r="Z32" s="68"/>
      <c r="AA32" s="68"/>
      <c r="AB32" s="68"/>
      <c r="AC32" s="68"/>
      <c r="AD32" s="68"/>
      <c r="AF32" s="378"/>
      <c r="AG32" s="378"/>
      <c r="AH32" s="378"/>
      <c r="AI32" s="378"/>
      <c r="AJ32" s="378"/>
      <c r="AK32" s="378"/>
      <c r="AL32" s="378"/>
      <c r="AM32" s="378"/>
      <c r="AN32" s="379"/>
      <c r="AO32" s="379"/>
      <c r="AP32" s="379"/>
      <c r="AQ32" s="379"/>
      <c r="AR32" s="379"/>
      <c r="AS32" s="379"/>
      <c r="AT32" s="379"/>
      <c r="AU32" s="379"/>
      <c r="AV32" s="379"/>
    </row>
    <row r="33" spans="1:48" s="8" customFormat="1" ht="15.5">
      <c r="A33" s="17">
        <f t="shared" si="0"/>
        <v>24</v>
      </c>
      <c r="B33" s="16"/>
      <c r="C33" s="18" t="s">
        <v>199</v>
      </c>
      <c r="D33" s="18"/>
      <c r="E33" s="16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8"/>
      <c r="R33" s="216"/>
      <c r="S33" s="214"/>
      <c r="T33" s="216"/>
      <c r="W33" s="68"/>
      <c r="X33" s="68"/>
      <c r="Y33" s="68"/>
      <c r="Z33" s="68"/>
      <c r="AA33" s="68"/>
      <c r="AB33" s="68"/>
      <c r="AC33" s="68"/>
      <c r="AD33" s="68"/>
      <c r="AF33" s="378"/>
      <c r="AG33" s="378"/>
      <c r="AH33" s="378"/>
      <c r="AI33" s="378"/>
      <c r="AJ33" s="378"/>
      <c r="AK33" s="378"/>
      <c r="AL33" s="378"/>
      <c r="AM33" s="378"/>
      <c r="AN33" s="379"/>
      <c r="AO33" s="379"/>
      <c r="AP33" s="379"/>
      <c r="AQ33" s="379"/>
      <c r="AR33" s="379"/>
      <c r="AS33" s="379"/>
      <c r="AT33" s="379"/>
      <c r="AU33" s="379"/>
      <c r="AV33" s="379"/>
    </row>
    <row r="34" spans="1:48" s="8" customFormat="1" ht="15.5">
      <c r="A34" s="17">
        <f t="shared" si="0"/>
        <v>25</v>
      </c>
      <c r="B34" s="16"/>
      <c r="C34" s="36" t="s">
        <v>200</v>
      </c>
      <c r="D34" s="36"/>
      <c r="E34" s="16" t="s">
        <v>201</v>
      </c>
      <c r="F34" s="66">
        <f>'S5.2'!E227</f>
        <v>21</v>
      </c>
      <c r="G34" s="66">
        <f>'S5.2'!F227</f>
        <v>32</v>
      </c>
      <c r="H34" s="66">
        <f>'S5.2'!G227</f>
        <v>21</v>
      </c>
      <c r="I34" s="66">
        <f>'S5.2'!H227</f>
        <v>24</v>
      </c>
      <c r="J34" s="66">
        <f>'S5.2'!I227</f>
        <v>31</v>
      </c>
      <c r="K34" s="66">
        <f>'S5.2'!J227</f>
        <v>76</v>
      </c>
      <c r="L34" s="66">
        <f>'S5.2'!K227</f>
        <v>151</v>
      </c>
      <c r="M34" s="66"/>
      <c r="N34" s="66">
        <f>'S5.2'!M227</f>
        <v>30</v>
      </c>
      <c r="O34" s="66"/>
      <c r="P34" s="66">
        <f>'S5.2'!N227</f>
        <v>32</v>
      </c>
      <c r="Q34" s="66"/>
      <c r="R34" s="16">
        <v>14</v>
      </c>
      <c r="S34" s="214"/>
      <c r="T34" s="16">
        <v>15</v>
      </c>
      <c r="W34" s="68"/>
      <c r="X34" s="68"/>
      <c r="Y34" s="68"/>
      <c r="Z34" s="68"/>
      <c r="AA34" s="68"/>
      <c r="AB34" s="68"/>
      <c r="AC34" s="68"/>
      <c r="AD34" s="68"/>
      <c r="AF34" s="378"/>
      <c r="AG34" s="378"/>
      <c r="AH34" s="378"/>
      <c r="AI34" s="378"/>
      <c r="AJ34" s="378"/>
      <c r="AK34" s="378"/>
      <c r="AL34" s="378"/>
      <c r="AM34" s="378"/>
      <c r="AN34" s="379"/>
      <c r="AO34" s="379"/>
      <c r="AP34" s="379"/>
      <c r="AQ34" s="379"/>
      <c r="AR34" s="379"/>
      <c r="AS34" s="379"/>
      <c r="AT34" s="379"/>
      <c r="AU34" s="379"/>
      <c r="AV34" s="379"/>
    </row>
    <row r="35" spans="1:48" s="8" customFormat="1" ht="15.5">
      <c r="A35" s="17">
        <f t="shared" si="0"/>
        <v>26</v>
      </c>
      <c r="B35" s="16"/>
      <c r="C35" s="36" t="s">
        <v>202</v>
      </c>
      <c r="D35" s="36"/>
      <c r="E35" s="16" t="s">
        <v>203</v>
      </c>
      <c r="F35" s="66">
        <f>'S5.2'!E234</f>
        <v>73</v>
      </c>
      <c r="G35" s="66">
        <f>'S5.2'!F234</f>
        <v>159</v>
      </c>
      <c r="H35" s="66">
        <f>'S5.2'!G234</f>
        <v>37</v>
      </c>
      <c r="I35" s="66">
        <f>'S5.2'!H234</f>
        <v>50</v>
      </c>
      <c r="J35" s="66">
        <f>'S5.2'!I234</f>
        <v>53</v>
      </c>
      <c r="K35" s="66">
        <f>'S5.2'!J234</f>
        <v>80</v>
      </c>
      <c r="L35" s="66">
        <f>'S5.2'!K234</f>
        <v>98</v>
      </c>
      <c r="M35" s="66"/>
      <c r="N35" s="66">
        <f>'S5.2'!M234</f>
        <v>149</v>
      </c>
      <c r="O35" s="66"/>
      <c r="P35" s="66">
        <f>'S5.2'!N234</f>
        <v>154</v>
      </c>
      <c r="Q35" s="66"/>
      <c r="R35" s="16">
        <v>120</v>
      </c>
      <c r="S35" s="214"/>
      <c r="T35" s="16">
        <v>138</v>
      </c>
      <c r="W35" s="68"/>
      <c r="X35" s="68"/>
      <c r="Y35" s="68"/>
      <c r="Z35" s="68"/>
      <c r="AA35" s="68"/>
      <c r="AB35" s="68"/>
      <c r="AC35" s="68"/>
      <c r="AD35" s="68"/>
      <c r="AF35" s="378"/>
      <c r="AG35" s="378"/>
      <c r="AH35" s="378"/>
      <c r="AI35" s="378"/>
      <c r="AJ35" s="378"/>
      <c r="AK35" s="378"/>
      <c r="AL35" s="378"/>
      <c r="AM35" s="378"/>
      <c r="AN35" s="379"/>
      <c r="AO35" s="379"/>
      <c r="AP35" s="379"/>
      <c r="AQ35" s="379"/>
      <c r="AR35" s="379"/>
      <c r="AS35" s="379"/>
      <c r="AT35" s="379"/>
      <c r="AU35" s="379"/>
      <c r="AV35" s="379"/>
    </row>
    <row r="36" spans="1:48" s="8" customFormat="1" ht="15.5">
      <c r="A36" s="17">
        <f t="shared" si="0"/>
        <v>27</v>
      </c>
      <c r="B36" s="16"/>
      <c r="C36" s="16"/>
      <c r="D36" s="16"/>
      <c r="E36" s="16"/>
      <c r="F36" s="270">
        <f t="shared" ref="F36:L36" si="4">SUM(F34:F35)</f>
        <v>94</v>
      </c>
      <c r="G36" s="270">
        <f t="shared" si="4"/>
        <v>191</v>
      </c>
      <c r="H36" s="270">
        <f t="shared" si="4"/>
        <v>58</v>
      </c>
      <c r="I36" s="270">
        <f t="shared" si="4"/>
        <v>74</v>
      </c>
      <c r="J36" s="270">
        <f t="shared" si="4"/>
        <v>84</v>
      </c>
      <c r="K36" s="270">
        <f t="shared" si="4"/>
        <v>156</v>
      </c>
      <c r="L36" s="270">
        <f t="shared" si="4"/>
        <v>249</v>
      </c>
      <c r="M36" s="143"/>
      <c r="N36" s="270">
        <f>SUM(N34:N35)</f>
        <v>179</v>
      </c>
      <c r="O36" s="143"/>
      <c r="P36" s="270">
        <f>SUM(P34:P35)</f>
        <v>186</v>
      </c>
      <c r="Q36" s="68"/>
      <c r="R36" s="215">
        <v>135</v>
      </c>
      <c r="S36" s="214"/>
      <c r="T36" s="215">
        <f>SUM(T34:T35)</f>
        <v>153</v>
      </c>
      <c r="W36" s="68"/>
      <c r="X36" s="68"/>
      <c r="Y36" s="68"/>
      <c r="Z36" s="68"/>
      <c r="AA36" s="68"/>
      <c r="AB36" s="68"/>
      <c r="AC36" s="68"/>
      <c r="AD36" s="68"/>
      <c r="AF36" s="378"/>
      <c r="AG36" s="378"/>
      <c r="AH36" s="378"/>
      <c r="AI36" s="378"/>
      <c r="AJ36" s="378"/>
      <c r="AK36" s="378"/>
      <c r="AL36" s="378"/>
      <c r="AM36" s="378"/>
      <c r="AN36" s="379"/>
      <c r="AO36" s="379"/>
      <c r="AP36" s="379"/>
      <c r="AQ36" s="379"/>
      <c r="AR36" s="379"/>
      <c r="AS36" s="379"/>
      <c r="AT36" s="379"/>
      <c r="AU36" s="379"/>
      <c r="AV36" s="379"/>
    </row>
    <row r="37" spans="1:48" s="8" customFormat="1" ht="15.5">
      <c r="A37" s="17">
        <f t="shared" si="0"/>
        <v>28</v>
      </c>
      <c r="B37" s="16"/>
      <c r="C37" s="87" t="s">
        <v>204</v>
      </c>
      <c r="D37" s="18"/>
      <c r="E37" s="16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214"/>
      <c r="S37" s="214"/>
      <c r="T37" s="214"/>
      <c r="W37" s="68"/>
      <c r="X37" s="68"/>
      <c r="Y37" s="68"/>
      <c r="Z37" s="68"/>
      <c r="AA37" s="68"/>
      <c r="AB37" s="68"/>
      <c r="AC37" s="68"/>
      <c r="AD37" s="68"/>
      <c r="AF37" s="378"/>
      <c r="AG37" s="378"/>
      <c r="AH37" s="378"/>
      <c r="AI37" s="378"/>
      <c r="AJ37" s="378"/>
      <c r="AK37" s="378"/>
      <c r="AL37" s="378"/>
      <c r="AM37" s="378"/>
      <c r="AN37" s="379"/>
      <c r="AO37" s="379"/>
      <c r="AP37" s="379"/>
      <c r="AQ37" s="379"/>
      <c r="AR37" s="379"/>
      <c r="AS37" s="379"/>
      <c r="AT37" s="379"/>
      <c r="AU37" s="379"/>
      <c r="AV37" s="379"/>
    </row>
    <row r="38" spans="1:48" s="377" customFormat="1" ht="15.5">
      <c r="A38" s="17">
        <f t="shared" si="0"/>
        <v>29</v>
      </c>
      <c r="B38" s="16"/>
      <c r="C38" s="36" t="s">
        <v>205</v>
      </c>
      <c r="D38" s="36"/>
      <c r="E38" s="16" t="s">
        <v>206</v>
      </c>
      <c r="F38" s="66">
        <f>'S5.2'!E253</f>
        <v>43</v>
      </c>
      <c r="G38" s="66">
        <f>'S5.2'!F253</f>
        <v>40</v>
      </c>
      <c r="H38" s="66">
        <f>'S5.2'!G253</f>
        <v>38</v>
      </c>
      <c r="I38" s="66">
        <f>'S5.2'!H253</f>
        <v>35</v>
      </c>
      <c r="J38" s="66">
        <f>'S5.2'!I253</f>
        <v>22</v>
      </c>
      <c r="K38" s="66">
        <f>'S5.2'!J253</f>
        <v>36</v>
      </c>
      <c r="L38" s="66">
        <f>'S5.2'!K253</f>
        <v>48</v>
      </c>
      <c r="M38" s="66"/>
      <c r="N38" s="66">
        <f>'S5.2'!M253</f>
        <v>49</v>
      </c>
      <c r="O38" s="66"/>
      <c r="P38" s="66">
        <f>'S5.2'!N253</f>
        <v>50</v>
      </c>
      <c r="Q38" s="68"/>
      <c r="R38" s="16">
        <v>45</v>
      </c>
      <c r="S38" s="214"/>
      <c r="T38" s="16">
        <v>46</v>
      </c>
      <c r="U38"/>
      <c r="V38"/>
      <c r="W38"/>
      <c r="X38"/>
      <c r="Y38"/>
      <c r="Z38"/>
      <c r="AA38"/>
      <c r="AB38"/>
      <c r="AC38"/>
      <c r="AD38"/>
      <c r="AE38"/>
      <c r="AF38"/>
      <c r="AG38" s="378"/>
      <c r="AH38" s="378"/>
      <c r="AI38" s="378"/>
      <c r="AJ38" s="378"/>
      <c r="AK38" s="378"/>
      <c r="AL38" s="378"/>
      <c r="AM38" s="378"/>
      <c r="AN38" s="380"/>
      <c r="AO38" s="379"/>
      <c r="AP38" s="379"/>
      <c r="AQ38" s="379"/>
      <c r="AR38" s="379"/>
      <c r="AS38" s="379"/>
      <c r="AT38" s="379"/>
      <c r="AU38" s="379"/>
      <c r="AV38" s="379"/>
    </row>
    <row r="39" spans="1:48" s="8" customFormat="1" ht="15.5">
      <c r="A39" s="17">
        <f t="shared" si="0"/>
        <v>30</v>
      </c>
      <c r="B39" s="16"/>
      <c r="C39" s="36" t="s">
        <v>207</v>
      </c>
      <c r="D39" s="36"/>
      <c r="E39" s="16" t="s">
        <v>208</v>
      </c>
      <c r="F39" s="66">
        <f>'S5.2'!E258</f>
        <v>512</v>
      </c>
      <c r="G39" s="66">
        <f>'S5.2'!F258</f>
        <v>414</v>
      </c>
      <c r="H39" s="66">
        <f>'S5.2'!G258</f>
        <v>422</v>
      </c>
      <c r="I39" s="66">
        <f>'S5.2'!H258</f>
        <v>440</v>
      </c>
      <c r="J39" s="66">
        <f>'S5.2'!I258</f>
        <v>421</v>
      </c>
      <c r="K39" s="66">
        <f>'S5.2'!J258</f>
        <v>356</v>
      </c>
      <c r="L39" s="66">
        <f>'S5.2'!K258</f>
        <v>427</v>
      </c>
      <c r="M39" s="66"/>
      <c r="N39" s="66">
        <f>'S5.2'!M258</f>
        <v>450</v>
      </c>
      <c r="O39" s="66"/>
      <c r="P39" s="66">
        <f>'S5.2'!N258</f>
        <v>463</v>
      </c>
      <c r="Q39" s="68"/>
      <c r="R39" s="16">
        <v>489</v>
      </c>
      <c r="S39" s="214"/>
      <c r="T39" s="16">
        <v>500</v>
      </c>
      <c r="U39"/>
      <c r="V39"/>
      <c r="W39"/>
      <c r="X39"/>
      <c r="Y39"/>
      <c r="Z39"/>
      <c r="AA39"/>
      <c r="AB39"/>
      <c r="AC39"/>
      <c r="AD39"/>
      <c r="AE39"/>
      <c r="AF39"/>
      <c r="AG39" s="378"/>
      <c r="AH39" s="378"/>
      <c r="AI39" s="378"/>
      <c r="AJ39" s="378"/>
      <c r="AK39" s="378"/>
      <c r="AL39" s="378"/>
      <c r="AM39" s="378"/>
      <c r="AN39" s="379"/>
      <c r="AO39" s="379"/>
      <c r="AP39" s="379"/>
      <c r="AQ39" s="379"/>
      <c r="AR39" s="379"/>
      <c r="AS39" s="379"/>
      <c r="AT39" s="379"/>
      <c r="AU39" s="379"/>
      <c r="AV39" s="379"/>
    </row>
    <row r="40" spans="1:48" s="8" customFormat="1" ht="15.5">
      <c r="A40" s="17">
        <f t="shared" si="0"/>
        <v>31</v>
      </c>
      <c r="B40" s="16"/>
      <c r="C40" s="36" t="s">
        <v>209</v>
      </c>
      <c r="D40" s="36"/>
      <c r="E40" s="16" t="s">
        <v>210</v>
      </c>
      <c r="F40" s="66">
        <f>'S5.2'!E269</f>
        <v>656</v>
      </c>
      <c r="G40" s="66">
        <f>'S5.2'!F269</f>
        <v>705</v>
      </c>
      <c r="H40" s="66">
        <f>'S5.2'!G269</f>
        <v>752</v>
      </c>
      <c r="I40" s="66">
        <f>'S5.2'!H269</f>
        <v>737</v>
      </c>
      <c r="J40" s="66">
        <f>'S5.2'!I269</f>
        <v>687</v>
      </c>
      <c r="K40" s="66">
        <f>'S5.2'!J269</f>
        <v>686</v>
      </c>
      <c r="L40" s="66">
        <f>'S5.2'!K269</f>
        <v>736</v>
      </c>
      <c r="M40" s="66"/>
      <c r="N40" s="66">
        <f>'S5.2'!M269</f>
        <v>785</v>
      </c>
      <c r="O40" s="66"/>
      <c r="P40" s="66">
        <f>'S5.2'!N269</f>
        <v>799</v>
      </c>
      <c r="Q40" s="68"/>
      <c r="R40" s="16">
        <v>624</v>
      </c>
      <c r="S40" s="214"/>
      <c r="T40" s="16">
        <v>638</v>
      </c>
      <c r="W40" s="68"/>
      <c r="X40" s="68"/>
      <c r="Y40" s="68"/>
      <c r="Z40" s="68"/>
      <c r="AA40" s="68"/>
      <c r="AB40" s="68"/>
      <c r="AC40" s="68"/>
      <c r="AD40" s="68"/>
      <c r="AF40" s="378"/>
      <c r="AG40" s="378"/>
      <c r="AH40" s="378"/>
      <c r="AI40" s="378"/>
      <c r="AJ40" s="378"/>
      <c r="AK40" s="378"/>
      <c r="AL40" s="378"/>
      <c r="AM40" s="378"/>
      <c r="AN40" s="379"/>
      <c r="AO40" s="379"/>
      <c r="AP40" s="379"/>
      <c r="AQ40" s="379"/>
      <c r="AR40" s="379"/>
      <c r="AS40" s="379"/>
      <c r="AT40" s="379"/>
      <c r="AU40" s="379"/>
      <c r="AV40" s="379"/>
    </row>
    <row r="41" spans="1:48" s="8" customFormat="1" ht="15.5">
      <c r="A41" s="17">
        <f t="shared" si="0"/>
        <v>32</v>
      </c>
      <c r="B41" s="16"/>
      <c r="C41" s="36" t="s">
        <v>211</v>
      </c>
      <c r="D41" s="36"/>
      <c r="E41" s="16" t="s">
        <v>212</v>
      </c>
      <c r="F41" s="66">
        <f>'S5.2'!E280</f>
        <v>443</v>
      </c>
      <c r="G41" s="66">
        <f>'S5.2'!F280</f>
        <v>446</v>
      </c>
      <c r="H41" s="66">
        <f>'S5.2'!G280</f>
        <v>410</v>
      </c>
      <c r="I41" s="66">
        <f>'S5.2'!H280</f>
        <v>522</v>
      </c>
      <c r="J41" s="66">
        <f>'S5.2'!I280</f>
        <v>541</v>
      </c>
      <c r="K41" s="66">
        <f>'S5.2'!J280</f>
        <v>565</v>
      </c>
      <c r="L41" s="66">
        <f>'S5.2'!K280</f>
        <v>580</v>
      </c>
      <c r="M41" s="66"/>
      <c r="N41" s="66">
        <f>'S5.2'!M280</f>
        <v>785</v>
      </c>
      <c r="O41" s="66"/>
      <c r="P41" s="66">
        <f>'S5.2'!N280</f>
        <v>1105</v>
      </c>
      <c r="Q41" s="68"/>
      <c r="R41" s="16">
        <v>616</v>
      </c>
      <c r="S41" s="214"/>
      <c r="T41" s="16">
        <v>628</v>
      </c>
      <c r="W41" s="68"/>
      <c r="X41" s="68"/>
      <c r="Y41" s="68"/>
      <c r="Z41" s="68"/>
      <c r="AA41" s="68"/>
      <c r="AB41" s="68"/>
      <c r="AC41" s="68"/>
      <c r="AD41" s="68"/>
      <c r="AF41" s="378"/>
      <c r="AG41" s="378"/>
      <c r="AH41" s="378"/>
      <c r="AI41" s="378"/>
      <c r="AJ41" s="378"/>
      <c r="AK41" s="378"/>
      <c r="AL41" s="378"/>
      <c r="AM41" s="378"/>
      <c r="AN41" s="379"/>
      <c r="AO41" s="379"/>
      <c r="AP41" s="379"/>
      <c r="AQ41" s="379"/>
      <c r="AR41" s="379"/>
      <c r="AS41" s="379"/>
      <c r="AT41" s="379"/>
      <c r="AU41" s="379"/>
      <c r="AV41" s="379"/>
    </row>
    <row r="42" spans="1:48" s="8" customFormat="1" ht="15.5">
      <c r="A42" s="17">
        <f t="shared" si="0"/>
        <v>33</v>
      </c>
      <c r="B42" s="16"/>
      <c r="C42" s="36" t="s">
        <v>213</v>
      </c>
      <c r="D42" s="36"/>
      <c r="E42" s="16" t="s">
        <v>214</v>
      </c>
      <c r="F42" s="66">
        <f>'S5.2'!E293</f>
        <v>176</v>
      </c>
      <c r="G42" s="66">
        <f>'S5.2'!F293</f>
        <v>171</v>
      </c>
      <c r="H42" s="66">
        <f>'S5.2'!G293</f>
        <v>184</v>
      </c>
      <c r="I42" s="66">
        <f>'S5.2'!H293</f>
        <v>201</v>
      </c>
      <c r="J42" s="66">
        <f>'S5.2'!I293</f>
        <v>212</v>
      </c>
      <c r="K42" s="66">
        <f>'S5.2'!J293</f>
        <v>213</v>
      </c>
      <c r="L42" s="66">
        <f>'S5.2'!K293</f>
        <v>229</v>
      </c>
      <c r="M42" s="66"/>
      <c r="N42" s="66">
        <f>'S5.2'!M293</f>
        <v>232</v>
      </c>
      <c r="O42" s="66"/>
      <c r="P42" s="66">
        <f>'S5.2'!N293</f>
        <v>241</v>
      </c>
      <c r="Q42" s="68"/>
      <c r="R42" s="16">
        <v>173</v>
      </c>
      <c r="S42" s="214"/>
      <c r="T42" s="16">
        <v>176</v>
      </c>
      <c r="W42" s="68"/>
      <c r="X42" s="68"/>
      <c r="Y42" s="68"/>
      <c r="Z42" s="68"/>
      <c r="AA42" s="68"/>
      <c r="AB42" s="68"/>
      <c r="AC42" s="68"/>
      <c r="AD42" s="68"/>
      <c r="AF42" s="378"/>
      <c r="AG42" s="378"/>
      <c r="AH42" s="378"/>
      <c r="AI42" s="378"/>
      <c r="AJ42" s="378"/>
      <c r="AK42" s="378"/>
      <c r="AL42" s="378"/>
      <c r="AM42" s="378"/>
      <c r="AN42" s="379"/>
      <c r="AO42" s="379"/>
      <c r="AP42" s="379"/>
      <c r="AQ42" s="379"/>
      <c r="AR42" s="379"/>
      <c r="AS42" s="379"/>
      <c r="AT42" s="379"/>
      <c r="AU42" s="379"/>
      <c r="AV42" s="379"/>
    </row>
    <row r="43" spans="1:48" s="8" customFormat="1" ht="15.5">
      <c r="A43" s="17">
        <f t="shared" si="0"/>
        <v>34</v>
      </c>
      <c r="B43" s="16"/>
      <c r="C43" s="36" t="s">
        <v>215</v>
      </c>
      <c r="D43" s="36"/>
      <c r="E43" s="16" t="s">
        <v>216</v>
      </c>
      <c r="F43" s="66">
        <f>'S5.2'!E300</f>
        <v>134</v>
      </c>
      <c r="G43" s="66">
        <f>'S5.2'!F300</f>
        <v>109</v>
      </c>
      <c r="H43" s="66">
        <f>'S5.2'!G300</f>
        <v>142</v>
      </c>
      <c r="I43" s="66">
        <f>'S5.2'!H300</f>
        <v>88</v>
      </c>
      <c r="J43" s="66">
        <f>'S5.2'!I300</f>
        <v>115</v>
      </c>
      <c r="K43" s="66">
        <f>'S5.2'!J300</f>
        <v>113</v>
      </c>
      <c r="L43" s="66">
        <f>'S5.2'!K300</f>
        <v>98</v>
      </c>
      <c r="M43" s="66"/>
      <c r="N43" s="66">
        <f>'S5.2'!M300</f>
        <v>106</v>
      </c>
      <c r="O43" s="66"/>
      <c r="P43" s="66">
        <f>'S5.2'!N300</f>
        <v>106</v>
      </c>
      <c r="Q43" s="68"/>
      <c r="R43" s="16">
        <v>129</v>
      </c>
      <c r="S43" s="214"/>
      <c r="T43" s="16">
        <v>132</v>
      </c>
      <c r="W43" s="68"/>
      <c r="X43" s="68"/>
      <c r="Y43" s="68"/>
      <c r="Z43" s="68"/>
      <c r="AA43" s="68"/>
      <c r="AB43" s="68"/>
      <c r="AC43" s="68"/>
      <c r="AD43" s="68"/>
      <c r="AF43" s="378"/>
      <c r="AG43" s="378"/>
      <c r="AH43" s="378"/>
      <c r="AI43" s="378"/>
      <c r="AJ43" s="378"/>
      <c r="AK43" s="378"/>
      <c r="AL43" s="378"/>
      <c r="AM43" s="378"/>
      <c r="AN43" s="379"/>
      <c r="AO43" s="379"/>
      <c r="AP43" s="379"/>
      <c r="AQ43" s="379"/>
      <c r="AR43" s="379"/>
      <c r="AS43" s="379"/>
      <c r="AT43" s="379"/>
      <c r="AU43" s="379"/>
      <c r="AV43" s="379"/>
    </row>
    <row r="44" spans="1:48" s="8" customFormat="1" ht="15.5">
      <c r="A44" s="17">
        <f t="shared" si="0"/>
        <v>35</v>
      </c>
      <c r="B44" s="16"/>
      <c r="C44" s="36" t="s">
        <v>217</v>
      </c>
      <c r="D44" s="36"/>
      <c r="E44" s="16" t="s">
        <v>218</v>
      </c>
      <c r="F44" s="66">
        <f>'S5.2'!E306</f>
        <v>53</v>
      </c>
      <c r="G44" s="66">
        <f>'S5.2'!F306</f>
        <v>67</v>
      </c>
      <c r="H44" s="66">
        <f>'S5.2'!G306</f>
        <v>112</v>
      </c>
      <c r="I44" s="66">
        <f>'S5.2'!H306</f>
        <v>-32</v>
      </c>
      <c r="J44" s="66">
        <f>'S5.2'!I306</f>
        <v>178</v>
      </c>
      <c r="K44" s="66">
        <f>'S5.2'!J306</f>
        <v>-5</v>
      </c>
      <c r="L44" s="66">
        <f>'S5.2'!K306</f>
        <v>50</v>
      </c>
      <c r="M44" s="66"/>
      <c r="N44" s="66">
        <f>'S5.2'!M306</f>
        <v>78</v>
      </c>
      <c r="O44" s="66"/>
      <c r="P44" s="66">
        <f>'S5.2'!N306</f>
        <v>78</v>
      </c>
      <c r="Q44" s="68"/>
      <c r="R44" s="16">
        <v>86</v>
      </c>
      <c r="S44" s="214"/>
      <c r="T44" s="16">
        <v>88</v>
      </c>
      <c r="W44" s="68"/>
      <c r="X44" s="68"/>
      <c r="Y44" s="68"/>
      <c r="Z44" s="68"/>
      <c r="AA44" s="68"/>
      <c r="AB44" s="68"/>
      <c r="AC44" s="68"/>
      <c r="AD44" s="68"/>
      <c r="AF44" s="378"/>
      <c r="AG44" s="378"/>
      <c r="AH44" s="378"/>
      <c r="AI44" s="378"/>
      <c r="AJ44" s="378"/>
      <c r="AK44" s="378"/>
      <c r="AL44" s="378"/>
      <c r="AM44" s="378"/>
      <c r="AN44" s="379"/>
      <c r="AO44" s="379"/>
      <c r="AP44" s="379"/>
      <c r="AQ44" s="379"/>
      <c r="AR44" s="379"/>
      <c r="AS44" s="379"/>
      <c r="AT44" s="379"/>
      <c r="AU44" s="379"/>
      <c r="AV44" s="379"/>
    </row>
    <row r="45" spans="1:48" s="8" customFormat="1" ht="15.5">
      <c r="A45" s="17">
        <f t="shared" si="0"/>
        <v>36</v>
      </c>
      <c r="B45" s="16"/>
      <c r="C45" s="16"/>
      <c r="D45" s="16"/>
      <c r="E45" s="16"/>
      <c r="F45" s="270">
        <f t="shared" ref="F45:K45" si="5">SUM(F38:F44)</f>
        <v>2017</v>
      </c>
      <c r="G45" s="270">
        <f t="shared" si="5"/>
        <v>1952</v>
      </c>
      <c r="H45" s="270">
        <f t="shared" si="5"/>
        <v>2060</v>
      </c>
      <c r="I45" s="270">
        <f t="shared" si="5"/>
        <v>1991</v>
      </c>
      <c r="J45" s="270">
        <f t="shared" si="5"/>
        <v>2176</v>
      </c>
      <c r="K45" s="270">
        <f t="shared" si="5"/>
        <v>1964</v>
      </c>
      <c r="L45" s="270">
        <f>SUM(L38:L44)</f>
        <v>2168</v>
      </c>
      <c r="M45" s="143"/>
      <c r="N45" s="270">
        <f>SUM(N38:N44)</f>
        <v>2485</v>
      </c>
      <c r="O45" s="143"/>
      <c r="P45" s="270">
        <f>SUM(P38:P44)</f>
        <v>2842</v>
      </c>
      <c r="Q45" s="68"/>
      <c r="R45" s="215">
        <v>2163</v>
      </c>
      <c r="S45" s="214"/>
      <c r="T45" s="215">
        <f>SUM(T38:T44)</f>
        <v>2208</v>
      </c>
      <c r="W45" s="68"/>
      <c r="X45" s="68"/>
      <c r="Y45" s="68"/>
      <c r="Z45" s="68"/>
      <c r="AA45" s="68"/>
      <c r="AB45" s="68"/>
      <c r="AC45" s="68"/>
      <c r="AD45" s="68"/>
      <c r="AF45" s="378"/>
      <c r="AG45" s="378"/>
      <c r="AH45" s="378"/>
      <c r="AI45" s="378"/>
      <c r="AJ45" s="378"/>
      <c r="AK45" s="378"/>
      <c r="AL45" s="378"/>
      <c r="AM45" s="378"/>
      <c r="AN45" s="379"/>
      <c r="AO45" s="379"/>
      <c r="AP45" s="379"/>
      <c r="AQ45" s="379"/>
      <c r="AR45" s="379"/>
      <c r="AS45" s="379"/>
      <c r="AT45" s="379"/>
      <c r="AU45" s="379"/>
      <c r="AV45" s="379"/>
    </row>
    <row r="46" spans="1:48" s="8" customFormat="1" ht="15.5">
      <c r="A46" s="17">
        <f t="shared" si="0"/>
        <v>37</v>
      </c>
      <c r="B46" s="16"/>
      <c r="C46" s="18" t="s">
        <v>219</v>
      </c>
      <c r="D46" s="18"/>
      <c r="E46" s="16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214"/>
      <c r="S46" s="214"/>
      <c r="T46" s="214"/>
      <c r="W46" s="68"/>
      <c r="X46" s="68"/>
      <c r="Y46" s="68"/>
      <c r="Z46" s="68"/>
      <c r="AA46" s="68"/>
      <c r="AB46" s="68"/>
      <c r="AC46" s="68"/>
      <c r="AD46" s="68"/>
      <c r="AF46" s="378"/>
      <c r="AG46" s="378"/>
      <c r="AH46" s="378"/>
      <c r="AI46" s="378"/>
      <c r="AJ46" s="378"/>
      <c r="AK46" s="378"/>
      <c r="AL46" s="378"/>
      <c r="AM46" s="378"/>
      <c r="AN46" s="379"/>
      <c r="AO46" s="379"/>
      <c r="AP46" s="379"/>
      <c r="AQ46" s="379"/>
      <c r="AR46" s="379"/>
      <c r="AS46" s="379"/>
      <c r="AT46" s="379"/>
      <c r="AU46" s="379"/>
      <c r="AV46" s="379"/>
    </row>
    <row r="47" spans="1:48" s="8" customFormat="1" ht="15.5">
      <c r="A47" s="17">
        <f t="shared" si="0"/>
        <v>38</v>
      </c>
      <c r="B47" s="16"/>
      <c r="C47" s="36" t="s">
        <v>220</v>
      </c>
      <c r="D47" s="36"/>
      <c r="E47" s="16" t="s">
        <v>221</v>
      </c>
      <c r="F47" s="281">
        <f>'S5.2'!E320</f>
        <v>2049.25</v>
      </c>
      <c r="G47" s="281">
        <f>'S5.2'!F320</f>
        <v>2388.3610906854874</v>
      </c>
      <c r="H47" s="281">
        <f>'S5.2'!G320</f>
        <v>2195.17104947599</v>
      </c>
      <c r="I47" s="281">
        <f>'S5.2'!H320</f>
        <v>2193.9988856999553</v>
      </c>
      <c r="J47" s="281">
        <f>'S5.2'!I320</f>
        <v>2647.1380967770383</v>
      </c>
      <c r="K47" s="281">
        <f>'S5.2'!J320</f>
        <v>2811.4238056738996</v>
      </c>
      <c r="L47" s="281">
        <f>'S5.2'!K320</f>
        <v>2579.91</v>
      </c>
      <c r="M47" s="281"/>
      <c r="N47" s="281">
        <f>'S5.2'!M320</f>
        <v>2837</v>
      </c>
      <c r="O47" s="281"/>
      <c r="P47" s="281">
        <f>'S5.2'!N320</f>
        <v>2968</v>
      </c>
      <c r="Q47" s="68"/>
      <c r="R47" s="117">
        <v>2069</v>
      </c>
      <c r="S47" s="214"/>
      <c r="T47" s="117">
        <v>2107</v>
      </c>
      <c r="W47" s="68"/>
      <c r="X47" s="68"/>
      <c r="Y47" s="68"/>
      <c r="Z47" s="68"/>
      <c r="AA47" s="68"/>
      <c r="AB47" s="68"/>
      <c r="AC47" s="68"/>
      <c r="AD47" s="68"/>
      <c r="AF47" s="378"/>
      <c r="AG47" s="378"/>
      <c r="AH47" s="378"/>
      <c r="AI47" s="378"/>
      <c r="AJ47" s="378"/>
      <c r="AK47" s="378"/>
      <c r="AL47" s="378"/>
      <c r="AM47" s="378"/>
      <c r="AN47" s="379"/>
      <c r="AO47" s="379"/>
      <c r="AP47" s="379"/>
      <c r="AQ47" s="379"/>
      <c r="AR47" s="379"/>
      <c r="AS47" s="379"/>
      <c r="AT47" s="379"/>
      <c r="AU47" s="379"/>
      <c r="AV47" s="379"/>
    </row>
    <row r="48" spans="1:48" s="8" customFormat="1" ht="15.5">
      <c r="A48" s="17">
        <f t="shared" si="0"/>
        <v>39</v>
      </c>
      <c r="B48" s="16"/>
      <c r="C48" s="36" t="s">
        <v>222</v>
      </c>
      <c r="D48" s="36"/>
      <c r="E48" s="16" t="s">
        <v>223</v>
      </c>
      <c r="F48" s="66">
        <f>'S5.2'!E348</f>
        <v>358</v>
      </c>
      <c r="G48" s="66">
        <f>'S5.2'!F348</f>
        <v>266</v>
      </c>
      <c r="H48" s="66">
        <f>'S5.2'!G348</f>
        <v>188</v>
      </c>
      <c r="I48" s="66">
        <f>'S5.2'!H348</f>
        <v>226</v>
      </c>
      <c r="J48" s="66">
        <f>'S5.2'!I348</f>
        <v>248</v>
      </c>
      <c r="K48" s="66">
        <f>'S5.2'!J348</f>
        <v>104</v>
      </c>
      <c r="L48" s="66">
        <f>'S5.2'!K348</f>
        <v>108</v>
      </c>
      <c r="M48" s="66"/>
      <c r="N48" s="66">
        <f>'S5.2'!M348</f>
        <v>112</v>
      </c>
      <c r="O48" s="66"/>
      <c r="P48" s="66">
        <f>'S5.2'!N348</f>
        <v>121</v>
      </c>
      <c r="Q48" s="68"/>
      <c r="R48" s="16">
        <v>143</v>
      </c>
      <c r="S48" s="214"/>
      <c r="T48" s="16">
        <v>145</v>
      </c>
      <c r="W48" s="68"/>
      <c r="X48" s="68"/>
      <c r="Y48" s="68"/>
      <c r="Z48" s="68"/>
      <c r="AA48" s="68"/>
      <c r="AB48" s="68"/>
      <c r="AC48" s="68"/>
      <c r="AD48" s="68"/>
      <c r="AF48" s="378"/>
      <c r="AG48" s="378"/>
      <c r="AH48" s="378"/>
      <c r="AI48" s="378"/>
      <c r="AJ48" s="378"/>
      <c r="AK48" s="378"/>
      <c r="AL48" s="378"/>
      <c r="AM48" s="378"/>
      <c r="AN48" s="379"/>
      <c r="AO48" s="379"/>
      <c r="AP48" s="379"/>
      <c r="AQ48" s="379"/>
      <c r="AR48" s="379"/>
      <c r="AS48" s="379"/>
      <c r="AT48" s="379"/>
      <c r="AU48" s="379"/>
      <c r="AV48" s="379"/>
    </row>
    <row r="49" spans="1:48" s="8" customFormat="1" ht="15.5">
      <c r="A49" s="17">
        <f t="shared" si="0"/>
        <v>40</v>
      </c>
      <c r="B49" s="16"/>
      <c r="C49" s="36" t="s">
        <v>224</v>
      </c>
      <c r="D49" s="36"/>
      <c r="E49" s="16" t="s">
        <v>225</v>
      </c>
      <c r="F49" s="66">
        <f>'S5.2'!E357</f>
        <v>93</v>
      </c>
      <c r="G49" s="66">
        <f>'S5.2'!F357</f>
        <v>88</v>
      </c>
      <c r="H49" s="66">
        <f>'S5.2'!G357</f>
        <v>89</v>
      </c>
      <c r="I49" s="66">
        <f>'S5.2'!H357</f>
        <v>98</v>
      </c>
      <c r="J49" s="66">
        <f>'S5.2'!I357</f>
        <v>117</v>
      </c>
      <c r="K49" s="66">
        <f>'S5.2'!J357</f>
        <v>132</v>
      </c>
      <c r="L49" s="66">
        <f>'S5.2'!K357</f>
        <v>154</v>
      </c>
      <c r="M49" s="66"/>
      <c r="N49" s="66">
        <f>'S5.2'!M357</f>
        <v>158</v>
      </c>
      <c r="O49" s="66"/>
      <c r="P49" s="66">
        <f>'S5.2'!N357</f>
        <v>165</v>
      </c>
      <c r="Q49" s="68"/>
      <c r="R49" s="16">
        <v>100</v>
      </c>
      <c r="S49" s="214"/>
      <c r="T49" s="16">
        <v>102</v>
      </c>
      <c r="W49" s="68"/>
      <c r="X49" s="68"/>
      <c r="Y49" s="68"/>
      <c r="Z49" s="68"/>
      <c r="AA49" s="68"/>
      <c r="AB49" s="68"/>
      <c r="AC49" s="68"/>
      <c r="AD49" s="68"/>
      <c r="AF49" s="378"/>
      <c r="AG49" s="378"/>
      <c r="AH49" s="378"/>
      <c r="AI49" s="378"/>
      <c r="AJ49" s="378"/>
      <c r="AK49" s="378"/>
      <c r="AL49" s="378"/>
      <c r="AM49" s="378"/>
      <c r="AN49" s="379"/>
      <c r="AO49" s="379"/>
      <c r="AP49" s="379"/>
      <c r="AQ49" s="379"/>
      <c r="AR49" s="379"/>
      <c r="AS49" s="379"/>
      <c r="AT49" s="379"/>
      <c r="AU49" s="379"/>
      <c r="AV49" s="379"/>
    </row>
    <row r="50" spans="1:48" s="8" customFormat="1" ht="15.5">
      <c r="A50" s="17">
        <f t="shared" si="0"/>
        <v>41</v>
      </c>
      <c r="B50" s="16"/>
      <c r="C50" s="36" t="s">
        <v>226</v>
      </c>
      <c r="D50" s="36"/>
      <c r="E50" s="16" t="s">
        <v>227</v>
      </c>
      <c r="F50" s="66">
        <f>'S5.2'!E365</f>
        <v>112</v>
      </c>
      <c r="G50" s="66">
        <f>'S5.2'!F365</f>
        <v>112</v>
      </c>
      <c r="H50" s="66">
        <f>'S5.2'!G365</f>
        <v>112</v>
      </c>
      <c r="I50" s="66">
        <f>'S5.2'!H365</f>
        <v>112</v>
      </c>
      <c r="J50" s="66">
        <f>'S5.2'!I365</f>
        <v>112</v>
      </c>
      <c r="K50" s="66">
        <f>'S5.2'!J365</f>
        <v>112</v>
      </c>
      <c r="L50" s="66">
        <f>'S5.2'!K365</f>
        <v>112</v>
      </c>
      <c r="M50" s="66"/>
      <c r="N50" s="66">
        <f>'S5.2'!M365</f>
        <v>-279</v>
      </c>
      <c r="O50" s="66"/>
      <c r="P50" s="66">
        <f>'S5.2'!N365</f>
        <v>-279</v>
      </c>
      <c r="Q50" s="68"/>
      <c r="R50" s="16">
        <v>112</v>
      </c>
      <c r="S50" s="214"/>
      <c r="T50" s="16">
        <v>112</v>
      </c>
      <c r="W50" s="68"/>
      <c r="X50" s="68"/>
      <c r="Y50" s="68"/>
      <c r="Z50" s="68"/>
      <c r="AA50" s="68"/>
      <c r="AB50" s="68"/>
      <c r="AC50" s="68"/>
      <c r="AD50" s="68"/>
      <c r="AF50" s="378"/>
      <c r="AG50" s="378"/>
      <c r="AH50" s="378"/>
      <c r="AI50" s="378"/>
      <c r="AJ50" s="378"/>
      <c r="AK50" s="378"/>
      <c r="AL50" s="378"/>
      <c r="AM50" s="378"/>
      <c r="AN50" s="379"/>
      <c r="AO50" s="379"/>
      <c r="AP50" s="379"/>
      <c r="AQ50" s="379"/>
      <c r="AR50" s="379"/>
      <c r="AS50" s="379"/>
      <c r="AT50" s="379"/>
      <c r="AU50" s="379"/>
      <c r="AV50" s="379"/>
    </row>
    <row r="51" spans="1:48" s="8" customFormat="1" ht="15.5">
      <c r="A51" s="17">
        <f t="shared" si="0"/>
        <v>42</v>
      </c>
      <c r="B51" s="16"/>
      <c r="C51" s="36" t="s">
        <v>228</v>
      </c>
      <c r="D51" s="36"/>
      <c r="E51" s="16" t="s">
        <v>229</v>
      </c>
      <c r="F51" s="66">
        <f>'S5.2'!E370</f>
        <v>385</v>
      </c>
      <c r="G51" s="66">
        <f>'S5.2'!F370</f>
        <v>369</v>
      </c>
      <c r="H51" s="66">
        <f>'S5.2'!G370</f>
        <v>289</v>
      </c>
      <c r="I51" s="66">
        <f>'S5.2'!H370</f>
        <v>121</v>
      </c>
      <c r="J51" s="66">
        <f>'S5.2'!I370</f>
        <v>150</v>
      </c>
      <c r="K51" s="66">
        <f>'S5.2'!J370</f>
        <v>159</v>
      </c>
      <c r="L51" s="66">
        <f>'S5.2'!K370</f>
        <v>180</v>
      </c>
      <c r="M51" s="66"/>
      <c r="N51" s="66">
        <f>'S5.2'!M370</f>
        <v>177</v>
      </c>
      <c r="O51" s="66"/>
      <c r="P51" s="66">
        <f>'S5.2'!N370</f>
        <v>181</v>
      </c>
      <c r="Q51" s="68"/>
      <c r="R51" s="16">
        <v>335</v>
      </c>
      <c r="S51" s="214"/>
      <c r="T51" s="16">
        <v>340</v>
      </c>
      <c r="W51" s="68"/>
      <c r="X51" s="68"/>
      <c r="Y51" s="68"/>
      <c r="Z51" s="68"/>
      <c r="AA51" s="68"/>
      <c r="AB51" s="68"/>
      <c r="AC51" s="68"/>
      <c r="AD51" s="68"/>
      <c r="AF51" s="378"/>
      <c r="AG51" s="378"/>
      <c r="AH51" s="378"/>
      <c r="AI51" s="378"/>
      <c r="AJ51" s="378"/>
      <c r="AK51" s="378"/>
      <c r="AL51" s="378"/>
      <c r="AM51" s="378"/>
      <c r="AN51" s="379"/>
      <c r="AO51" s="379"/>
      <c r="AP51" s="379"/>
      <c r="AQ51" s="379"/>
      <c r="AR51" s="379"/>
      <c r="AS51" s="379"/>
      <c r="AT51" s="379"/>
      <c r="AU51" s="379"/>
      <c r="AV51" s="379"/>
    </row>
    <row r="52" spans="1:48" s="8" customFormat="1" ht="15.5">
      <c r="A52" s="17">
        <f t="shared" si="0"/>
        <v>43</v>
      </c>
      <c r="B52" s="16"/>
      <c r="C52" s="36" t="s">
        <v>230</v>
      </c>
      <c r="D52" s="36"/>
      <c r="E52" s="16" t="s">
        <v>231</v>
      </c>
      <c r="F52" s="66">
        <f>'S5.2'!E382</f>
        <v>409</v>
      </c>
      <c r="G52" s="66">
        <f>'S5.2'!F382</f>
        <v>492</v>
      </c>
      <c r="H52" s="66">
        <f>'S5.2'!G382</f>
        <v>409</v>
      </c>
      <c r="I52" s="66">
        <f>'S5.2'!H382</f>
        <v>453</v>
      </c>
      <c r="J52" s="66">
        <f>'S5.2'!I382</f>
        <v>518</v>
      </c>
      <c r="K52" s="66">
        <f>'S5.2'!J382</f>
        <v>433</v>
      </c>
      <c r="L52" s="66">
        <f>'S5.2'!K382</f>
        <v>725</v>
      </c>
      <c r="M52" s="66"/>
      <c r="N52" s="66">
        <f>'S5.2'!M382</f>
        <v>659</v>
      </c>
      <c r="O52" s="66"/>
      <c r="P52" s="66">
        <f>'S5.2'!N382</f>
        <v>608</v>
      </c>
      <c r="Q52" s="68"/>
      <c r="R52" s="16">
        <v>495</v>
      </c>
      <c r="S52" s="214"/>
      <c r="T52" s="16">
        <v>505</v>
      </c>
      <c r="W52" s="68"/>
      <c r="X52" s="68"/>
      <c r="Y52" s="68"/>
      <c r="Z52" s="68"/>
      <c r="AA52" s="68"/>
      <c r="AB52" s="68"/>
      <c r="AC52" s="68"/>
      <c r="AD52" s="68"/>
      <c r="AF52" s="378"/>
      <c r="AG52" s="378"/>
      <c r="AH52" s="378"/>
      <c r="AI52" s="378"/>
      <c r="AJ52" s="378"/>
      <c r="AK52" s="378"/>
      <c r="AL52" s="378"/>
      <c r="AM52" s="378"/>
      <c r="AN52" s="379"/>
      <c r="AO52" s="379"/>
      <c r="AP52" s="379"/>
      <c r="AQ52" s="379"/>
      <c r="AR52" s="379"/>
      <c r="AS52" s="379"/>
      <c r="AT52" s="379"/>
      <c r="AU52" s="379"/>
      <c r="AV52" s="379"/>
    </row>
    <row r="53" spans="1:48" s="8" customFormat="1" ht="15.5">
      <c r="A53" s="17">
        <f t="shared" si="0"/>
        <v>44</v>
      </c>
      <c r="B53" s="16"/>
      <c r="C53" s="36" t="s">
        <v>232</v>
      </c>
      <c r="D53" s="36"/>
      <c r="E53" s="16" t="s">
        <v>233</v>
      </c>
      <c r="F53" s="66">
        <f>'S5.2'!E398</f>
        <v>153</v>
      </c>
      <c r="G53" s="66">
        <f>'S5.2'!F398</f>
        <v>16</v>
      </c>
      <c r="H53" s="66">
        <f>'S5.2'!G398</f>
        <v>66</v>
      </c>
      <c r="I53" s="66">
        <f>'S5.2'!H398</f>
        <v>128</v>
      </c>
      <c r="J53" s="66">
        <f>'S5.2'!I398</f>
        <v>165</v>
      </c>
      <c r="K53" s="66">
        <f>'S5.2'!J398</f>
        <v>164</v>
      </c>
      <c r="L53" s="66">
        <f>'S5.2'!K398</f>
        <v>109.5</v>
      </c>
      <c r="M53" s="66"/>
      <c r="N53" s="66">
        <f>'S5.2'!M398</f>
        <v>130</v>
      </c>
      <c r="O53" s="66"/>
      <c r="P53" s="66">
        <f>'S5.2'!N398</f>
        <v>130</v>
      </c>
      <c r="Q53" s="68"/>
      <c r="R53" s="16">
        <v>366</v>
      </c>
      <c r="S53" s="214"/>
      <c r="T53" s="16">
        <v>367</v>
      </c>
      <c r="W53" s="68"/>
      <c r="X53" s="68"/>
      <c r="Y53" s="68"/>
      <c r="Z53" s="68"/>
      <c r="AA53" s="68"/>
      <c r="AB53" s="68"/>
      <c r="AC53" s="68"/>
      <c r="AD53" s="68"/>
      <c r="AF53" s="378"/>
      <c r="AG53" s="378"/>
      <c r="AH53" s="378"/>
      <c r="AI53" s="378"/>
      <c r="AJ53" s="378"/>
      <c r="AK53" s="378"/>
      <c r="AL53" s="378"/>
      <c r="AM53" s="378"/>
      <c r="AN53" s="379"/>
      <c r="AO53" s="379"/>
      <c r="AP53" s="379"/>
      <c r="AQ53" s="379"/>
      <c r="AR53" s="379"/>
      <c r="AS53" s="379"/>
      <c r="AT53" s="379"/>
      <c r="AU53" s="379"/>
      <c r="AV53" s="379"/>
    </row>
    <row r="54" spans="1:48" s="8" customFormat="1" ht="15.5">
      <c r="A54" s="17">
        <f t="shared" si="0"/>
        <v>45</v>
      </c>
      <c r="B54" s="16"/>
      <c r="C54" s="36" t="s">
        <v>234</v>
      </c>
      <c r="D54" s="36"/>
      <c r="E54" s="1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8"/>
      <c r="R54" s="16">
        <v>2</v>
      </c>
      <c r="S54" s="214"/>
      <c r="T54" s="16">
        <v>2</v>
      </c>
      <c r="W54" s="68"/>
      <c r="X54" s="68"/>
      <c r="Y54" s="68"/>
      <c r="Z54" s="68"/>
      <c r="AA54" s="68"/>
      <c r="AB54" s="68"/>
      <c r="AC54" s="68"/>
      <c r="AD54" s="68"/>
      <c r="AF54" s="378"/>
      <c r="AG54" s="378"/>
      <c r="AH54" s="378"/>
      <c r="AI54" s="378"/>
      <c r="AJ54" s="378"/>
      <c r="AK54" s="378"/>
      <c r="AL54" s="378"/>
      <c r="AM54" s="378"/>
      <c r="AN54" s="379"/>
      <c r="AO54" s="379"/>
      <c r="AP54" s="379"/>
      <c r="AQ54" s="379"/>
      <c r="AR54" s="379"/>
      <c r="AS54" s="379"/>
      <c r="AT54" s="379"/>
      <c r="AU54" s="379"/>
      <c r="AV54" s="379"/>
    </row>
    <row r="55" spans="1:48" s="8" customFormat="1" ht="15.5">
      <c r="A55" s="17">
        <f t="shared" si="0"/>
        <v>46</v>
      </c>
      <c r="B55" s="16"/>
      <c r="C55" s="36" t="s">
        <v>235</v>
      </c>
      <c r="D55" s="36"/>
      <c r="E55" s="16" t="s">
        <v>236</v>
      </c>
      <c r="F55" s="66">
        <f>'S5.2'!E409</f>
        <v>153</v>
      </c>
      <c r="G55" s="66">
        <f>'S5.2'!F409</f>
        <v>169</v>
      </c>
      <c r="H55" s="66">
        <f>'S5.2'!G409</f>
        <v>230</v>
      </c>
      <c r="I55" s="66">
        <f>'S5.2'!H409</f>
        <v>149</v>
      </c>
      <c r="J55" s="66">
        <f>'S5.2'!I409</f>
        <v>332</v>
      </c>
      <c r="K55" s="66">
        <f>'S5.2'!J409</f>
        <v>530</v>
      </c>
      <c r="L55" s="66">
        <f>'S5.2'!K409</f>
        <v>300</v>
      </c>
      <c r="M55" s="66"/>
      <c r="N55" s="66">
        <f>'S5.2'!M409</f>
        <v>271</v>
      </c>
      <c r="O55" s="66"/>
      <c r="P55" s="66">
        <f>'S5.2'!N409</f>
        <v>277</v>
      </c>
      <c r="Q55" s="68"/>
      <c r="R55" s="16">
        <v>184</v>
      </c>
      <c r="S55" s="214"/>
      <c r="T55" s="16">
        <v>186</v>
      </c>
      <c r="W55" s="68"/>
      <c r="X55" s="68"/>
      <c r="Y55" s="68"/>
      <c r="Z55" s="68"/>
      <c r="AA55" s="68"/>
      <c r="AB55" s="68"/>
      <c r="AC55" s="68"/>
      <c r="AD55" s="68"/>
      <c r="AF55" s="378"/>
      <c r="AG55" s="378"/>
      <c r="AH55" s="378"/>
      <c r="AI55" s="378"/>
      <c r="AJ55" s="378"/>
      <c r="AK55" s="378"/>
      <c r="AL55" s="378"/>
      <c r="AM55" s="378"/>
      <c r="AN55" s="379"/>
      <c r="AO55" s="379"/>
      <c r="AP55" s="379"/>
      <c r="AQ55" s="379"/>
      <c r="AR55" s="379"/>
      <c r="AS55" s="379"/>
      <c r="AT55" s="379"/>
      <c r="AU55" s="379"/>
      <c r="AV55" s="379"/>
    </row>
    <row r="56" spans="1:48" s="8" customFormat="1" ht="15.5">
      <c r="A56" s="17">
        <f t="shared" si="0"/>
        <v>47</v>
      </c>
      <c r="B56" s="16"/>
      <c r="C56" s="16"/>
      <c r="D56" s="16"/>
      <c r="E56" s="17"/>
      <c r="F56" s="270">
        <f>SUM(F47:F55)</f>
        <v>3712.25</v>
      </c>
      <c r="G56" s="270">
        <f>SUM(G47:G55)</f>
        <v>3900.3610906854874</v>
      </c>
      <c r="H56" s="270">
        <f t="shared" ref="H56:L56" si="6">SUM(H47:H55)</f>
        <v>3578.17104947599</v>
      </c>
      <c r="I56" s="270">
        <f t="shared" si="6"/>
        <v>3480.9988856999553</v>
      </c>
      <c r="J56" s="270">
        <f t="shared" si="6"/>
        <v>4289.1380967770383</v>
      </c>
      <c r="K56" s="270">
        <f t="shared" si="6"/>
        <v>4445.4238056738996</v>
      </c>
      <c r="L56" s="270">
        <f t="shared" si="6"/>
        <v>4268.41</v>
      </c>
      <c r="M56" s="143"/>
      <c r="N56" s="270">
        <f>SUM(N47:N55)</f>
        <v>4065</v>
      </c>
      <c r="O56" s="143"/>
      <c r="P56" s="270">
        <f>SUM(P47:P55)</f>
        <v>4171</v>
      </c>
      <c r="Q56" s="68"/>
      <c r="R56" s="215">
        <v>3804</v>
      </c>
      <c r="S56" s="214"/>
      <c r="T56" s="215">
        <f>SUM(T47:T55)</f>
        <v>3866</v>
      </c>
      <c r="U56" s="8" t="s">
        <v>156</v>
      </c>
      <c r="W56" s="68"/>
      <c r="X56" s="68"/>
      <c r="Y56" s="68"/>
      <c r="Z56" s="68"/>
      <c r="AA56" s="68"/>
      <c r="AB56" s="68"/>
      <c r="AC56" s="68"/>
      <c r="AD56" s="68"/>
      <c r="AF56" s="378"/>
      <c r="AG56" s="378"/>
      <c r="AH56" s="378"/>
      <c r="AI56" s="378"/>
      <c r="AJ56" s="378"/>
      <c r="AK56" s="378"/>
      <c r="AL56" s="378"/>
      <c r="AM56" s="378"/>
      <c r="AN56" s="379"/>
      <c r="AO56" s="379"/>
      <c r="AP56" s="379"/>
      <c r="AQ56" s="379"/>
      <c r="AR56" s="379"/>
      <c r="AS56" s="379"/>
      <c r="AT56" s="379"/>
      <c r="AU56" s="379"/>
      <c r="AV56" s="379"/>
    </row>
    <row r="57" spans="1:48" s="8" customFormat="1" ht="15.5">
      <c r="A57" s="17">
        <f t="shared" si="0"/>
        <v>48</v>
      </c>
      <c r="B57" s="16"/>
      <c r="C57" s="78"/>
      <c r="D57" s="16"/>
      <c r="E57" s="17"/>
      <c r="F57" s="70"/>
      <c r="G57" s="70"/>
      <c r="H57" s="70"/>
      <c r="I57" s="70"/>
      <c r="J57" s="70"/>
      <c r="K57" s="70"/>
      <c r="L57" s="70"/>
      <c r="M57" s="143"/>
      <c r="N57" s="70"/>
      <c r="O57" s="143"/>
      <c r="P57" s="70"/>
      <c r="Q57" s="68"/>
      <c r="R57" s="70"/>
      <c r="S57" s="68"/>
      <c r="T57" s="70"/>
      <c r="W57" s="68"/>
      <c r="X57" s="68"/>
      <c r="Y57" s="68"/>
      <c r="Z57" s="68"/>
      <c r="AA57" s="68"/>
      <c r="AB57" s="68"/>
      <c r="AC57" s="68"/>
      <c r="AD57" s="68"/>
      <c r="AF57" s="378"/>
      <c r="AG57" s="378"/>
      <c r="AH57" s="378"/>
      <c r="AI57" s="378"/>
      <c r="AJ57" s="378"/>
      <c r="AK57" s="378"/>
      <c r="AL57" s="378"/>
      <c r="AM57" s="378"/>
      <c r="AN57" s="379"/>
      <c r="AO57" s="379"/>
      <c r="AP57" s="379"/>
      <c r="AQ57" s="379"/>
      <c r="AR57" s="379"/>
      <c r="AS57" s="379"/>
      <c r="AT57" s="379"/>
      <c r="AU57" s="379"/>
      <c r="AV57" s="379"/>
    </row>
    <row r="58" spans="1:48" s="8" customFormat="1" ht="16" thickBot="1">
      <c r="A58" s="17">
        <f t="shared" si="0"/>
        <v>49</v>
      </c>
      <c r="B58" s="16"/>
      <c r="C58" s="18" t="s">
        <v>237</v>
      </c>
      <c r="D58" s="16"/>
      <c r="E58" s="16"/>
      <c r="F58" s="345">
        <f>F56+F45+F36+F32+F27+F16</f>
        <v>11140.84943</v>
      </c>
      <c r="G58" s="345">
        <f>G56+G45+G36+G32+G27+G16</f>
        <v>11883.474000685488</v>
      </c>
      <c r="H58" s="345">
        <f t="shared" ref="H58:K58" si="7">H56+H45+H36+H32+H27+H16</f>
        <v>11113.415819475989</v>
      </c>
      <c r="I58" s="345">
        <f t="shared" si="7"/>
        <v>11104.350865699955</v>
      </c>
      <c r="J58" s="345">
        <f t="shared" si="7"/>
        <v>11965.641386777039</v>
      </c>
      <c r="K58" s="345">
        <f t="shared" si="7"/>
        <v>13813.570635673899</v>
      </c>
      <c r="L58" s="345">
        <f>L56+L45+L36+L32+L27+L16</f>
        <v>14793.63415</v>
      </c>
      <c r="M58" s="143"/>
      <c r="N58" s="345">
        <f>N56+N45+N36+N32+N27+N16</f>
        <v>14609</v>
      </c>
      <c r="O58" s="143"/>
      <c r="P58" s="345">
        <f>P56+P45+P36+P32+P27+P16</f>
        <v>14862.82</v>
      </c>
      <c r="Q58" s="68"/>
      <c r="R58" s="345">
        <v>11630</v>
      </c>
      <c r="S58" s="68"/>
      <c r="T58" s="345">
        <v>11754</v>
      </c>
      <c r="W58" s="68"/>
      <c r="X58" s="68"/>
      <c r="Y58" s="68"/>
      <c r="Z58" s="68"/>
      <c r="AA58" s="68"/>
      <c r="AB58" s="68"/>
      <c r="AC58" s="68"/>
      <c r="AD58" s="68"/>
      <c r="AF58" s="378"/>
      <c r="AG58" s="378"/>
      <c r="AH58" s="378"/>
      <c r="AI58" s="378"/>
      <c r="AJ58" s="378"/>
      <c r="AK58" s="378"/>
      <c r="AL58" s="378"/>
      <c r="AM58" s="378"/>
      <c r="AN58" s="379"/>
      <c r="AO58" s="379"/>
      <c r="AP58" s="379"/>
      <c r="AQ58" s="379"/>
      <c r="AR58" s="379"/>
      <c r="AS58" s="379"/>
      <c r="AT58" s="379"/>
      <c r="AU58" s="379"/>
      <c r="AV58" s="379"/>
    </row>
    <row r="59" spans="1:48">
      <c r="V59" s="8"/>
      <c r="W59" s="68"/>
    </row>
    <row r="60" spans="1:48">
      <c r="N60" s="312"/>
      <c r="W60" s="68"/>
    </row>
    <row r="61" spans="1:48">
      <c r="F61" s="287"/>
      <c r="G61" s="287"/>
      <c r="H61" s="287"/>
      <c r="I61" s="287"/>
      <c r="J61" s="287"/>
      <c r="K61" s="287"/>
      <c r="L61" s="287"/>
      <c r="W61" s="68"/>
    </row>
    <row r="62" spans="1:48">
      <c r="F62" s="288"/>
      <c r="G62" s="288"/>
      <c r="H62" s="288"/>
      <c r="I62" s="288"/>
      <c r="J62" s="288"/>
      <c r="K62" s="288"/>
      <c r="L62" s="288"/>
      <c r="W62" s="68"/>
    </row>
    <row r="63" spans="1:48">
      <c r="W63" s="68"/>
    </row>
    <row r="64" spans="1:48">
      <c r="G64"/>
      <c r="H64" s="312"/>
      <c r="I64" s="312"/>
      <c r="J64" s="312"/>
      <c r="K64" s="312"/>
      <c r="L64" s="312"/>
    </row>
    <row r="65" spans="6:12">
      <c r="F65" s="308"/>
      <c r="G65" s="308"/>
      <c r="H65" s="308"/>
      <c r="I65" s="308"/>
      <c r="J65" s="308"/>
      <c r="K65" s="308"/>
      <c r="L65" s="308"/>
    </row>
    <row r="67" spans="6:12">
      <c r="F67" s="308"/>
    </row>
    <row r="68" spans="6:12">
      <c r="F68" s="308"/>
    </row>
  </sheetData>
  <mergeCells count="3">
    <mergeCell ref="R7:T7"/>
    <mergeCell ref="N7:P7"/>
    <mergeCell ref="F7:L7"/>
  </mergeCells>
  <phoneticPr fontId="10" type="noConversion"/>
  <printOptions horizontalCentered="1"/>
  <pageMargins left="0.5" right="0.5" top="0.75" bottom="0.5" header="0.5" footer="0.5"/>
  <pageSetup scale="54" orientation="landscape" useFirstPageNumber="1" horizontalDpi="1200" verticalDpi="1200" r:id="rId1"/>
  <headerFooter alignWithMargins="0">
    <oddHeader>&amp;R&amp;"Arial,Bold"Schedule 5.1
Page &amp;P of 1</oddHeader>
  </headerFooter>
  <ignoredErrors>
    <ignoredError sqref="A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32</vt:i4>
      </vt:variant>
    </vt:vector>
  </HeadingPairs>
  <TitlesOfParts>
    <vt:vector size="59" baseType="lpstr">
      <vt:lpstr>Index</vt:lpstr>
      <vt:lpstr>S1.1</vt:lpstr>
      <vt:lpstr>S2.1</vt:lpstr>
      <vt:lpstr>S2.2</vt:lpstr>
      <vt:lpstr>S3.1</vt:lpstr>
      <vt:lpstr>S3.2</vt:lpstr>
      <vt:lpstr>S4.1</vt:lpstr>
      <vt:lpstr>S4.2</vt:lpstr>
      <vt:lpstr>S5.1 </vt:lpstr>
      <vt:lpstr>S5.2</vt:lpstr>
      <vt:lpstr>S5.3</vt:lpstr>
      <vt:lpstr>S7.1</vt:lpstr>
      <vt:lpstr>S8.1</vt:lpstr>
      <vt:lpstr>S8.2 &amp; 8.3</vt:lpstr>
      <vt:lpstr>S8.4 </vt:lpstr>
      <vt:lpstr>S8.5</vt:lpstr>
      <vt:lpstr>S8.6 </vt:lpstr>
      <vt:lpstr>S8.7</vt:lpstr>
      <vt:lpstr>S8.8 </vt:lpstr>
      <vt:lpstr>S8.9</vt:lpstr>
      <vt:lpstr>S8.10</vt:lpstr>
      <vt:lpstr>S8.11</vt:lpstr>
      <vt:lpstr>S8.12</vt:lpstr>
      <vt:lpstr>S9.1</vt:lpstr>
      <vt:lpstr>S9.2</vt:lpstr>
      <vt:lpstr>S10.1</vt:lpstr>
      <vt:lpstr>S13.1</vt:lpstr>
      <vt:lpstr>S1.1!Print_Area</vt:lpstr>
      <vt:lpstr>S10.1!Print_Area</vt:lpstr>
      <vt:lpstr>S2.1!Print_Area</vt:lpstr>
      <vt:lpstr>S2.2!Print_Area</vt:lpstr>
      <vt:lpstr>S3.1!Print_Area</vt:lpstr>
      <vt:lpstr>S3.2!Print_Area</vt:lpstr>
      <vt:lpstr>S4.1!Print_Area</vt:lpstr>
      <vt:lpstr>S4.2!Print_Area</vt:lpstr>
      <vt:lpstr>'S5.1 '!Print_Area</vt:lpstr>
      <vt:lpstr>S5.2!Print_Area</vt:lpstr>
      <vt:lpstr>S5.3!Print_Area</vt:lpstr>
      <vt:lpstr>S7.1!Print_Area</vt:lpstr>
      <vt:lpstr>S8.1!Print_Area</vt:lpstr>
      <vt:lpstr>S8.10!Print_Area</vt:lpstr>
      <vt:lpstr>S8.11!Print_Area</vt:lpstr>
      <vt:lpstr>S8.12!Print_Area</vt:lpstr>
      <vt:lpstr>'S8.2 &amp; 8.3'!Print_Area</vt:lpstr>
      <vt:lpstr>'S8.4 '!Print_Area</vt:lpstr>
      <vt:lpstr>S8.5!Print_Area</vt:lpstr>
      <vt:lpstr>'S8.6 '!Print_Area</vt:lpstr>
      <vt:lpstr>S8.7!Print_Area</vt:lpstr>
      <vt:lpstr>'S8.8 '!Print_Area</vt:lpstr>
      <vt:lpstr>S8.9!Print_Area</vt:lpstr>
      <vt:lpstr>S9.1!Print_Area</vt:lpstr>
      <vt:lpstr>S9.2!Print_Area</vt:lpstr>
      <vt:lpstr>S5.2!Print_Titles</vt:lpstr>
      <vt:lpstr>S8.1!Print_Titles</vt:lpstr>
      <vt:lpstr>S8.10!Print_Titles</vt:lpstr>
      <vt:lpstr>S8.11!Print_Titles</vt:lpstr>
      <vt:lpstr>'S8.2 &amp; 8.3'!Print_Titles</vt:lpstr>
      <vt:lpstr>'S8.8 '!Print_Titles</vt:lpstr>
      <vt:lpstr>S9.2!Print_Titles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2023-07-05T14:47:24Z</dcterms:created>
  <dcterms:modified xsi:type="dcterms:W3CDTF">2023-07-07T21:15:48Z</dcterms:modified>
  <cp:category/>
  <cp:contentStatus/>
</cp:coreProperties>
</file>