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updateLinks="never" codeName="ThisWorkbook" defaultThemeVersion="124226"/>
  <xr:revisionPtr revIDLastSave="0" documentId="13_ncr:1_{BFEE7C9E-AFD9-4417-BB90-8EB2E90A34A5}" xr6:coauthVersionLast="47" xr6:coauthVersionMax="47" xr10:uidLastSave="{00000000-0000-0000-0000-000000000000}"/>
  <bookViews>
    <workbookView xWindow="19090" yWindow="-40" windowWidth="19420" windowHeight="10420" tabRatio="728" xr2:uid="{00000000-000D-0000-FFFF-FFFF00000000}"/>
  </bookViews>
  <sheets>
    <sheet name="Index" sheetId="31" r:id="rId1"/>
    <sheet name="Schedule 1" sheetId="14" r:id="rId2"/>
    <sheet name="Schedule 2" sheetId="11" r:id="rId3"/>
    <sheet name="Schedule 2A" sheetId="12" r:id="rId4"/>
    <sheet name="Schedule 3" sheetId="13" r:id="rId5"/>
    <sheet name="Schedule 3A" sheetId="42" r:id="rId6"/>
    <sheet name="Schedule 4" sheetId="29" r:id="rId7"/>
    <sheet name="Schedule 5" sheetId="18" r:id="rId8"/>
    <sheet name="Schedule 6" sheetId="19" r:id="rId9"/>
    <sheet name="Schedule 7" sheetId="20" r:id="rId10"/>
    <sheet name="Schedule 8" sheetId="23" r:id="rId11"/>
    <sheet name="Schedule 9" sheetId="25" r:id="rId12"/>
    <sheet name="Schedule 10" sheetId="27" r:id="rId13"/>
    <sheet name="Schedule 10A" sheetId="38" r:id="rId14"/>
    <sheet name="Schedule 11" sheetId="36" r:id="rId15"/>
  </sheets>
  <definedNames>
    <definedName name="_xlnm.Print_Area" localSheetId="0">Index!$B$1:$J$31</definedName>
    <definedName name="_xlnm.Print_Area" localSheetId="1">'Schedule 1'!$A$1:$M$52</definedName>
    <definedName name="_xlnm.Print_Area" localSheetId="12">'Schedule 10'!$A$1:$M$36</definedName>
    <definedName name="_xlnm.Print_Area" localSheetId="13">'Schedule 10A'!$A$1:$M$23</definedName>
    <definedName name="_xlnm.Print_Area" localSheetId="14">'Schedule 11'!$A$1:$M$50</definedName>
    <definedName name="_xlnm.Print_Area" localSheetId="2">'Schedule 2'!$A$1:$M$22</definedName>
    <definedName name="_xlnm.Print_Area" localSheetId="3">'Schedule 2A'!$A$1:$M$30</definedName>
    <definedName name="_xlnm.Print_Area" localSheetId="4">'Schedule 3'!$A$1:$M$97</definedName>
    <definedName name="_xlnm.Print_Area" localSheetId="5">'Schedule 3A'!$A$1:$H$138</definedName>
    <definedName name="_xlnm.Print_Area" localSheetId="6">'Schedule 4'!$A$1:$R$51</definedName>
    <definedName name="_xlnm.Print_Area" localSheetId="7">'Schedule 5'!$A$1:$M$29</definedName>
    <definedName name="_xlnm.Print_Area" localSheetId="8">'Schedule 6'!$A$1:$M$35</definedName>
    <definedName name="_xlnm.Print_Area" localSheetId="9">'Schedule 7'!$A$1:$M$30</definedName>
    <definedName name="_xlnm.Print_Area" localSheetId="10">'Schedule 8'!$A$1:$M$24</definedName>
    <definedName name="_xlnm.Print_Area" localSheetId="11">'Schedule 9'!$A$1:$K$63</definedName>
    <definedName name="_xlnm.Print_Titles" localSheetId="1">'Schedule 1'!$1:$7</definedName>
    <definedName name="_xlnm.Print_Titles" localSheetId="5">'Schedule 3A'!$1:$6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42" l="1"/>
  <c r="M9" i="19" l="1"/>
  <c r="M7" i="36" l="1"/>
  <c r="M7" i="27"/>
  <c r="I7" i="25"/>
  <c r="K7" i="25"/>
  <c r="M7" i="20"/>
  <c r="M7" i="19"/>
  <c r="M7" i="13"/>
  <c r="M7" i="12"/>
  <c r="M7" i="11"/>
  <c r="D12" i="31" l="1"/>
  <c r="E135" i="42"/>
  <c r="E124" i="42"/>
  <c r="E120" i="42"/>
  <c r="E109" i="42"/>
  <c r="E92" i="42"/>
  <c r="E72" i="42"/>
  <c r="E57" i="42"/>
  <c r="E44" i="42"/>
  <c r="H44" i="42"/>
  <c r="E40" i="42"/>
  <c r="E28" i="42"/>
  <c r="E15" i="42"/>
  <c r="H2" i="42"/>
  <c r="D44" i="42" l="1"/>
  <c r="H124" i="42"/>
  <c r="E137" i="42"/>
  <c r="J19" i="23" l="1"/>
  <c r="J7" i="36"/>
  <c r="M7" i="38"/>
  <c r="K7" i="38"/>
  <c r="J7" i="38"/>
  <c r="I7" i="38"/>
  <c r="J7" i="27"/>
  <c r="H7" i="25"/>
  <c r="J7" i="23"/>
  <c r="J7" i="20"/>
  <c r="J7" i="19"/>
  <c r="J7" i="18"/>
  <c r="J7" i="13"/>
  <c r="J7" i="12"/>
  <c r="J7" i="11"/>
  <c r="J20" i="23"/>
  <c r="D27" i="31"/>
  <c r="J24" i="13" l="1"/>
  <c r="J16" i="14" s="1"/>
  <c r="A11" i="38" l="1"/>
  <c r="A12" i="38" s="1"/>
  <c r="A13" i="38" s="1"/>
  <c r="A16" i="38" s="1"/>
  <c r="K49" i="29" l="1"/>
  <c r="K51" i="29" s="1"/>
  <c r="F81" i="42" l="1"/>
  <c r="G80" i="13"/>
  <c r="G78" i="13" l="1"/>
  <c r="G55" i="13"/>
  <c r="G60" i="13"/>
  <c r="G65" i="13" l="1"/>
  <c r="G22" i="14" l="1"/>
  <c r="G93" i="13" l="1"/>
  <c r="G16" i="19" l="1"/>
  <c r="A10" i="14" l="1"/>
  <c r="A13" i="14" s="1"/>
  <c r="A15" i="14" s="1"/>
  <c r="A16" i="14" s="1"/>
  <c r="A17" i="14" s="1"/>
  <c r="A18" i="14" s="1"/>
  <c r="A21" i="14" s="1"/>
  <c r="A22" i="14" s="1"/>
  <c r="A23" i="14" s="1"/>
  <c r="A26" i="14" s="1"/>
  <c r="A27" i="14" s="1"/>
  <c r="A29" i="14" s="1"/>
  <c r="A31" i="14" s="1"/>
  <c r="A32" i="14" s="1"/>
  <c r="A35" i="14" s="1"/>
  <c r="A39" i="14" s="1"/>
  <c r="A40" i="14" s="1"/>
  <c r="A41" i="14" s="1"/>
  <c r="A42" i="14" s="1"/>
  <c r="A43" i="14" s="1"/>
  <c r="K40" i="29" l="1"/>
  <c r="K42" i="29" s="1"/>
  <c r="G13" i="13" l="1"/>
  <c r="A11" i="13"/>
  <c r="A12" i="13" s="1"/>
  <c r="A13" i="13" s="1"/>
  <c r="A16" i="13" s="1"/>
  <c r="A17" i="13" s="1"/>
  <c r="A18" i="13" s="1"/>
  <c r="A19" i="13" s="1"/>
  <c r="A22" i="13" s="1"/>
  <c r="A23" i="13" s="1"/>
  <c r="A24" i="13" s="1"/>
  <c r="A26" i="13" s="1"/>
  <c r="A29" i="13" s="1"/>
  <c r="G75" i="13"/>
  <c r="G70" i="13"/>
  <c r="M2" i="38"/>
  <c r="A17" i="38"/>
  <c r="A18" i="38" s="1"/>
  <c r="A19" i="38" s="1"/>
  <c r="A20" i="38" s="1"/>
  <c r="A22" i="38" s="1"/>
  <c r="A12" i="36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K20" i="23"/>
  <c r="C40" i="36"/>
  <c r="G48" i="36"/>
  <c r="G31" i="27"/>
  <c r="G21" i="18"/>
  <c r="D26" i="31"/>
  <c r="K7" i="36"/>
  <c r="I7" i="36"/>
  <c r="G7" i="36"/>
  <c r="K7" i="27"/>
  <c r="I7" i="27"/>
  <c r="G7" i="27"/>
  <c r="E7" i="25"/>
  <c r="G7" i="25"/>
  <c r="M7" i="23"/>
  <c r="K7" i="23"/>
  <c r="I7" i="23"/>
  <c r="G7" i="23"/>
  <c r="K7" i="20"/>
  <c r="I7" i="20"/>
  <c r="G7" i="20"/>
  <c r="K7" i="19"/>
  <c r="I7" i="19"/>
  <c r="G7" i="19"/>
  <c r="M7" i="18"/>
  <c r="K7" i="18"/>
  <c r="I7" i="18"/>
  <c r="G7" i="18"/>
  <c r="K7" i="13"/>
  <c r="I7" i="13"/>
  <c r="G7" i="13"/>
  <c r="K7" i="12"/>
  <c r="I7" i="12"/>
  <c r="G7" i="12"/>
  <c r="K7" i="11"/>
  <c r="I7" i="11"/>
  <c r="G7" i="11"/>
  <c r="M19" i="23"/>
  <c r="M2" i="36"/>
  <c r="M2" i="27"/>
  <c r="K2" i="25"/>
  <c r="M2" i="23"/>
  <c r="M2" i="20"/>
  <c r="M2" i="19"/>
  <c r="M2" i="18"/>
  <c r="Q2" i="29"/>
  <c r="M2" i="13"/>
  <c r="M2" i="12"/>
  <c r="M2" i="11"/>
  <c r="M2" i="14"/>
  <c r="I19" i="23"/>
  <c r="C33" i="36"/>
  <c r="C34" i="36"/>
  <c r="C35" i="36"/>
  <c r="C36" i="36"/>
  <c r="C37" i="36"/>
  <c r="C38" i="36"/>
  <c r="C39" i="36"/>
  <c r="G19" i="18"/>
  <c r="G19" i="23"/>
  <c r="G12" i="23"/>
  <c r="G20" i="23"/>
  <c r="G41" i="14"/>
  <c r="G43" i="14" s="1"/>
  <c r="A21" i="19"/>
  <c r="A23" i="19" s="1"/>
  <c r="A24" i="19" s="1"/>
  <c r="A25" i="19" s="1"/>
  <c r="A26" i="19" s="1"/>
  <c r="A28" i="19" s="1"/>
  <c r="A29" i="19" s="1"/>
  <c r="A30" i="19" s="1"/>
  <c r="A32" i="19" s="1"/>
  <c r="A45" i="14"/>
  <c r="B26" i="31"/>
  <c r="B29" i="31" s="1"/>
  <c r="D24" i="31"/>
  <c r="D22" i="31"/>
  <c r="A23" i="20"/>
  <c r="A24" i="20" s="1"/>
  <c r="A25" i="20" s="1"/>
  <c r="A55" i="25"/>
  <c r="A56" i="25" s="1"/>
  <c r="A58" i="25" s="1"/>
  <c r="A60" i="25" s="1"/>
  <c r="A62" i="25" s="1"/>
  <c r="K19" i="23"/>
  <c r="D6" i="31"/>
  <c r="D8" i="31"/>
  <c r="D9" i="31"/>
  <c r="D11" i="31"/>
  <c r="D16" i="31"/>
  <c r="D18" i="31"/>
  <c r="D20" i="31"/>
  <c r="D29" i="31"/>
  <c r="A30" i="13" l="1"/>
  <c r="A31" i="13" s="1"/>
  <c r="A32" i="13" s="1"/>
  <c r="A33" i="13" s="1"/>
  <c r="A35" i="13" s="1"/>
  <c r="A37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G47" i="14"/>
  <c r="G10" i="14"/>
  <c r="G14" i="19"/>
  <c r="G18" i="18" s="1"/>
  <c r="A26" i="36"/>
  <c r="A27" i="36" s="1"/>
  <c r="A28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14"/>
  <c r="A49" i="14" s="1"/>
  <c r="K24" i="13"/>
  <c r="K16" i="14" s="1"/>
  <c r="A48" i="36" l="1"/>
  <c r="A50" i="36" s="1"/>
  <c r="C44" i="42" l="1"/>
  <c r="F43" i="42"/>
  <c r="F44" i="42" l="1"/>
  <c r="G15" i="14" l="1"/>
  <c r="G24" i="13"/>
  <c r="G16" i="14" l="1"/>
  <c r="G20" i="18" l="1"/>
  <c r="G19" i="13"/>
  <c r="G13" i="14" l="1"/>
  <c r="I20" i="23" l="1"/>
  <c r="I24" i="13" l="1"/>
  <c r="I16" i="14" s="1"/>
  <c r="G43" i="13" l="1"/>
  <c r="G48" i="13"/>
  <c r="G79" i="13" l="1"/>
  <c r="G81" i="13" s="1"/>
  <c r="G85" i="13" s="1"/>
  <c r="G21" i="14" l="1"/>
  <c r="G23" i="14" s="1"/>
  <c r="A72" i="13" l="1"/>
  <c r="A73" i="13" s="1"/>
  <c r="A74" i="13" s="1"/>
  <c r="A75" i="13" s="1"/>
  <c r="A77" i="13" s="1"/>
  <c r="A78" i="13" s="1"/>
  <c r="A79" i="13" s="1"/>
  <c r="A80" i="13" s="1"/>
  <c r="A81" i="13" s="1"/>
  <c r="A83" i="13" s="1"/>
  <c r="A85" i="13" s="1"/>
  <c r="A87" i="13" s="1"/>
  <c r="A89" i="13" s="1"/>
  <c r="A90" i="13" s="1"/>
  <c r="A91" i="13" s="1"/>
  <c r="A92" i="13" s="1"/>
  <c r="A93" i="13" s="1"/>
  <c r="A95" i="13" s="1"/>
  <c r="J26" i="36" l="1"/>
  <c r="K27" i="36" l="1"/>
  <c r="I26" i="36" l="1"/>
  <c r="J27" i="36" s="1"/>
  <c r="J28" i="36" l="1"/>
  <c r="G29" i="29" l="1"/>
  <c r="J12" i="23" l="1"/>
  <c r="J31" i="27" l="1"/>
  <c r="J19" i="18"/>
  <c r="J16" i="19" l="1"/>
  <c r="J20" i="18" l="1"/>
  <c r="J22" i="38" l="1"/>
  <c r="J12" i="38" s="1"/>
  <c r="J11" i="38" s="1"/>
  <c r="I22" i="38" l="1"/>
  <c r="I12" i="38" s="1"/>
  <c r="I11" i="38" s="1"/>
  <c r="E23" i="25" l="1"/>
  <c r="E31" i="25"/>
  <c r="E48" i="25"/>
  <c r="E35" i="25"/>
  <c r="E13" i="25"/>
  <c r="E17" i="25"/>
  <c r="E33" i="25"/>
  <c r="E19" i="25"/>
  <c r="E27" i="25"/>
  <c r="E40" i="25"/>
  <c r="E34" i="25"/>
  <c r="E42" i="25" s="1"/>
  <c r="E50" i="25" s="1"/>
  <c r="E11" i="25"/>
  <c r="E43" i="25" l="1"/>
  <c r="E36" i="25"/>
  <c r="E51" i="25" l="1"/>
  <c r="E44" i="25"/>
  <c r="E52" i="25" l="1"/>
  <c r="E58" i="25"/>
  <c r="E62" i="25" s="1"/>
  <c r="G40" i="25" l="1"/>
  <c r="G48" i="25"/>
  <c r="G27" i="25"/>
  <c r="G35" i="25"/>
  <c r="G43" i="25" s="1"/>
  <c r="G51" i="25" s="1"/>
  <c r="G23" i="25"/>
  <c r="G31" i="25"/>
  <c r="J41" i="14" l="1"/>
  <c r="I22" i="14" l="1"/>
  <c r="J22" i="14" l="1"/>
  <c r="J15" i="14" l="1"/>
  <c r="K19" i="25" l="1"/>
  <c r="K17" i="25"/>
  <c r="K27" i="25"/>
  <c r="K31" i="25"/>
  <c r="K40" i="25"/>
  <c r="K48" i="25"/>
  <c r="K33" i="25"/>
  <c r="K11" i="25" l="1"/>
  <c r="K34" i="25"/>
  <c r="K13" i="25"/>
  <c r="I23" i="25" l="1"/>
  <c r="I31" i="25"/>
  <c r="I48" i="25"/>
  <c r="I19" i="25"/>
  <c r="I27" i="25"/>
  <c r="I40" i="25"/>
  <c r="I33" i="25"/>
  <c r="I17" i="25"/>
  <c r="K42" i="25"/>
  <c r="I34" i="25"/>
  <c r="I42" i="25" s="1"/>
  <c r="I50" i="25" s="1"/>
  <c r="I11" i="25"/>
  <c r="I35" i="25"/>
  <c r="I13" i="25"/>
  <c r="I36" i="25" l="1"/>
  <c r="I43" i="25"/>
  <c r="K50" i="25"/>
  <c r="I51" i="25" l="1"/>
  <c r="I52" i="25" s="1"/>
  <c r="I44" i="25"/>
  <c r="H33" i="25" l="1"/>
  <c r="G33" i="25"/>
  <c r="H11" i="25"/>
  <c r="H34" i="25"/>
  <c r="H42" i="25" s="1"/>
  <c r="H50" i="25" s="1"/>
  <c r="H31" i="25"/>
  <c r="H27" i="25"/>
  <c r="H17" i="25"/>
  <c r="H48" i="25"/>
  <c r="G11" i="25" l="1"/>
  <c r="G13" i="25"/>
  <c r="G34" i="25"/>
  <c r="G17" i="25"/>
  <c r="G19" i="25"/>
  <c r="G36" i="25" l="1"/>
  <c r="G42" i="25"/>
  <c r="G50" i="25" l="1"/>
  <c r="G52" i="25" s="1"/>
  <c r="G44" i="25"/>
  <c r="H40" i="25" l="1"/>
  <c r="H23" i="25"/>
  <c r="H19" i="25"/>
  <c r="H13" i="25" l="1"/>
  <c r="H35" i="25"/>
  <c r="H43" i="25" l="1"/>
  <c r="H36" i="25"/>
  <c r="H51" i="25" l="1"/>
  <c r="H44" i="25"/>
  <c r="H52" i="25" l="1"/>
  <c r="H58" i="25"/>
  <c r="G58" i="25" l="1"/>
  <c r="I12" i="23" l="1"/>
  <c r="I16" i="19" l="1"/>
  <c r="I20" i="18" l="1"/>
  <c r="I31" i="27" l="1"/>
  <c r="I19" i="18"/>
  <c r="G26" i="36" l="1"/>
  <c r="G28" i="36" l="1"/>
  <c r="G11" i="29" l="1"/>
  <c r="G50" i="36"/>
  <c r="O11" i="29" s="1"/>
  <c r="G17" i="18" l="1"/>
  <c r="G10" i="11" s="1"/>
  <c r="G32" i="27"/>
  <c r="G18" i="23" l="1"/>
  <c r="G17" i="27"/>
  <c r="G19" i="27" l="1"/>
  <c r="G33" i="27"/>
  <c r="G33" i="13" l="1"/>
  <c r="G35" i="13" l="1"/>
  <c r="G37" i="13" s="1"/>
  <c r="G87" i="13" s="1"/>
  <c r="G95" i="13" s="1"/>
  <c r="G17" i="14"/>
  <c r="G18" i="14" s="1"/>
  <c r="G26" i="14" s="1"/>
  <c r="G29" i="14" s="1"/>
  <c r="G24" i="12" l="1"/>
  <c r="G28" i="12" s="1"/>
  <c r="G16" i="18" l="1"/>
  <c r="G19" i="19"/>
  <c r="G21" i="19" s="1"/>
  <c r="G13" i="12"/>
  <c r="G17" i="12" s="1"/>
  <c r="G30" i="12" s="1"/>
  <c r="G19" i="11" s="1"/>
  <c r="G9" i="11" l="1"/>
  <c r="G13" i="11" s="1"/>
  <c r="G15" i="11" s="1"/>
  <c r="G21" i="11" s="1"/>
  <c r="G32" i="14" s="1"/>
  <c r="G35" i="14" s="1"/>
  <c r="G49" i="14" s="1"/>
  <c r="G25" i="18"/>
  <c r="G9" i="18" l="1"/>
  <c r="M15" i="29"/>
  <c r="G26" i="19" l="1"/>
  <c r="G13" i="23"/>
  <c r="G17" i="23" l="1"/>
  <c r="G21" i="23" s="1"/>
  <c r="G30" i="19"/>
  <c r="G32" i="19" s="1"/>
  <c r="G12" i="20" l="1"/>
  <c r="G14" i="20" l="1"/>
  <c r="G19" i="20" s="1"/>
  <c r="G24" i="20" s="1"/>
  <c r="G25" i="20" s="1"/>
  <c r="I11" i="29"/>
  <c r="G15" i="29"/>
  <c r="I13" i="29"/>
  <c r="M13" i="29" s="1"/>
  <c r="I15" i="29" l="1"/>
  <c r="M11" i="29"/>
  <c r="Q11" i="29" s="1"/>
  <c r="O15" i="29" l="1"/>
  <c r="Q13" i="29"/>
  <c r="Q15" i="29" s="1"/>
  <c r="G13" i="18" s="1"/>
  <c r="G27" i="18" l="1"/>
  <c r="G9" i="23"/>
  <c r="G14" i="23" s="1"/>
  <c r="G23" i="23" s="1"/>
  <c r="G11" i="18"/>
  <c r="K26" i="36" l="1"/>
  <c r="M26" i="36" l="1"/>
  <c r="K28" i="36"/>
  <c r="G38" i="29" s="1"/>
  <c r="M28" i="36" l="1"/>
  <c r="G47" i="29" l="1"/>
  <c r="I13" i="13" l="1"/>
  <c r="J10" i="13" l="1"/>
  <c r="I10" i="14"/>
  <c r="I19" i="13" l="1"/>
  <c r="J16" i="13" l="1"/>
  <c r="J19" i="13" s="1"/>
  <c r="I13" i="14"/>
  <c r="K16" i="13" l="1"/>
  <c r="J13" i="14"/>
  <c r="I65" i="13" l="1"/>
  <c r="J62" i="13" s="1"/>
  <c r="I75" i="13" l="1"/>
  <c r="J72" i="13" s="1"/>
  <c r="J75" i="13" s="1"/>
  <c r="K72" i="13" l="1"/>
  <c r="I60" i="13" l="1"/>
  <c r="J57" i="13" s="1"/>
  <c r="J60" i="13" l="1"/>
  <c r="K57" i="13" l="1"/>
  <c r="I15" i="14" l="1"/>
  <c r="I41" i="14"/>
  <c r="I43" i="14" s="1"/>
  <c r="I47" i="14" l="1"/>
  <c r="J45" i="14"/>
  <c r="I55" i="13" l="1"/>
  <c r="J52" i="13" s="1"/>
  <c r="I21" i="18" l="1"/>
  <c r="J47" i="13" l="1"/>
  <c r="I48" i="13"/>
  <c r="J42" i="13"/>
  <c r="I43" i="13"/>
  <c r="J13" i="13" l="1"/>
  <c r="J55" i="13" l="1"/>
  <c r="K10" i="13"/>
  <c r="J10" i="14"/>
  <c r="K52" i="13" l="1"/>
  <c r="J43" i="14" l="1"/>
  <c r="J21" i="18" l="1"/>
  <c r="J47" i="14"/>
  <c r="K45" i="14"/>
  <c r="J65" i="13" l="1"/>
  <c r="K62" i="13" l="1"/>
  <c r="J48" i="13" l="1"/>
  <c r="K47" i="13"/>
  <c r="J43" i="13" l="1"/>
  <c r="K42" i="13"/>
  <c r="M22" i="38" l="1"/>
  <c r="M12" i="38" s="1"/>
  <c r="M11" i="38" s="1"/>
  <c r="H53" i="42" l="1"/>
  <c r="F53" i="42"/>
  <c r="I78" i="13" l="1"/>
  <c r="I80" i="13" l="1"/>
  <c r="I14" i="19" l="1"/>
  <c r="I18" i="18" s="1"/>
  <c r="I93" i="13" l="1"/>
  <c r="I79" i="13"/>
  <c r="I81" i="13" s="1"/>
  <c r="I70" i="13"/>
  <c r="J67" i="13" s="1"/>
  <c r="J78" i="13" l="1"/>
  <c r="I21" i="14"/>
  <c r="I23" i="14" s="1"/>
  <c r="I85" i="13"/>
  <c r="J90" i="13"/>
  <c r="J80" i="13"/>
  <c r="J14" i="19" l="1"/>
  <c r="J18" i="18" s="1"/>
  <c r="I32" i="27" l="1"/>
  <c r="I17" i="18"/>
  <c r="I10" i="11" s="1"/>
  <c r="I18" i="23" l="1"/>
  <c r="I17" i="27"/>
  <c r="I19" i="27" l="1"/>
  <c r="I33" i="27"/>
  <c r="G62" i="25" l="1"/>
  <c r="J93" i="13" l="1"/>
  <c r="J79" i="13"/>
  <c r="J81" i="13" s="1"/>
  <c r="J70" i="13"/>
  <c r="K67" i="13" l="1"/>
  <c r="J21" i="14"/>
  <c r="J23" i="14" s="1"/>
  <c r="J85" i="13"/>
  <c r="K90" i="13"/>
  <c r="K78" i="13" l="1"/>
  <c r="J32" i="27" l="1"/>
  <c r="J17" i="18"/>
  <c r="J10" i="11" s="1"/>
  <c r="H62" i="25" l="1"/>
  <c r="J18" i="23" l="1"/>
  <c r="J17" i="27"/>
  <c r="J19" i="27" l="1"/>
  <c r="J33" i="27"/>
  <c r="I28" i="36" l="1"/>
  <c r="G20" i="29" s="1"/>
  <c r="I48" i="36" l="1"/>
  <c r="I50" i="36" s="1"/>
  <c r="O20" i="29" s="1"/>
  <c r="J48" i="36"/>
  <c r="J50" i="36" s="1"/>
  <c r="O29" i="29" s="1"/>
  <c r="I13" i="23" l="1"/>
  <c r="I26" i="19"/>
  <c r="J26" i="19"/>
  <c r="J13" i="23"/>
  <c r="K48" i="36" l="1"/>
  <c r="K50" i="36" s="1"/>
  <c r="M48" i="36"/>
  <c r="M50" i="36" s="1"/>
  <c r="O38" i="29" l="1"/>
  <c r="I33" i="13" l="1"/>
  <c r="I17" i="14" l="1"/>
  <c r="I18" i="14" s="1"/>
  <c r="I26" i="14" s="1"/>
  <c r="I35" i="13"/>
  <c r="I37" i="13" s="1"/>
  <c r="I87" i="13" s="1"/>
  <c r="I95" i="13" s="1"/>
  <c r="J27" i="14" l="1"/>
  <c r="I29" i="14"/>
  <c r="I16" i="18" l="1"/>
  <c r="I19" i="19"/>
  <c r="I13" i="12"/>
  <c r="I17" i="12" s="1"/>
  <c r="I9" i="11" l="1"/>
  <c r="I13" i="11" s="1"/>
  <c r="I15" i="11" s="1"/>
  <c r="I25" i="18"/>
  <c r="J16" i="18" l="1"/>
  <c r="J19" i="19"/>
  <c r="J13" i="12"/>
  <c r="J17" i="12" s="1"/>
  <c r="J9" i="11" l="1"/>
  <c r="J13" i="11" s="1"/>
  <c r="J15" i="11" s="1"/>
  <c r="J25" i="18"/>
  <c r="J21" i="19" l="1"/>
  <c r="J24" i="12"/>
  <c r="J28" i="12" s="1"/>
  <c r="J30" i="12" s="1"/>
  <c r="J19" i="11" s="1"/>
  <c r="J21" i="11" l="1"/>
  <c r="J32" i="14" s="1"/>
  <c r="J33" i="13" l="1"/>
  <c r="J17" i="14" l="1"/>
  <c r="J18" i="14" s="1"/>
  <c r="J26" i="14" s="1"/>
  <c r="J35" i="13"/>
  <c r="J37" i="13" s="1"/>
  <c r="J87" i="13" s="1"/>
  <c r="J95" i="13" s="1"/>
  <c r="K27" i="14" l="1"/>
  <c r="J29" i="14"/>
  <c r="J35" i="14" l="1"/>
  <c r="J49" i="14" s="1"/>
  <c r="J9" i="18" s="1"/>
  <c r="M33" i="29" l="1"/>
  <c r="I21" i="19" l="1"/>
  <c r="I24" i="12" l="1"/>
  <c r="I28" i="12" s="1"/>
  <c r="I30" i="12" s="1"/>
  <c r="I19" i="11" s="1"/>
  <c r="I21" i="11" l="1"/>
  <c r="I32" i="14" s="1"/>
  <c r="I35" i="14" l="1"/>
  <c r="I49" i="14" s="1"/>
  <c r="I9" i="18" l="1"/>
  <c r="M24" i="29"/>
  <c r="I30" i="19" l="1"/>
  <c r="I32" i="19" s="1"/>
  <c r="I17" i="23"/>
  <c r="I21" i="23" s="1"/>
  <c r="I12" i="20" l="1"/>
  <c r="I14" i="20" l="1"/>
  <c r="I19" i="20" s="1"/>
  <c r="G24" i="29"/>
  <c r="I22" i="29"/>
  <c r="M22" i="29" s="1"/>
  <c r="I20" i="29"/>
  <c r="J30" i="19"/>
  <c r="J32" i="19" s="1"/>
  <c r="J17" i="23"/>
  <c r="J21" i="23" s="1"/>
  <c r="J9" i="20" l="1"/>
  <c r="I24" i="20"/>
  <c r="I25" i="20" s="1"/>
  <c r="J12" i="20"/>
  <c r="I24" i="29"/>
  <c r="M20" i="29"/>
  <c r="Q20" i="29" s="1"/>
  <c r="J14" i="20" l="1"/>
  <c r="J19" i="20"/>
  <c r="J24" i="20" l="1"/>
  <c r="J25" i="20" s="1"/>
  <c r="G31" i="29" s="1"/>
  <c r="I29" i="29" s="1"/>
  <c r="G33" i="29" l="1"/>
  <c r="I31" i="29"/>
  <c r="M31" i="29" s="1"/>
  <c r="O24" i="29"/>
  <c r="Q22" i="29"/>
  <c r="Q24" i="29" s="1"/>
  <c r="M29" i="29"/>
  <c r="Q29" i="29" s="1"/>
  <c r="I33" i="29" l="1"/>
  <c r="I13" i="18"/>
  <c r="Q31" i="29"/>
  <c r="Q33" i="29" s="1"/>
  <c r="J13" i="18" l="1"/>
  <c r="I9" i="23"/>
  <c r="I14" i="23" s="1"/>
  <c r="I23" i="23" s="1"/>
  <c r="I27" i="18"/>
  <c r="I11" i="18"/>
  <c r="J9" i="23" l="1"/>
  <c r="J14" i="23" s="1"/>
  <c r="J23" i="23" s="1"/>
  <c r="J27" i="18"/>
  <c r="J11" i="18"/>
  <c r="K60" i="13" l="1"/>
  <c r="M57" i="13" s="1"/>
  <c r="M60" i="13" l="1"/>
  <c r="G26" i="27" l="1"/>
  <c r="G22" i="38"/>
  <c r="G12" i="38" s="1"/>
  <c r="G11" i="38" s="1"/>
  <c r="K22" i="38" l="1"/>
  <c r="K12" i="38" s="1"/>
  <c r="K11" i="38" s="1"/>
  <c r="G15" i="27" l="1"/>
  <c r="G28" i="27" l="1"/>
  <c r="G22" i="27"/>
  <c r="G35" i="27" s="1"/>
  <c r="I15" i="27" l="1"/>
  <c r="I22" i="27" l="1"/>
  <c r="I35" i="27" s="1"/>
  <c r="J15" i="27" l="1"/>
  <c r="J22" i="27" l="1"/>
  <c r="J35" i="27" s="1"/>
  <c r="I26" i="27" l="1"/>
  <c r="I28" i="27" s="1"/>
  <c r="J26" i="27" l="1"/>
  <c r="J28" i="27" s="1"/>
  <c r="I58" i="25" l="1"/>
  <c r="I62" i="25" s="1"/>
  <c r="H15" i="42" l="1"/>
  <c r="D124" i="42" l="1"/>
  <c r="D15" i="42" l="1"/>
  <c r="F9" i="42"/>
  <c r="F10" i="42"/>
  <c r="F11" i="42"/>
  <c r="F12" i="42"/>
  <c r="F13" i="42"/>
  <c r="F19" i="42"/>
  <c r="F24" i="42"/>
  <c r="F26" i="42"/>
  <c r="F36" i="42"/>
  <c r="F76" i="42"/>
  <c r="F77" i="42"/>
  <c r="F79" i="42"/>
  <c r="F80" i="42"/>
  <c r="F82" i="42"/>
  <c r="F86" i="42"/>
  <c r="F90" i="42"/>
  <c r="F54" i="42"/>
  <c r="F61" i="42"/>
  <c r="F64" i="42"/>
  <c r="F63" i="42"/>
  <c r="F65" i="42"/>
  <c r="F67" i="42"/>
  <c r="F68" i="42"/>
  <c r="F70" i="42"/>
  <c r="F102" i="42"/>
  <c r="F115" i="42"/>
  <c r="F131" i="42"/>
  <c r="F133" i="42"/>
  <c r="F128" i="42" l="1"/>
  <c r="F104" i="42"/>
  <c r="F55" i="42"/>
  <c r="F66" i="42"/>
  <c r="F89" i="42"/>
  <c r="F99" i="42"/>
  <c r="F87" i="42"/>
  <c r="F118" i="42"/>
  <c r="F51" i="42"/>
  <c r="F50" i="42"/>
  <c r="F84" i="42"/>
  <c r="F48" i="42"/>
  <c r="F113" i="42"/>
  <c r="F62" i="42"/>
  <c r="F83" i="42"/>
  <c r="F95" i="42" l="1"/>
  <c r="C124" i="42"/>
  <c r="F123" i="42"/>
  <c r="F124" i="42" s="1"/>
  <c r="F31" i="42"/>
  <c r="F127" i="42"/>
  <c r="F8" i="42" l="1"/>
  <c r="C15" i="42"/>
  <c r="F15" i="42" l="1"/>
  <c r="F132" i="42" l="1"/>
  <c r="F60" i="42" l="1"/>
  <c r="F106" i="42" l="1"/>
  <c r="F114" i="42" l="1"/>
  <c r="F130" i="42" l="1"/>
  <c r="F96" i="42" l="1"/>
  <c r="F117" i="42" l="1"/>
  <c r="D72" i="42" l="1"/>
  <c r="F69" i="42" l="1"/>
  <c r="C72" i="42"/>
  <c r="F72" i="42" l="1"/>
  <c r="H72" i="42" l="1"/>
  <c r="F88" i="42" l="1"/>
  <c r="F107" i="42"/>
  <c r="F37" i="42"/>
  <c r="D135" i="42"/>
  <c r="F129" i="42" l="1"/>
  <c r="C135" i="42"/>
  <c r="F135" i="42" l="1"/>
  <c r="H135" i="42"/>
  <c r="F78" i="42" l="1"/>
  <c r="F100" i="42" l="1"/>
  <c r="D120" i="42"/>
  <c r="F98" i="42"/>
  <c r="F101" i="42" l="1"/>
  <c r="F116" i="42"/>
  <c r="C92" i="42" l="1"/>
  <c r="C120" i="42"/>
  <c r="F112" i="42"/>
  <c r="F120" i="42" l="1"/>
  <c r="F22" i="42" l="1"/>
  <c r="F23" i="42" l="1"/>
  <c r="F33" i="42" l="1"/>
  <c r="F49" i="42" l="1"/>
  <c r="F47" i="42" l="1"/>
  <c r="F21" i="42" l="1"/>
  <c r="F34" i="42" l="1"/>
  <c r="F85" i="42" l="1"/>
  <c r="F20" i="42" l="1"/>
  <c r="D92" i="42" l="1"/>
  <c r="F75" i="42"/>
  <c r="F103" i="42" l="1"/>
  <c r="F92" i="42"/>
  <c r="F38" i="42"/>
  <c r="D57" i="42"/>
  <c r="F105" i="42"/>
  <c r="K22" i="14"/>
  <c r="D109" i="42" l="1"/>
  <c r="F18" i="42"/>
  <c r="C28" i="42"/>
  <c r="F32" i="42"/>
  <c r="C40" i="42"/>
  <c r="M22" i="14"/>
  <c r="F97" i="42" l="1"/>
  <c r="C109" i="42"/>
  <c r="F52" i="42"/>
  <c r="C57" i="42"/>
  <c r="C137" i="42" s="1"/>
  <c r="F25" i="42" l="1"/>
  <c r="D28" i="42"/>
  <c r="F57" i="42"/>
  <c r="F109" i="42"/>
  <c r="F35" i="42" l="1"/>
  <c r="F40" i="42" s="1"/>
  <c r="D40" i="42"/>
  <c r="D137" i="42" s="1"/>
  <c r="F28" i="42"/>
  <c r="F137" i="42" s="1"/>
  <c r="H40" i="42" l="1"/>
  <c r="H57" i="42"/>
  <c r="H120" i="42"/>
  <c r="H28" i="42" l="1"/>
  <c r="H109" i="42"/>
  <c r="H92" i="42"/>
  <c r="H137" i="42" l="1"/>
  <c r="K75" i="13" l="1"/>
  <c r="M72" i="13" s="1"/>
  <c r="M75" i="13" s="1"/>
  <c r="K35" i="25" l="1"/>
  <c r="K23" i="25"/>
  <c r="K43" i="25" l="1"/>
  <c r="K36" i="25"/>
  <c r="K51" i="25" l="1"/>
  <c r="K52" i="25" s="1"/>
  <c r="K44" i="25"/>
  <c r="K13" i="13" l="1"/>
  <c r="K10" i="14" l="1"/>
  <c r="M10" i="13"/>
  <c r="M13" i="13" s="1"/>
  <c r="M10" i="14" s="1"/>
  <c r="K55" i="13" l="1"/>
  <c r="M52" i="13" s="1"/>
  <c r="M55" i="13" s="1"/>
  <c r="K65" i="13" l="1"/>
  <c r="M62" i="13" s="1"/>
  <c r="M65" i="13" s="1"/>
  <c r="K15" i="14" l="1"/>
  <c r="M15" i="14" l="1"/>
  <c r="K41" i="14" l="1"/>
  <c r="K43" i="14" s="1"/>
  <c r="M45" i="14" l="1"/>
  <c r="K47" i="14"/>
  <c r="M41" i="14"/>
  <c r="M43" i="14" s="1"/>
  <c r="M47" i="14" s="1"/>
  <c r="M42" i="13" l="1"/>
  <c r="K43" i="13"/>
  <c r="M43" i="13" l="1"/>
  <c r="M47" i="13"/>
  <c r="K48" i="13"/>
  <c r="M48" i="13" l="1"/>
  <c r="M12" i="23" l="1"/>
  <c r="K12" i="23"/>
  <c r="M21" i="18"/>
  <c r="K21" i="18"/>
  <c r="M16" i="19"/>
  <c r="M20" i="18" s="1"/>
  <c r="K16" i="19" l="1"/>
  <c r="K19" i="13"/>
  <c r="K31" i="27"/>
  <c r="K19" i="18"/>
  <c r="M31" i="27"/>
  <c r="M19" i="18"/>
  <c r="M16" i="13" l="1"/>
  <c r="M19" i="13" s="1"/>
  <c r="M13" i="14" s="1"/>
  <c r="K13" i="14"/>
  <c r="K20" i="18"/>
  <c r="M20" i="23" l="1"/>
  <c r="M24" i="13" l="1"/>
  <c r="M16" i="14" s="1"/>
  <c r="M80" i="13" l="1"/>
  <c r="K70" i="13"/>
  <c r="K79" i="13"/>
  <c r="K80" i="13"/>
  <c r="M14" i="19" l="1"/>
  <c r="M18" i="18" s="1"/>
  <c r="K14" i="19"/>
  <c r="K81" i="13"/>
  <c r="K93" i="13"/>
  <c r="M79" i="13"/>
  <c r="M67" i="13"/>
  <c r="K18" i="18" l="1"/>
  <c r="M90" i="13"/>
  <c r="M70" i="13"/>
  <c r="M78" i="13"/>
  <c r="M81" i="13" s="1"/>
  <c r="K21" i="14"/>
  <c r="K23" i="14" s="1"/>
  <c r="K85" i="13"/>
  <c r="M85" i="13" l="1"/>
  <c r="M21" i="14"/>
  <c r="M23" i="14" s="1"/>
  <c r="M93" i="13"/>
  <c r="K17" i="18" l="1"/>
  <c r="K10" i="11" s="1"/>
  <c r="K32" i="27"/>
  <c r="M17" i="18" l="1"/>
  <c r="M10" i="11" s="1"/>
  <c r="M32" i="27"/>
  <c r="K15" i="27" l="1"/>
  <c r="M15" i="27" l="1"/>
  <c r="K26" i="27" l="1"/>
  <c r="M26" i="27" l="1"/>
  <c r="M17" i="27" l="1"/>
  <c r="M18" i="23"/>
  <c r="M19" i="27" l="1"/>
  <c r="M33" i="27"/>
  <c r="M22" i="27" l="1"/>
  <c r="M35" i="27" s="1"/>
  <c r="M28" i="27"/>
  <c r="M16" i="18" l="1"/>
  <c r="M19" i="19"/>
  <c r="M13" i="12" l="1"/>
  <c r="M17" i="12" s="1"/>
  <c r="M25" i="18"/>
  <c r="M9" i="11"/>
  <c r="M13" i="11" s="1"/>
  <c r="M15" i="11" s="1"/>
  <c r="K24" i="12" l="1"/>
  <c r="K28" i="12" s="1"/>
  <c r="K17" i="27" l="1"/>
  <c r="K18" i="23"/>
  <c r="K16" i="18"/>
  <c r="K19" i="19"/>
  <c r="K21" i="19" s="1"/>
  <c r="K33" i="27" l="1"/>
  <c r="K19" i="27"/>
  <c r="K13" i="12"/>
  <c r="K17" i="12" s="1"/>
  <c r="K30" i="12" s="1"/>
  <c r="K19" i="11" s="1"/>
  <c r="K9" i="11"/>
  <c r="K13" i="11" s="1"/>
  <c r="K15" i="11" s="1"/>
  <c r="K25" i="18"/>
  <c r="K22" i="27" l="1"/>
  <c r="K35" i="27" s="1"/>
  <c r="K28" i="27"/>
  <c r="K21" i="11"/>
  <c r="K32" i="14" s="1"/>
  <c r="K33" i="13" l="1"/>
  <c r="K17" i="14" l="1"/>
  <c r="K18" i="14" s="1"/>
  <c r="K26" i="14" s="1"/>
  <c r="K35" i="13"/>
  <c r="K37" i="13" s="1"/>
  <c r="K87" i="13" s="1"/>
  <c r="K95" i="13" s="1"/>
  <c r="M27" i="14" l="1"/>
  <c r="K29" i="14"/>
  <c r="K35" i="14" l="1"/>
  <c r="K49" i="14" s="1"/>
  <c r="K9" i="18" l="1"/>
  <c r="M42" i="29"/>
  <c r="M33" i="13" l="1"/>
  <c r="M35" i="13" l="1"/>
  <c r="M37" i="13" s="1"/>
  <c r="M87" i="13" s="1"/>
  <c r="M95" i="13" s="1"/>
  <c r="M17" i="14"/>
  <c r="M18" i="14" s="1"/>
  <c r="M26" i="14" s="1"/>
  <c r="M29" i="14" l="1"/>
  <c r="K13" i="23" l="1"/>
  <c r="K26" i="19"/>
  <c r="K17" i="23" l="1"/>
  <c r="K21" i="23" s="1"/>
  <c r="K30" i="19"/>
  <c r="K32" i="19" s="1"/>
  <c r="K12" i="20" l="1"/>
  <c r="K14" i="20" s="1"/>
  <c r="K19" i="20" l="1"/>
  <c r="M9" i="20" l="1"/>
  <c r="K24" i="20"/>
  <c r="K25" i="20" s="1"/>
  <c r="G40" i="29" s="1"/>
  <c r="I40" i="29" l="1"/>
  <c r="G42" i="29"/>
  <c r="I38" i="29"/>
  <c r="I42" i="29" s="1"/>
  <c r="Q38" i="29" l="1"/>
  <c r="O42" i="29" l="1"/>
  <c r="Q40" i="29"/>
  <c r="Q42" i="29" s="1"/>
  <c r="K13" i="18" l="1"/>
  <c r="K11" i="18" l="1"/>
  <c r="K27" i="18"/>
  <c r="K9" i="23"/>
  <c r="K14" i="23" s="1"/>
  <c r="K23" i="23" s="1"/>
  <c r="K58" i="25" l="1"/>
  <c r="K62" i="25" s="1"/>
  <c r="M24" i="12" l="1"/>
  <c r="M28" i="12" s="1"/>
  <c r="M30" i="12" s="1"/>
  <c r="M19" i="11" s="1"/>
  <c r="M21" i="19"/>
  <c r="M21" i="11" l="1"/>
  <c r="M32" i="14" s="1"/>
  <c r="M35" i="14" l="1"/>
  <c r="M49" i="14" s="1"/>
  <c r="M51" i="29" s="1"/>
  <c r="M49" i="29" l="1"/>
  <c r="M47" i="29"/>
  <c r="Q47" i="29" s="1"/>
  <c r="M9" i="18"/>
  <c r="O51" i="29" l="1"/>
  <c r="Q49" i="29"/>
  <c r="Q51" i="29" s="1"/>
  <c r="M13" i="18" l="1"/>
  <c r="M11" i="18" l="1"/>
  <c r="M9" i="23"/>
  <c r="M27" i="18"/>
  <c r="M13" i="23" l="1"/>
  <c r="M14" i="23" s="1"/>
  <c r="M26" i="19"/>
  <c r="M30" i="19" l="1"/>
  <c r="M32" i="19" s="1"/>
  <c r="M17" i="23"/>
  <c r="M21" i="23" s="1"/>
  <c r="M23" i="23" s="1"/>
  <c r="M12" i="20" l="1"/>
  <c r="M14" i="20" s="1"/>
  <c r="M19" i="20" l="1"/>
  <c r="M24" i="20" s="1"/>
  <c r="M25" i="20" s="1"/>
  <c r="G49" i="29" s="1"/>
  <c r="I49" i="29" l="1"/>
  <c r="G51" i="29"/>
  <c r="I47" i="29"/>
  <c r="I51" i="29" l="1"/>
</calcChain>
</file>

<file path=xl/sharedStrings.xml><?xml version="1.0" encoding="utf-8"?>
<sst xmlns="http://schemas.openxmlformats.org/spreadsheetml/2006/main" count="657" uniqueCount="389">
  <si>
    <t>Yukon Energy Corporation</t>
  </si>
  <si>
    <t>Schedule Index</t>
  </si>
  <si>
    <t>2A</t>
  </si>
  <si>
    <t>3A</t>
  </si>
  <si>
    <t>Cost of Capital Calculation</t>
  </si>
  <si>
    <t>10A</t>
  </si>
  <si>
    <t>Schedule 1</t>
  </si>
  <si>
    <t>Computation of Rate Base</t>
  </si>
  <si>
    <t>($000s)</t>
  </si>
  <si>
    <t>Line No.</t>
  </si>
  <si>
    <t>Description</t>
  </si>
  <si>
    <t>Cross Ref.</t>
  </si>
  <si>
    <t>2018 GRA
Compliance</t>
  </si>
  <si>
    <t>Actual 2018</t>
  </si>
  <si>
    <t>Property, Plant and Equipment</t>
  </si>
  <si>
    <t>Year end balance</t>
  </si>
  <si>
    <t xml:space="preserve"> </t>
  </si>
  <si>
    <t>Deduct:</t>
  </si>
  <si>
    <t>Accumulated depreciation (note 1)</t>
  </si>
  <si>
    <t>Construction-in-progress</t>
  </si>
  <si>
    <t>S.3 L.11</t>
  </si>
  <si>
    <t>Disallowed assets</t>
  </si>
  <si>
    <t>S.3 L.12</t>
  </si>
  <si>
    <t xml:space="preserve">Miscellaneous reserves </t>
  </si>
  <si>
    <t>Total deductions</t>
  </si>
  <si>
    <t>Add:</t>
  </si>
  <si>
    <t>S.3 L.16</t>
  </si>
  <si>
    <t>Accum. Disallowed depreciation</t>
  </si>
  <si>
    <t>Total additions</t>
  </si>
  <si>
    <t>Net plant in Service</t>
  </si>
  <si>
    <t>Current year-end balance</t>
  </si>
  <si>
    <t>Previous year-end balance</t>
  </si>
  <si>
    <t>Total</t>
  </si>
  <si>
    <t>Mid-year balance</t>
  </si>
  <si>
    <t>Mid-year regulatory deferral</t>
  </si>
  <si>
    <t>Working capital</t>
  </si>
  <si>
    <t>S.2 L.8</t>
  </si>
  <si>
    <t>Gross Rate Base</t>
  </si>
  <si>
    <t>Contributions in WIP</t>
  </si>
  <si>
    <t>Current year-end balance in-service</t>
  </si>
  <si>
    <t>Accumulated amortization of contributions</t>
  </si>
  <si>
    <t>Net current year-end balance in-service</t>
  </si>
  <si>
    <t>Net Rate Base</t>
  </si>
  <si>
    <t>S.5 L.1</t>
  </si>
  <si>
    <t>Note 1: Including Reserve for Future Removal and Site Restoration</t>
  </si>
  <si>
    <t>Schedule 2</t>
  </si>
  <si>
    <t>Computation of Allowance for Working Capital</t>
  </si>
  <si>
    <t>Operating and maintenance</t>
  </si>
  <si>
    <t>S.5 L.5</t>
  </si>
  <si>
    <t>Taxes other than income</t>
  </si>
  <si>
    <t>S.5 L.6</t>
  </si>
  <si>
    <t>Non-allowable expenses</t>
  </si>
  <si>
    <t>Cash operating expenses</t>
  </si>
  <si>
    <t>27/365</t>
  </si>
  <si>
    <t>Inventory (three year average)</t>
  </si>
  <si>
    <t>GST Impact on working capital</t>
  </si>
  <si>
    <t>S.2A L.11</t>
  </si>
  <si>
    <t>S.1 L.19</t>
  </si>
  <si>
    <t>Schedule 2A</t>
  </si>
  <si>
    <t>Effect of GST on Working Capital</t>
  </si>
  <si>
    <t>Expenses subject to GST</t>
  </si>
  <si>
    <t>GST Rate</t>
  </si>
  <si>
    <t>GST Recoverable</t>
  </si>
  <si>
    <t>Day Factor</t>
  </si>
  <si>
    <t>Recoverable portion of GST impact</t>
  </si>
  <si>
    <t>Revenue subject to GST</t>
  </si>
  <si>
    <t>GST blended rate (2009 GRA)</t>
  </si>
  <si>
    <t>GST payable</t>
  </si>
  <si>
    <t>Day factor</t>
  </si>
  <si>
    <t>Payable portion of GST impact</t>
  </si>
  <si>
    <t>Net impact of GST on working capital</t>
  </si>
  <si>
    <t>S.2 L.7</t>
  </si>
  <si>
    <t>Schedule 3</t>
  </si>
  <si>
    <t>Balance at beginning of year</t>
  </si>
  <si>
    <t>Net Increases to PPE (Table 5.1)</t>
  </si>
  <si>
    <t>Retirements, disposals and adjustments</t>
  </si>
  <si>
    <t>Balance at end of year</t>
  </si>
  <si>
    <t>S.1 L.2</t>
  </si>
  <si>
    <t>Accumulated depreciation</t>
  </si>
  <si>
    <t>Depreciation expense</t>
  </si>
  <si>
    <t>S.6 L.7</t>
  </si>
  <si>
    <t>Deductions from PP&amp;E:</t>
  </si>
  <si>
    <t>S.1 L.5</t>
  </si>
  <si>
    <t>S.1 L.11</t>
  </si>
  <si>
    <t>Net Disallowed</t>
  </si>
  <si>
    <t>S.1 L.4</t>
  </si>
  <si>
    <t>Miscellaneous Reserves</t>
  </si>
  <si>
    <t>Reserve for Injuries and Damages</t>
  </si>
  <si>
    <t>Reserve for Future Removal and Site Restoration</t>
  </si>
  <si>
    <t>S.1 L.6</t>
  </si>
  <si>
    <t>Total Deductions</t>
  </si>
  <si>
    <t>Net Property, Plant and Equipment for Rate Base</t>
  </si>
  <si>
    <t>Feasibility Studies</t>
  </si>
  <si>
    <t>Opening balance</t>
  </si>
  <si>
    <t>Additions</t>
  </si>
  <si>
    <t>Amortization</t>
  </si>
  <si>
    <t>Year-end balance</t>
  </si>
  <si>
    <t>Relicensing</t>
  </si>
  <si>
    <t>Dam Safety</t>
  </si>
  <si>
    <t>Vegetation Management</t>
  </si>
  <si>
    <t>Intangibles</t>
  </si>
  <si>
    <t>Hearing Reserve</t>
  </si>
  <si>
    <t>S.1 L.9</t>
  </si>
  <si>
    <t>S.6 L.6</t>
  </si>
  <si>
    <t>Schedule 3A</t>
  </si>
  <si>
    <t>Land</t>
  </si>
  <si>
    <t>Hydraulic Production</t>
  </si>
  <si>
    <t>Diesel Production</t>
  </si>
  <si>
    <t>Main Transmission Facilities</t>
  </si>
  <si>
    <t>General Plant</t>
  </si>
  <si>
    <t>Rights</t>
  </si>
  <si>
    <t>Total Land</t>
  </si>
  <si>
    <t>Hydro Plant</t>
  </si>
  <si>
    <t>Structures and Improvements</t>
  </si>
  <si>
    <t>Reservoirs, Dams, and Waterways</t>
  </si>
  <si>
    <t>Waterwheels,Turbines &amp; Generation</t>
  </si>
  <si>
    <t>Accessory Electric Equipment</t>
  </si>
  <si>
    <t>Misc Power Plant Equipment</t>
  </si>
  <si>
    <t>Fencing</t>
  </si>
  <si>
    <t>Total Hydro Plant</t>
  </si>
  <si>
    <t>Buildings and Improvements</t>
  </si>
  <si>
    <t>Fuel Holders, Products, and ACC</t>
  </si>
  <si>
    <t>Generating Equipment and Prime</t>
  </si>
  <si>
    <t>Total Diesel Production</t>
  </si>
  <si>
    <t>Wind Turbine</t>
  </si>
  <si>
    <t>Total Wind Turbine</t>
  </si>
  <si>
    <t>Poles and Fixtures</t>
  </si>
  <si>
    <t>Brushing</t>
  </si>
  <si>
    <t>Survey Costs</t>
  </si>
  <si>
    <t>Overhead Conductors / Poles</t>
  </si>
  <si>
    <t>Overhead Conductors / Towers</t>
  </si>
  <si>
    <t>Substation Equipment</t>
  </si>
  <si>
    <t>Substation Buildings</t>
  </si>
  <si>
    <t>Substation Fences</t>
  </si>
  <si>
    <t>Total Main Transmission Facilities</t>
  </si>
  <si>
    <t>Sub Transmission Lines</t>
  </si>
  <si>
    <t>25Kv Minto Spur- Structure</t>
  </si>
  <si>
    <t xml:space="preserve">Brushing </t>
  </si>
  <si>
    <t xml:space="preserve">Survey costs </t>
  </si>
  <si>
    <t>Overhead Conductors</t>
  </si>
  <si>
    <t>Underground Conductors / Conduit</t>
  </si>
  <si>
    <t>Total Sub Transmission Lines</t>
  </si>
  <si>
    <t>Distribution System</t>
  </si>
  <si>
    <t>Overhead conductors - Poles</t>
  </si>
  <si>
    <t>Overhead Costs</t>
  </si>
  <si>
    <t>Underground Services</t>
  </si>
  <si>
    <t>Wind Monitoring Equipment</t>
  </si>
  <si>
    <t>Meters</t>
  </si>
  <si>
    <t>Meter Equipment</t>
  </si>
  <si>
    <t>Street Lights</t>
  </si>
  <si>
    <t>Line Transformers</t>
  </si>
  <si>
    <t>Sentinel Lights</t>
  </si>
  <si>
    <t>Total Distribution System</t>
  </si>
  <si>
    <t>Building and Other Equipment</t>
  </si>
  <si>
    <t>Survey Costs Land</t>
  </si>
  <si>
    <t>Structures and Improvements (Hydro)</t>
  </si>
  <si>
    <t>Building and Improvements</t>
  </si>
  <si>
    <t>Office Furniture and Equipment</t>
  </si>
  <si>
    <t>Communication Site Towers</t>
  </si>
  <si>
    <t>Communication Site Fences</t>
  </si>
  <si>
    <t>Computer Hardware</t>
  </si>
  <si>
    <t>Computer Software</t>
  </si>
  <si>
    <t>Tool and Instruments</t>
  </si>
  <si>
    <t>Communication Equipment</t>
  </si>
  <si>
    <t>Company Owned Houses / Land</t>
  </si>
  <si>
    <t>Company Owned Houses</t>
  </si>
  <si>
    <t>Total Building and Other Equipment</t>
  </si>
  <si>
    <t>Transportation</t>
  </si>
  <si>
    <t>Utility Vehicles</t>
  </si>
  <si>
    <t>Sedans and Stationwagons</t>
  </si>
  <si>
    <t>Pole Trailers &gt; 10,000 Lbs</t>
  </si>
  <si>
    <t>Trucks 3/4 to 2 Ton</t>
  </si>
  <si>
    <t>Trucks &gt; 3 Ton</t>
  </si>
  <si>
    <t>Total Transportation</t>
  </si>
  <si>
    <t>Cost at 2020 Year End</t>
  </si>
  <si>
    <t>Mid Year Balance</t>
  </si>
  <si>
    <t>Ratio</t>
  </si>
  <si>
    <t>Mid Year Rate Base</t>
  </si>
  <si>
    <t>Mid Year Cost Rate</t>
  </si>
  <si>
    <t>Return</t>
  </si>
  <si>
    <t>2018 GRA Compliance</t>
  </si>
  <si>
    <t>Long-Term debt</t>
  </si>
  <si>
    <t>S.11 L.18</t>
  </si>
  <si>
    <t>Common Stock</t>
  </si>
  <si>
    <t>S.7 L. 8</t>
  </si>
  <si>
    <t>S.5 L.3</t>
  </si>
  <si>
    <t>2018 Actual</t>
  </si>
  <si>
    <t>Schedule 5</t>
  </si>
  <si>
    <t>Utility Revenue Requirement</t>
  </si>
  <si>
    <t>Net rate base</t>
  </si>
  <si>
    <t>Average Rate of return on rate base</t>
  </si>
  <si>
    <t>Utility income</t>
  </si>
  <si>
    <t>S.8 L.1</t>
  </si>
  <si>
    <t>Utility expenses</t>
  </si>
  <si>
    <t>Operating and maintenance (note 1)</t>
  </si>
  <si>
    <t>S.6 L.3</t>
  </si>
  <si>
    <t>S.6 L.4</t>
  </si>
  <si>
    <t>Amortization of deferred costs</t>
  </si>
  <si>
    <t>S.6 L.5</t>
  </si>
  <si>
    <t>Depreciation</t>
  </si>
  <si>
    <t>Amortization of contributions and fire insurance recoveries</t>
  </si>
  <si>
    <t>S.6 L.8</t>
  </si>
  <si>
    <t>Disallowed depreciation</t>
  </si>
  <si>
    <t>Donations</t>
  </si>
  <si>
    <t>Total utility expenses</t>
  </si>
  <si>
    <t>Revenue Requirement</t>
  </si>
  <si>
    <t>S.6 L.1</t>
  </si>
  <si>
    <t>Note 1: Includes fuel expenses and purchased power.</t>
  </si>
  <si>
    <t>Schedule 6</t>
  </si>
  <si>
    <t>Statement of Earnings</t>
  </si>
  <si>
    <t>Revenues (note 1)</t>
  </si>
  <si>
    <t>S.5 L.14</t>
  </si>
  <si>
    <t>Operating expenses</t>
  </si>
  <si>
    <t>S.10 L.15</t>
  </si>
  <si>
    <t>Amortize deferred costs</t>
  </si>
  <si>
    <t>S.5 L.8</t>
  </si>
  <si>
    <t>S.3 L.8</t>
  </si>
  <si>
    <t>S.5 L.10</t>
  </si>
  <si>
    <t>Operating income</t>
  </si>
  <si>
    <t>Other income</t>
  </si>
  <si>
    <t>Allowed for Funds Used</t>
  </si>
  <si>
    <t>S.8 L.2</t>
  </si>
  <si>
    <t>Miscellaneous (note 2)</t>
  </si>
  <si>
    <t>S.8 L.3</t>
  </si>
  <si>
    <t>Other expenses</t>
  </si>
  <si>
    <t>Interest expense</t>
  </si>
  <si>
    <t>S.8 L.4</t>
  </si>
  <si>
    <t>Net earnings</t>
  </si>
  <si>
    <t>S.8 L.8</t>
  </si>
  <si>
    <t xml:space="preserve">Note 1: Includes revenues from sales and other revenues. </t>
  </si>
  <si>
    <t>Note 2: Miscellaneous primarily consistent of Regulatory gain/losses and other interest income/expenses.</t>
  </si>
  <si>
    <t>Schedule 7</t>
  </si>
  <si>
    <t>Statement of Retained Earnings</t>
  </si>
  <si>
    <t>S.6 L.18</t>
  </si>
  <si>
    <t>IFRS Comprehensive Income Adjustment</t>
  </si>
  <si>
    <t>Balance at end of year before dividend</t>
  </si>
  <si>
    <t>Less:</t>
  </si>
  <si>
    <t>Shareholder's Equity</t>
  </si>
  <si>
    <t>Common shares</t>
  </si>
  <si>
    <t>Retained earnings</t>
  </si>
  <si>
    <t>Note:</t>
  </si>
  <si>
    <t>1. YDC equity injection/dividend estimates required in order to maintain 60/40 debt to equity ratio.</t>
  </si>
  <si>
    <t>Schedule 8</t>
  </si>
  <si>
    <t>Reconciliation of Utility Income to Net Earnings</t>
  </si>
  <si>
    <t>Utility Income (Return on Rate Base)</t>
  </si>
  <si>
    <t>Allowance for funds used</t>
  </si>
  <si>
    <t>S.6 L.12</t>
  </si>
  <si>
    <t>Other income (expenses)</t>
  </si>
  <si>
    <t>S.6 L.13</t>
  </si>
  <si>
    <t>Interest - long-term</t>
  </si>
  <si>
    <t>S.6 L.17</t>
  </si>
  <si>
    <t>S.5 L.12</t>
  </si>
  <si>
    <t>Disallowed costs</t>
  </si>
  <si>
    <t>S.5 L.13</t>
  </si>
  <si>
    <t>S.5 L.11</t>
  </si>
  <si>
    <t>Schedule 9</t>
  </si>
  <si>
    <t>Summary of Customers, Energy Sales and Revenues</t>
  </si>
  <si>
    <t>Residential</t>
  </si>
  <si>
    <t>Customers</t>
  </si>
  <si>
    <t>Sales in MWh</t>
  </si>
  <si>
    <t>MWh sales per customer</t>
  </si>
  <si>
    <t>Revenue ($000s)</t>
  </si>
  <si>
    <t>Cents per KWh</t>
  </si>
  <si>
    <t>General Service</t>
  </si>
  <si>
    <t>Industrial</t>
  </si>
  <si>
    <t>Street lights</t>
  </si>
  <si>
    <t>Space lights</t>
  </si>
  <si>
    <t>Total Company - Firm Retail and Industrial</t>
  </si>
  <si>
    <t>Wholesale sales</t>
  </si>
  <si>
    <t>Total Company - Firm</t>
  </si>
  <si>
    <t>Secondary</t>
  </si>
  <si>
    <t xml:space="preserve">Total Company </t>
  </si>
  <si>
    <t>Rider J</t>
  </si>
  <si>
    <t>Post-GRA Reconcil Req'd</t>
  </si>
  <si>
    <t>GRA Increase Req'd</t>
  </si>
  <si>
    <t>Total Sales of Power</t>
  </si>
  <si>
    <t>Other Revenues</t>
  </si>
  <si>
    <t>Total Revenues</t>
  </si>
  <si>
    <t>Schedule 10</t>
  </si>
  <si>
    <t>Summary of Operating and Maintenance Expenses</t>
  </si>
  <si>
    <t>Utility operations</t>
  </si>
  <si>
    <t>Production</t>
  </si>
  <si>
    <t>Transmission and distribution</t>
  </si>
  <si>
    <t>General</t>
  </si>
  <si>
    <t>Administration and general</t>
  </si>
  <si>
    <t>Insurance</t>
  </si>
  <si>
    <t>Sub-total</t>
  </si>
  <si>
    <t>O&amp;M not including fuel and</t>
  </si>
  <si>
    <t>purchased power</t>
  </si>
  <si>
    <t>Fuel</t>
  </si>
  <si>
    <t>Purchased power</t>
  </si>
  <si>
    <t>Total operating and maintenance</t>
  </si>
  <si>
    <t>Operating and Maintenance Expense Reported in Tab 3 excludes fuel and purchase power, but also includes the following:</t>
  </si>
  <si>
    <t>Property Taxes</t>
  </si>
  <si>
    <t>less: Donations</t>
  </si>
  <si>
    <t>O&amp;M per Table 3.3 (Tab 3)</t>
  </si>
  <si>
    <t>Schedule 10A</t>
  </si>
  <si>
    <t>Summary of Labour Costs</t>
  </si>
  <si>
    <t>Labour Costs</t>
  </si>
  <si>
    <t>Transmission</t>
  </si>
  <si>
    <t>Distribution</t>
  </si>
  <si>
    <t>Administration</t>
  </si>
  <si>
    <t>Total Labour</t>
  </si>
  <si>
    <t>Schedule 11</t>
  </si>
  <si>
    <t>Summary of Cost of Long - Term Debt</t>
  </si>
  <si>
    <t>General Purpose Long-Term Debt Balance</t>
  </si>
  <si>
    <t>YDC Mayo B Flexible Term Debt</t>
  </si>
  <si>
    <t>TD Bank Swap (2.69%)</t>
  </si>
  <si>
    <t>Minto Decommissioning Reserve</t>
  </si>
  <si>
    <t>YDC $5.5M Debt (2.40%)</t>
  </si>
  <si>
    <t>YDC $21.0M Debt (2.21%)</t>
  </si>
  <si>
    <t>YDC $12.1M Debt (2.10%)</t>
  </si>
  <si>
    <t>TD Bank Swap (3.665%)</t>
  </si>
  <si>
    <t>Mid Year</t>
  </si>
  <si>
    <t>Interest Costs</t>
  </si>
  <si>
    <t>Total Cost of Interest</t>
  </si>
  <si>
    <t>Mid-Year Cost of Debt</t>
  </si>
  <si>
    <t>S.1 L.3</t>
  </si>
  <si>
    <t>Overhaul</t>
  </si>
  <si>
    <t>Brushing Minto</t>
  </si>
  <si>
    <t>Survey costs Minto</t>
  </si>
  <si>
    <t>Overhead Conductors Minto</t>
  </si>
  <si>
    <t xml:space="preserve">Substation Equipment </t>
  </si>
  <si>
    <t>Substation Equipment Minto</t>
  </si>
  <si>
    <t>Trucks &amp; Pole Trailer</t>
  </si>
  <si>
    <t>Foremost</t>
  </si>
  <si>
    <t>Critical Spares</t>
  </si>
  <si>
    <t>Total Critical  Spares</t>
  </si>
  <si>
    <t>LNG Production</t>
  </si>
  <si>
    <t>Fuel Holders</t>
  </si>
  <si>
    <t>Generator</t>
  </si>
  <si>
    <t>Fence</t>
  </si>
  <si>
    <t>Total LNG Prodution</t>
  </si>
  <si>
    <t>Deemed Ratio</t>
  </si>
  <si>
    <t>Contributions for extensions (PP&amp;E)</t>
  </si>
  <si>
    <t xml:space="preserve">Total Miscellaneous Reserves </t>
  </si>
  <si>
    <t>Underground Conduit</t>
  </si>
  <si>
    <t>Accessory Digital Equipment</t>
  </si>
  <si>
    <t>Minto Generating Equipment</t>
  </si>
  <si>
    <t>Depreciation Study Differences</t>
  </si>
  <si>
    <t>Other Regulatory</t>
  </si>
  <si>
    <t>DSM</t>
  </si>
  <si>
    <t>Proposed Depreciation Rate (Years)</t>
  </si>
  <si>
    <t>New 2018 Debt-2018 True Up (2.15%)</t>
  </si>
  <si>
    <t>S.3 L.4</t>
  </si>
  <si>
    <t>S.3 L.59</t>
  </si>
  <si>
    <t>S.3 L.60</t>
  </si>
  <si>
    <t>S.1 L.8</t>
  </si>
  <si>
    <t>S.3 L.62</t>
  </si>
  <si>
    <t>S.1 L.24</t>
  </si>
  <si>
    <t>TD Bank Swap (2.899%)</t>
  </si>
  <si>
    <t>YDC $2.9M Debt (2.899%)</t>
  </si>
  <si>
    <t>Schedule 4</t>
  </si>
  <si>
    <t>YDC $92.5M Debt (2.40%/2.83%)</t>
  </si>
  <si>
    <t>Total FTEs</t>
  </si>
  <si>
    <t>Tab 3, Table 3.4</t>
  </si>
  <si>
    <t>Total Labour Costs</t>
  </si>
  <si>
    <t>Sum Lines 5-9</t>
  </si>
  <si>
    <t>O&amp;M Labour Costs</t>
  </si>
  <si>
    <t>Labour Costs to Capital</t>
  </si>
  <si>
    <t>Actual 2019</t>
  </si>
  <si>
    <t>Calculation of Depreciation Expense for 2021</t>
  </si>
  <si>
    <t>2021 Additions</t>
  </si>
  <si>
    <t>Cost at 2021 Year End</t>
  </si>
  <si>
    <t>Forecast 2020</t>
  </si>
  <si>
    <t>2019 Actual</t>
  </si>
  <si>
    <t>Common Dividends (note 1)</t>
  </si>
  <si>
    <t>New 2020 Debt-2019 True Up (2.19%)</t>
  </si>
  <si>
    <t>New 2020 Debt-2020 True Up (2.19%)</t>
  </si>
  <si>
    <t>New 2021 Debt-2021 True Up (2.19%)</t>
  </si>
  <si>
    <t>Total Deferred Costs and Intangible Assets</t>
  </si>
  <si>
    <t>Less: Deferred Studies and Intangible Assets in Progress</t>
  </si>
  <si>
    <t>Total Net Deferred Costs and Intangible Assets for Rate Base</t>
  </si>
  <si>
    <t>Deferred study costs and Intangible assets (net of contributions)</t>
  </si>
  <si>
    <t>Continuity Schedule of Property, Plant and Equipment, Deferred Costs and Intangible Assets</t>
  </si>
  <si>
    <t>Total Net PP&amp;E, Deferred Costs and Intangible Assets for Rate Base</t>
  </si>
  <si>
    <t>Total Net PP&amp;E, Deferred Costs and Intangible Assets</t>
  </si>
  <si>
    <t>Deferred study costs and Intangible assets (note 2)</t>
  </si>
  <si>
    <t>Less: Studies and Intangible Assets in Progress</t>
  </si>
  <si>
    <t>Note 2: Planning and Study costs, Relicencing, Dam Safety costs, Vegetation Management and Intangible Assets. Net of contributions.</t>
  </si>
  <si>
    <t>Substation VGC Group - Gold Mine</t>
  </si>
  <si>
    <t>LWRF</t>
  </si>
  <si>
    <t>Fire Insurance Reserve</t>
  </si>
  <si>
    <t>April 14, 2022</t>
  </si>
  <si>
    <t>Yukon Energy Corporation 2021 GRA Compliance Filing</t>
  </si>
  <si>
    <t>2021 GRA
Compliance</t>
  </si>
  <si>
    <t>2021 Disposals/ Adjustments</t>
  </si>
  <si>
    <t>$000</t>
  </si>
  <si>
    <t>2021 GRA Compliance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</si>
</sst>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;[Red]\-&quot;$&quot;#,##0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-* #,##0_-;\-* #,##0_-;_-* &quot;-&quot;??_-;_-@_-"/>
    <numFmt numFmtId="168" formatCode="_(* #,##0.0_);_(* \(#,##0.0\);_(* &quot;-&quot;??_);_(@_)"/>
    <numFmt numFmtId="169" formatCode="_(* #,##0_);_(* \(#,##0\);_(* &quot;-&quot;??_);_(@_)"/>
    <numFmt numFmtId="170" formatCode="0.0%"/>
    <numFmt numFmtId="171" formatCode="0.000%"/>
    <numFmt numFmtId="172" formatCode="#,##0.0"/>
    <numFmt numFmtId="173" formatCode="d\-mmm\-yy\ &quot;filing&quot;"/>
    <numFmt numFmtId="174" formatCode="0.0"/>
    <numFmt numFmtId="175" formatCode="0.000"/>
    <numFmt numFmtId="176" formatCode="#,##0.0,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color indexed="12"/>
      <name val="Tahoma"/>
      <family val="2"/>
    </font>
    <font>
      <i/>
      <sz val="10"/>
      <name val="Tahoma"/>
      <family val="2"/>
    </font>
    <font>
      <sz val="10"/>
      <color indexed="10"/>
      <name val="Tahoma"/>
      <family val="2"/>
    </font>
    <font>
      <b/>
      <i/>
      <sz val="10"/>
      <name val="Tahoma"/>
      <family val="2"/>
    </font>
    <font>
      <sz val="10"/>
      <color indexed="57"/>
      <name val="Tahoma"/>
      <family val="2"/>
    </font>
    <font>
      <sz val="10"/>
      <color indexed="53"/>
      <name val="Tahoma"/>
      <family val="2"/>
    </font>
    <font>
      <b/>
      <u/>
      <sz val="10"/>
      <name val="Tahoma"/>
      <family val="2"/>
    </font>
    <font>
      <vertAlign val="superscript"/>
      <sz val="10"/>
      <name val="Tahoma"/>
      <family val="2"/>
    </font>
    <font>
      <i/>
      <sz val="10"/>
      <color theme="0"/>
      <name val="Tahoma"/>
      <family val="2"/>
    </font>
    <font>
      <sz val="10"/>
      <color theme="1"/>
      <name val="Arial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8.2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2">
    <xf numFmtId="0" fontId="0" fillId="0" borderId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0" borderId="0"/>
    <xf numFmtId="0" fontId="19" fillId="0" borderId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4" fillId="0" borderId="0" xfId="0" applyNumberFormat="1" applyFont="1" applyFill="1" applyAlignment="1">
      <alignment horizontal="center"/>
    </xf>
    <xf numFmtId="15" fontId="4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right"/>
    </xf>
    <xf numFmtId="0" fontId="7" fillId="0" borderId="0" xfId="0" applyFont="1"/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7" fillId="0" borderId="0" xfId="0" applyFont="1" applyFill="1" applyAlignment="1">
      <alignment horizontal="left"/>
    </xf>
    <xf numFmtId="173" fontId="4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/>
    <xf numFmtId="169" fontId="4" fillId="0" borderId="0" xfId="1" applyFont="1" applyFill="1"/>
    <xf numFmtId="169" fontId="4" fillId="0" borderId="0" xfId="1" applyFont="1" applyFill="1" applyBorder="1"/>
    <xf numFmtId="9" fontId="4" fillId="0" borderId="0" xfId="2" applyFont="1" applyFill="1"/>
    <xf numFmtId="169" fontId="4" fillId="0" borderId="0" xfId="0" applyNumberFormat="1" applyFont="1" applyFill="1"/>
    <xf numFmtId="169" fontId="4" fillId="0" borderId="1" xfId="1" applyFont="1" applyFill="1" applyBorder="1"/>
    <xf numFmtId="169" fontId="4" fillId="0" borderId="4" xfId="1" applyFont="1" applyFill="1" applyBorder="1"/>
    <xf numFmtId="3" fontId="4" fillId="0" borderId="0" xfId="0" applyNumberFormat="1" applyFont="1" applyFill="1"/>
    <xf numFmtId="167" fontId="4" fillId="0" borderId="0" xfId="0" applyNumberFormat="1" applyFont="1" applyFill="1"/>
    <xf numFmtId="169" fontId="4" fillId="0" borderId="3" xfId="1" applyFont="1" applyFill="1" applyBorder="1"/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167" fontId="4" fillId="0" borderId="0" xfId="1" applyNumberFormat="1" applyFont="1" applyFill="1"/>
    <xf numFmtId="167" fontId="4" fillId="0" borderId="0" xfId="1" applyNumberFormat="1" applyFont="1" applyFill="1" applyBorder="1"/>
    <xf numFmtId="0" fontId="10" fillId="0" borderId="0" xfId="0" applyFont="1" applyFill="1"/>
    <xf numFmtId="167" fontId="4" fillId="0" borderId="3" xfId="1" applyNumberFormat="1" applyFont="1" applyFill="1" applyBorder="1"/>
    <xf numFmtId="0" fontId="7" fillId="0" borderId="0" xfId="0" applyFont="1" applyFill="1" applyAlignment="1">
      <alignment horizontal="center"/>
    </xf>
    <xf numFmtId="169" fontId="7" fillId="0" borderId="0" xfId="0" applyNumberFormat="1" applyFont="1" applyFill="1"/>
    <xf numFmtId="169" fontId="7" fillId="0" borderId="0" xfId="0" applyNumberFormat="1" applyFont="1" applyFill="1" applyBorder="1"/>
    <xf numFmtId="169" fontId="4" fillId="0" borderId="0" xfId="0" applyNumberFormat="1" applyFont="1" applyFill="1" applyBorder="1"/>
    <xf numFmtId="10" fontId="4" fillId="0" borderId="1" xfId="0" applyNumberFormat="1" applyFont="1" applyFill="1" applyBorder="1"/>
    <xf numFmtId="10" fontId="4" fillId="0" borderId="0" xfId="0" applyNumberFormat="1" applyFont="1" applyFill="1" applyBorder="1"/>
    <xf numFmtId="169" fontId="4" fillId="0" borderId="3" xfId="0" applyNumberFormat="1" applyFont="1" applyFill="1" applyBorder="1"/>
    <xf numFmtId="10" fontId="4" fillId="0" borderId="0" xfId="0" applyNumberFormat="1" applyFont="1" applyFill="1"/>
    <xf numFmtId="0" fontId="11" fillId="0" borderId="0" xfId="0" applyFont="1" applyFill="1"/>
    <xf numFmtId="1" fontId="4" fillId="0" borderId="0" xfId="0" applyNumberFormat="1" applyFont="1" applyFill="1"/>
    <xf numFmtId="3" fontId="4" fillId="0" borderId="0" xfId="0" applyNumberFormat="1" applyFont="1" applyFill="1" applyBorder="1"/>
    <xf numFmtId="37" fontId="4" fillId="0" borderId="0" xfId="0" applyNumberFormat="1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Border="1"/>
    <xf numFmtId="3" fontId="4" fillId="0" borderId="0" xfId="1" applyNumberFormat="1" applyFont="1" applyFill="1"/>
    <xf numFmtId="3" fontId="4" fillId="0" borderId="0" xfId="1" applyNumberFormat="1" applyFont="1" applyFill="1" applyBorder="1"/>
    <xf numFmtId="3" fontId="4" fillId="0" borderId="0" xfId="0" applyNumberFormat="1" applyFont="1" applyFill="1" applyAlignment="1">
      <alignment horizontal="right"/>
    </xf>
    <xf numFmtId="0" fontId="12" fillId="0" borderId="0" xfId="0" applyFont="1" applyFill="1"/>
    <xf numFmtId="3" fontId="4" fillId="0" borderId="0" xfId="0" applyNumberFormat="1" applyFont="1" applyFill="1" applyAlignment="1">
      <alignment horizontal="center"/>
    </xf>
    <xf numFmtId="3" fontId="7" fillId="0" borderId="1" xfId="0" applyNumberFormat="1" applyFont="1" applyFill="1" applyBorder="1" applyAlignment="1">
      <alignment horizontal="center" wrapText="1"/>
    </xf>
    <xf numFmtId="171" fontId="4" fillId="0" borderId="0" xfId="0" applyNumberFormat="1" applyFont="1" applyFill="1"/>
    <xf numFmtId="3" fontId="4" fillId="0" borderId="1" xfId="0" applyNumberFormat="1" applyFont="1" applyFill="1" applyBorder="1"/>
    <xf numFmtId="3" fontId="12" fillId="0" borderId="0" xfId="0" applyNumberFormat="1" applyFont="1" applyFill="1"/>
    <xf numFmtId="3" fontId="4" fillId="0" borderId="3" xfId="0" applyNumberFormat="1" applyFont="1" applyFill="1" applyBorder="1"/>
    <xf numFmtId="10" fontId="4" fillId="0" borderId="3" xfId="0" applyNumberFormat="1" applyFont="1" applyFill="1" applyBorder="1"/>
    <xf numFmtId="3" fontId="4" fillId="0" borderId="1" xfId="1" applyNumberFormat="1" applyFont="1" applyFill="1" applyBorder="1"/>
    <xf numFmtId="3" fontId="4" fillId="0" borderId="3" xfId="1" applyNumberFormat="1" applyFont="1" applyFill="1" applyBorder="1"/>
    <xf numFmtId="3" fontId="5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73" fontId="4" fillId="0" borderId="0" xfId="0" applyNumberFormat="1" applyFont="1" applyFill="1" applyAlignment="1"/>
    <xf numFmtId="170" fontId="4" fillId="0" borderId="0" xfId="0" applyNumberFormat="1" applyFont="1" applyFill="1"/>
    <xf numFmtId="170" fontId="4" fillId="0" borderId="1" xfId="0" applyNumberFormat="1" applyFont="1" applyFill="1" applyBorder="1"/>
    <xf numFmtId="170" fontId="4" fillId="0" borderId="3" xfId="0" applyNumberFormat="1" applyFont="1" applyFill="1" applyBorder="1"/>
    <xf numFmtId="17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169" fontId="4" fillId="0" borderId="0" xfId="1" applyFont="1" applyFill="1" applyBorder="1" applyAlignment="1">
      <alignment vertical="center"/>
    </xf>
    <xf numFmtId="0" fontId="4" fillId="0" borderId="0" xfId="0" applyFont="1" applyFill="1" applyAlignment="1">
      <alignment vertical="top"/>
    </xf>
    <xf numFmtId="1" fontId="4" fillId="0" borderId="0" xfId="0" applyNumberFormat="1" applyFont="1" applyFill="1" applyBorder="1"/>
    <xf numFmtId="0" fontId="13" fillId="0" borderId="0" xfId="0" applyFont="1" applyFill="1"/>
    <xf numFmtId="0" fontId="4" fillId="0" borderId="0" xfId="0" applyFont="1" applyFill="1" applyAlignment="1">
      <alignment horizontal="right" vertical="center"/>
    </xf>
    <xf numFmtId="169" fontId="4" fillId="0" borderId="0" xfId="1" applyFont="1" applyFill="1" applyBorder="1" applyAlignment="1">
      <alignment horizontal="center" vertical="center"/>
    </xf>
    <xf numFmtId="38" fontId="4" fillId="0" borderId="0" xfId="0" applyNumberFormat="1" applyFont="1" applyFill="1"/>
    <xf numFmtId="38" fontId="4" fillId="0" borderId="0" xfId="0" applyNumberFormat="1" applyFont="1" applyFill="1" applyBorder="1"/>
    <xf numFmtId="167" fontId="4" fillId="0" borderId="0" xfId="0" applyNumberFormat="1" applyFont="1" applyFill="1" applyBorder="1"/>
    <xf numFmtId="168" fontId="4" fillId="0" borderId="0" xfId="0" applyNumberFormat="1" applyFont="1" applyFill="1"/>
    <xf numFmtId="168" fontId="4" fillId="0" borderId="0" xfId="0" applyNumberFormat="1" applyFont="1" applyFill="1" applyBorder="1"/>
    <xf numFmtId="0" fontId="5" fillId="0" borderId="0" xfId="0" applyFont="1" applyAlignment="1">
      <alignment horizontal="left"/>
    </xf>
    <xf numFmtId="0" fontId="4" fillId="0" borderId="0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" fontId="4" fillId="0" borderId="0" xfId="0" applyNumberFormat="1" applyFont="1" applyBorder="1"/>
    <xf numFmtId="0" fontId="4" fillId="0" borderId="0" xfId="0" applyFont="1" applyFill="1" applyAlignment="1">
      <alignment wrapText="1"/>
    </xf>
    <xf numFmtId="169" fontId="4" fillId="0" borderId="0" xfId="3" applyNumberFormat="1" applyFont="1" applyFill="1" applyBorder="1"/>
    <xf numFmtId="0" fontId="5" fillId="0" borderId="0" xfId="0" applyFont="1" applyFill="1" applyBorder="1" applyAlignment="1">
      <alignment horizontal="center"/>
    </xf>
    <xf numFmtId="0" fontId="14" fillId="0" borderId="0" xfId="0" applyFont="1" applyFill="1"/>
    <xf numFmtId="0" fontId="15" fillId="0" borderId="0" xfId="0" applyFont="1" applyFill="1" applyAlignment="1">
      <alignment horizontal="left"/>
    </xf>
    <xf numFmtId="0" fontId="7" fillId="0" borderId="0" xfId="4" applyFont="1" applyFill="1"/>
    <xf numFmtId="0" fontId="4" fillId="0" borderId="0" xfId="0" applyFont="1" applyFill="1" applyAlignment="1">
      <alignment horizontal="left" indent="1"/>
    </xf>
    <xf numFmtId="0" fontId="4" fillId="0" borderId="0" xfId="4" applyFont="1" applyFill="1" applyAlignment="1">
      <alignment horizontal="left" indent="1"/>
    </xf>
    <xf numFmtId="172" fontId="4" fillId="0" borderId="0" xfId="0" applyNumberFormat="1" applyFont="1" applyFill="1"/>
    <xf numFmtId="174" fontId="4" fillId="0" borderId="0" xfId="0" applyNumberFormat="1" applyFont="1" applyFill="1"/>
    <xf numFmtId="2" fontId="4" fillId="0" borderId="0" xfId="0" applyNumberFormat="1" applyFont="1" applyFill="1"/>
    <xf numFmtId="0" fontId="16" fillId="0" borderId="0" xfId="4" applyFont="1" applyFill="1" applyBorder="1"/>
    <xf numFmtId="3" fontId="4" fillId="0" borderId="0" xfId="4" applyNumberFormat="1" applyFont="1" applyFill="1"/>
    <xf numFmtId="0" fontId="4" fillId="0" borderId="0" xfId="0" applyFont="1" applyFill="1" applyAlignment="1">
      <alignment horizontal="left"/>
    </xf>
    <xf numFmtId="3" fontId="4" fillId="0" borderId="2" xfId="0" applyNumberFormat="1" applyFont="1" applyFill="1" applyBorder="1"/>
    <xf numFmtId="0" fontId="17" fillId="0" borderId="0" xfId="0" applyFont="1" applyFill="1"/>
    <xf numFmtId="3" fontId="12" fillId="0" borderId="0" xfId="0" applyNumberFormat="1" applyFont="1" applyFill="1" applyBorder="1"/>
    <xf numFmtId="3" fontId="7" fillId="0" borderId="0" xfId="0" applyNumberFormat="1" applyFont="1" applyFill="1" applyBorder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/>
    <xf numFmtId="3" fontId="11" fillId="0" borderId="0" xfId="0" applyNumberFormat="1" applyFont="1" applyFill="1" applyBorder="1"/>
    <xf numFmtId="1" fontId="11" fillId="0" borderId="0" xfId="0" applyNumberFormat="1" applyFont="1" applyFill="1" applyBorder="1"/>
    <xf numFmtId="37" fontId="11" fillId="0" borderId="0" xfId="0" applyNumberFormat="1" applyFont="1" applyFill="1" applyBorder="1"/>
    <xf numFmtId="3" fontId="4" fillId="0" borderId="0" xfId="0" applyNumberFormat="1" applyFont="1" applyFill="1" applyAlignment="1">
      <alignment vertical="top" wrapText="1"/>
    </xf>
    <xf numFmtId="164" fontId="4" fillId="0" borderId="0" xfId="0" applyNumberFormat="1" applyFont="1" applyFill="1"/>
    <xf numFmtId="0" fontId="18" fillId="0" borderId="0" xfId="0" applyFont="1" applyFill="1"/>
    <xf numFmtId="0" fontId="18" fillId="0" borderId="0" xfId="0" applyFont="1" applyFill="1" applyAlignment="1">
      <alignment horizontal="center"/>
    </xf>
    <xf numFmtId="3" fontId="18" fillId="0" borderId="0" xfId="0" applyNumberFormat="1" applyFont="1" applyFill="1"/>
    <xf numFmtId="0" fontId="3" fillId="0" borderId="0" xfId="0" applyFont="1" applyFill="1" applyAlignment="1"/>
    <xf numFmtId="10" fontId="4" fillId="0" borderId="0" xfId="2" applyNumberFormat="1" applyFont="1"/>
    <xf numFmtId="10" fontId="4" fillId="0" borderId="0" xfId="2" applyNumberFormat="1" applyFont="1" applyFill="1"/>
    <xf numFmtId="169" fontId="4" fillId="0" borderId="0" xfId="1" applyFont="1" applyFill="1" applyAlignment="1">
      <alignment vertical="center"/>
    </xf>
    <xf numFmtId="169" fontId="4" fillId="0" borderId="0" xfId="1" applyFont="1" applyFill="1" applyAlignment="1">
      <alignment horizontal="center" vertical="center"/>
    </xf>
    <xf numFmtId="3" fontId="4" fillId="0" borderId="4" xfId="1" applyNumberFormat="1" applyFont="1" applyFill="1" applyBorder="1"/>
    <xf numFmtId="174" fontId="4" fillId="0" borderId="0" xfId="4" applyNumberFormat="1" applyFont="1" applyFill="1"/>
    <xf numFmtId="3" fontId="4" fillId="0" borderId="4" xfId="0" applyNumberFormat="1" applyFont="1" applyFill="1" applyBorder="1"/>
    <xf numFmtId="37" fontId="11" fillId="0" borderId="1" xfId="0" applyNumberFormat="1" applyFont="1" applyFill="1" applyBorder="1"/>
    <xf numFmtId="0" fontId="5" fillId="0" borderId="0" xfId="4" applyFont="1" applyFill="1" applyAlignment="1">
      <alignment horizontal="left"/>
    </xf>
    <xf numFmtId="0" fontId="4" fillId="0" borderId="0" xfId="4" applyFont="1" applyFill="1"/>
    <xf numFmtId="0" fontId="4" fillId="0" borderId="0" xfId="4" applyFont="1" applyFill="1" applyAlignment="1">
      <alignment horizontal="center"/>
    </xf>
    <xf numFmtId="0" fontId="5" fillId="0" borderId="0" xfId="4" applyFont="1" applyFill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4" fillId="0" borderId="0" xfId="4" applyFont="1" applyFill="1" applyBorder="1"/>
    <xf numFmtId="0" fontId="4" fillId="0" borderId="0" xfId="4" applyFont="1" applyFill="1" applyAlignment="1">
      <alignment horizontal="right"/>
    </xf>
    <xf numFmtId="0" fontId="7" fillId="0" borderId="0" xfId="4" applyFont="1" applyFill="1" applyAlignment="1">
      <alignment horizontal="left"/>
    </xf>
    <xf numFmtId="0" fontId="7" fillId="0" borderId="0" xfId="4" applyFont="1" applyFill="1" applyAlignment="1">
      <alignment horizontal="center"/>
    </xf>
    <xf numFmtId="0" fontId="7" fillId="0" borderId="0" xfId="4" applyFont="1" applyFill="1" applyBorder="1" applyAlignment="1">
      <alignment horizontal="center"/>
    </xf>
    <xf numFmtId="173" fontId="4" fillId="0" borderId="0" xfId="4" applyNumberFormat="1" applyFont="1" applyFill="1" applyAlignment="1">
      <alignment horizontal="right"/>
    </xf>
    <xf numFmtId="0" fontId="7" fillId="0" borderId="1" xfId="4" applyFont="1" applyFill="1" applyBorder="1" applyAlignment="1">
      <alignment horizontal="center" wrapText="1"/>
    </xf>
    <xf numFmtId="0" fontId="7" fillId="0" borderId="0" xfId="4" applyFont="1" applyFill="1" applyAlignment="1">
      <alignment horizontal="center" wrapText="1"/>
    </xf>
    <xf numFmtId="0" fontId="7" fillId="0" borderId="0" xfId="4" applyFont="1" applyFill="1" applyBorder="1" applyAlignment="1">
      <alignment horizontal="center" wrapText="1"/>
    </xf>
    <xf numFmtId="0" fontId="4" fillId="0" borderId="0" xfId="4" applyFont="1" applyFill="1" applyAlignment="1"/>
    <xf numFmtId="3" fontId="4" fillId="0" borderId="4" xfId="4" applyNumberFormat="1" applyFont="1" applyFill="1" applyBorder="1"/>
    <xf numFmtId="3" fontId="4" fillId="0" borderId="0" xfId="4" applyNumberFormat="1" applyFont="1" applyFill="1" applyBorder="1"/>
    <xf numFmtId="0" fontId="11" fillId="0" borderId="0" xfId="4" applyFont="1" applyFill="1"/>
    <xf numFmtId="0" fontId="11" fillId="0" borderId="0" xfId="4" applyFont="1" applyFill="1" applyAlignment="1">
      <alignment horizontal="center"/>
    </xf>
    <xf numFmtId="3" fontId="11" fillId="0" borderId="0" xfId="4" applyNumberFormat="1" applyFont="1" applyFill="1" applyBorder="1"/>
    <xf numFmtId="0" fontId="4" fillId="0" borderId="0" xfId="4" applyFont="1" applyFill="1" applyAlignment="1">
      <alignment vertical="top"/>
    </xf>
    <xf numFmtId="0" fontId="4" fillId="0" borderId="0" xfId="4" applyFont="1" applyFill="1" applyAlignment="1">
      <alignment horizontal="left" vertical="top" wrapText="1"/>
    </xf>
    <xf numFmtId="1" fontId="4" fillId="0" borderId="0" xfId="4" applyNumberFormat="1" applyFont="1" applyFill="1"/>
    <xf numFmtId="3" fontId="4" fillId="0" borderId="0" xfId="4" applyNumberFormat="1" applyFont="1" applyFill="1" applyAlignment="1">
      <alignment vertical="top" wrapText="1"/>
    </xf>
    <xf numFmtId="164" fontId="4" fillId="0" borderId="0" xfId="4" applyNumberFormat="1" applyFont="1" applyFill="1"/>
    <xf numFmtId="38" fontId="4" fillId="0" borderId="0" xfId="4" applyNumberFormat="1" applyFont="1" applyFill="1"/>
    <xf numFmtId="0" fontId="4" fillId="3" borderId="0" xfId="0" applyFont="1" applyFill="1" applyAlignment="1">
      <alignment horizontal="center"/>
    </xf>
    <xf numFmtId="0" fontId="20" fillId="4" borderId="0" xfId="5" applyFont="1" applyFill="1" applyBorder="1" applyAlignment="1">
      <alignment horizontal="left"/>
    </xf>
    <xf numFmtId="0" fontId="21" fillId="4" borderId="0" xfId="5" applyFont="1" applyFill="1" applyBorder="1"/>
    <xf numFmtId="165" fontId="21" fillId="4" borderId="0" xfId="5" applyNumberFormat="1" applyFont="1" applyFill="1" applyBorder="1"/>
    <xf numFmtId="2" fontId="21" fillId="4" borderId="0" xfId="5" applyNumberFormat="1" applyFont="1" applyFill="1" applyBorder="1"/>
    <xf numFmtId="0" fontId="22" fillId="4" borderId="0" xfId="5" applyFont="1" applyFill="1" applyBorder="1" applyAlignment="1">
      <alignment horizontal="right"/>
    </xf>
    <xf numFmtId="0" fontId="22" fillId="4" borderId="0" xfId="5" applyFont="1" applyFill="1" applyBorder="1" applyAlignment="1">
      <alignment horizontal="left"/>
    </xf>
    <xf numFmtId="10" fontId="22" fillId="4" borderId="1" xfId="2" applyNumberFormat="1" applyFont="1" applyFill="1" applyBorder="1" applyAlignment="1">
      <alignment horizontal="center"/>
    </xf>
    <xf numFmtId="3" fontId="20" fillId="4" borderId="0" xfId="6" applyNumberFormat="1" applyFont="1" applyFill="1" applyBorder="1" applyAlignment="1">
      <alignment horizontal="right"/>
    </xf>
    <xf numFmtId="10" fontId="20" fillId="4" borderId="0" xfId="2" applyNumberFormat="1" applyFont="1" applyFill="1" applyBorder="1" applyAlignment="1">
      <alignment horizontal="center"/>
    </xf>
    <xf numFmtId="0" fontId="23" fillId="4" borderId="0" xfId="5" applyFont="1" applyFill="1" applyBorder="1"/>
    <xf numFmtId="10" fontId="21" fillId="4" borderId="0" xfId="2" applyNumberFormat="1" applyFont="1" applyFill="1" applyBorder="1" applyAlignment="1">
      <alignment horizontal="center"/>
    </xf>
    <xf numFmtId="175" fontId="22" fillId="4" borderId="0" xfId="5" applyNumberFormat="1" applyFont="1" applyFill="1" applyBorder="1" applyAlignment="1">
      <alignment horizontal="right"/>
    </xf>
    <xf numFmtId="10" fontId="21" fillId="4" borderId="0" xfId="2" applyNumberFormat="1" applyFont="1" applyFill="1" applyBorder="1"/>
    <xf numFmtId="0" fontId="21" fillId="4" borderId="0" xfId="5" applyFont="1" applyFill="1"/>
    <xf numFmtId="3" fontId="21" fillId="4" borderId="0" xfId="5" applyNumberFormat="1" applyFont="1" applyFill="1" applyAlignment="1">
      <alignment horizontal="right"/>
    </xf>
    <xf numFmtId="10" fontId="21" fillId="4" borderId="0" xfId="2" applyNumberFormat="1" applyFont="1" applyFill="1"/>
    <xf numFmtId="2" fontId="20" fillId="4" borderId="0" xfId="5" applyNumberFormat="1" applyFont="1" applyFill="1" applyBorder="1" applyAlignment="1">
      <alignment horizontal="center"/>
    </xf>
    <xf numFmtId="2" fontId="21" fillId="4" borderId="0" xfId="5" applyNumberFormat="1" applyFont="1" applyFill="1"/>
    <xf numFmtId="165" fontId="21" fillId="4" borderId="0" xfId="5" applyNumberFormat="1" applyFont="1" applyFill="1"/>
    <xf numFmtId="0" fontId="4" fillId="0" borderId="0" xfId="0" applyFont="1" applyFill="1" applyAlignment="1">
      <alignment horizontal="left" indent="2"/>
    </xf>
    <xf numFmtId="0" fontId="4" fillId="0" borderId="0" xfId="0" applyFont="1" applyFill="1" applyAlignment="1">
      <alignment horizontal="left" indent="4"/>
    </xf>
    <xf numFmtId="0" fontId="4" fillId="0" borderId="0" xfId="0" applyFont="1" applyFill="1" applyAlignment="1">
      <alignment horizontal="left" indent="5"/>
    </xf>
    <xf numFmtId="0" fontId="4" fillId="0" borderId="0" xfId="0" applyFont="1" applyFill="1" applyAlignment="1">
      <alignment horizontal="left" indent="3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top" wrapText="1"/>
    </xf>
    <xf numFmtId="0" fontId="4" fillId="4" borderId="0" xfId="5" applyFont="1" applyFill="1"/>
    <xf numFmtId="0" fontId="4" fillId="4" borderId="0" xfId="4" applyFont="1" applyFill="1"/>
    <xf numFmtId="0" fontId="7" fillId="4" borderId="0" xfId="5" applyFont="1" applyFill="1" applyBorder="1" applyAlignment="1">
      <alignment horizontal="center"/>
    </xf>
    <xf numFmtId="165" fontId="7" fillId="4" borderId="0" xfId="5" applyNumberFormat="1" applyFont="1" applyFill="1" applyBorder="1" applyAlignment="1">
      <alignment horizontal="center" wrapText="1"/>
    </xf>
    <xf numFmtId="165" fontId="7" fillId="4" borderId="0" xfId="5" applyNumberFormat="1" applyFont="1" applyFill="1" applyAlignment="1">
      <alignment horizontal="center" wrapText="1"/>
    </xf>
    <xf numFmtId="0" fontId="5" fillId="4" borderId="0" xfId="4" applyFont="1" applyFill="1" applyAlignment="1">
      <alignment horizontal="left"/>
    </xf>
    <xf numFmtId="0" fontId="4" fillId="4" borderId="0" xfId="4" applyFont="1" applyFill="1" applyAlignment="1">
      <alignment horizontal="center"/>
    </xf>
    <xf numFmtId="0" fontId="4" fillId="4" borderId="0" xfId="4" applyFont="1" applyFill="1" applyAlignment="1">
      <alignment horizontal="right"/>
    </xf>
    <xf numFmtId="0" fontId="7" fillId="4" borderId="0" xfId="4" applyFont="1" applyFill="1" applyAlignment="1">
      <alignment horizontal="left"/>
    </xf>
    <xf numFmtId="173" fontId="4" fillId="4" borderId="0" xfId="4" applyNumberFormat="1" applyFont="1" applyFill="1" applyAlignment="1">
      <alignment horizontal="right"/>
    </xf>
    <xf numFmtId="0" fontId="7" fillId="4" borderId="0" xfId="5" applyFont="1" applyFill="1" applyBorder="1" applyAlignment="1">
      <alignment horizontal="center" wrapText="1"/>
    </xf>
    <xf numFmtId="0" fontId="7" fillId="4" borderId="5" xfId="5" applyFont="1" applyFill="1" applyBorder="1" applyAlignment="1">
      <alignment horizontal="center" wrapText="1"/>
    </xf>
    <xf numFmtId="2" fontId="7" fillId="4" borderId="0" xfId="5" applyNumberFormat="1" applyFont="1" applyFill="1" applyAlignment="1">
      <alignment horizontal="center" wrapText="1"/>
    </xf>
    <xf numFmtId="0" fontId="7" fillId="4" borderId="0" xfId="5" applyFont="1" applyFill="1" applyAlignment="1">
      <alignment wrapText="1"/>
    </xf>
    <xf numFmtId="1" fontId="22" fillId="4" borderId="0" xfId="2" applyNumberFormat="1" applyFont="1" applyFill="1" applyBorder="1" applyAlignment="1">
      <alignment horizontal="right"/>
    </xf>
    <xf numFmtId="1" fontId="22" fillId="4" borderId="1" xfId="2" applyNumberFormat="1" applyFont="1" applyFill="1" applyBorder="1" applyAlignment="1">
      <alignment horizontal="right"/>
    </xf>
    <xf numFmtId="1" fontId="22" fillId="4" borderId="0" xfId="5" applyNumberFormat="1" applyFont="1" applyFill="1" applyBorder="1" applyAlignment="1">
      <alignment horizontal="right"/>
    </xf>
    <xf numFmtId="1" fontId="22" fillId="4" borderId="1" xfId="5" applyNumberFormat="1" applyFont="1" applyFill="1" applyBorder="1" applyAlignment="1">
      <alignment horizontal="right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top" wrapText="1"/>
    </xf>
    <xf numFmtId="0" fontId="4" fillId="0" borderId="0" xfId="4" applyFont="1" applyFill="1" applyAlignment="1">
      <alignment horizontal="left" indent="1"/>
    </xf>
    <xf numFmtId="3" fontId="4" fillId="0" borderId="0" xfId="4" applyNumberFormat="1" applyFont="1" applyFill="1"/>
    <xf numFmtId="0" fontId="7" fillId="0" borderId="0" xfId="0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4" applyFont="1" applyFill="1" applyBorder="1" applyAlignment="1"/>
    <xf numFmtId="165" fontId="7" fillId="0" borderId="0" xfId="5" applyNumberFormat="1" applyFont="1" applyFill="1" applyAlignment="1">
      <alignment horizontal="center" wrapText="1"/>
    </xf>
    <xf numFmtId="176" fontId="22" fillId="4" borderId="0" xfId="6" applyNumberFormat="1" applyFont="1" applyFill="1" applyBorder="1" applyAlignment="1">
      <alignment horizontal="right"/>
    </xf>
    <xf numFmtId="176" fontId="22" fillId="4" borderId="1" xfId="6" applyNumberFormat="1" applyFont="1" applyFill="1" applyBorder="1" applyAlignment="1">
      <alignment horizontal="right"/>
    </xf>
    <xf numFmtId="176" fontId="20" fillId="4" borderId="0" xfId="6" applyNumberFormat="1" applyFont="1" applyFill="1" applyBorder="1" applyAlignment="1">
      <alignment horizontal="right"/>
    </xf>
    <xf numFmtId="176" fontId="21" fillId="4" borderId="0" xfId="6" applyNumberFormat="1" applyFont="1" applyFill="1" applyBorder="1" applyAlignment="1">
      <alignment horizontal="right"/>
    </xf>
    <xf numFmtId="176" fontId="21" fillId="4" borderId="0" xfId="5" applyNumberFormat="1" applyFont="1" applyFill="1" applyBorder="1" applyAlignment="1">
      <alignment horizontal="right"/>
    </xf>
    <xf numFmtId="176" fontId="21" fillId="4" borderId="0" xfId="5" applyNumberFormat="1" applyFont="1" applyFill="1" applyAlignment="1">
      <alignment horizontal="right"/>
    </xf>
    <xf numFmtId="6" fontId="7" fillId="4" borderId="0" xfId="4" quotePrefix="1" applyNumberFormat="1" applyFont="1" applyFill="1" applyAlignment="1">
      <alignment horizontal="left"/>
    </xf>
    <xf numFmtId="0" fontId="4" fillId="0" borderId="0" xfId="0" applyFont="1" applyFill="1" applyAlignment="1">
      <alignment horizontal="left" wrapText="1"/>
    </xf>
  </cellXfs>
  <cellStyles count="12">
    <cellStyle name="Accent4" xfId="3" builtinId="41"/>
    <cellStyle name="Comma" xfId="1" builtinId="3"/>
    <cellStyle name="Comma 2" xfId="6" xr:uid="{00000000-0005-0000-0000-000004000000}"/>
    <cellStyle name="Comma 2 2" xfId="7" xr:uid="{00000000-0005-0000-0000-000005000000}"/>
    <cellStyle name="Comma 2 2 2" xfId="8" xr:uid="{00000000-0005-0000-0000-000006000000}"/>
    <cellStyle name="Comma 3" xfId="11" xr:uid="{C8F9A7F8-1A1C-411C-B9D3-99E920758C97}"/>
    <cellStyle name="Comma 7" xfId="9" xr:uid="{7895D05A-457D-4001-8570-59427C989564}"/>
    <cellStyle name="Normal" xfId="0" builtinId="0"/>
    <cellStyle name="Normal 2" xfId="4" xr:uid="{00000000-0005-0000-0000-000008000000}"/>
    <cellStyle name="Normal 3" xfId="5" xr:uid="{00000000-0005-0000-0000-000009000000}"/>
    <cellStyle name="Normal 4" xfId="10" xr:uid="{05A9882D-535F-4885-A15F-808B09769E64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29"/>
  <sheetViews>
    <sheetView showGridLines="0" tabSelected="1" view="pageBreakPreview" zoomScale="115" zoomScaleNormal="100" zoomScaleSheetLayoutView="115" workbookViewId="0">
      <selection activeCell="D4" sqref="D4"/>
    </sheetView>
  </sheetViews>
  <sheetFormatPr defaultColWidth="9.1796875" defaultRowHeight="12.5" x14ac:dyDescent="0.25"/>
  <cols>
    <col min="1" max="1" width="6.7265625" style="1" customWidth="1"/>
    <col min="2" max="2" width="9.1796875" style="4"/>
    <col min="3" max="3" width="2.7265625" style="1" customWidth="1"/>
    <col min="4" max="4" width="22.1796875" style="1" customWidth="1"/>
    <col min="5" max="10" width="9.1796875" style="1"/>
    <col min="11" max="11" width="6.54296875" style="1" customWidth="1"/>
    <col min="12" max="12" width="6" style="1" customWidth="1"/>
    <col min="13" max="16384" width="9.1796875" style="1"/>
  </cols>
  <sheetData>
    <row r="1" spans="2:16" ht="15" x14ac:dyDescent="0.3">
      <c r="D1" s="5"/>
      <c r="F1" s="6" t="s">
        <v>384</v>
      </c>
    </row>
    <row r="2" spans="2:16" x14ac:dyDescent="0.25">
      <c r="D2" s="5"/>
      <c r="E2" s="2"/>
      <c r="F2" s="7" t="s">
        <v>383</v>
      </c>
      <c r="G2" s="2"/>
    </row>
    <row r="3" spans="2:16" x14ac:dyDescent="0.25">
      <c r="D3" s="5"/>
      <c r="F3" s="8"/>
    </row>
    <row r="4" spans="2:16" ht="17.5" x14ac:dyDescent="0.35">
      <c r="F4" s="9" t="s">
        <v>1</v>
      </c>
    </row>
    <row r="6" spans="2:16" x14ac:dyDescent="0.25">
      <c r="B6" s="4">
        <v>1</v>
      </c>
      <c r="D6" s="1" t="str">
        <f>'Schedule 1'!A2</f>
        <v>Computation of Rate Base</v>
      </c>
    </row>
    <row r="8" spans="2:16" x14ac:dyDescent="0.25">
      <c r="B8" s="4">
        <v>2</v>
      </c>
      <c r="D8" s="1" t="str">
        <f>'Schedule 2'!A2</f>
        <v>Computation of Allowance for Working Capital</v>
      </c>
    </row>
    <row r="9" spans="2:16" x14ac:dyDescent="0.25">
      <c r="B9" s="4" t="s">
        <v>2</v>
      </c>
      <c r="D9" s="1" t="str">
        <f>'Schedule 2A'!A2</f>
        <v>Effect of GST on Working Capital</v>
      </c>
    </row>
    <row r="11" spans="2:16" x14ac:dyDescent="0.25">
      <c r="B11" s="4">
        <v>3</v>
      </c>
      <c r="D11" s="1" t="str">
        <f>'Schedule 3'!A2</f>
        <v>Continuity Schedule of Property, Plant and Equipment, Deferred Costs and Intangible Assets</v>
      </c>
    </row>
    <row r="12" spans="2:16" x14ac:dyDescent="0.25">
      <c r="B12" s="4" t="s">
        <v>3</v>
      </c>
      <c r="D12" s="2" t="str">
        <f>'Schedule 3A'!A2</f>
        <v>Calculation of Depreciation Expense for 2021</v>
      </c>
      <c r="E12" s="2"/>
      <c r="F12" s="2"/>
      <c r="G12" s="2"/>
      <c r="H12" s="2"/>
      <c r="K12" s="11"/>
      <c r="L12" s="11"/>
      <c r="M12" s="11"/>
      <c r="N12" s="11"/>
      <c r="O12" s="11"/>
      <c r="P12" s="11"/>
    </row>
    <row r="13" spans="2:16" x14ac:dyDescent="0.25">
      <c r="B13" s="10"/>
      <c r="C13" s="2"/>
      <c r="D13" s="2"/>
      <c r="E13" s="2"/>
      <c r="F13" s="2"/>
      <c r="G13" s="2"/>
      <c r="H13" s="2"/>
      <c r="K13" s="11"/>
      <c r="L13" s="11"/>
      <c r="M13" s="11"/>
      <c r="N13" s="11"/>
      <c r="O13" s="11"/>
      <c r="P13" s="11"/>
    </row>
    <row r="14" spans="2:16" x14ac:dyDescent="0.25">
      <c r="B14" s="10">
        <v>4</v>
      </c>
      <c r="C14" s="2"/>
      <c r="D14" s="2" t="s">
        <v>4</v>
      </c>
      <c r="E14" s="2"/>
      <c r="F14" s="2"/>
      <c r="G14" s="2"/>
      <c r="H14" s="2"/>
      <c r="I14" s="2"/>
      <c r="J14" s="2"/>
      <c r="K14" s="11"/>
      <c r="L14" s="11"/>
      <c r="M14" s="11"/>
      <c r="N14" s="11"/>
      <c r="O14" s="11"/>
      <c r="P14" s="11"/>
    </row>
    <row r="15" spans="2:16" x14ac:dyDescent="0.25">
      <c r="B15" s="10"/>
      <c r="C15" s="2"/>
      <c r="D15" s="2"/>
      <c r="E15" s="2"/>
      <c r="F15" s="2"/>
      <c r="G15" s="2"/>
      <c r="H15" s="2"/>
      <c r="K15" s="11"/>
    </row>
    <row r="16" spans="2:16" x14ac:dyDescent="0.25">
      <c r="B16" s="4">
        <v>5</v>
      </c>
      <c r="D16" s="1" t="str">
        <f>'Schedule 5'!A2</f>
        <v>Utility Revenue Requirement</v>
      </c>
    </row>
    <row r="18" spans="2:4" x14ac:dyDescent="0.25">
      <c r="B18" s="4">
        <v>6</v>
      </c>
      <c r="D18" s="1" t="str">
        <f>'Schedule 6'!A2</f>
        <v>Statement of Earnings</v>
      </c>
    </row>
    <row r="20" spans="2:4" x14ac:dyDescent="0.25">
      <c r="B20" s="4">
        <v>7</v>
      </c>
      <c r="D20" s="1" t="str">
        <f>'Schedule 7'!A2</f>
        <v>Statement of Retained Earnings</v>
      </c>
    </row>
    <row r="22" spans="2:4" x14ac:dyDescent="0.25">
      <c r="B22" s="4">
        <v>8</v>
      </c>
      <c r="D22" s="1" t="str">
        <f>'Schedule 8'!A2</f>
        <v>Reconciliation of Utility Income to Net Earnings</v>
      </c>
    </row>
    <row r="24" spans="2:4" x14ac:dyDescent="0.25">
      <c r="B24" s="4">
        <v>9</v>
      </c>
      <c r="D24" s="1" t="str">
        <f>'Schedule 9'!A2</f>
        <v>Summary of Customers, Energy Sales and Revenues</v>
      </c>
    </row>
    <row r="26" spans="2:4" x14ac:dyDescent="0.25">
      <c r="B26" s="4">
        <f>B24+1</f>
        <v>10</v>
      </c>
      <c r="D26" s="1" t="str">
        <f>'Schedule 10'!A2</f>
        <v>Summary of Operating and Maintenance Expenses</v>
      </c>
    </row>
    <row r="27" spans="2:4" x14ac:dyDescent="0.25">
      <c r="B27" s="4" t="s">
        <v>5</v>
      </c>
      <c r="D27" s="2" t="str">
        <f>'Schedule 10A'!A2</f>
        <v>Summary of Labour Costs</v>
      </c>
    </row>
    <row r="29" spans="2:4" x14ac:dyDescent="0.25">
      <c r="B29" s="4">
        <f>B26+1</f>
        <v>11</v>
      </c>
      <c r="D29" s="1" t="str">
        <f>'Schedule 11'!A2</f>
        <v>Summary of Cost of Long - Term Debt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 tint="0.39997558519241921"/>
    <pageSetUpPr fitToPage="1"/>
  </sheetPr>
  <dimension ref="A1:N29"/>
  <sheetViews>
    <sheetView view="pageBreakPreview" zoomScaleSheetLayoutView="100" workbookViewId="0">
      <selection activeCell="L6" sqref="L6"/>
    </sheetView>
  </sheetViews>
  <sheetFormatPr defaultColWidth="9.1796875" defaultRowHeight="12.5" x14ac:dyDescent="0.25"/>
  <cols>
    <col min="1" max="1" width="5.26953125" style="2" customWidth="1"/>
    <col min="2" max="2" width="1.81640625" style="1" customWidth="1"/>
    <col min="3" max="3" width="31.81640625" style="1" customWidth="1"/>
    <col min="4" max="4" width="1.81640625" style="1" customWidth="1"/>
    <col min="5" max="5" width="9.1796875" style="13"/>
    <col min="6" max="6" width="1.81640625" style="1" customWidth="1"/>
    <col min="7" max="7" width="12.1796875" style="1" customWidth="1"/>
    <col min="8" max="8" width="1.81640625" style="1" customWidth="1"/>
    <col min="9" max="9" width="11.26953125" style="1" customWidth="1"/>
    <col min="10" max="11" width="11.26953125" style="2" customWidth="1"/>
    <col min="12" max="12" width="1.453125" style="87" customWidth="1"/>
    <col min="13" max="13" width="12.90625" style="1" customWidth="1"/>
    <col min="14" max="14" width="11.26953125" style="1" customWidth="1"/>
    <col min="15" max="16384" width="9.1796875" style="1"/>
  </cols>
  <sheetData>
    <row r="1" spans="1:14" ht="15" x14ac:dyDescent="0.3">
      <c r="A1" s="86" t="s">
        <v>0</v>
      </c>
      <c r="M1" s="4" t="s">
        <v>231</v>
      </c>
    </row>
    <row r="2" spans="1:14" x14ac:dyDescent="0.25">
      <c r="A2" s="88" t="s">
        <v>232</v>
      </c>
      <c r="M2" s="16" t="str">
        <f>Index!F2</f>
        <v>April 14, 2022</v>
      </c>
    </row>
    <row r="3" spans="1:14" x14ac:dyDescent="0.25">
      <c r="A3" s="88" t="s">
        <v>8</v>
      </c>
    </row>
    <row r="4" spans="1:14" x14ac:dyDescent="0.25">
      <c r="M4" s="87"/>
      <c r="N4" s="87"/>
    </row>
    <row r="5" spans="1:14" x14ac:dyDescent="0.25">
      <c r="M5" s="87"/>
      <c r="N5" s="87"/>
    </row>
    <row r="6" spans="1:14" s="5" customFormat="1" x14ac:dyDescent="0.25">
      <c r="A6" s="13"/>
      <c r="E6" s="13"/>
      <c r="G6" s="17"/>
      <c r="I6" s="17"/>
      <c r="J6" s="17"/>
      <c r="K6" s="207"/>
      <c r="L6" s="17"/>
      <c r="M6" s="207"/>
    </row>
    <row r="7" spans="1:14" s="89" customFormat="1" ht="25" x14ac:dyDescent="0.25">
      <c r="A7" s="18" t="s">
        <v>9</v>
      </c>
      <c r="C7" s="90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  <c r="N7" s="91"/>
    </row>
    <row r="8" spans="1:14" x14ac:dyDescent="0.25">
      <c r="G8" s="2"/>
      <c r="I8" s="2"/>
      <c r="L8" s="14"/>
      <c r="M8" s="2"/>
      <c r="N8" s="87"/>
    </row>
    <row r="9" spans="1:14" x14ac:dyDescent="0.25">
      <c r="A9" s="2">
        <v>1</v>
      </c>
      <c r="C9" s="1" t="s">
        <v>73</v>
      </c>
      <c r="G9" s="22">
        <v>60775.078650498472</v>
      </c>
      <c r="I9" s="22">
        <v>61365.597197907286</v>
      </c>
      <c r="J9" s="22">
        <f>I19</f>
        <v>67653.097567364763</v>
      </c>
      <c r="K9" s="22">
        <v>65605.556590572727</v>
      </c>
      <c r="L9" s="23"/>
      <c r="M9" s="22">
        <f>K19</f>
        <v>66992.97701252914</v>
      </c>
      <c r="N9" s="87"/>
    </row>
    <row r="10" spans="1:14" x14ac:dyDescent="0.25">
      <c r="G10" s="2"/>
      <c r="I10" s="2"/>
      <c r="L10" s="14"/>
      <c r="M10" s="2"/>
      <c r="N10" s="87"/>
    </row>
    <row r="11" spans="1:14" x14ac:dyDescent="0.25">
      <c r="C11" s="1" t="s">
        <v>25</v>
      </c>
      <c r="G11" s="2"/>
      <c r="I11" s="2"/>
      <c r="L11" s="14"/>
      <c r="M11" s="2"/>
      <c r="N11" s="87"/>
    </row>
    <row r="12" spans="1:14" x14ac:dyDescent="0.25">
      <c r="A12" s="2">
        <v>2</v>
      </c>
      <c r="C12" s="1" t="s">
        <v>227</v>
      </c>
      <c r="E12" s="13" t="s">
        <v>233</v>
      </c>
      <c r="G12" s="23">
        <f>'Schedule 6'!G32</f>
        <v>9142.4222428966623</v>
      </c>
      <c r="I12" s="23">
        <f>'Schedule 6'!I32</f>
        <v>5939.3593694574784</v>
      </c>
      <c r="J12" s="23">
        <f>'Schedule 6'!J32</f>
        <v>2682.7590232079692</v>
      </c>
      <c r="K12" s="23">
        <f>'Schedule 6'!K32</f>
        <v>534.42042195640897</v>
      </c>
      <c r="L12" s="23"/>
      <c r="M12" s="23">
        <f>'Schedule 6'!M32</f>
        <v>10687.63888866139</v>
      </c>
      <c r="N12" s="92"/>
    </row>
    <row r="13" spans="1:14" x14ac:dyDescent="0.25">
      <c r="A13" s="2">
        <v>3</v>
      </c>
      <c r="C13" s="1" t="s">
        <v>234</v>
      </c>
      <c r="G13" s="26">
        <v>1659.5409999999999</v>
      </c>
      <c r="I13" s="26">
        <v>348.14100000000002</v>
      </c>
      <c r="J13" s="26">
        <v>-1859.3</v>
      </c>
      <c r="K13" s="26">
        <v>853</v>
      </c>
      <c r="L13" s="23"/>
      <c r="M13" s="26">
        <v>0</v>
      </c>
      <c r="N13" s="92"/>
    </row>
    <row r="14" spans="1:14" x14ac:dyDescent="0.25">
      <c r="A14" s="2">
        <v>4</v>
      </c>
      <c r="C14" s="1" t="s">
        <v>235</v>
      </c>
      <c r="G14" s="22">
        <f>SUM(G9:G13)</f>
        <v>71577.04189339513</v>
      </c>
      <c r="I14" s="22">
        <f t="shared" ref="I14:K14" si="0">SUM(I9:I13)</f>
        <v>67653.097567364763</v>
      </c>
      <c r="J14" s="22">
        <f t="shared" si="0"/>
        <v>68476.556590572727</v>
      </c>
      <c r="K14" s="22">
        <f t="shared" si="0"/>
        <v>66992.97701252914</v>
      </c>
      <c r="L14" s="23"/>
      <c r="M14" s="22">
        <f>SUM(M9:M13)</f>
        <v>77680.615901190526</v>
      </c>
      <c r="N14" s="87"/>
    </row>
    <row r="15" spans="1:14" x14ac:dyDescent="0.25">
      <c r="G15" s="2"/>
      <c r="I15" s="2"/>
      <c r="L15" s="14"/>
      <c r="M15" s="2"/>
      <c r="N15" s="87"/>
    </row>
    <row r="16" spans="1:14" x14ac:dyDescent="0.25">
      <c r="C16" s="1" t="s">
        <v>236</v>
      </c>
      <c r="G16" s="2"/>
      <c r="I16" s="2"/>
      <c r="L16" s="14"/>
      <c r="M16" s="2"/>
      <c r="N16" s="87"/>
    </row>
    <row r="17" spans="1:14" x14ac:dyDescent="0.25">
      <c r="A17" s="2">
        <v>5</v>
      </c>
      <c r="C17" s="2" t="s">
        <v>366</v>
      </c>
      <c r="G17" s="26">
        <v>10413.969177296662</v>
      </c>
      <c r="I17" s="26">
        <v>0</v>
      </c>
      <c r="J17" s="26">
        <v>2871</v>
      </c>
      <c r="K17" s="26">
        <v>0</v>
      </c>
      <c r="L17" s="23"/>
      <c r="M17" s="26">
        <v>13703.401487454699</v>
      </c>
      <c r="N17" s="87"/>
    </row>
    <row r="18" spans="1:14" x14ac:dyDescent="0.25">
      <c r="G18" s="2"/>
      <c r="I18" s="2"/>
      <c r="L18" s="14"/>
      <c r="M18" s="2"/>
      <c r="N18" s="87"/>
    </row>
    <row r="19" spans="1:14" ht="13" thickBot="1" x14ac:dyDescent="0.3">
      <c r="A19" s="2">
        <v>6</v>
      </c>
      <c r="C19" s="1" t="s">
        <v>76</v>
      </c>
      <c r="G19" s="38">
        <f t="shared" ref="G19" si="1">SUM(G14-G17)</f>
        <v>61163.072716098468</v>
      </c>
      <c r="I19" s="38">
        <f t="shared" ref="I19" si="2">SUM(I14-I17)</f>
        <v>67653.097567364763</v>
      </c>
      <c r="J19" s="38">
        <f>SUM(J14-J17)</f>
        <v>65605.556590572727</v>
      </c>
      <c r="K19" s="38">
        <f>SUM(K14-K17)</f>
        <v>66992.97701252914</v>
      </c>
      <c r="L19" s="36"/>
      <c r="M19" s="38">
        <f>SUM(M14-M17)</f>
        <v>63977.214413735826</v>
      </c>
      <c r="N19" s="87"/>
    </row>
    <row r="20" spans="1:14" x14ac:dyDescent="0.25">
      <c r="G20" s="2"/>
      <c r="I20" s="2"/>
      <c r="L20" s="14"/>
      <c r="M20" s="2"/>
      <c r="N20" s="87"/>
    </row>
    <row r="21" spans="1:14" x14ac:dyDescent="0.25">
      <c r="G21" s="2"/>
      <c r="I21" s="2"/>
      <c r="L21" s="14"/>
      <c r="M21" s="2"/>
      <c r="N21" s="87"/>
    </row>
    <row r="22" spans="1:14" x14ac:dyDescent="0.25">
      <c r="B22" s="2"/>
      <c r="C22" s="21" t="s">
        <v>237</v>
      </c>
      <c r="G22" s="2"/>
      <c r="I22" s="2"/>
      <c r="L22" s="14"/>
      <c r="M22" s="2"/>
    </row>
    <row r="23" spans="1:14" x14ac:dyDescent="0.25">
      <c r="A23" s="2">
        <f>A19+1</f>
        <v>7</v>
      </c>
      <c r="B23" s="2"/>
      <c r="C23" s="2" t="s">
        <v>238</v>
      </c>
      <c r="G23" s="22">
        <v>54036.480050760001</v>
      </c>
      <c r="I23" s="22">
        <v>53600</v>
      </c>
      <c r="J23" s="22">
        <v>53600</v>
      </c>
      <c r="K23" s="22">
        <v>56777.076849838588</v>
      </c>
      <c r="L23" s="23"/>
      <c r="M23" s="22">
        <v>56777.076849838588</v>
      </c>
    </row>
    <row r="24" spans="1:14" x14ac:dyDescent="0.25">
      <c r="A24" s="2">
        <f>A23+1</f>
        <v>8</v>
      </c>
      <c r="B24" s="2"/>
      <c r="C24" s="2" t="s">
        <v>239</v>
      </c>
      <c r="G24" s="23">
        <f t="shared" ref="G24" si="3">G19</f>
        <v>61163.072716098468</v>
      </c>
      <c r="I24" s="23">
        <f t="shared" ref="I24" si="4">I19</f>
        <v>67653.097567364763</v>
      </c>
      <c r="J24" s="23">
        <f>J19</f>
        <v>65605.556590572727</v>
      </c>
      <c r="K24" s="23">
        <f>K19</f>
        <v>66992.97701252914</v>
      </c>
      <c r="L24" s="23"/>
      <c r="M24" s="23">
        <f>M19</f>
        <v>63977.214413735826</v>
      </c>
    </row>
    <row r="25" spans="1:14" x14ac:dyDescent="0.25">
      <c r="A25" s="2">
        <f>A24+1</f>
        <v>9</v>
      </c>
      <c r="B25" s="2"/>
      <c r="C25" s="2" t="s">
        <v>32</v>
      </c>
      <c r="G25" s="27">
        <f t="shared" ref="G25" si="5">SUM(G23:G24)</f>
        <v>115199.55276685847</v>
      </c>
      <c r="I25" s="27">
        <f t="shared" ref="I25" si="6">SUM(I23:I24)</f>
        <v>121253.09756736476</v>
      </c>
      <c r="J25" s="27">
        <f>SUM(J23:J24)</f>
        <v>119205.55659057273</v>
      </c>
      <c r="K25" s="27">
        <f>SUM(K23:K24)</f>
        <v>123770.05386236773</v>
      </c>
      <c r="L25" s="23"/>
      <c r="M25" s="27">
        <f>SUM(M23:M24)</f>
        <v>120754.29126357441</v>
      </c>
    </row>
    <row r="28" spans="1:14" x14ac:dyDescent="0.25">
      <c r="C28" s="1" t="s">
        <v>240</v>
      </c>
    </row>
    <row r="29" spans="1:14" x14ac:dyDescent="0.25">
      <c r="C29" s="2" t="s">
        <v>241</v>
      </c>
      <c r="D29" s="2"/>
      <c r="F29" s="2"/>
      <c r="G29" s="2"/>
      <c r="H29" s="2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tabColor theme="9" tint="0.39997558519241921"/>
    <pageSetUpPr fitToPage="1"/>
  </sheetPr>
  <dimension ref="A1:M25"/>
  <sheetViews>
    <sheetView view="pageBreakPreview" zoomScaleSheetLayoutView="100" workbookViewId="0">
      <selection activeCell="L6" sqref="L6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32" style="2" customWidth="1"/>
    <col min="4" max="4" width="1.81640625" style="2" customWidth="1"/>
    <col min="5" max="5" width="9.1796875" style="13"/>
    <col min="6" max="6" width="1.81640625" style="2" customWidth="1"/>
    <col min="7" max="7" width="12.36328125" style="2" customWidth="1"/>
    <col min="8" max="8" width="1.81640625" style="2" customWidth="1"/>
    <col min="9" max="11" width="11.26953125" style="2" customWidth="1"/>
    <col min="12" max="12" width="1.453125" style="14" customWidth="1"/>
    <col min="13" max="13" width="12.7265625" style="2" customWidth="1"/>
    <col min="14" max="16384" width="9.1796875" style="2"/>
  </cols>
  <sheetData>
    <row r="1" spans="1:13" ht="15" x14ac:dyDescent="0.3">
      <c r="A1" s="12" t="s">
        <v>0</v>
      </c>
      <c r="M1" s="10" t="s">
        <v>242</v>
      </c>
    </row>
    <row r="2" spans="1:13" x14ac:dyDescent="0.25">
      <c r="A2" s="15" t="s">
        <v>243</v>
      </c>
      <c r="M2" s="16" t="str">
        <f>Index!F2</f>
        <v>April 14, 2022</v>
      </c>
    </row>
    <row r="3" spans="1:13" x14ac:dyDescent="0.25">
      <c r="A3" s="15" t="s">
        <v>8</v>
      </c>
    </row>
    <row r="6" spans="1:13" s="13" customFormat="1" x14ac:dyDescent="0.25">
      <c r="G6" s="17"/>
      <c r="I6" s="17"/>
      <c r="J6" s="17"/>
      <c r="K6" s="207"/>
      <c r="L6" s="17"/>
      <c r="M6" s="207"/>
    </row>
    <row r="7" spans="1:13" s="19" customFormat="1" ht="25" x14ac:dyDescent="0.25">
      <c r="A7" s="18" t="s">
        <v>9</v>
      </c>
      <c r="C7" s="18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</row>
    <row r="9" spans="1:13" x14ac:dyDescent="0.25">
      <c r="A9" s="2">
        <v>1</v>
      </c>
      <c r="C9" s="2" t="s">
        <v>244</v>
      </c>
      <c r="E9" s="13" t="s">
        <v>185</v>
      </c>
      <c r="G9" s="22">
        <f>'Schedule 5'!G13</f>
        <v>13850.170129720804</v>
      </c>
      <c r="I9" s="22">
        <f>'Schedule 5'!I13</f>
        <v>12109.884772884008</v>
      </c>
      <c r="J9" s="22">
        <f>'Schedule 5'!J13</f>
        <v>9479.9659322177667</v>
      </c>
      <c r="K9" s="22">
        <f>'Schedule 5'!K13</f>
        <v>9980.899932753644</v>
      </c>
      <c r="L9" s="23"/>
      <c r="M9" s="22">
        <f>'Schedule 5'!M13</f>
        <v>15655.799393874981</v>
      </c>
    </row>
    <row r="10" spans="1:13" x14ac:dyDescent="0.25">
      <c r="G10" s="22"/>
      <c r="I10" s="22"/>
      <c r="J10" s="22"/>
      <c r="K10" s="22"/>
      <c r="L10" s="23"/>
      <c r="M10" s="22"/>
    </row>
    <row r="11" spans="1:13" x14ac:dyDescent="0.25">
      <c r="C11" s="2" t="s">
        <v>25</v>
      </c>
      <c r="G11" s="22"/>
      <c r="I11" s="22"/>
      <c r="J11" s="22"/>
      <c r="K11" s="22"/>
      <c r="L11" s="23"/>
      <c r="M11" s="22"/>
    </row>
    <row r="12" spans="1:13" x14ac:dyDescent="0.25">
      <c r="A12" s="2">
        <v>2</v>
      </c>
      <c r="C12" s="93" t="s">
        <v>245</v>
      </c>
      <c r="E12" s="13" t="s">
        <v>246</v>
      </c>
      <c r="G12" s="22">
        <f>'Schedule 6'!G24</f>
        <v>542.43396758909967</v>
      </c>
      <c r="I12" s="22">
        <f>'Schedule 6'!I24</f>
        <v>539.36683000000005</v>
      </c>
      <c r="J12" s="22">
        <f>'Schedule 6'!J24</f>
        <v>647.59286999999995</v>
      </c>
      <c r="K12" s="22">
        <f>'Schedule 6'!K24</f>
        <v>828.78495542930511</v>
      </c>
      <c r="L12" s="23"/>
      <c r="M12" s="22">
        <f>'Schedule 6'!M24</f>
        <v>1194.301113869416</v>
      </c>
    </row>
    <row r="13" spans="1:13" x14ac:dyDescent="0.25">
      <c r="A13" s="2">
        <v>3</v>
      </c>
      <c r="C13" s="2" t="s">
        <v>247</v>
      </c>
      <c r="E13" s="13" t="s">
        <v>248</v>
      </c>
      <c r="G13" s="26">
        <f>'Schedule 6'!G25</f>
        <v>-514.86460431913849</v>
      </c>
      <c r="I13" s="26">
        <f>'Schedule 6'!I25</f>
        <v>-823.86082787073587</v>
      </c>
      <c r="J13" s="26">
        <f>'Schedule 6'!J25</f>
        <v>-951.11582225682628</v>
      </c>
      <c r="K13" s="26">
        <f>'Schedule 6'!K25</f>
        <v>-472.71339554407064</v>
      </c>
      <c r="L13" s="23"/>
      <c r="M13" s="26">
        <f>'Schedule 6'!M25</f>
        <v>-138.5617024665749</v>
      </c>
    </row>
    <row r="14" spans="1:13" x14ac:dyDescent="0.25">
      <c r="G14" s="26">
        <f>SUM(G9:G13)</f>
        <v>13877.739492990766</v>
      </c>
      <c r="I14" s="26">
        <f>SUM(I9:I13)</f>
        <v>11825.390775013273</v>
      </c>
      <c r="J14" s="26">
        <f>SUM(J9:J13)</f>
        <v>9176.4429799609406</v>
      </c>
      <c r="K14" s="26">
        <f>SUM(K9:K13)</f>
        <v>10336.971492638877</v>
      </c>
      <c r="L14" s="23"/>
      <c r="M14" s="26">
        <f>SUM(M9:M13)</f>
        <v>16711.538805277822</v>
      </c>
    </row>
    <row r="16" spans="1:13" x14ac:dyDescent="0.25">
      <c r="C16" s="2" t="s">
        <v>236</v>
      </c>
    </row>
    <row r="17" spans="1:13" x14ac:dyDescent="0.25">
      <c r="A17" s="2">
        <v>4</v>
      </c>
      <c r="C17" s="2" t="s">
        <v>249</v>
      </c>
      <c r="E17" s="13" t="s">
        <v>250</v>
      </c>
      <c r="G17" s="22">
        <f>'Schedule 6'!G29</f>
        <v>4431.4970682795647</v>
      </c>
      <c r="I17" s="22">
        <f>'Schedule 6'!I29</f>
        <v>5582.8928131961011</v>
      </c>
      <c r="J17" s="22">
        <f>'Schedule 6'!J29</f>
        <v>6123.5730626342392</v>
      </c>
      <c r="K17" s="22">
        <f>'Schedule 6'!K29</f>
        <v>9663.2897505523488</v>
      </c>
      <c r="L17" s="23"/>
      <c r="M17" s="22">
        <f>'Schedule 6'!M29</f>
        <v>5665.6151836164308</v>
      </c>
    </row>
    <row r="18" spans="1:13" x14ac:dyDescent="0.25">
      <c r="A18" s="2">
        <v>5</v>
      </c>
      <c r="C18" s="2" t="s">
        <v>203</v>
      </c>
      <c r="E18" s="13" t="s">
        <v>251</v>
      </c>
      <c r="G18" s="22">
        <f>-'Schedule 5'!G23</f>
        <v>99.999999999999957</v>
      </c>
      <c r="I18" s="22">
        <f>-'Schedule 5'!I23</f>
        <v>99.349270000000004</v>
      </c>
      <c r="J18" s="22">
        <f>-'Schedule 5'!J23</f>
        <v>166.39563000000001</v>
      </c>
      <c r="K18" s="22">
        <f>-'Schedule 5'!K23</f>
        <v>94.999999999999901</v>
      </c>
      <c r="L18" s="23"/>
      <c r="M18" s="22">
        <f>-'Schedule 5'!M23</f>
        <v>120.00024999999994</v>
      </c>
    </row>
    <row r="19" spans="1:13" x14ac:dyDescent="0.25">
      <c r="A19" s="2">
        <v>6</v>
      </c>
      <c r="C19" s="2" t="s">
        <v>252</v>
      </c>
      <c r="E19" s="13" t="s">
        <v>253</v>
      </c>
      <c r="G19" s="94">
        <f>-'Schedule 5'!G24</f>
        <v>0</v>
      </c>
      <c r="I19" s="94">
        <f>-'Schedule 5'!I24</f>
        <v>0</v>
      </c>
      <c r="J19" s="94">
        <f>-'Schedule 5'!J24</f>
        <v>0</v>
      </c>
      <c r="K19" s="94">
        <f>-'Schedule 5'!K24</f>
        <v>0</v>
      </c>
      <c r="L19" s="94"/>
      <c r="M19" s="94">
        <f>-'Schedule 5'!M24</f>
        <v>0</v>
      </c>
    </row>
    <row r="20" spans="1:13" x14ac:dyDescent="0.25">
      <c r="A20" s="2">
        <v>7</v>
      </c>
      <c r="C20" s="2" t="s">
        <v>202</v>
      </c>
      <c r="E20" s="13" t="s">
        <v>254</v>
      </c>
      <c r="G20" s="26">
        <f>-'Schedule 5'!G22</f>
        <v>203.80146299999998</v>
      </c>
      <c r="I20" s="26">
        <f>-'Schedule 5'!I22</f>
        <v>203.80146299999998</v>
      </c>
      <c r="J20" s="26">
        <f>-'Schedule 5'!J22</f>
        <v>203.80146299999998</v>
      </c>
      <c r="K20" s="26">
        <f>-'Schedule 5'!K22</f>
        <v>44.261462999999978</v>
      </c>
      <c r="L20" s="23"/>
      <c r="M20" s="26">
        <f>-'Schedule 5'!M22</f>
        <v>238.28448299999997</v>
      </c>
    </row>
    <row r="21" spans="1:13" x14ac:dyDescent="0.25">
      <c r="G21" s="26">
        <f>SUM(G17:G20)</f>
        <v>4735.2985312795645</v>
      </c>
      <c r="I21" s="26">
        <f>SUM(I17:I20)</f>
        <v>5886.0435461961006</v>
      </c>
      <c r="J21" s="26">
        <f>SUM(J17:J20)</f>
        <v>6493.770155634239</v>
      </c>
      <c r="K21" s="26">
        <f>SUM(K17:K20)</f>
        <v>9802.5512135523495</v>
      </c>
      <c r="L21" s="23"/>
      <c r="M21" s="26">
        <f>SUM(M17:M20)</f>
        <v>6023.8999166164313</v>
      </c>
    </row>
    <row r="22" spans="1:13" x14ac:dyDescent="0.25">
      <c r="G22" s="77"/>
      <c r="I22" s="77"/>
      <c r="J22" s="77"/>
      <c r="K22" s="77"/>
      <c r="L22" s="77"/>
      <c r="M22" s="77"/>
    </row>
    <row r="23" spans="1:13" x14ac:dyDescent="0.25">
      <c r="A23" s="2">
        <v>8</v>
      </c>
      <c r="C23" s="2" t="s">
        <v>227</v>
      </c>
      <c r="E23" s="13" t="s">
        <v>233</v>
      </c>
      <c r="G23" s="22">
        <f>G14-G21</f>
        <v>9142.4409617112015</v>
      </c>
      <c r="I23" s="22">
        <f>I14-I21</f>
        <v>5939.3472288171724</v>
      </c>
      <c r="J23" s="22">
        <f>J14-J21</f>
        <v>2682.6728243267016</v>
      </c>
      <c r="K23" s="22">
        <f>K14-K21</f>
        <v>534.42027908652744</v>
      </c>
      <c r="L23" s="23"/>
      <c r="M23" s="22">
        <f>M14-M21</f>
        <v>10687.63888866139</v>
      </c>
    </row>
    <row r="24" spans="1:13" x14ac:dyDescent="0.25">
      <c r="G24" s="22"/>
      <c r="I24" s="22"/>
      <c r="J24" s="22"/>
      <c r="K24" s="22"/>
      <c r="L24" s="23"/>
    </row>
    <row r="25" spans="1:13" x14ac:dyDescent="0.25">
      <c r="G25" s="48"/>
      <c r="I25" s="48"/>
      <c r="J25" s="48"/>
      <c r="K25" s="48"/>
      <c r="L25" s="77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tabColor theme="9" tint="0.39997558519241921"/>
    <pageSetUpPr fitToPage="1"/>
  </sheetPr>
  <dimension ref="A1:O82"/>
  <sheetViews>
    <sheetView view="pageBreakPreview" zoomScaleSheetLayoutView="100" workbookViewId="0">
      <pane ySplit="7" topLeftCell="A52" activePane="bottomLeft" state="frozen"/>
      <selection activeCell="H15" sqref="H15"/>
      <selection pane="bottomLeft" activeCell="H15" sqref="H15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27.453125" style="2" customWidth="1"/>
    <col min="4" max="4" width="1.81640625" style="2" customWidth="1"/>
    <col min="5" max="5" width="11.90625" style="2" customWidth="1"/>
    <col min="6" max="6" width="1.81640625" style="2" customWidth="1"/>
    <col min="7" max="9" width="11.26953125" style="2" customWidth="1"/>
    <col min="10" max="10" width="1.54296875" style="14" customWidth="1"/>
    <col min="11" max="11" width="12.54296875" style="2" customWidth="1"/>
    <col min="12" max="16384" width="9.1796875" style="2"/>
  </cols>
  <sheetData>
    <row r="1" spans="1:13" ht="15" x14ac:dyDescent="0.3">
      <c r="A1" s="12" t="s">
        <v>0</v>
      </c>
      <c r="J1" s="95"/>
      <c r="K1" s="10" t="s">
        <v>255</v>
      </c>
    </row>
    <row r="2" spans="1:13" x14ac:dyDescent="0.25">
      <c r="A2" s="15" t="s">
        <v>256</v>
      </c>
      <c r="J2" s="17"/>
      <c r="K2" s="16" t="str">
        <f>Index!F2</f>
        <v>April 14, 2022</v>
      </c>
    </row>
    <row r="3" spans="1:13" x14ac:dyDescent="0.25">
      <c r="A3" s="15" t="s">
        <v>8</v>
      </c>
      <c r="J3" s="17"/>
    </row>
    <row r="4" spans="1:13" x14ac:dyDescent="0.25">
      <c r="C4" s="96"/>
    </row>
    <row r="5" spans="1:13" x14ac:dyDescent="0.25">
      <c r="C5" s="56"/>
    </row>
    <row r="6" spans="1:13" s="13" customFormat="1" x14ac:dyDescent="0.25">
      <c r="C6" s="97"/>
      <c r="E6" s="17"/>
      <c r="G6" s="17"/>
      <c r="H6" s="17"/>
      <c r="I6" s="17"/>
      <c r="J6" s="17"/>
    </row>
    <row r="7" spans="1:13" s="19" customFormat="1" ht="25" x14ac:dyDescent="0.25">
      <c r="A7" s="18" t="s">
        <v>9</v>
      </c>
      <c r="C7" s="18" t="s">
        <v>10</v>
      </c>
      <c r="E7" s="18" t="str">
        <f>'Schedule 1'!G7</f>
        <v>2018 GRA
Compliance</v>
      </c>
      <c r="G7" s="18" t="str">
        <f>'Schedule 1'!I7</f>
        <v>Actual 2018</v>
      </c>
      <c r="H7" s="18" t="str">
        <f>'Schedule 1'!J7</f>
        <v>Actual 2019</v>
      </c>
      <c r="I7" s="18" t="str">
        <f>'Schedule 1'!K7</f>
        <v>Forecast 2020</v>
      </c>
      <c r="J7" s="20"/>
      <c r="K7" s="18" t="str">
        <f>'Schedule 1'!M7</f>
        <v>2021 GRA
Compliance</v>
      </c>
    </row>
    <row r="8" spans="1:13" x14ac:dyDescent="0.25">
      <c r="A8" s="2">
        <v>1</v>
      </c>
      <c r="C8" s="21" t="s">
        <v>257</v>
      </c>
      <c r="M8" s="98"/>
    </row>
    <row r="9" spans="1:13" x14ac:dyDescent="0.25">
      <c r="A9" s="2">
        <v>2</v>
      </c>
      <c r="C9" s="99" t="s">
        <v>258</v>
      </c>
      <c r="E9" s="28">
        <v>1635.4831134093349</v>
      </c>
      <c r="G9" s="28">
        <v>1689.1354166666667</v>
      </c>
      <c r="H9" s="28">
        <v>1730.3204444444445</v>
      </c>
      <c r="I9" s="28">
        <v>1755.8856150000001</v>
      </c>
      <c r="J9" s="28"/>
      <c r="K9" s="28">
        <v>1779.7967268777782</v>
      </c>
      <c r="M9" s="100"/>
    </row>
    <row r="10" spans="1:13" x14ac:dyDescent="0.25">
      <c r="A10" s="2">
        <v>3</v>
      </c>
      <c r="C10" s="99" t="s">
        <v>259</v>
      </c>
      <c r="E10" s="28">
        <v>13718.756359540899</v>
      </c>
      <c r="G10" s="28">
        <v>15625.65309</v>
      </c>
      <c r="H10" s="28">
        <v>15384.37</v>
      </c>
      <c r="I10" s="28">
        <v>16729.719988945362</v>
      </c>
      <c r="J10" s="28"/>
      <c r="K10" s="28">
        <v>16209.745867303323</v>
      </c>
      <c r="M10" s="100"/>
    </row>
    <row r="11" spans="1:13" x14ac:dyDescent="0.25">
      <c r="A11" s="2">
        <v>4</v>
      </c>
      <c r="C11" s="99" t="s">
        <v>260</v>
      </c>
      <c r="E11" s="101">
        <f>E10/E9</f>
        <v>8.3881981092074511</v>
      </c>
      <c r="G11" s="101">
        <f>G10/G9</f>
        <v>9.2506811092953125</v>
      </c>
      <c r="H11" s="101">
        <f>H10/H9</f>
        <v>8.8910525500607331</v>
      </c>
      <c r="I11" s="101">
        <f>I10/I9</f>
        <v>9.5277960284134799</v>
      </c>
      <c r="J11" s="101"/>
      <c r="K11" s="101">
        <f>K10/K9</f>
        <v>9.1076388794912511</v>
      </c>
      <c r="M11" s="100"/>
    </row>
    <row r="12" spans="1:13" x14ac:dyDescent="0.25">
      <c r="A12" s="2">
        <v>5</v>
      </c>
      <c r="C12" s="99" t="s">
        <v>261</v>
      </c>
      <c r="D12" s="56"/>
      <c r="E12" s="28">
        <v>2016.4486459742025</v>
      </c>
      <c r="F12" s="56"/>
      <c r="G12" s="28">
        <v>2261.9300099999996</v>
      </c>
      <c r="H12" s="28">
        <v>2262.4463700000006</v>
      </c>
      <c r="I12" s="28">
        <v>2413.2055025728914</v>
      </c>
      <c r="J12" s="28"/>
      <c r="K12" s="28">
        <v>2384.1188693170443</v>
      </c>
      <c r="M12" s="100"/>
    </row>
    <row r="13" spans="1:13" x14ac:dyDescent="0.25">
      <c r="A13" s="2">
        <v>6</v>
      </c>
      <c r="C13" s="99" t="s">
        <v>262</v>
      </c>
      <c r="D13" s="96"/>
      <c r="E13" s="101">
        <f>E12/E10*100</f>
        <v>14.698479899541589</v>
      </c>
      <c r="F13" s="96"/>
      <c r="G13" s="101">
        <f>G12/G10*100</f>
        <v>14.475747010200646</v>
      </c>
      <c r="H13" s="101">
        <f>H12/H10*100</f>
        <v>14.706135967868692</v>
      </c>
      <c r="I13" s="101">
        <f>I12/I10*100</f>
        <v>14.424661645069287</v>
      </c>
      <c r="J13" s="101"/>
      <c r="K13" s="101">
        <f>K12/K10*100</f>
        <v>14.707934898140817</v>
      </c>
      <c r="M13" s="100"/>
    </row>
    <row r="14" spans="1:13" x14ac:dyDescent="0.25">
      <c r="A14" s="2">
        <v>7</v>
      </c>
      <c r="C14" s="21" t="s">
        <v>263</v>
      </c>
      <c r="E14" s="28"/>
      <c r="G14" s="28"/>
      <c r="H14" s="28"/>
      <c r="I14" s="28"/>
      <c r="J14" s="2"/>
      <c r="K14" s="28"/>
      <c r="M14" s="98"/>
    </row>
    <row r="15" spans="1:13" x14ac:dyDescent="0.25">
      <c r="A15" s="2">
        <v>8</v>
      </c>
      <c r="C15" s="99" t="s">
        <v>258</v>
      </c>
      <c r="E15" s="28">
        <v>489.12268518518516</v>
      </c>
      <c r="G15" s="28">
        <v>506</v>
      </c>
      <c r="H15" s="28">
        <v>517.13888888888891</v>
      </c>
      <c r="I15" s="28">
        <v>516.37734736111111</v>
      </c>
      <c r="J15" s="28"/>
      <c r="K15" s="28">
        <v>513.53938439814817</v>
      </c>
      <c r="M15" s="100"/>
    </row>
    <row r="16" spans="1:13" x14ac:dyDescent="0.25">
      <c r="A16" s="2">
        <v>9</v>
      </c>
      <c r="C16" s="99" t="s">
        <v>259</v>
      </c>
      <c r="E16" s="28">
        <v>25436.270312173448</v>
      </c>
      <c r="G16" s="28">
        <v>27170.822899999999</v>
      </c>
      <c r="H16" s="28">
        <v>29148.333999999999</v>
      </c>
      <c r="I16" s="28">
        <v>32249.774759311502</v>
      </c>
      <c r="J16" s="28"/>
      <c r="K16" s="28">
        <v>32322.926762187584</v>
      </c>
      <c r="M16" s="100"/>
    </row>
    <row r="17" spans="1:13" x14ac:dyDescent="0.25">
      <c r="A17" s="2">
        <v>10</v>
      </c>
      <c r="C17" s="99" t="s">
        <v>260</v>
      </c>
      <c r="E17" s="101">
        <f>E16/E15</f>
        <v>52.00386545666575</v>
      </c>
      <c r="G17" s="101">
        <f>G16/G15</f>
        <v>53.697278458498019</v>
      </c>
      <c r="H17" s="101">
        <f>H16/H15</f>
        <v>56.364614277273454</v>
      </c>
      <c r="I17" s="101">
        <f>I16/I15</f>
        <v>62.453891372501879</v>
      </c>
      <c r="J17" s="101"/>
      <c r="K17" s="101">
        <f>K16/K15</f>
        <v>62.941475852079051</v>
      </c>
      <c r="M17" s="100"/>
    </row>
    <row r="18" spans="1:13" x14ac:dyDescent="0.25">
      <c r="A18" s="2">
        <v>11</v>
      </c>
      <c r="C18" s="99" t="s">
        <v>261</v>
      </c>
      <c r="E18" s="28">
        <v>4054.4476339490839</v>
      </c>
      <c r="G18" s="28">
        <v>4490.1586199999992</v>
      </c>
      <c r="H18" s="28">
        <v>4833.266340000001</v>
      </c>
      <c r="I18" s="28">
        <v>5350.8017566907201</v>
      </c>
      <c r="J18" s="28"/>
      <c r="K18" s="28">
        <v>5388.0779262706401</v>
      </c>
      <c r="M18" s="100"/>
    </row>
    <row r="19" spans="1:13" x14ac:dyDescent="0.25">
      <c r="A19" s="2">
        <v>12</v>
      </c>
      <c r="C19" s="99" t="s">
        <v>262</v>
      </c>
      <c r="E19" s="101">
        <f>E18/E16*100</f>
        <v>15.939631023690925</v>
      </c>
      <c r="G19" s="101">
        <f>G18/G16*100</f>
        <v>16.525662975043716</v>
      </c>
      <c r="H19" s="101">
        <f>H18/H16*100</f>
        <v>16.581621234338819</v>
      </c>
      <c r="I19" s="101">
        <f>I18/I16*100</f>
        <v>16.591749234297456</v>
      </c>
      <c r="J19" s="101"/>
      <c r="K19" s="101">
        <f>K18/K16*100</f>
        <v>16.669523666321545</v>
      </c>
      <c r="M19" s="100"/>
    </row>
    <row r="20" spans="1:13" x14ac:dyDescent="0.25">
      <c r="A20" s="2">
        <v>13</v>
      </c>
      <c r="C20" s="21" t="s">
        <v>264</v>
      </c>
      <c r="E20" s="28"/>
      <c r="G20" s="28"/>
      <c r="H20" s="28"/>
      <c r="I20" s="28"/>
      <c r="J20" s="2"/>
      <c r="K20" s="28"/>
      <c r="M20" s="98"/>
    </row>
    <row r="21" spans="1:13" x14ac:dyDescent="0.25">
      <c r="A21" s="2">
        <v>14</v>
      </c>
      <c r="C21" s="99" t="s">
        <v>259</v>
      </c>
      <c r="E21" s="28">
        <v>32192.510670058487</v>
      </c>
      <c r="G21" s="28">
        <v>36909.889659999993</v>
      </c>
      <c r="H21" s="28">
        <v>27286.06719999999</v>
      </c>
      <c r="I21" s="28">
        <v>64856.373884166685</v>
      </c>
      <c r="J21" s="28"/>
      <c r="K21" s="28">
        <v>102903.86099999998</v>
      </c>
      <c r="M21" s="100"/>
    </row>
    <row r="22" spans="1:13" x14ac:dyDescent="0.25">
      <c r="A22" s="2">
        <v>15</v>
      </c>
      <c r="C22" s="99" t="s">
        <v>261</v>
      </c>
      <c r="E22" s="28">
        <v>3951.5815796545494</v>
      </c>
      <c r="G22" s="28">
        <v>4377.7479400000002</v>
      </c>
      <c r="H22" s="28">
        <v>3672.8377635519992</v>
      </c>
      <c r="I22" s="28">
        <v>7259.6428043321366</v>
      </c>
      <c r="J22" s="28"/>
      <c r="K22" s="28">
        <v>11480.811251316387</v>
      </c>
      <c r="M22" s="100"/>
    </row>
    <row r="23" spans="1:13" x14ac:dyDescent="0.25">
      <c r="A23" s="2">
        <v>16</v>
      </c>
      <c r="C23" s="99" t="s">
        <v>262</v>
      </c>
      <c r="E23" s="101">
        <f>E22/E21*100</f>
        <v>12.274847464226593</v>
      </c>
      <c r="G23" s="101">
        <f>G22/G21*100</f>
        <v>11.860636757048493</v>
      </c>
      <c r="H23" s="101">
        <f>H22/H21*100</f>
        <v>13.460487862288929</v>
      </c>
      <c r="I23" s="101">
        <f>I22/I21*100</f>
        <v>11.19341457062931</v>
      </c>
      <c r="J23" s="101"/>
      <c r="K23" s="101">
        <f>K22/K21*100</f>
        <v>11.15683234792948</v>
      </c>
      <c r="M23" s="100"/>
    </row>
    <row r="24" spans="1:13" x14ac:dyDescent="0.25">
      <c r="A24" s="2">
        <v>17</v>
      </c>
      <c r="C24" s="21" t="s">
        <v>265</v>
      </c>
      <c r="E24" s="28"/>
      <c r="G24" s="28"/>
      <c r="H24" s="28"/>
      <c r="I24" s="28"/>
      <c r="J24" s="2"/>
      <c r="K24" s="28"/>
      <c r="M24" s="98"/>
    </row>
    <row r="25" spans="1:13" x14ac:dyDescent="0.25">
      <c r="A25" s="2">
        <v>18</v>
      </c>
      <c r="C25" s="99" t="s">
        <v>259</v>
      </c>
      <c r="E25" s="28">
        <v>213.636</v>
      </c>
      <c r="G25" s="28">
        <v>223.86439000000001</v>
      </c>
      <c r="H25" s="28">
        <v>167.79</v>
      </c>
      <c r="I25" s="28">
        <v>167.64</v>
      </c>
      <c r="J25" s="28"/>
      <c r="K25" s="28">
        <v>167.64</v>
      </c>
      <c r="M25" s="100"/>
    </row>
    <row r="26" spans="1:13" x14ac:dyDescent="0.25">
      <c r="A26" s="2">
        <v>19</v>
      </c>
      <c r="C26" s="99" t="s">
        <v>261</v>
      </c>
      <c r="D26" s="37"/>
      <c r="E26" s="28">
        <v>55.56324295455358</v>
      </c>
      <c r="F26" s="37"/>
      <c r="G26" s="28">
        <v>87.487780000000015</v>
      </c>
      <c r="H26" s="28">
        <v>81.862750000000005</v>
      </c>
      <c r="I26" s="28">
        <v>81.852720000000005</v>
      </c>
      <c r="J26" s="28"/>
      <c r="K26" s="28">
        <v>81.841440000000006</v>
      </c>
      <c r="M26" s="100"/>
    </row>
    <row r="27" spans="1:13" x14ac:dyDescent="0.25">
      <c r="A27" s="2">
        <v>20</v>
      </c>
      <c r="C27" s="99" t="s">
        <v>262</v>
      </c>
      <c r="E27" s="101">
        <f>E26/E25*100</f>
        <v>26.008370758932752</v>
      </c>
      <c r="G27" s="101">
        <f>G26/G25*100</f>
        <v>39.080704170949211</v>
      </c>
      <c r="H27" s="101">
        <f>H26/H25*100</f>
        <v>48.788813397699506</v>
      </c>
      <c r="I27" s="101">
        <f>I26/I25*100</f>
        <v>48.826485325697931</v>
      </c>
      <c r="J27" s="101"/>
      <c r="K27" s="101">
        <f>K26/K25*100</f>
        <v>48.819756621331436</v>
      </c>
      <c r="M27" s="100"/>
    </row>
    <row r="28" spans="1:13" x14ac:dyDescent="0.25">
      <c r="A28" s="2">
        <v>21</v>
      </c>
      <c r="C28" s="21" t="s">
        <v>266</v>
      </c>
      <c r="E28" s="28"/>
      <c r="G28" s="28"/>
      <c r="H28" s="28"/>
      <c r="I28" s="28"/>
      <c r="J28" s="2"/>
      <c r="K28" s="28"/>
      <c r="M28" s="98"/>
    </row>
    <row r="29" spans="1:13" x14ac:dyDescent="0.25">
      <c r="A29" s="2">
        <v>22</v>
      </c>
      <c r="C29" s="99" t="s">
        <v>259</v>
      </c>
      <c r="E29" s="28">
        <v>11.724</v>
      </c>
      <c r="G29" s="28">
        <v>11.24933</v>
      </c>
      <c r="H29" s="28">
        <v>10.071999999999999</v>
      </c>
      <c r="I29" s="28">
        <v>9.5640000000000001</v>
      </c>
      <c r="J29" s="28"/>
      <c r="K29" s="28">
        <v>9.8040000000000003</v>
      </c>
      <c r="M29" s="100"/>
    </row>
    <row r="30" spans="1:13" x14ac:dyDescent="0.25">
      <c r="A30" s="2">
        <v>23</v>
      </c>
      <c r="C30" s="99" t="s">
        <v>261</v>
      </c>
      <c r="E30" s="28">
        <v>2.632959421354049</v>
      </c>
      <c r="G30" s="28">
        <v>3.2859400000000005</v>
      </c>
      <c r="H30" s="28">
        <v>2.6859899999999999</v>
      </c>
      <c r="I30" s="28">
        <v>2.6885400000000002</v>
      </c>
      <c r="J30" s="28"/>
      <c r="K30" s="28">
        <v>2.6050800000000001</v>
      </c>
      <c r="M30" s="100"/>
    </row>
    <row r="31" spans="1:13" x14ac:dyDescent="0.25">
      <c r="A31" s="2">
        <v>24</v>
      </c>
      <c r="C31" s="99" t="s">
        <v>262</v>
      </c>
      <c r="E31" s="101">
        <f>E30/E29*100</f>
        <v>22.457859274599532</v>
      </c>
      <c r="G31" s="101">
        <f>G30/G29*100</f>
        <v>29.210095179001776</v>
      </c>
      <c r="H31" s="101">
        <f>H30/H29*100</f>
        <v>26.667891183478954</v>
      </c>
      <c r="I31" s="101">
        <f>I30/I29*100</f>
        <v>28.111041405269766</v>
      </c>
      <c r="J31" s="101"/>
      <c r="K31" s="101">
        <f>K30/K29*100</f>
        <v>26.57160342717258</v>
      </c>
      <c r="M31" s="100"/>
    </row>
    <row r="32" spans="1:13" x14ac:dyDescent="0.25">
      <c r="A32" s="2">
        <v>25</v>
      </c>
      <c r="C32" s="21" t="s">
        <v>267</v>
      </c>
      <c r="E32" s="28"/>
      <c r="G32" s="28"/>
      <c r="H32" s="28"/>
      <c r="I32" s="28"/>
      <c r="J32" s="2"/>
      <c r="K32" s="28"/>
      <c r="M32" s="104"/>
    </row>
    <row r="33" spans="1:13" x14ac:dyDescent="0.25">
      <c r="A33" s="2">
        <v>26</v>
      </c>
      <c r="C33" s="99" t="s">
        <v>258</v>
      </c>
      <c r="E33" s="105">
        <f t="shared" ref="E33:G33" si="0">E9+E15</f>
        <v>2124.6057985945199</v>
      </c>
      <c r="G33" s="204">
        <f t="shared" si="0"/>
        <v>2195.135416666667</v>
      </c>
      <c r="H33" s="204">
        <f t="shared" ref="H33:I33" si="1">H9+H15</f>
        <v>2247.4593333333332</v>
      </c>
      <c r="I33" s="204">
        <f t="shared" si="1"/>
        <v>2272.262962361111</v>
      </c>
      <c r="J33" s="28"/>
      <c r="K33" s="204">
        <f t="shared" ref="K33" si="2">K9+K15</f>
        <v>2293.3361112759262</v>
      </c>
      <c r="M33" s="100"/>
    </row>
    <row r="34" spans="1:13" x14ac:dyDescent="0.25">
      <c r="A34" s="2">
        <v>27</v>
      </c>
      <c r="C34" s="99" t="s">
        <v>259</v>
      </c>
      <c r="E34" s="105">
        <f t="shared" ref="E34:G34" si="3">E10+E16+E21+E25+E29</f>
        <v>71572.897341772841</v>
      </c>
      <c r="G34" s="204">
        <f t="shared" si="3"/>
        <v>79941.479370000001</v>
      </c>
      <c r="H34" s="204">
        <f t="shared" ref="H34:I34" si="4">H10+H16+H21+H25+H29</f>
        <v>71996.633199999982</v>
      </c>
      <c r="I34" s="204">
        <f t="shared" si="4"/>
        <v>114013.07263242354</v>
      </c>
      <c r="J34" s="28"/>
      <c r="K34" s="204">
        <f t="shared" ref="K34" si="5">K10+K16+K21+K25+K29</f>
        <v>151613.9776294909</v>
      </c>
      <c r="M34" s="100"/>
    </row>
    <row r="35" spans="1:13" x14ac:dyDescent="0.25">
      <c r="A35" s="2">
        <v>28</v>
      </c>
      <c r="C35" s="99" t="s">
        <v>261</v>
      </c>
      <c r="E35" s="105">
        <f t="shared" ref="E35" si="6">E12+E18+E22+E26+E30</f>
        <v>10080.674061953745</v>
      </c>
      <c r="G35" s="204">
        <f t="shared" ref="G35" si="7">G12+G18+G22+G26+G30</f>
        <v>11220.610289999999</v>
      </c>
      <c r="H35" s="204">
        <f t="shared" ref="H35:I35" si="8">H12+H18+H22+H26+H30</f>
        <v>10853.099213552001</v>
      </c>
      <c r="I35" s="204">
        <f t="shared" si="8"/>
        <v>15108.191323595749</v>
      </c>
      <c r="J35" s="28"/>
      <c r="K35" s="204">
        <f t="shared" ref="K35" si="9">K12+K18+K22+K26+K30</f>
        <v>19337.454566904071</v>
      </c>
      <c r="M35" s="100"/>
    </row>
    <row r="36" spans="1:13" x14ac:dyDescent="0.25">
      <c r="A36" s="2">
        <v>29</v>
      </c>
      <c r="C36" s="99" t="s">
        <v>262</v>
      </c>
      <c r="E36" s="127">
        <f t="shared" ref="E36" si="10">SUM(E35/E34)*100</f>
        <v>14.084485100298233</v>
      </c>
      <c r="G36" s="127">
        <f t="shared" ref="G36" si="11">SUM(G35/G34)*100</f>
        <v>14.036030329219562</v>
      </c>
      <c r="H36" s="127">
        <f t="shared" ref="H36:I36" si="12">SUM(H35/H34)*100</f>
        <v>15.074453805920474</v>
      </c>
      <c r="I36" s="127">
        <f t="shared" si="12"/>
        <v>13.251279853060652</v>
      </c>
      <c r="J36" s="102"/>
      <c r="K36" s="127">
        <f t="shared" ref="K36" si="13">SUM(K35/K34)*100</f>
        <v>12.754400926120605</v>
      </c>
      <c r="M36" s="100"/>
    </row>
    <row r="37" spans="1:13" x14ac:dyDescent="0.25">
      <c r="A37" s="2">
        <v>30</v>
      </c>
      <c r="C37" s="21" t="s">
        <v>268</v>
      </c>
      <c r="E37" s="28"/>
      <c r="G37" s="28"/>
      <c r="H37" s="28"/>
      <c r="I37" s="28"/>
      <c r="J37" s="2"/>
      <c r="K37" s="28"/>
      <c r="M37" s="98"/>
    </row>
    <row r="38" spans="1:13" x14ac:dyDescent="0.25">
      <c r="A38" s="2">
        <v>31</v>
      </c>
      <c r="C38" s="99" t="s">
        <v>259</v>
      </c>
      <c r="E38" s="28">
        <v>314700</v>
      </c>
      <c r="G38" s="28">
        <v>332270.26475999999</v>
      </c>
      <c r="H38" s="28">
        <v>331494.72499999998</v>
      </c>
      <c r="I38" s="28">
        <v>351774.54976409348</v>
      </c>
      <c r="J38" s="28"/>
      <c r="K38" s="28">
        <v>343537</v>
      </c>
      <c r="M38" s="100"/>
    </row>
    <row r="39" spans="1:13" x14ac:dyDescent="0.25">
      <c r="A39" s="2">
        <v>32</v>
      </c>
      <c r="C39" s="99" t="s">
        <v>261</v>
      </c>
      <c r="E39" s="28">
        <v>26113.806</v>
      </c>
      <c r="G39" s="28">
        <v>27571.786660000009</v>
      </c>
      <c r="H39" s="28">
        <v>27507.078784739999</v>
      </c>
      <c r="I39" s="28">
        <v>29190.252139424469</v>
      </c>
      <c r="J39" s="28"/>
      <c r="K39" s="28">
        <v>28506.700260000001</v>
      </c>
      <c r="M39" s="100"/>
    </row>
    <row r="40" spans="1:13" x14ac:dyDescent="0.25">
      <c r="A40" s="2">
        <v>33</v>
      </c>
      <c r="C40" s="99" t="s">
        <v>262</v>
      </c>
      <c r="E40" s="101">
        <f>E39/E38*100</f>
        <v>8.298</v>
      </c>
      <c r="G40" s="101">
        <f>G39/G38*100</f>
        <v>8.2980000271511543</v>
      </c>
      <c r="H40" s="101">
        <f>H39/H38*100</f>
        <v>8.2978933630814176</v>
      </c>
      <c r="I40" s="101">
        <f>I39/I38*100</f>
        <v>8.2979999999999965</v>
      </c>
      <c r="J40" s="101"/>
      <c r="K40" s="101">
        <f>K39/K38*100</f>
        <v>8.298</v>
      </c>
      <c r="M40" s="100"/>
    </row>
    <row r="41" spans="1:13" x14ac:dyDescent="0.25">
      <c r="A41" s="2">
        <v>34</v>
      </c>
      <c r="C41" s="21" t="s">
        <v>269</v>
      </c>
      <c r="E41" s="28"/>
      <c r="G41" s="28"/>
      <c r="H41" s="28"/>
      <c r="I41" s="28"/>
      <c r="J41" s="2"/>
      <c r="K41" s="28"/>
      <c r="M41" s="104"/>
    </row>
    <row r="42" spans="1:13" x14ac:dyDescent="0.25">
      <c r="A42" s="2">
        <v>35</v>
      </c>
      <c r="C42" s="99" t="s">
        <v>259</v>
      </c>
      <c r="E42" s="105">
        <f t="shared" ref="E42:G43" si="14">E34+E38</f>
        <v>386272.89734177286</v>
      </c>
      <c r="G42" s="204">
        <f t="shared" si="14"/>
        <v>412211.74413000001</v>
      </c>
      <c r="H42" s="204">
        <f t="shared" ref="H42:I42" si="15">H34+H38</f>
        <v>403491.35819999996</v>
      </c>
      <c r="I42" s="204">
        <f t="shared" si="15"/>
        <v>465787.62239651702</v>
      </c>
      <c r="J42" s="28"/>
      <c r="K42" s="204">
        <f t="shared" ref="K42:K43" si="16">K34+K38</f>
        <v>495150.9776294909</v>
      </c>
      <c r="M42" s="100"/>
    </row>
    <row r="43" spans="1:13" x14ac:dyDescent="0.25">
      <c r="A43" s="2">
        <v>36</v>
      </c>
      <c r="C43" s="99" t="s">
        <v>261</v>
      </c>
      <c r="E43" s="105">
        <f t="shared" si="14"/>
        <v>36194.480061953742</v>
      </c>
      <c r="G43" s="204">
        <f t="shared" ref="G43" si="17">G35+G39</f>
        <v>38792.396950000009</v>
      </c>
      <c r="H43" s="204">
        <f t="shared" ref="H43:I43" si="18">H35+H39</f>
        <v>38360.177998291998</v>
      </c>
      <c r="I43" s="204">
        <f t="shared" si="18"/>
        <v>44298.443463020216</v>
      </c>
      <c r="J43" s="28"/>
      <c r="K43" s="204">
        <f t="shared" si="16"/>
        <v>47844.154826904072</v>
      </c>
      <c r="M43" s="100"/>
    </row>
    <row r="44" spans="1:13" x14ac:dyDescent="0.25">
      <c r="A44" s="2">
        <v>37</v>
      </c>
      <c r="C44" s="99" t="s">
        <v>262</v>
      </c>
      <c r="E44" s="102">
        <f t="shared" ref="E44:G44" si="19">E43/E42*100</f>
        <v>9.3701836994090204</v>
      </c>
      <c r="G44" s="102">
        <f t="shared" si="19"/>
        <v>9.4107937249274443</v>
      </c>
      <c r="H44" s="102">
        <f t="shared" ref="H44:I44" si="20">H43/H42*100</f>
        <v>9.5070630928551072</v>
      </c>
      <c r="I44" s="102">
        <f t="shared" si="20"/>
        <v>9.5104380908837705</v>
      </c>
      <c r="J44" s="102"/>
      <c r="K44" s="102">
        <f t="shared" ref="K44" si="21">K43/K42*100</f>
        <v>9.6625386979856991</v>
      </c>
      <c r="M44" s="100"/>
    </row>
    <row r="45" spans="1:13" x14ac:dyDescent="0.25">
      <c r="A45" s="2">
        <v>38</v>
      </c>
      <c r="C45" s="21" t="s">
        <v>270</v>
      </c>
      <c r="E45" s="28"/>
      <c r="G45" s="28"/>
      <c r="H45" s="28"/>
      <c r="I45" s="28"/>
      <c r="J45" s="28"/>
      <c r="K45" s="28"/>
      <c r="M45" s="98"/>
    </row>
    <row r="46" spans="1:13" x14ac:dyDescent="0.25">
      <c r="A46" s="2">
        <v>39</v>
      </c>
      <c r="C46" s="99" t="s">
        <v>259</v>
      </c>
      <c r="E46" s="28">
        <v>2059.48</v>
      </c>
      <c r="G46" s="28">
        <v>257.95499999999998</v>
      </c>
      <c r="H46" s="28">
        <v>0.48</v>
      </c>
      <c r="I46" s="28">
        <v>0</v>
      </c>
      <c r="J46" s="28"/>
      <c r="K46" s="28">
        <v>0</v>
      </c>
      <c r="M46" s="100"/>
    </row>
    <row r="47" spans="1:13" x14ac:dyDescent="0.25">
      <c r="A47" s="2">
        <v>40</v>
      </c>
      <c r="C47" s="99" t="s">
        <v>261</v>
      </c>
      <c r="E47" s="28">
        <v>115.33088000000001</v>
      </c>
      <c r="G47" s="28">
        <v>19.622690000000002</v>
      </c>
      <c r="H47" s="28">
        <v>3.6480000000000005E-2</v>
      </c>
      <c r="I47" s="28">
        <v>0</v>
      </c>
      <c r="J47" s="28"/>
      <c r="K47" s="28">
        <v>0</v>
      </c>
      <c r="M47" s="100"/>
    </row>
    <row r="48" spans="1:13" x14ac:dyDescent="0.25">
      <c r="A48" s="2">
        <v>41</v>
      </c>
      <c r="C48" s="99" t="s">
        <v>262</v>
      </c>
      <c r="E48" s="102">
        <f t="shared" ref="E48:G48" si="22">E47/E46*100</f>
        <v>5.6000000000000005</v>
      </c>
      <c r="G48" s="102">
        <f t="shared" si="22"/>
        <v>7.6070206043689801</v>
      </c>
      <c r="H48" s="102">
        <f>IFERROR(H47/H46*100,0)</f>
        <v>7.6000000000000014</v>
      </c>
      <c r="I48" s="102">
        <f>IFERROR(I47/I46*100,0)</f>
        <v>0</v>
      </c>
      <c r="J48" s="101"/>
      <c r="K48" s="102">
        <f>IFERROR(K47/K46*100,0)</f>
        <v>0</v>
      </c>
      <c r="M48" s="100"/>
    </row>
    <row r="49" spans="1:14" x14ac:dyDescent="0.25">
      <c r="A49" s="2">
        <v>42</v>
      </c>
      <c r="C49" s="21" t="s">
        <v>271</v>
      </c>
      <c r="E49" s="28"/>
      <c r="G49" s="28"/>
      <c r="H49" s="28"/>
      <c r="I49" s="28"/>
      <c r="J49" s="2"/>
      <c r="K49" s="28"/>
      <c r="M49" s="98"/>
    </row>
    <row r="50" spans="1:14" x14ac:dyDescent="0.25">
      <c r="A50" s="2">
        <v>43</v>
      </c>
      <c r="C50" s="99" t="s">
        <v>259</v>
      </c>
      <c r="E50" s="28">
        <f t="shared" ref="E50:G50" si="23">E42+E46</f>
        <v>388332.37734177284</v>
      </c>
      <c r="G50" s="28">
        <f t="shared" si="23"/>
        <v>412469.69913000002</v>
      </c>
      <c r="H50" s="28">
        <f t="shared" ref="H50:I51" si="24">H42+H46</f>
        <v>403491.83819999994</v>
      </c>
      <c r="I50" s="28">
        <f t="shared" si="24"/>
        <v>465787.62239651702</v>
      </c>
      <c r="J50" s="28"/>
      <c r="K50" s="28">
        <f t="shared" ref="K50" si="25">K42+K46</f>
        <v>495150.9776294909</v>
      </c>
      <c r="M50" s="100"/>
    </row>
    <row r="51" spans="1:14" x14ac:dyDescent="0.25">
      <c r="A51" s="2">
        <v>44</v>
      </c>
      <c r="C51" s="99" t="s">
        <v>261</v>
      </c>
      <c r="E51" s="28">
        <f t="shared" ref="E51:G51" si="26">E43+E47</f>
        <v>36309.810941953743</v>
      </c>
      <c r="G51" s="28">
        <f t="shared" si="26"/>
        <v>38812.019640000006</v>
      </c>
      <c r="H51" s="28">
        <f t="shared" si="24"/>
        <v>38360.214478292</v>
      </c>
      <c r="I51" s="28">
        <f t="shared" si="24"/>
        <v>44298.443463020216</v>
      </c>
      <c r="J51" s="28"/>
      <c r="K51" s="28">
        <f t="shared" ref="K51" si="27">K43+K47</f>
        <v>47844.154826904072</v>
      </c>
      <c r="M51" s="100"/>
    </row>
    <row r="52" spans="1:14" x14ac:dyDescent="0.25">
      <c r="A52" s="2">
        <v>45</v>
      </c>
      <c r="C52" s="99" t="s">
        <v>262</v>
      </c>
      <c r="E52" s="102">
        <f t="shared" ref="E52:G52" si="28">E51/E50*100</f>
        <v>9.3501889259152193</v>
      </c>
      <c r="G52" s="102">
        <f t="shared" si="28"/>
        <v>9.4096656607416485</v>
      </c>
      <c r="H52" s="102">
        <f t="shared" ref="H52:I52" si="29">H51/H50*100</f>
        <v>9.5070608241839789</v>
      </c>
      <c r="I52" s="102">
        <f t="shared" si="29"/>
        <v>9.5104380908837705</v>
      </c>
      <c r="J52" s="102"/>
      <c r="K52" s="102">
        <f t="shared" ref="K52" si="30">K51/K50*100</f>
        <v>9.6625386979856991</v>
      </c>
      <c r="M52" s="100"/>
    </row>
    <row r="53" spans="1:14" x14ac:dyDescent="0.25">
      <c r="E53" s="28"/>
      <c r="G53" s="28"/>
      <c r="H53" s="28"/>
      <c r="I53" s="28"/>
      <c r="J53" s="103"/>
      <c r="K53" s="28"/>
    </row>
    <row r="54" spans="1:14" x14ac:dyDescent="0.25">
      <c r="A54" s="2">
        <v>46</v>
      </c>
      <c r="C54" s="106" t="s">
        <v>272</v>
      </c>
      <c r="E54" s="28">
        <v>13230.791882056994</v>
      </c>
      <c r="G54" s="28">
        <v>13328.94691037172</v>
      </c>
      <c r="H54" s="28">
        <v>13842.354589999999</v>
      </c>
      <c r="I54" s="28">
        <v>15289.315925823339</v>
      </c>
      <c r="J54" s="28"/>
      <c r="K54" s="28">
        <v>15886.683639088964</v>
      </c>
    </row>
    <row r="55" spans="1:14" x14ac:dyDescent="0.25">
      <c r="A55" s="2">
        <f>A54+1</f>
        <v>47</v>
      </c>
      <c r="C55" s="106" t="s">
        <v>273</v>
      </c>
      <c r="E55" s="28"/>
      <c r="G55" s="28"/>
      <c r="H55" s="28"/>
      <c r="I55" s="28"/>
      <c r="J55" s="28"/>
      <c r="K55" s="28"/>
    </row>
    <row r="56" spans="1:14" x14ac:dyDescent="0.25">
      <c r="A56" s="2">
        <f>A55+1</f>
        <v>48</v>
      </c>
      <c r="C56" s="106" t="s">
        <v>274</v>
      </c>
      <c r="E56" s="28"/>
      <c r="G56" s="28"/>
      <c r="H56" s="28"/>
      <c r="I56" s="28">
        <v>0</v>
      </c>
      <c r="J56" s="28"/>
      <c r="K56" s="28">
        <v>8778.7201925636327</v>
      </c>
    </row>
    <row r="57" spans="1:14" x14ac:dyDescent="0.25">
      <c r="E57" s="28"/>
      <c r="G57" s="28"/>
      <c r="H57" s="28"/>
      <c r="I57" s="28"/>
      <c r="J57" s="28"/>
      <c r="K57" s="28"/>
    </row>
    <row r="58" spans="1:14" ht="13" thickBot="1" x14ac:dyDescent="0.3">
      <c r="A58" s="2">
        <f>A56+1</f>
        <v>49</v>
      </c>
      <c r="C58" s="106" t="s">
        <v>275</v>
      </c>
      <c r="E58" s="107">
        <f t="shared" ref="E58:G58" si="31">E54+E51+E56</f>
        <v>49540.602824010741</v>
      </c>
      <c r="G58" s="107">
        <f t="shared" si="31"/>
        <v>52140.966550371726</v>
      </c>
      <c r="H58" s="107">
        <f>H54+H51+H56</f>
        <v>52202.569068291996</v>
      </c>
      <c r="I58" s="107">
        <f>I54+I51+I56</f>
        <v>59587.759388843551</v>
      </c>
      <c r="J58" s="107"/>
      <c r="K58" s="107">
        <f t="shared" ref="K58" si="32">K54+K51+K56</f>
        <v>72509.558658556663</v>
      </c>
      <c r="M58" s="28"/>
      <c r="N58" s="28"/>
    </row>
    <row r="59" spans="1:14" x14ac:dyDescent="0.25">
      <c r="C59" s="106"/>
      <c r="E59" s="28"/>
      <c r="G59" s="28"/>
      <c r="H59" s="28"/>
      <c r="I59" s="28"/>
      <c r="J59" s="28"/>
      <c r="K59" s="28"/>
    </row>
    <row r="60" spans="1:14" x14ac:dyDescent="0.25">
      <c r="A60" s="2">
        <f>A58+1</f>
        <v>50</v>
      </c>
      <c r="C60" s="106" t="s">
        <v>276</v>
      </c>
      <c r="E60" s="28">
        <v>253</v>
      </c>
      <c r="G60" s="28">
        <v>-81.788540000000012</v>
      </c>
      <c r="H60" s="28">
        <v>-900.64013999999986</v>
      </c>
      <c r="I60" s="28">
        <v>359.15622999999999</v>
      </c>
      <c r="J60" s="28"/>
      <c r="K60" s="28">
        <v>368.7</v>
      </c>
    </row>
    <row r="61" spans="1:14" x14ac:dyDescent="0.25">
      <c r="C61" s="106"/>
      <c r="E61" s="28"/>
      <c r="G61" s="28"/>
      <c r="H61" s="28"/>
      <c r="I61" s="28"/>
      <c r="J61" s="28"/>
      <c r="K61" s="28"/>
    </row>
    <row r="62" spans="1:14" x14ac:dyDescent="0.25">
      <c r="A62" s="2">
        <f>A60+1</f>
        <v>51</v>
      </c>
      <c r="C62" s="106" t="s">
        <v>277</v>
      </c>
      <c r="E62" s="28">
        <f t="shared" ref="E62" si="33">E58+E60</f>
        <v>49793.602824010741</v>
      </c>
      <c r="G62" s="28">
        <f t="shared" ref="G62" si="34">G58+G60</f>
        <v>52059.178010371725</v>
      </c>
      <c r="H62" s="28">
        <f t="shared" ref="H62:I62" si="35">H58+H60</f>
        <v>51301.928928291993</v>
      </c>
      <c r="I62" s="28">
        <f t="shared" si="35"/>
        <v>59946.915618843552</v>
      </c>
      <c r="J62" s="28"/>
      <c r="K62" s="28">
        <f t="shared" ref="K62" si="36">K58+K60</f>
        <v>72878.258658556661</v>
      </c>
      <c r="L62" s="28"/>
    </row>
    <row r="63" spans="1:14" x14ac:dyDescent="0.25">
      <c r="C63" s="106"/>
      <c r="E63" s="28"/>
      <c r="G63" s="28"/>
      <c r="H63" s="28"/>
      <c r="I63" s="28"/>
      <c r="J63" s="49"/>
    </row>
    <row r="64" spans="1:14" ht="14" x14ac:dyDescent="0.25">
      <c r="B64" s="108"/>
      <c r="C64" s="106"/>
      <c r="E64" s="28"/>
      <c r="G64" s="28"/>
      <c r="H64" s="28"/>
      <c r="I64" s="28"/>
      <c r="J64" s="49"/>
    </row>
    <row r="65" spans="2:15" x14ac:dyDescent="0.25">
      <c r="C65" s="93"/>
      <c r="D65" s="93"/>
      <c r="E65" s="93"/>
      <c r="F65" s="93"/>
      <c r="G65" s="93"/>
      <c r="H65" s="93"/>
      <c r="I65" s="93"/>
      <c r="J65" s="93"/>
    </row>
    <row r="66" spans="2:15" x14ac:dyDescent="0.25">
      <c r="C66" s="106"/>
      <c r="E66" s="28"/>
      <c r="G66" s="28"/>
      <c r="H66" s="28"/>
      <c r="I66" s="28"/>
      <c r="J66" s="49"/>
    </row>
    <row r="67" spans="2:15" x14ac:dyDescent="0.25">
      <c r="C67" s="106"/>
      <c r="E67" s="61"/>
      <c r="G67" s="61"/>
      <c r="H67" s="61"/>
      <c r="I67" s="61"/>
      <c r="J67" s="109"/>
    </row>
    <row r="68" spans="2:15" x14ac:dyDescent="0.25">
      <c r="C68" s="106"/>
      <c r="E68" s="61"/>
      <c r="G68" s="61"/>
      <c r="H68" s="61"/>
      <c r="I68" s="61"/>
      <c r="J68" s="109"/>
    </row>
    <row r="69" spans="2:15" x14ac:dyDescent="0.25">
      <c r="C69" s="106"/>
      <c r="E69" s="61"/>
      <c r="G69" s="61"/>
      <c r="H69" s="61"/>
      <c r="I69" s="61"/>
      <c r="J69" s="109"/>
    </row>
    <row r="70" spans="2:15" x14ac:dyDescent="0.25">
      <c r="C70" s="106"/>
      <c r="E70" s="61"/>
      <c r="G70" s="61"/>
      <c r="H70" s="61"/>
      <c r="I70" s="61"/>
      <c r="J70" s="109"/>
    </row>
    <row r="71" spans="2:15" x14ac:dyDescent="0.25">
      <c r="C71" s="106"/>
      <c r="E71" s="61"/>
      <c r="G71" s="61"/>
      <c r="H71" s="61"/>
      <c r="I71" s="61"/>
      <c r="J71" s="109"/>
    </row>
    <row r="72" spans="2:15" x14ac:dyDescent="0.25">
      <c r="C72" s="106"/>
      <c r="E72" s="61"/>
      <c r="G72" s="61"/>
      <c r="H72" s="61"/>
      <c r="I72" s="61"/>
      <c r="J72" s="109"/>
    </row>
    <row r="73" spans="2:15" x14ac:dyDescent="0.25">
      <c r="C73" s="106"/>
      <c r="E73" s="61"/>
      <c r="G73" s="61"/>
      <c r="H73" s="61"/>
      <c r="I73" s="61"/>
      <c r="J73" s="109"/>
    </row>
    <row r="74" spans="2:15" x14ac:dyDescent="0.25">
      <c r="C74" s="106"/>
      <c r="E74" s="61"/>
      <c r="G74" s="61"/>
      <c r="H74" s="61"/>
      <c r="I74" s="61"/>
      <c r="J74" s="109"/>
    </row>
    <row r="75" spans="2:15" x14ac:dyDescent="0.25">
      <c r="C75" s="106"/>
      <c r="E75" s="109"/>
      <c r="G75" s="109"/>
      <c r="H75" s="109"/>
      <c r="I75" s="109"/>
      <c r="J75" s="109"/>
      <c r="K75" s="14"/>
      <c r="L75" s="14"/>
      <c r="M75" s="14"/>
      <c r="N75" s="14"/>
      <c r="O75" s="14"/>
    </row>
    <row r="76" spans="2:15" x14ac:dyDescent="0.25">
      <c r="C76" s="106"/>
      <c r="E76" s="109"/>
      <c r="G76" s="109"/>
      <c r="H76" s="109"/>
      <c r="I76" s="109"/>
      <c r="J76" s="109"/>
      <c r="K76" s="14"/>
      <c r="L76" s="14"/>
      <c r="M76" s="14"/>
      <c r="N76" s="14"/>
      <c r="O76" s="14"/>
    </row>
    <row r="77" spans="2:15" x14ac:dyDescent="0.25">
      <c r="B77" s="21"/>
      <c r="C77" s="106"/>
      <c r="E77" s="110"/>
      <c r="G77" s="110"/>
      <c r="H77" s="110"/>
      <c r="I77" s="110"/>
      <c r="J77" s="110"/>
      <c r="K77" s="14"/>
      <c r="L77" s="14"/>
      <c r="M77" s="14"/>
      <c r="N77" s="14"/>
      <c r="O77" s="14"/>
    </row>
    <row r="78" spans="2:15" x14ac:dyDescent="0.25">
      <c r="C78" s="106"/>
      <c r="E78" s="49"/>
      <c r="G78" s="49"/>
      <c r="H78" s="49"/>
      <c r="I78" s="49"/>
      <c r="J78" s="49"/>
      <c r="K78" s="14"/>
      <c r="L78" s="14"/>
      <c r="M78" s="14"/>
      <c r="N78" s="14"/>
      <c r="O78" s="14"/>
    </row>
    <row r="79" spans="2:15" x14ac:dyDescent="0.25">
      <c r="E79" s="49"/>
      <c r="G79" s="49"/>
      <c r="H79" s="49"/>
      <c r="I79" s="49"/>
      <c r="J79" s="49"/>
      <c r="K79" s="14"/>
      <c r="L79" s="14"/>
      <c r="M79" s="14"/>
      <c r="N79" s="14"/>
      <c r="O79" s="14"/>
    </row>
    <row r="80" spans="2:15" x14ac:dyDescent="0.25">
      <c r="C80" s="106"/>
      <c r="E80" s="49"/>
      <c r="G80" s="49"/>
      <c r="H80" s="49"/>
      <c r="I80" s="49"/>
      <c r="J80" s="49"/>
      <c r="K80" s="14"/>
      <c r="L80" s="14"/>
      <c r="M80" s="14"/>
      <c r="N80" s="14"/>
      <c r="O80" s="14"/>
    </row>
    <row r="81" spans="3:15" x14ac:dyDescent="0.25">
      <c r="C81" s="106"/>
      <c r="E81" s="49"/>
      <c r="G81" s="49"/>
      <c r="H81" s="49"/>
      <c r="I81" s="49"/>
      <c r="J81" s="49"/>
      <c r="K81" s="14"/>
      <c r="L81" s="14"/>
      <c r="M81" s="14"/>
      <c r="N81" s="14"/>
      <c r="O81" s="14"/>
    </row>
    <row r="82" spans="3:15" x14ac:dyDescent="0.25">
      <c r="E82" s="14"/>
      <c r="G82" s="14"/>
      <c r="H82" s="14"/>
      <c r="I82" s="14"/>
      <c r="K82" s="14"/>
      <c r="L82" s="14"/>
      <c r="M82" s="14"/>
      <c r="N82" s="14"/>
      <c r="O82" s="14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3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9">
    <tabColor theme="9" tint="0.39997558519241921"/>
    <pageSetUpPr fitToPage="1"/>
  </sheetPr>
  <dimension ref="A1:M49"/>
  <sheetViews>
    <sheetView showGridLines="0" view="pageBreakPreview" zoomScaleSheetLayoutView="100" workbookViewId="0">
      <pane xSplit="3" topLeftCell="D1" activePane="topRight" state="frozen"/>
      <selection activeCell="H15" sqref="H15"/>
      <selection pane="topRight" activeCell="L6" sqref="L6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27.453125" style="2" customWidth="1"/>
    <col min="4" max="4" width="1.81640625" style="2" customWidth="1"/>
    <col min="5" max="5" width="9.1796875" style="13"/>
    <col min="6" max="6" width="1.81640625" style="2" customWidth="1"/>
    <col min="7" max="7" width="11.81640625" style="2" customWidth="1"/>
    <col min="8" max="8" width="1.81640625" style="2" customWidth="1"/>
    <col min="9" max="11" width="11.26953125" style="2" customWidth="1"/>
    <col min="12" max="12" width="1.7265625" style="14" customWidth="1"/>
    <col min="13" max="13" width="13.1796875" style="2" customWidth="1"/>
    <col min="14" max="16384" width="9.1796875" style="2"/>
  </cols>
  <sheetData>
    <row r="1" spans="1:13" ht="15" x14ac:dyDescent="0.3">
      <c r="A1" s="12" t="s">
        <v>0</v>
      </c>
      <c r="G1" s="111"/>
      <c r="I1" s="111"/>
      <c r="L1" s="95"/>
      <c r="M1" s="10" t="s">
        <v>278</v>
      </c>
    </row>
    <row r="2" spans="1:13" x14ac:dyDescent="0.25">
      <c r="A2" s="15" t="s">
        <v>279</v>
      </c>
      <c r="G2" s="39"/>
      <c r="I2" s="39"/>
      <c r="L2" s="17"/>
      <c r="M2" s="16" t="str">
        <f>Index!F2</f>
        <v>April 14, 2022</v>
      </c>
    </row>
    <row r="3" spans="1:13" x14ac:dyDescent="0.25">
      <c r="A3" s="15" t="s">
        <v>8</v>
      </c>
      <c r="G3" s="39"/>
      <c r="I3" s="39"/>
      <c r="J3" s="14"/>
      <c r="K3" s="14"/>
      <c r="L3" s="17"/>
    </row>
    <row r="6" spans="1:13" s="13" customFormat="1" ht="13.5" customHeight="1" x14ac:dyDescent="0.25">
      <c r="G6" s="17"/>
      <c r="I6" s="17"/>
      <c r="J6" s="17"/>
      <c r="K6" s="207"/>
      <c r="L6" s="205"/>
      <c r="M6" s="207"/>
    </row>
    <row r="7" spans="1:13" s="19" customFormat="1" ht="25" x14ac:dyDescent="0.25">
      <c r="A7" s="18" t="s">
        <v>9</v>
      </c>
      <c r="C7" s="18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</row>
    <row r="9" spans="1:13" x14ac:dyDescent="0.25">
      <c r="A9" s="2">
        <v>1</v>
      </c>
      <c r="C9" s="21" t="s">
        <v>280</v>
      </c>
    </row>
    <row r="10" spans="1:13" x14ac:dyDescent="0.25">
      <c r="A10" s="2">
        <v>2</v>
      </c>
      <c r="C10" s="112" t="s">
        <v>281</v>
      </c>
      <c r="G10" s="28">
        <v>5929.7446340374845</v>
      </c>
      <c r="I10" s="28">
        <v>7754.8343999999997</v>
      </c>
      <c r="J10" s="28">
        <v>8401.9000300000007</v>
      </c>
      <c r="K10" s="28">
        <v>9871.2197977595788</v>
      </c>
      <c r="L10" s="28"/>
      <c r="M10" s="28">
        <v>10437.63217051707</v>
      </c>
    </row>
    <row r="11" spans="1:13" x14ac:dyDescent="0.25">
      <c r="A11" s="2">
        <v>3</v>
      </c>
      <c r="C11" s="112" t="s">
        <v>282</v>
      </c>
      <c r="G11" s="28">
        <v>3444.5274438309857</v>
      </c>
      <c r="I11" s="28">
        <v>2834.80141</v>
      </c>
      <c r="J11" s="28">
        <v>2766.7068899999999</v>
      </c>
      <c r="K11" s="28">
        <v>3215.3178958174776</v>
      </c>
      <c r="L11" s="28"/>
      <c r="M11" s="28">
        <v>3188.3012624868352</v>
      </c>
    </row>
    <row r="12" spans="1:13" x14ac:dyDescent="0.25">
      <c r="A12" s="2">
        <v>4</v>
      </c>
      <c r="C12" s="112" t="s">
        <v>283</v>
      </c>
      <c r="G12" s="28">
        <v>1614.9398830970731</v>
      </c>
      <c r="I12" s="28">
        <v>1746.1177400000001</v>
      </c>
      <c r="J12" s="28">
        <v>1921.1755600000001</v>
      </c>
      <c r="K12" s="28">
        <v>1695.0813669228905</v>
      </c>
      <c r="L12" s="28"/>
      <c r="M12" s="28">
        <v>1763.0547109749496</v>
      </c>
    </row>
    <row r="13" spans="1:13" x14ac:dyDescent="0.25">
      <c r="A13" s="2">
        <v>5</v>
      </c>
      <c r="C13" s="112" t="s">
        <v>284</v>
      </c>
      <c r="G13" s="28">
        <v>8917.062041097266</v>
      </c>
      <c r="I13" s="28">
        <v>8965.5916899999993</v>
      </c>
      <c r="J13" s="28">
        <v>9200.8367600000001</v>
      </c>
      <c r="K13" s="28">
        <v>9603.4646299074775</v>
      </c>
      <c r="L13" s="28"/>
      <c r="M13" s="28">
        <v>10397.142985764098</v>
      </c>
    </row>
    <row r="14" spans="1:13" x14ac:dyDescent="0.25">
      <c r="A14" s="2">
        <v>6</v>
      </c>
      <c r="C14" s="112" t="s">
        <v>285</v>
      </c>
      <c r="G14" s="28">
        <v>1031.4720000000002</v>
      </c>
      <c r="I14" s="28">
        <v>1045.8883766666665</v>
      </c>
      <c r="J14" s="28">
        <v>1116.6159299999999</v>
      </c>
      <c r="K14" s="28">
        <v>1299.4091266666667</v>
      </c>
      <c r="L14" s="28"/>
      <c r="M14" s="28">
        <v>1423.1366550000002</v>
      </c>
    </row>
    <row r="15" spans="1:13" x14ac:dyDescent="0.25">
      <c r="A15" s="2">
        <v>7</v>
      </c>
      <c r="C15" s="112" t="s">
        <v>286</v>
      </c>
      <c r="G15" s="128">
        <f>SUM(G10:G14)</f>
        <v>20937.746002062813</v>
      </c>
      <c r="I15" s="128">
        <f>SUM(I10:I14)</f>
        <v>22347.233616666665</v>
      </c>
      <c r="J15" s="128">
        <f>SUM(J10:J14)</f>
        <v>23407.23517</v>
      </c>
      <c r="K15" s="128">
        <f>SUM(K10:K14)</f>
        <v>25684.49281707409</v>
      </c>
      <c r="L15" s="28"/>
      <c r="M15" s="128">
        <f>SUM(M10:M14)</f>
        <v>27209.267784742951</v>
      </c>
    </row>
    <row r="16" spans="1:13" x14ac:dyDescent="0.25">
      <c r="C16" s="112"/>
      <c r="G16" s="14"/>
      <c r="I16" s="14"/>
      <c r="J16" s="14"/>
      <c r="K16" s="14"/>
      <c r="M16" s="14"/>
    </row>
    <row r="17" spans="1:13" x14ac:dyDescent="0.25">
      <c r="A17" s="2">
        <v>8</v>
      </c>
      <c r="C17" s="112" t="s">
        <v>203</v>
      </c>
      <c r="G17" s="50">
        <f>-'Schedule 5'!G23</f>
        <v>99.999999999999957</v>
      </c>
      <c r="I17" s="50">
        <f>-'Schedule 5'!I23</f>
        <v>99.349270000000004</v>
      </c>
      <c r="J17" s="50">
        <f>-'Schedule 5'!J23</f>
        <v>166.39563000000001</v>
      </c>
      <c r="K17" s="50">
        <f>-'Schedule 5'!K23</f>
        <v>94.999999999999901</v>
      </c>
      <c r="L17" s="50"/>
      <c r="M17" s="50">
        <f>-'Schedule 5'!M23</f>
        <v>120.00024999999994</v>
      </c>
    </row>
    <row r="18" spans="1:13" x14ac:dyDescent="0.25">
      <c r="C18" s="112"/>
      <c r="G18" s="14"/>
      <c r="I18" s="14"/>
      <c r="J18" s="14"/>
      <c r="K18" s="14"/>
      <c r="M18" s="14"/>
    </row>
    <row r="19" spans="1:13" x14ac:dyDescent="0.25">
      <c r="A19" s="2">
        <v>9</v>
      </c>
      <c r="C19" s="112" t="s">
        <v>286</v>
      </c>
      <c r="G19" s="128">
        <f>SUM(G17:G17)</f>
        <v>99.999999999999957</v>
      </c>
      <c r="I19" s="128">
        <f>SUM(I17:I17)</f>
        <v>99.349270000000004</v>
      </c>
      <c r="J19" s="128">
        <f>SUM(J17:J17)</f>
        <v>166.39563000000001</v>
      </c>
      <c r="K19" s="128">
        <f>SUM(K17:K17)</f>
        <v>94.999999999999901</v>
      </c>
      <c r="L19" s="49"/>
      <c r="M19" s="128">
        <f t="shared" ref="M19" si="0">SUM(M17:M17)</f>
        <v>120.00024999999994</v>
      </c>
    </row>
    <row r="20" spans="1:13" x14ac:dyDescent="0.25">
      <c r="C20" s="112"/>
      <c r="G20" s="14"/>
      <c r="I20" s="14"/>
      <c r="J20" s="14"/>
      <c r="K20" s="14"/>
      <c r="M20" s="14"/>
    </row>
    <row r="21" spans="1:13" x14ac:dyDescent="0.25">
      <c r="A21" s="2">
        <v>10</v>
      </c>
      <c r="C21" s="112" t="s">
        <v>287</v>
      </c>
      <c r="G21" s="14"/>
      <c r="I21" s="14"/>
      <c r="J21" s="14"/>
      <c r="K21" s="14"/>
      <c r="M21" s="14"/>
    </row>
    <row r="22" spans="1:13" ht="13" thickBot="1" x14ac:dyDescent="0.3">
      <c r="A22" s="2">
        <v>11</v>
      </c>
      <c r="C22" s="112" t="s">
        <v>288</v>
      </c>
      <c r="G22" s="62">
        <f>SUM(G15+G19)</f>
        <v>21037.746002062813</v>
      </c>
      <c r="I22" s="62">
        <f>SUM(I15+I19)</f>
        <v>22446.582886666663</v>
      </c>
      <c r="J22" s="62">
        <f>SUM(J15+J19)</f>
        <v>23573.630799999999</v>
      </c>
      <c r="K22" s="62">
        <f>SUM(K15+K19)</f>
        <v>25779.49281707409</v>
      </c>
      <c r="L22" s="49"/>
      <c r="M22" s="62">
        <f t="shared" ref="M22" si="1">SUM(M15+M19)</f>
        <v>27329.268034742952</v>
      </c>
    </row>
    <row r="23" spans="1:13" x14ac:dyDescent="0.25">
      <c r="G23" s="14"/>
      <c r="I23" s="14"/>
      <c r="J23" s="14"/>
      <c r="K23" s="14"/>
      <c r="M23" s="14"/>
    </row>
    <row r="24" spans="1:13" x14ac:dyDescent="0.25">
      <c r="A24" s="2">
        <v>12</v>
      </c>
      <c r="C24" s="2" t="s">
        <v>289</v>
      </c>
      <c r="G24" s="50">
        <v>2637.9343046544213</v>
      </c>
      <c r="I24" s="50">
        <v>5295.0177397474072</v>
      </c>
      <c r="J24" s="50">
        <v>6153.0471211929571</v>
      </c>
      <c r="K24" s="50">
        <v>11836.199072006337</v>
      </c>
      <c r="L24" s="50"/>
      <c r="M24" s="50">
        <v>15828.780301979994</v>
      </c>
    </row>
    <row r="25" spans="1:13" x14ac:dyDescent="0.25">
      <c r="A25" s="2">
        <v>13</v>
      </c>
      <c r="C25" s="2" t="s">
        <v>290</v>
      </c>
      <c r="G25" s="50">
        <v>39.175874811781597</v>
      </c>
      <c r="I25" s="50">
        <v>52.846820000000001</v>
      </c>
      <c r="J25" s="50">
        <v>57.46367</v>
      </c>
      <c r="K25" s="50">
        <v>60.142972022943795</v>
      </c>
      <c r="L25" s="50"/>
      <c r="M25" s="50">
        <v>53.28989052691356</v>
      </c>
    </row>
    <row r="26" spans="1:13" x14ac:dyDescent="0.25">
      <c r="A26" s="2">
        <v>14</v>
      </c>
      <c r="C26" s="2" t="s">
        <v>286</v>
      </c>
      <c r="G26" s="128">
        <f>SUM(G24:G25)</f>
        <v>2677.1101794662031</v>
      </c>
      <c r="I26" s="128">
        <f>SUM(I24:I25)</f>
        <v>5347.8645597474069</v>
      </c>
      <c r="J26" s="128">
        <f>SUM(J24:J25)</f>
        <v>6210.5107911929572</v>
      </c>
      <c r="K26" s="128">
        <f>SUM(K24:K25)</f>
        <v>11896.342044029281</v>
      </c>
      <c r="L26" s="49"/>
      <c r="M26" s="128">
        <f t="shared" ref="M26" si="2">SUM(M24:M25)</f>
        <v>15882.070192506908</v>
      </c>
    </row>
    <row r="27" spans="1:13" x14ac:dyDescent="0.25">
      <c r="G27" s="14"/>
      <c r="I27" s="14"/>
      <c r="J27" s="14"/>
      <c r="K27" s="14"/>
      <c r="M27" s="14"/>
    </row>
    <row r="28" spans="1:13" ht="13" thickBot="1" x14ac:dyDescent="0.3">
      <c r="A28" s="2">
        <v>15</v>
      </c>
      <c r="C28" s="2" t="s">
        <v>291</v>
      </c>
      <c r="E28" s="13" t="s">
        <v>195</v>
      </c>
      <c r="G28" s="62">
        <f>SUM(G15+G19+G26)</f>
        <v>23714.856181529016</v>
      </c>
      <c r="I28" s="62">
        <f>SUM(I15+I19+I26)</f>
        <v>27794.447446414069</v>
      </c>
      <c r="J28" s="62">
        <f>SUM(J15+J19+J26)</f>
        <v>29784.141591192958</v>
      </c>
      <c r="K28" s="62">
        <f>SUM(K15+K19+K26)</f>
        <v>37675.834861103373</v>
      </c>
      <c r="L28" s="49"/>
      <c r="M28" s="62">
        <f t="shared" ref="M28" si="3">SUM(M15+M19+M26)</f>
        <v>43211.338227249857</v>
      </c>
    </row>
    <row r="29" spans="1:13" x14ac:dyDescent="0.25">
      <c r="G29" s="49"/>
      <c r="I29" s="49"/>
      <c r="J29" s="49"/>
      <c r="K29" s="49"/>
      <c r="L29" s="49"/>
      <c r="M29" s="49"/>
    </row>
    <row r="30" spans="1:13" s="47" customFormat="1" x14ac:dyDescent="0.25">
      <c r="C30" s="78" t="s">
        <v>292</v>
      </c>
      <c r="E30" s="51"/>
      <c r="G30" s="113"/>
      <c r="I30" s="113"/>
      <c r="J30" s="113"/>
      <c r="K30" s="113"/>
      <c r="L30" s="113"/>
      <c r="M30" s="113"/>
    </row>
    <row r="31" spans="1:13" s="47" customFormat="1" x14ac:dyDescent="0.25">
      <c r="A31" s="47">
        <v>16</v>
      </c>
      <c r="C31" s="47" t="s">
        <v>87</v>
      </c>
      <c r="E31" s="51"/>
      <c r="G31" s="113">
        <f>'Schedule 6'!G15</f>
        <v>478.93700000000001</v>
      </c>
      <c r="I31" s="113">
        <f>'Schedule 6'!I15</f>
        <v>478.93700000000001</v>
      </c>
      <c r="J31" s="113">
        <f>'Schedule 6'!J15</f>
        <v>478.93700000000001</v>
      </c>
      <c r="K31" s="113">
        <f>'Schedule 6'!K15</f>
        <v>478.93700000000001</v>
      </c>
      <c r="L31" s="113"/>
      <c r="M31" s="113">
        <f>'Schedule 6'!M15</f>
        <v>615.80918399999985</v>
      </c>
    </row>
    <row r="32" spans="1:13" s="47" customFormat="1" x14ac:dyDescent="0.25">
      <c r="A32" s="47">
        <v>17</v>
      </c>
      <c r="C32" s="47" t="s">
        <v>293</v>
      </c>
      <c r="E32" s="51"/>
      <c r="G32" s="114">
        <f>'Schedule 6'!G13</f>
        <v>708.13965357545919</v>
      </c>
      <c r="I32" s="114">
        <f>'Schedule 6'!I13</f>
        <v>670.86845243333323</v>
      </c>
      <c r="J32" s="114">
        <f>'Schedule 6'!J13</f>
        <v>672.54982999999982</v>
      </c>
      <c r="K32" s="114">
        <f>'Schedule 6'!K13</f>
        <v>739.45727411666655</v>
      </c>
      <c r="L32" s="52"/>
      <c r="M32" s="114">
        <f>'Schedule 6'!M13</f>
        <v>749.75450131960019</v>
      </c>
    </row>
    <row r="33" spans="1:13" s="47" customFormat="1" x14ac:dyDescent="0.25">
      <c r="A33" s="47">
        <v>18</v>
      </c>
      <c r="C33" s="47" t="s">
        <v>294</v>
      </c>
      <c r="E33" s="51"/>
      <c r="G33" s="129">
        <f>-G17</f>
        <v>-99.999999999999957</v>
      </c>
      <c r="I33" s="129">
        <f>-I17</f>
        <v>-99.349270000000004</v>
      </c>
      <c r="J33" s="129">
        <f>-J17</f>
        <v>-166.39563000000001</v>
      </c>
      <c r="K33" s="129">
        <f>-K17</f>
        <v>-94.999999999999901</v>
      </c>
      <c r="L33" s="115"/>
      <c r="M33" s="129">
        <f t="shared" ref="M33" si="4">-M17</f>
        <v>-120.00024999999994</v>
      </c>
    </row>
    <row r="34" spans="1:13" s="47" customFormat="1" x14ac:dyDescent="0.25">
      <c r="E34" s="51"/>
      <c r="G34" s="113"/>
      <c r="I34" s="113"/>
      <c r="J34" s="113"/>
      <c r="K34" s="113"/>
      <c r="L34" s="113"/>
      <c r="M34" s="113"/>
    </row>
    <row r="35" spans="1:13" s="47" customFormat="1" x14ac:dyDescent="0.25">
      <c r="A35" s="47">
        <v>19</v>
      </c>
      <c r="C35" s="47" t="s">
        <v>295</v>
      </c>
      <c r="E35" s="51"/>
      <c r="G35" s="113">
        <f>G22+G33+G32+G31</f>
        <v>22124.822655638272</v>
      </c>
      <c r="I35" s="113">
        <f>I22+I33+I32+I31</f>
        <v>23497.039069099999</v>
      </c>
      <c r="J35" s="113">
        <f>J22+J33+J32+J31</f>
        <v>24558.722000000002</v>
      </c>
      <c r="K35" s="113">
        <f>K22+K33+K32+K31</f>
        <v>26902.887091190758</v>
      </c>
      <c r="L35" s="113"/>
      <c r="M35" s="113">
        <f t="shared" ref="M35" si="5">M22+M33+M32+M31</f>
        <v>28574.831470062552</v>
      </c>
    </row>
    <row r="36" spans="1:13" x14ac:dyDescent="0.25">
      <c r="G36" s="49"/>
      <c r="I36" s="49"/>
      <c r="J36" s="49"/>
      <c r="K36" s="49"/>
      <c r="L36" s="49"/>
    </row>
    <row r="37" spans="1:13" x14ac:dyDescent="0.25">
      <c r="G37" s="49"/>
      <c r="I37" s="49"/>
      <c r="J37" s="49"/>
      <c r="K37" s="49"/>
      <c r="L37" s="49"/>
    </row>
    <row r="38" spans="1:13" ht="18.75" customHeight="1" x14ac:dyDescent="0.25">
      <c r="A38" s="76"/>
      <c r="C38" s="181"/>
      <c r="D38" s="181"/>
      <c r="E38" s="181"/>
      <c r="F38" s="181"/>
      <c r="G38" s="181"/>
      <c r="H38" s="181"/>
      <c r="I38" s="181"/>
      <c r="J38" s="202"/>
      <c r="K38" s="181"/>
      <c r="L38" s="181"/>
    </row>
    <row r="39" spans="1:13" ht="18.75" customHeight="1" x14ac:dyDescent="0.25">
      <c r="A39" s="76"/>
      <c r="C39" s="181"/>
      <c r="D39" s="181"/>
      <c r="E39" s="181"/>
      <c r="F39" s="181"/>
      <c r="G39" s="181"/>
      <c r="H39" s="181"/>
      <c r="I39" s="181"/>
      <c r="J39" s="202"/>
      <c r="K39" s="181"/>
      <c r="L39" s="181"/>
    </row>
    <row r="40" spans="1:13" x14ac:dyDescent="0.25">
      <c r="G40" s="48"/>
      <c r="I40" s="48"/>
      <c r="J40" s="48"/>
      <c r="K40" s="48"/>
      <c r="L40" s="48"/>
    </row>
    <row r="43" spans="1:13" x14ac:dyDescent="0.25">
      <c r="G43" s="116"/>
      <c r="I43" s="116"/>
      <c r="J43" s="116"/>
      <c r="K43" s="116"/>
      <c r="L43" s="116"/>
    </row>
    <row r="45" spans="1:13" x14ac:dyDescent="0.25">
      <c r="G45" s="117"/>
      <c r="I45" s="117"/>
      <c r="J45" s="117"/>
      <c r="K45" s="117"/>
      <c r="L45" s="117"/>
    </row>
    <row r="47" spans="1:13" x14ac:dyDescent="0.25">
      <c r="G47" s="81"/>
      <c r="I47" s="81"/>
      <c r="J47" s="81"/>
      <c r="K47" s="81"/>
      <c r="L47" s="81"/>
    </row>
    <row r="49" spans="7:12" x14ac:dyDescent="0.25">
      <c r="G49" s="117"/>
      <c r="I49" s="117"/>
      <c r="J49" s="117"/>
      <c r="K49" s="117"/>
      <c r="L49" s="117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  <pageSetUpPr fitToPage="1"/>
  </sheetPr>
  <dimension ref="A1:M44"/>
  <sheetViews>
    <sheetView showGridLines="0" view="pageBreakPreview" zoomScaleSheetLayoutView="100" workbookViewId="0">
      <selection activeCell="L6" sqref="L6"/>
    </sheetView>
  </sheetViews>
  <sheetFormatPr defaultColWidth="9.1796875" defaultRowHeight="12.5" x14ac:dyDescent="0.25"/>
  <cols>
    <col min="1" max="1" width="5.26953125" style="131" customWidth="1"/>
    <col min="2" max="2" width="1.81640625" style="131" customWidth="1"/>
    <col min="3" max="3" width="22.54296875" style="131" customWidth="1"/>
    <col min="4" max="4" width="1.81640625" style="131" customWidth="1"/>
    <col min="5" max="5" width="14.7265625" style="132" bestFit="1" customWidth="1"/>
    <col min="6" max="6" width="1.81640625" style="131" customWidth="1"/>
    <col min="7" max="7" width="11.7265625" style="131" customWidth="1"/>
    <col min="8" max="8" width="1.81640625" style="131" customWidth="1"/>
    <col min="9" max="11" width="11.26953125" style="131" customWidth="1"/>
    <col min="12" max="12" width="1.7265625" style="135" customWidth="1"/>
    <col min="13" max="13" width="12.453125" style="131" customWidth="1"/>
    <col min="14" max="16384" width="9.1796875" style="131"/>
  </cols>
  <sheetData>
    <row r="1" spans="1:13" ht="15" x14ac:dyDescent="0.3">
      <c r="A1" s="130" t="s">
        <v>0</v>
      </c>
      <c r="G1" s="133"/>
      <c r="I1" s="133"/>
      <c r="L1" s="134"/>
      <c r="M1" s="136" t="s">
        <v>296</v>
      </c>
    </row>
    <row r="2" spans="1:13" x14ac:dyDescent="0.25">
      <c r="A2" s="137" t="s">
        <v>297</v>
      </c>
      <c r="G2" s="138"/>
      <c r="I2" s="138"/>
      <c r="L2" s="139"/>
      <c r="M2" s="140" t="str">
        <f>Index!F2</f>
        <v>April 14, 2022</v>
      </c>
    </row>
    <row r="3" spans="1:13" x14ac:dyDescent="0.25">
      <c r="A3" s="137" t="s">
        <v>8</v>
      </c>
      <c r="G3" s="138"/>
      <c r="I3" s="138"/>
      <c r="J3" s="135"/>
      <c r="K3" s="135"/>
      <c r="L3" s="139"/>
    </row>
    <row r="6" spans="1:13" s="132" customFormat="1" ht="13.5" customHeight="1" x14ac:dyDescent="0.25">
      <c r="G6" s="139"/>
      <c r="I6" s="139"/>
      <c r="J6" s="17"/>
      <c r="K6" s="208"/>
      <c r="L6" s="206"/>
      <c r="M6" s="208"/>
    </row>
    <row r="7" spans="1:13" s="142" customFormat="1" ht="25" x14ac:dyDescent="0.25">
      <c r="A7" s="141" t="s">
        <v>9</v>
      </c>
      <c r="C7" s="141" t="s">
        <v>10</v>
      </c>
      <c r="E7" s="141" t="s">
        <v>11</v>
      </c>
      <c r="G7" s="141" t="s">
        <v>12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143"/>
      <c r="M7" s="18" t="str">
        <f>'Schedule 1'!M7</f>
        <v>2021 GRA
Compliance</v>
      </c>
    </row>
    <row r="9" spans="1:13" x14ac:dyDescent="0.25">
      <c r="A9" s="131">
        <v>1</v>
      </c>
      <c r="C9" s="98" t="s">
        <v>354</v>
      </c>
      <c r="E9" s="132" t="s">
        <v>355</v>
      </c>
      <c r="G9" s="127">
        <v>93.7</v>
      </c>
      <c r="H9" s="127"/>
      <c r="I9" s="127">
        <v>94.910788461538459</v>
      </c>
      <c r="J9" s="127">
        <v>98.437129807692301</v>
      </c>
      <c r="K9" s="127">
        <v>97.861221153846145</v>
      </c>
      <c r="L9" s="127"/>
      <c r="M9" s="127">
        <v>100.6</v>
      </c>
    </row>
    <row r="11" spans="1:13" x14ac:dyDescent="0.25">
      <c r="A11" s="131">
        <f>A9+1</f>
        <v>2</v>
      </c>
      <c r="C11" s="98" t="s">
        <v>356</v>
      </c>
      <c r="E11" s="131"/>
      <c r="G11" s="105">
        <f>SUM(G12:G13)</f>
        <v>14393.812670000003</v>
      </c>
      <c r="H11" s="105"/>
      <c r="I11" s="105">
        <f>SUM(I12:I13)</f>
        <v>14173.021509999999</v>
      </c>
      <c r="J11" s="204">
        <f>SUM(J12:J13)</f>
        <v>14131.348170000001</v>
      </c>
      <c r="K11" s="204">
        <f>SUM(K12:K13)</f>
        <v>15420.332155714468</v>
      </c>
      <c r="L11" s="204"/>
      <c r="M11" s="204">
        <f>SUM(M12:M13)</f>
        <v>15719.217702888971</v>
      </c>
    </row>
    <row r="12" spans="1:13" x14ac:dyDescent="0.25">
      <c r="A12" s="131">
        <f>A11+1</f>
        <v>3</v>
      </c>
      <c r="C12" s="203" t="s">
        <v>358</v>
      </c>
      <c r="E12" s="132" t="s">
        <v>357</v>
      </c>
      <c r="G12" s="105">
        <f>G22</f>
        <v>11932.360083596141</v>
      </c>
      <c r="H12" s="105"/>
      <c r="I12" s="204">
        <f>I22</f>
        <v>12082.927319999999</v>
      </c>
      <c r="J12" s="204">
        <f>J22</f>
        <v>11863.48876</v>
      </c>
      <c r="K12" s="204">
        <f>K22</f>
        <v>12726.801012407421</v>
      </c>
      <c r="L12" s="204"/>
      <c r="M12" s="204">
        <f>M22</f>
        <v>13016.041129742953</v>
      </c>
    </row>
    <row r="13" spans="1:13" x14ac:dyDescent="0.25">
      <c r="A13" s="131">
        <f>A12+1</f>
        <v>4</v>
      </c>
      <c r="C13" s="203" t="s">
        <v>359</v>
      </c>
      <c r="G13" s="105">
        <v>2461.4525864038624</v>
      </c>
      <c r="H13" s="105"/>
      <c r="I13" s="105">
        <v>2090.0941899999998</v>
      </c>
      <c r="J13" s="204">
        <v>2267.85941</v>
      </c>
      <c r="K13" s="204">
        <v>2693.5311433070478</v>
      </c>
      <c r="L13" s="204"/>
      <c r="M13" s="204">
        <v>2703.1765731460187</v>
      </c>
    </row>
    <row r="14" spans="1:13" x14ac:dyDescent="0.25">
      <c r="G14" s="105"/>
      <c r="H14" s="105"/>
      <c r="I14" s="105"/>
      <c r="J14" s="204"/>
      <c r="K14" s="204"/>
      <c r="L14" s="204"/>
      <c r="M14" s="204"/>
    </row>
    <row r="15" spans="1:13" x14ac:dyDescent="0.25">
      <c r="C15" s="98" t="s">
        <v>298</v>
      </c>
    </row>
    <row r="16" spans="1:13" x14ac:dyDescent="0.25">
      <c r="A16" s="131">
        <f>A13+1</f>
        <v>5</v>
      </c>
      <c r="C16" s="144" t="s">
        <v>281</v>
      </c>
      <c r="G16" s="105">
        <v>4131.0146340374831</v>
      </c>
      <c r="I16" s="105">
        <v>4455.2550799999999</v>
      </c>
      <c r="J16" s="204">
        <v>4466.9889300000004</v>
      </c>
      <c r="K16" s="204">
        <v>4995.2561197595742</v>
      </c>
      <c r="L16" s="204"/>
      <c r="M16" s="204">
        <v>4801.7381705170701</v>
      </c>
    </row>
    <row r="17" spans="1:13" x14ac:dyDescent="0.25">
      <c r="A17" s="131">
        <f>A16+1</f>
        <v>6</v>
      </c>
      <c r="C17" s="144" t="s">
        <v>299</v>
      </c>
      <c r="G17" s="105">
        <v>634.50561872690173</v>
      </c>
      <c r="I17" s="105">
        <v>526.16285500000004</v>
      </c>
      <c r="J17" s="204">
        <v>544.58051999999998</v>
      </c>
      <c r="K17" s="204">
        <v>658.64913910257803</v>
      </c>
      <c r="L17" s="204"/>
      <c r="M17" s="204">
        <v>674.07088968521123</v>
      </c>
    </row>
    <row r="18" spans="1:13" x14ac:dyDescent="0.25">
      <c r="A18" s="131">
        <f t="shared" ref="A18:A20" si="0">A17+1</f>
        <v>7</v>
      </c>
      <c r="C18" s="144" t="s">
        <v>300</v>
      </c>
      <c r="G18" s="105">
        <v>855.74282510408364</v>
      </c>
      <c r="I18" s="105">
        <v>801.37227499999995</v>
      </c>
      <c r="J18" s="204">
        <v>625.16917000000001</v>
      </c>
      <c r="K18" s="204">
        <v>617.47675671489742</v>
      </c>
      <c r="L18" s="204"/>
      <c r="M18" s="204">
        <v>629.08037280162375</v>
      </c>
    </row>
    <row r="19" spans="1:13" x14ac:dyDescent="0.25">
      <c r="A19" s="131">
        <f t="shared" si="0"/>
        <v>8</v>
      </c>
      <c r="C19" s="144" t="s">
        <v>283</v>
      </c>
      <c r="G19" s="105">
        <v>395.47867129707276</v>
      </c>
      <c r="I19" s="105">
        <v>350.69530000000003</v>
      </c>
      <c r="J19" s="204">
        <v>391.39323999999999</v>
      </c>
      <c r="K19" s="204">
        <v>342.60136692289285</v>
      </c>
      <c r="L19" s="204"/>
      <c r="M19" s="204">
        <v>371.94771097494993</v>
      </c>
    </row>
    <row r="20" spans="1:13" x14ac:dyDescent="0.25">
      <c r="A20" s="131">
        <f t="shared" si="0"/>
        <v>9</v>
      </c>
      <c r="C20" s="144" t="s">
        <v>301</v>
      </c>
      <c r="G20" s="105">
        <v>5915.6183344305982</v>
      </c>
      <c r="I20" s="105">
        <v>5949.4418099999994</v>
      </c>
      <c r="J20" s="204">
        <v>5835.3568999999998</v>
      </c>
      <c r="K20" s="204">
        <v>6112.8176299074767</v>
      </c>
      <c r="L20" s="204"/>
      <c r="M20" s="204">
        <v>6539.2039857640975</v>
      </c>
    </row>
    <row r="21" spans="1:13" x14ac:dyDescent="0.25">
      <c r="C21" s="144"/>
      <c r="G21" s="105"/>
      <c r="I21" s="105"/>
      <c r="J21" s="204"/>
      <c r="K21" s="204"/>
      <c r="L21" s="204"/>
      <c r="M21" s="204"/>
    </row>
    <row r="22" spans="1:13" x14ac:dyDescent="0.25">
      <c r="A22" s="131">
        <f>A20+1</f>
        <v>10</v>
      </c>
      <c r="C22" s="144" t="s">
        <v>302</v>
      </c>
      <c r="G22" s="145">
        <f>SUM(G16:G20)</f>
        <v>11932.360083596141</v>
      </c>
      <c r="I22" s="145">
        <f>SUM(I16:I20)</f>
        <v>12082.927319999999</v>
      </c>
      <c r="J22" s="145">
        <f>SUM(J16:J20)</f>
        <v>11863.48876</v>
      </c>
      <c r="K22" s="145">
        <f>SUM(K16:K20)</f>
        <v>12726.801012407421</v>
      </c>
      <c r="L22" s="204"/>
      <c r="M22" s="145">
        <f>SUM(M16:M20)</f>
        <v>13016.041129742953</v>
      </c>
    </row>
    <row r="23" spans="1:13" x14ac:dyDescent="0.25">
      <c r="C23" s="144"/>
      <c r="G23" s="135"/>
      <c r="I23" s="135"/>
      <c r="J23" s="135"/>
      <c r="K23" s="135"/>
      <c r="M23" s="135"/>
    </row>
    <row r="24" spans="1:13" x14ac:dyDescent="0.25">
      <c r="G24" s="146"/>
      <c r="I24" s="146"/>
      <c r="J24" s="146"/>
      <c r="K24" s="146"/>
      <c r="L24" s="146"/>
    </row>
    <row r="25" spans="1:13" s="147" customFormat="1" x14ac:dyDescent="0.25">
      <c r="E25" s="148"/>
      <c r="G25" s="149"/>
      <c r="I25" s="149"/>
      <c r="J25" s="149"/>
      <c r="K25" s="149"/>
      <c r="L25" s="149"/>
      <c r="M25" s="149"/>
    </row>
    <row r="26" spans="1:13" s="147" customFormat="1" x14ac:dyDescent="0.25">
      <c r="E26" s="148"/>
      <c r="G26" s="149"/>
      <c r="I26" s="149"/>
      <c r="J26" s="149"/>
      <c r="K26" s="149"/>
      <c r="L26" s="149"/>
      <c r="M26" s="149"/>
    </row>
    <row r="27" spans="1:13" s="147" customFormat="1" x14ac:dyDescent="0.25">
      <c r="E27" s="148"/>
      <c r="G27" s="149"/>
      <c r="I27" s="149"/>
      <c r="J27" s="149"/>
      <c r="K27" s="149"/>
      <c r="L27" s="149"/>
      <c r="M27" s="149"/>
    </row>
    <row r="28" spans="1:13" s="147" customFormat="1" x14ac:dyDescent="0.25">
      <c r="E28" s="148"/>
      <c r="G28" s="149"/>
      <c r="I28" s="149"/>
      <c r="J28" s="149"/>
      <c r="K28" s="149"/>
      <c r="L28" s="149"/>
      <c r="M28" s="149"/>
    </row>
    <row r="29" spans="1:13" s="147" customFormat="1" x14ac:dyDescent="0.25">
      <c r="E29" s="148"/>
      <c r="G29" s="149"/>
      <c r="I29" s="149"/>
      <c r="J29" s="149"/>
      <c r="K29" s="149"/>
      <c r="L29" s="149"/>
      <c r="M29" s="149"/>
    </row>
    <row r="30" spans="1:13" ht="18.75" customHeight="1" x14ac:dyDescent="0.25">
      <c r="A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</row>
    <row r="31" spans="1:13" ht="18.75" customHeight="1" x14ac:dyDescent="0.25">
      <c r="A31" s="150"/>
      <c r="C31" s="151"/>
      <c r="D31" s="151"/>
      <c r="E31" s="151"/>
      <c r="F31" s="151"/>
      <c r="G31" s="151"/>
      <c r="H31" s="151"/>
      <c r="I31" s="151"/>
      <c r="J31" s="151"/>
      <c r="K31" s="151"/>
      <c r="L31" s="151"/>
    </row>
    <row r="32" spans="1:13" ht="18.75" customHeight="1" x14ac:dyDescent="0.25">
      <c r="A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</row>
    <row r="33" spans="1:12" ht="18.75" customHeight="1" x14ac:dyDescent="0.25">
      <c r="A33" s="150"/>
      <c r="C33" s="151"/>
      <c r="D33" s="151"/>
      <c r="E33" s="151"/>
      <c r="F33" s="151"/>
      <c r="G33" s="151"/>
      <c r="H33" s="151"/>
      <c r="I33" s="151"/>
      <c r="J33" s="151"/>
      <c r="K33" s="151"/>
      <c r="L33" s="151"/>
    </row>
    <row r="34" spans="1:12" ht="18.75" customHeight="1" x14ac:dyDescent="0.25">
      <c r="A34" s="150"/>
      <c r="C34" s="151"/>
      <c r="D34" s="151"/>
      <c r="E34" s="151"/>
      <c r="F34" s="151"/>
      <c r="G34" s="151"/>
      <c r="H34" s="151"/>
      <c r="I34" s="151"/>
      <c r="J34" s="151"/>
      <c r="K34" s="151"/>
      <c r="L34" s="151"/>
    </row>
    <row r="35" spans="1:12" x14ac:dyDescent="0.25">
      <c r="G35" s="152"/>
      <c r="I35" s="152"/>
      <c r="J35" s="152"/>
      <c r="K35" s="152"/>
      <c r="L35" s="152"/>
    </row>
    <row r="38" spans="1:12" x14ac:dyDescent="0.25">
      <c r="G38" s="153"/>
      <c r="I38" s="153"/>
      <c r="J38" s="153"/>
      <c r="K38" s="153"/>
      <c r="L38" s="153"/>
    </row>
    <row r="40" spans="1:12" x14ac:dyDescent="0.25">
      <c r="G40" s="154"/>
      <c r="I40" s="154"/>
      <c r="J40" s="154"/>
      <c r="K40" s="154"/>
      <c r="L40" s="154"/>
    </row>
    <row r="42" spans="1:12" x14ac:dyDescent="0.25">
      <c r="G42" s="155"/>
      <c r="I42" s="155"/>
      <c r="J42" s="155"/>
      <c r="K42" s="155"/>
      <c r="L42" s="155"/>
    </row>
    <row r="44" spans="1:12" x14ac:dyDescent="0.25">
      <c r="G44" s="154"/>
      <c r="I44" s="154"/>
      <c r="J44" s="154"/>
      <c r="K44" s="154"/>
      <c r="L44" s="154"/>
    </row>
  </sheetData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">
    <tabColor theme="9" tint="0.39997558519241921"/>
    <pageSetUpPr fitToPage="1"/>
  </sheetPr>
  <dimension ref="A1:M51"/>
  <sheetViews>
    <sheetView view="pageBreakPreview" zoomScaleSheetLayoutView="100" workbookViewId="0">
      <pane ySplit="7" topLeftCell="A18" activePane="bottomLeft" state="frozen"/>
      <selection activeCell="H15" sqref="H15"/>
      <selection pane="bottomLeft" activeCell="L6" sqref="L6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27.453125" style="1" customWidth="1"/>
    <col min="4" max="4" width="1.81640625" style="1" customWidth="1"/>
    <col min="5" max="5" width="9.1796875" style="13" customWidth="1"/>
    <col min="6" max="6" width="1.81640625" style="1" customWidth="1"/>
    <col min="7" max="7" width="12.26953125" style="1" customWidth="1"/>
    <col min="8" max="8" width="1.81640625" style="1" customWidth="1"/>
    <col min="9" max="9" width="11.26953125" style="1" customWidth="1"/>
    <col min="10" max="11" width="11.26953125" style="2" customWidth="1"/>
    <col min="12" max="12" width="2" style="2" customWidth="1"/>
    <col min="13" max="13" width="12.54296875" style="1" customWidth="1"/>
    <col min="14" max="16384" width="9.1796875" style="1"/>
  </cols>
  <sheetData>
    <row r="1" spans="1:13" ht="15" x14ac:dyDescent="0.3">
      <c r="A1" s="86" t="s">
        <v>0</v>
      </c>
      <c r="M1" s="4" t="s">
        <v>303</v>
      </c>
    </row>
    <row r="2" spans="1:13" x14ac:dyDescent="0.25">
      <c r="A2" s="88" t="s">
        <v>304</v>
      </c>
      <c r="M2" s="16" t="str">
        <f>Index!F2</f>
        <v>April 14, 2022</v>
      </c>
    </row>
    <row r="3" spans="1:13" x14ac:dyDescent="0.25">
      <c r="A3" s="88" t="s">
        <v>8</v>
      </c>
    </row>
    <row r="6" spans="1:13" s="5" customFormat="1" x14ac:dyDescent="0.25">
      <c r="A6" s="13"/>
      <c r="B6" s="13"/>
      <c r="E6" s="13"/>
      <c r="G6" s="17"/>
      <c r="I6" s="17"/>
      <c r="J6" s="17"/>
      <c r="K6" s="207"/>
      <c r="L6" s="17"/>
      <c r="M6" s="207"/>
    </row>
    <row r="7" spans="1:13" s="89" customFormat="1" ht="25" x14ac:dyDescent="0.25">
      <c r="A7" s="18" t="s">
        <v>9</v>
      </c>
      <c r="B7" s="19"/>
      <c r="C7" s="90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</row>
    <row r="8" spans="1:13" x14ac:dyDescent="0.25">
      <c r="M8" s="2"/>
    </row>
    <row r="9" spans="1:13" ht="12.75" customHeight="1" x14ac:dyDescent="0.25">
      <c r="C9" s="21" t="s">
        <v>305</v>
      </c>
      <c r="D9" s="2"/>
      <c r="F9" s="2"/>
      <c r="G9" s="2"/>
      <c r="H9" s="2"/>
      <c r="I9" s="2"/>
      <c r="M9" s="2"/>
    </row>
    <row r="10" spans="1:13" ht="12.75" customHeight="1" x14ac:dyDescent="0.25">
      <c r="C10" s="99"/>
      <c r="D10" s="2"/>
      <c r="F10" s="2"/>
      <c r="G10" s="28"/>
      <c r="H10" s="2"/>
      <c r="I10" s="28"/>
      <c r="J10" s="28"/>
      <c r="K10" s="28"/>
      <c r="L10" s="28"/>
      <c r="M10" s="28"/>
    </row>
    <row r="11" spans="1:13" ht="12.75" customHeight="1" x14ac:dyDescent="0.25">
      <c r="A11" s="2">
        <v>1</v>
      </c>
      <c r="C11" s="112" t="s">
        <v>306</v>
      </c>
      <c r="D11" s="2"/>
      <c r="F11" s="2"/>
      <c r="G11" s="28">
        <v>19541.53872</v>
      </c>
      <c r="H11" s="2"/>
      <c r="I11" s="28">
        <v>19541.53872</v>
      </c>
      <c r="J11" s="28">
        <v>19204.615719999998</v>
      </c>
      <c r="K11" s="28">
        <v>18867.692719999999</v>
      </c>
      <c r="L11" s="28"/>
      <c r="M11" s="28">
        <v>18530.76972</v>
      </c>
    </row>
    <row r="12" spans="1:13" ht="12.75" customHeight="1" x14ac:dyDescent="0.25">
      <c r="A12" s="2">
        <f t="shared" ref="A12:A24" si="0">A11+1</f>
        <v>2</v>
      </c>
      <c r="C12" s="112" t="s">
        <v>307</v>
      </c>
      <c r="D12" s="2"/>
      <c r="F12" s="2"/>
      <c r="G12" s="28">
        <v>8990.5404440194852</v>
      </c>
      <c r="H12" s="2"/>
      <c r="I12" s="28">
        <v>8990.5404440194852</v>
      </c>
      <c r="J12" s="28">
        <v>8622.9924937597134</v>
      </c>
      <c r="K12" s="28">
        <v>8245.4346892088706</v>
      </c>
      <c r="L12" s="28"/>
      <c r="M12" s="28">
        <v>7857.594420540514</v>
      </c>
    </row>
    <row r="13" spans="1:13" ht="12.75" customHeight="1" x14ac:dyDescent="0.25">
      <c r="A13" s="2">
        <f t="shared" si="0"/>
        <v>3</v>
      </c>
      <c r="C13" s="112" t="s">
        <v>308</v>
      </c>
      <c r="D13" s="2"/>
      <c r="F13" s="2"/>
      <c r="G13" s="28">
        <v>2683.7642940935402</v>
      </c>
      <c r="H13" s="2"/>
      <c r="I13" s="28">
        <v>2710.324632129264</v>
      </c>
      <c r="J13" s="28">
        <v>2769.1674098724379</v>
      </c>
      <c r="K13" s="28">
        <v>2799.9341222097423</v>
      </c>
      <c r="L13" s="28"/>
      <c r="M13" s="28">
        <v>2815.6821380665024</v>
      </c>
    </row>
    <row r="14" spans="1:13" ht="12.75" customHeight="1" x14ac:dyDescent="0.25">
      <c r="A14" s="2">
        <f t="shared" si="0"/>
        <v>4</v>
      </c>
      <c r="C14" s="112" t="s">
        <v>309</v>
      </c>
      <c r="D14" s="2"/>
      <c r="F14" s="2"/>
      <c r="G14" s="28">
        <v>5505</v>
      </c>
      <c r="H14" s="2"/>
      <c r="I14" s="28">
        <v>5505</v>
      </c>
      <c r="J14" s="28">
        <v>5505</v>
      </c>
      <c r="K14" s="28">
        <v>5505</v>
      </c>
      <c r="L14" s="28"/>
      <c r="M14" s="28">
        <v>5505</v>
      </c>
    </row>
    <row r="15" spans="1:13" ht="12.75" customHeight="1" x14ac:dyDescent="0.25">
      <c r="A15" s="2">
        <f t="shared" si="0"/>
        <v>5</v>
      </c>
      <c r="C15" s="112" t="s">
        <v>353</v>
      </c>
      <c r="D15" s="2"/>
      <c r="F15" s="2"/>
      <c r="G15" s="28">
        <v>77723.273279999994</v>
      </c>
      <c r="H15" s="2"/>
      <c r="I15" s="28">
        <v>77723.273279999994</v>
      </c>
      <c r="J15" s="28">
        <v>74039.473280000006</v>
      </c>
      <c r="K15" s="28">
        <v>70355.673280000003</v>
      </c>
      <c r="L15" s="28"/>
      <c r="M15" s="28">
        <v>66671.87328</v>
      </c>
    </row>
    <row r="16" spans="1:13" ht="12.75" customHeight="1" x14ac:dyDescent="0.25">
      <c r="A16" s="2">
        <f t="shared" si="0"/>
        <v>6</v>
      </c>
      <c r="C16" s="112" t="s">
        <v>310</v>
      </c>
      <c r="D16" s="2"/>
      <c r="F16" s="2"/>
      <c r="G16" s="28">
        <v>18466.275519999999</v>
      </c>
      <c r="H16" s="2"/>
      <c r="I16" s="28">
        <v>18466.275519999999</v>
      </c>
      <c r="J16" s="28">
        <v>17626.899359999999</v>
      </c>
      <c r="K16" s="28">
        <v>16787.5232</v>
      </c>
      <c r="L16" s="28"/>
      <c r="M16" s="28">
        <v>15948.14704</v>
      </c>
    </row>
    <row r="17" spans="1:13" ht="12.75" customHeight="1" x14ac:dyDescent="0.25">
      <c r="A17" s="2">
        <f t="shared" si="0"/>
        <v>7</v>
      </c>
      <c r="C17" s="2" t="s">
        <v>311</v>
      </c>
      <c r="D17" s="2"/>
      <c r="F17" s="2"/>
      <c r="G17" s="28">
        <v>12136</v>
      </c>
      <c r="H17" s="2"/>
      <c r="I17" s="28">
        <v>12136</v>
      </c>
      <c r="J17" s="28">
        <v>12136</v>
      </c>
      <c r="K17" s="28">
        <v>12136</v>
      </c>
      <c r="L17" s="28"/>
      <c r="M17" s="28">
        <v>12136</v>
      </c>
    </row>
    <row r="18" spans="1:13" ht="12.75" customHeight="1" x14ac:dyDescent="0.25">
      <c r="A18" s="2">
        <f t="shared" si="0"/>
        <v>8</v>
      </c>
      <c r="C18" s="112" t="s">
        <v>312</v>
      </c>
      <c r="D18" s="2"/>
      <c r="F18" s="2"/>
      <c r="G18" s="28">
        <v>21940.489223909401</v>
      </c>
      <c r="H18" s="2"/>
      <c r="I18" s="28">
        <v>23406.446</v>
      </c>
      <c r="J18" s="28">
        <v>22811.412</v>
      </c>
      <c r="K18" s="28">
        <v>22194.201000000001</v>
      </c>
      <c r="L18" s="28"/>
      <c r="M18" s="28">
        <v>21553.985000000001</v>
      </c>
    </row>
    <row r="19" spans="1:13" ht="12.75" customHeight="1" x14ac:dyDescent="0.25">
      <c r="A19" s="2">
        <f t="shared" si="0"/>
        <v>9</v>
      </c>
      <c r="C19" s="112" t="s">
        <v>343</v>
      </c>
      <c r="D19" s="2"/>
      <c r="F19" s="2"/>
      <c r="G19" s="28">
        <v>5775.9572671775377</v>
      </c>
      <c r="H19" s="2"/>
      <c r="I19" s="28">
        <v>0</v>
      </c>
      <c r="J19" s="28">
        <v>0</v>
      </c>
      <c r="K19" s="28">
        <v>0</v>
      </c>
      <c r="L19" s="28"/>
      <c r="M19" s="28">
        <v>0</v>
      </c>
    </row>
    <row r="20" spans="1:13" ht="12.75" customHeight="1" x14ac:dyDescent="0.25">
      <c r="A20" s="2">
        <f t="shared" si="0"/>
        <v>10</v>
      </c>
      <c r="C20" s="112" t="s">
        <v>350</v>
      </c>
      <c r="D20" s="2"/>
      <c r="F20" s="2"/>
      <c r="G20" s="28">
        <v>0</v>
      </c>
      <c r="H20" s="2"/>
      <c r="I20" s="28">
        <v>0</v>
      </c>
      <c r="J20" s="28">
        <v>6687.7120000000004</v>
      </c>
      <c r="K20" s="28">
        <v>6498.3729999999996</v>
      </c>
      <c r="L20" s="28"/>
      <c r="M20" s="28">
        <v>6303.4709999999995</v>
      </c>
    </row>
    <row r="21" spans="1:13" ht="12.75" customHeight="1" x14ac:dyDescent="0.25">
      <c r="A21" s="2">
        <f t="shared" si="0"/>
        <v>11</v>
      </c>
      <c r="C21" s="112" t="s">
        <v>351</v>
      </c>
      <c r="D21" s="2"/>
      <c r="F21" s="2"/>
      <c r="G21" s="28">
        <v>0</v>
      </c>
      <c r="H21" s="2"/>
      <c r="I21" s="28">
        <v>0</v>
      </c>
      <c r="J21" s="28">
        <v>2871</v>
      </c>
      <c r="K21" s="28">
        <v>2871</v>
      </c>
      <c r="L21" s="28"/>
      <c r="M21" s="28">
        <v>2871</v>
      </c>
    </row>
    <row r="22" spans="1:13" ht="12.75" customHeight="1" x14ac:dyDescent="0.25">
      <c r="A22" s="2">
        <f t="shared" si="0"/>
        <v>12</v>
      </c>
      <c r="C22" s="112" t="s">
        <v>367</v>
      </c>
      <c r="D22" s="2"/>
      <c r="F22" s="2"/>
      <c r="G22" s="28">
        <v>0</v>
      </c>
      <c r="H22" s="2"/>
      <c r="I22" s="28">
        <v>0</v>
      </c>
      <c r="J22" s="28">
        <v>0</v>
      </c>
      <c r="K22" s="28">
        <v>8759.744999999999</v>
      </c>
      <c r="L22" s="28"/>
      <c r="M22" s="28">
        <v>8759.7450000000008</v>
      </c>
    </row>
    <row r="23" spans="1:13" ht="12.75" customHeight="1" x14ac:dyDescent="0.25">
      <c r="A23" s="2">
        <f t="shared" si="0"/>
        <v>13</v>
      </c>
      <c r="C23" s="112" t="s">
        <v>368</v>
      </c>
      <c r="D23" s="2"/>
      <c r="F23" s="2"/>
      <c r="G23" s="28">
        <v>0</v>
      </c>
      <c r="H23" s="2"/>
      <c r="I23" s="28">
        <v>0</v>
      </c>
      <c r="J23" s="28">
        <v>0</v>
      </c>
      <c r="K23" s="28">
        <v>13439.1604092038</v>
      </c>
      <c r="L23" s="28"/>
      <c r="M23" s="28">
        <v>13439.1604092038</v>
      </c>
    </row>
    <row r="24" spans="1:13" ht="12.75" customHeight="1" x14ac:dyDescent="0.25">
      <c r="A24" s="2">
        <f t="shared" si="0"/>
        <v>14</v>
      </c>
      <c r="C24" s="112" t="s">
        <v>369</v>
      </c>
      <c r="D24" s="2"/>
      <c r="F24" s="2"/>
      <c r="G24" s="28">
        <v>0</v>
      </c>
      <c r="H24" s="2"/>
      <c r="I24" s="28">
        <v>0</v>
      </c>
      <c r="J24" s="28">
        <v>0</v>
      </c>
      <c r="K24" s="28">
        <v>0</v>
      </c>
      <c r="L24" s="28"/>
      <c r="M24" s="28">
        <v>1544.312882516097</v>
      </c>
    </row>
    <row r="25" spans="1:13" x14ac:dyDescent="0.25">
      <c r="C25" s="112"/>
      <c r="D25" s="2"/>
      <c r="F25" s="2"/>
      <c r="G25" s="28"/>
      <c r="H25" s="2"/>
      <c r="I25" s="28"/>
      <c r="J25" s="28"/>
      <c r="K25" s="28"/>
      <c r="L25" s="28"/>
      <c r="M25" s="28"/>
    </row>
    <row r="26" spans="1:13" ht="12.75" customHeight="1" x14ac:dyDescent="0.25">
      <c r="A26" s="2">
        <f>A24+1</f>
        <v>15</v>
      </c>
      <c r="C26" s="1" t="s">
        <v>30</v>
      </c>
      <c r="D26" s="2"/>
      <c r="F26" s="2"/>
      <c r="G26" s="49">
        <f>SUM(G11:G25)</f>
        <v>172762.83874919993</v>
      </c>
      <c r="H26" s="2"/>
      <c r="I26" s="49">
        <f>SUM(I11:I25)</f>
        <v>168479.39859614873</v>
      </c>
      <c r="J26" s="49">
        <f>SUM(J11:J25)</f>
        <v>172274.27226363216</v>
      </c>
      <c r="K26" s="49">
        <f>SUM(K11:K25)</f>
        <v>188459.7374206224</v>
      </c>
      <c r="L26" s="49"/>
      <c r="M26" s="49">
        <f>SUM(M11:M25)</f>
        <v>183936.74089032688</v>
      </c>
    </row>
    <row r="27" spans="1:13" ht="12.75" customHeight="1" x14ac:dyDescent="0.25">
      <c r="A27" s="2">
        <f>A26+1</f>
        <v>16</v>
      </c>
      <c r="C27" s="1" t="s">
        <v>31</v>
      </c>
      <c r="D27" s="2"/>
      <c r="F27" s="2"/>
      <c r="G27" s="60">
        <v>172180.84765079993</v>
      </c>
      <c r="H27" s="2"/>
      <c r="I27" s="60">
        <v>150245.78142738133</v>
      </c>
      <c r="J27" s="60">
        <f>I26</f>
        <v>168479.39859614873</v>
      </c>
      <c r="K27" s="60">
        <f>J26</f>
        <v>172274.27226363216</v>
      </c>
      <c r="L27" s="60"/>
      <c r="M27" s="60">
        <v>188459.7374206224</v>
      </c>
    </row>
    <row r="28" spans="1:13" x14ac:dyDescent="0.25">
      <c r="A28" s="2">
        <f>A27+1</f>
        <v>17</v>
      </c>
      <c r="C28" s="2" t="s">
        <v>313</v>
      </c>
      <c r="D28" s="2"/>
      <c r="F28" s="2"/>
      <c r="G28" s="49">
        <f>(G27+G26)/2</f>
        <v>172471.84319999994</v>
      </c>
      <c r="H28" s="2"/>
      <c r="I28" s="49">
        <f>(I27+I26)/2</f>
        <v>159362.59001176502</v>
      </c>
      <c r="J28" s="49">
        <f>(J27+J26)/2</f>
        <v>170376.83542989043</v>
      </c>
      <c r="K28" s="49">
        <f>(K27+K26)/2</f>
        <v>180367.00484212727</v>
      </c>
      <c r="L28" s="49"/>
      <c r="M28" s="49">
        <f t="shared" ref="M28" si="1">(M27+M26)/2</f>
        <v>186198.23915547464</v>
      </c>
    </row>
    <row r="29" spans="1:13" x14ac:dyDescent="0.25">
      <c r="C29" s="2"/>
      <c r="D29" s="2"/>
      <c r="F29" s="2"/>
      <c r="G29" s="2"/>
      <c r="H29" s="2"/>
      <c r="I29" s="2"/>
      <c r="M29" s="2"/>
    </row>
    <row r="30" spans="1:13" x14ac:dyDescent="0.25">
      <c r="C30" s="118"/>
      <c r="D30" s="118"/>
      <c r="E30" s="119"/>
      <c r="F30" s="118"/>
      <c r="G30" s="120"/>
      <c r="H30" s="118"/>
      <c r="I30" s="120"/>
      <c r="J30" s="120"/>
      <c r="K30" s="120"/>
      <c r="L30" s="120"/>
      <c r="M30" s="120"/>
    </row>
    <row r="31" spans="1:13" s="2" customFormat="1" x14ac:dyDescent="0.25">
      <c r="C31" s="21" t="s">
        <v>314</v>
      </c>
    </row>
    <row r="32" spans="1:13" x14ac:dyDescent="0.25">
      <c r="G32" s="2"/>
      <c r="H32" s="2"/>
      <c r="I32" s="2"/>
      <c r="M32" s="2"/>
    </row>
    <row r="33" spans="1:13" x14ac:dyDescent="0.25">
      <c r="A33" s="2">
        <f>A28+1</f>
        <v>18</v>
      </c>
      <c r="C33" s="112" t="str">
        <f t="shared" ref="C33:C40" si="2">C11</f>
        <v>YDC Mayo B Flexible Term Debt</v>
      </c>
      <c r="D33" s="2"/>
      <c r="F33" s="2"/>
      <c r="G33" s="49">
        <v>333.94520784752348</v>
      </c>
      <c r="H33" s="2"/>
      <c r="I33" s="49">
        <v>770.7778852271698</v>
      </c>
      <c r="J33" s="49">
        <v>689.74463256398622</v>
      </c>
      <c r="K33" s="28">
        <v>1048.572003024</v>
      </c>
      <c r="L33" s="49"/>
      <c r="M33" s="28">
        <v>1030.1760034019999</v>
      </c>
    </row>
    <row r="34" spans="1:13" x14ac:dyDescent="0.25">
      <c r="A34" s="2">
        <f t="shared" ref="A34:A46" si="3">A33+1</f>
        <v>19</v>
      </c>
      <c r="C34" s="112" t="str">
        <f t="shared" si="2"/>
        <v>TD Bank Swap (2.69%)</v>
      </c>
      <c r="D34" s="2"/>
      <c r="F34" s="2"/>
      <c r="G34" s="49">
        <v>247.08043000000004</v>
      </c>
      <c r="H34" s="2"/>
      <c r="I34" s="49">
        <v>247.08043000000004</v>
      </c>
      <c r="J34" s="49">
        <v>237.33596</v>
      </c>
      <c r="K34" s="28">
        <v>227.32611</v>
      </c>
      <c r="L34" s="49"/>
      <c r="M34" s="28">
        <v>217.04362</v>
      </c>
    </row>
    <row r="35" spans="1:13" x14ac:dyDescent="0.25">
      <c r="A35" s="2">
        <f t="shared" si="3"/>
        <v>20</v>
      </c>
      <c r="C35" s="112" t="str">
        <f t="shared" si="2"/>
        <v>Minto Decommissioning Reserve</v>
      </c>
      <c r="D35" s="2"/>
      <c r="F35" s="2"/>
      <c r="G35" s="49">
        <v>23.936469555744466</v>
      </c>
      <c r="H35" s="2"/>
      <c r="I35" s="49">
        <v>45.358062129264233</v>
      </c>
      <c r="J35" s="49">
        <v>58.842777743173762</v>
      </c>
      <c r="K35" s="28">
        <v>30.766712337304373</v>
      </c>
      <c r="L35" s="49"/>
      <c r="M35" s="28">
        <v>15.748015856760089</v>
      </c>
    </row>
    <row r="36" spans="1:13" x14ac:dyDescent="0.25">
      <c r="A36" s="2">
        <f t="shared" si="3"/>
        <v>21</v>
      </c>
      <c r="C36" s="112" t="str">
        <f t="shared" si="2"/>
        <v>YDC $5.5M Debt (2.40%)</v>
      </c>
      <c r="D36" s="2"/>
      <c r="F36" s="2"/>
      <c r="G36" s="49">
        <v>132.12</v>
      </c>
      <c r="H36" s="2"/>
      <c r="I36" s="49">
        <v>132.12</v>
      </c>
      <c r="J36" s="49">
        <v>132.12</v>
      </c>
      <c r="K36" s="28">
        <v>132.12</v>
      </c>
      <c r="L36" s="49"/>
      <c r="M36" s="28">
        <v>132.12</v>
      </c>
    </row>
    <row r="37" spans="1:13" s="2" customFormat="1" x14ac:dyDescent="0.25">
      <c r="A37" s="2">
        <f t="shared" si="3"/>
        <v>22</v>
      </c>
      <c r="C37" s="112" t="str">
        <f t="shared" si="2"/>
        <v>YDC $92.5M Debt (2.40%/2.83%)</v>
      </c>
      <c r="E37" s="13"/>
      <c r="G37" s="49">
        <v>1953.7697587200005</v>
      </c>
      <c r="I37" s="49">
        <v>1953.7697587200005</v>
      </c>
      <c r="J37" s="49">
        <v>1865.35855872</v>
      </c>
      <c r="K37" s="28">
        <v>1984.2578839040002</v>
      </c>
      <c r="L37" s="49"/>
      <c r="M37" s="28">
        <v>1885.5320439040004</v>
      </c>
    </row>
    <row r="38" spans="1:13" s="2" customFormat="1" x14ac:dyDescent="0.25">
      <c r="A38" s="2">
        <f t="shared" si="3"/>
        <v>23</v>
      </c>
      <c r="C38" s="112" t="str">
        <f t="shared" si="2"/>
        <v>YDC $21.0M Debt (2.21%)</v>
      </c>
      <c r="E38" s="13"/>
      <c r="G38" s="49">
        <v>426.65490212800006</v>
      </c>
      <c r="I38" s="49">
        <v>426.65490212800006</v>
      </c>
      <c r="J38" s="49">
        <v>408.10468899200004</v>
      </c>
      <c r="K38" s="28">
        <v>389.55447585600001</v>
      </c>
      <c r="L38" s="49"/>
      <c r="M38" s="28">
        <v>371.00426271999999</v>
      </c>
    </row>
    <row r="39" spans="1:13" s="2" customFormat="1" x14ac:dyDescent="0.25">
      <c r="A39" s="2">
        <f t="shared" si="3"/>
        <v>24</v>
      </c>
      <c r="C39" s="112" t="str">
        <f t="shared" si="2"/>
        <v>YDC $12.1M Debt (2.10%)</v>
      </c>
      <c r="E39" s="13"/>
      <c r="G39" s="49">
        <v>254.85600000000005</v>
      </c>
      <c r="I39" s="49">
        <v>254.85600000000005</v>
      </c>
      <c r="J39" s="49">
        <v>254.85600000000005</v>
      </c>
      <c r="K39" s="28">
        <v>254.85599999999999</v>
      </c>
      <c r="L39" s="49"/>
      <c r="M39" s="28">
        <v>254.85600000000005</v>
      </c>
    </row>
    <row r="40" spans="1:13" s="2" customFormat="1" x14ac:dyDescent="0.25">
      <c r="A40" s="2">
        <f t="shared" si="3"/>
        <v>25</v>
      </c>
      <c r="C40" s="112" t="str">
        <f t="shared" si="2"/>
        <v>TD Bank Swap (3.665%)</v>
      </c>
      <c r="E40" s="13"/>
      <c r="G40" s="49">
        <v>471.72051831405207</v>
      </c>
      <c r="I40" s="49">
        <v>287.42883499166669</v>
      </c>
      <c r="J40" s="49">
        <v>847.91695460000005</v>
      </c>
      <c r="K40" s="28">
        <v>825.73890650416661</v>
      </c>
      <c r="L40" s="49"/>
      <c r="M40" s="28">
        <v>802.73423903749995</v>
      </c>
    </row>
    <row r="41" spans="1:13" s="2" customFormat="1" x14ac:dyDescent="0.25">
      <c r="A41" s="2">
        <f t="shared" si="3"/>
        <v>26</v>
      </c>
      <c r="C41" s="112" t="s">
        <v>343</v>
      </c>
      <c r="E41" s="13"/>
      <c r="G41" s="49">
        <v>0</v>
      </c>
      <c r="I41" s="49">
        <v>0</v>
      </c>
      <c r="J41" s="49">
        <v>0</v>
      </c>
      <c r="K41" s="28">
        <v>0</v>
      </c>
      <c r="L41" s="49"/>
      <c r="M41" s="28">
        <v>0</v>
      </c>
    </row>
    <row r="42" spans="1:13" s="2" customFormat="1" x14ac:dyDescent="0.25">
      <c r="A42" s="2">
        <f t="shared" si="3"/>
        <v>27</v>
      </c>
      <c r="C42" s="112" t="s">
        <v>350</v>
      </c>
      <c r="E42" s="13"/>
      <c r="G42" s="49">
        <v>0</v>
      </c>
      <c r="I42" s="49">
        <v>0</v>
      </c>
      <c r="J42" s="49">
        <v>81.343036168333327</v>
      </c>
      <c r="K42" s="28">
        <v>191.37416081333336</v>
      </c>
      <c r="L42" s="49"/>
      <c r="M42" s="28">
        <v>185.81168523666668</v>
      </c>
    </row>
    <row r="43" spans="1:13" s="2" customFormat="1" x14ac:dyDescent="0.25">
      <c r="A43" s="2">
        <f t="shared" si="3"/>
        <v>28</v>
      </c>
      <c r="C43" s="112" t="s">
        <v>351</v>
      </c>
      <c r="E43" s="13"/>
      <c r="G43" s="49">
        <v>0</v>
      </c>
      <c r="I43" s="49">
        <v>0</v>
      </c>
      <c r="J43" s="49">
        <v>41.957187287671232</v>
      </c>
      <c r="K43" s="28">
        <v>83.230289999999997</v>
      </c>
      <c r="L43" s="49"/>
      <c r="M43" s="28">
        <v>83.230289999999997</v>
      </c>
    </row>
    <row r="44" spans="1:13" s="2" customFormat="1" x14ac:dyDescent="0.25">
      <c r="A44" s="2">
        <f t="shared" si="3"/>
        <v>29</v>
      </c>
      <c r="C44" s="112" t="s">
        <v>367</v>
      </c>
      <c r="E44" s="13"/>
      <c r="G44" s="49">
        <v>0</v>
      </c>
      <c r="I44" s="49">
        <v>0</v>
      </c>
      <c r="J44" s="49">
        <v>0</v>
      </c>
      <c r="K44" s="28">
        <v>35.143320000000003</v>
      </c>
      <c r="L44" s="49"/>
      <c r="M44" s="28">
        <v>191.8384155</v>
      </c>
    </row>
    <row r="45" spans="1:13" s="2" customFormat="1" x14ac:dyDescent="0.25">
      <c r="A45" s="2">
        <f t="shared" si="3"/>
        <v>30</v>
      </c>
      <c r="C45" s="112" t="s">
        <v>368</v>
      </c>
      <c r="E45" s="13"/>
      <c r="G45" s="49">
        <v>0</v>
      </c>
      <c r="I45" s="49">
        <v>0</v>
      </c>
      <c r="J45" s="49">
        <v>0</v>
      </c>
      <c r="K45" s="28">
        <v>43.704544800000001</v>
      </c>
      <c r="L45" s="49"/>
      <c r="M45" s="28">
        <v>294.31761296156321</v>
      </c>
    </row>
    <row r="46" spans="1:13" s="2" customFormat="1" x14ac:dyDescent="0.25">
      <c r="A46" s="2">
        <f t="shared" si="3"/>
        <v>31</v>
      </c>
      <c r="C46" s="112" t="s">
        <v>369</v>
      </c>
      <c r="E46" s="13"/>
      <c r="G46" s="49">
        <v>0</v>
      </c>
      <c r="I46" s="49">
        <v>0</v>
      </c>
      <c r="J46" s="49">
        <v>0</v>
      </c>
      <c r="K46" s="28">
        <v>0</v>
      </c>
      <c r="L46" s="49"/>
      <c r="M46" s="28">
        <v>0</v>
      </c>
    </row>
    <row r="47" spans="1:13" x14ac:dyDescent="0.25">
      <c r="C47" s="121"/>
      <c r="D47" s="2"/>
      <c r="F47" s="2"/>
      <c r="G47" s="49"/>
      <c r="H47" s="2"/>
      <c r="I47" s="49"/>
      <c r="J47" s="49"/>
      <c r="K47" s="49"/>
      <c r="L47" s="49"/>
      <c r="M47" s="49"/>
    </row>
    <row r="48" spans="1:13" x14ac:dyDescent="0.25">
      <c r="A48" s="2">
        <f>A46+1</f>
        <v>32</v>
      </c>
      <c r="C48" s="11" t="s">
        <v>315</v>
      </c>
      <c r="G48" s="49">
        <f>SUM(G33:G47)</f>
        <v>3844.083286565321</v>
      </c>
      <c r="H48" s="2"/>
      <c r="I48" s="49">
        <f>SUM(I33:I47)</f>
        <v>4118.0458731961016</v>
      </c>
      <c r="J48" s="49">
        <f>SUM(J33:J47)</f>
        <v>4617.5797960751643</v>
      </c>
      <c r="K48" s="49">
        <f>SUM(K33:K47)</f>
        <v>5246.6444072388049</v>
      </c>
      <c r="L48" s="49"/>
      <c r="M48" s="49">
        <f>SUM(M33:M47)</f>
        <v>5464.4121886184912</v>
      </c>
    </row>
    <row r="49" spans="1:13" x14ac:dyDescent="0.25">
      <c r="G49" s="2"/>
      <c r="H49" s="2"/>
      <c r="I49" s="2"/>
      <c r="M49" s="2"/>
    </row>
    <row r="50" spans="1:13" x14ac:dyDescent="0.25">
      <c r="A50" s="2">
        <f>A48+1</f>
        <v>33</v>
      </c>
      <c r="C50" s="1" t="s">
        <v>316</v>
      </c>
      <c r="G50" s="123">
        <f>G48/G28</f>
        <v>2.2288178842662952E-2</v>
      </c>
      <c r="H50" s="2"/>
      <c r="I50" s="123">
        <f>I48/I28</f>
        <v>2.5840731334073355E-2</v>
      </c>
      <c r="J50" s="123">
        <f>J48/J28</f>
        <v>2.7102157311609917E-2</v>
      </c>
      <c r="K50" s="123">
        <f>K48/K28</f>
        <v>2.9088715044257234E-2</v>
      </c>
      <c r="L50" s="123"/>
      <c r="M50" s="123">
        <f>M48/M28</f>
        <v>2.9347281764870684E-2</v>
      </c>
    </row>
    <row r="51" spans="1:13" x14ac:dyDescent="0.25">
      <c r="G51" s="122"/>
      <c r="I51" s="122"/>
      <c r="J51" s="123"/>
      <c r="K51" s="123"/>
      <c r="L51" s="123"/>
      <c r="M51" s="122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E53"/>
  <sheetViews>
    <sheetView view="pageBreakPreview" zoomScaleNormal="100" zoomScaleSheetLayoutView="100" workbookViewId="0">
      <pane ySplit="7" topLeftCell="A8" activePane="bottomLeft" state="frozen"/>
      <selection activeCell="H15" sqref="H15"/>
      <selection pane="bottomLeft" activeCell="C4" sqref="C4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42.26953125" style="2" customWidth="1"/>
    <col min="4" max="4" width="1.81640625" style="2" customWidth="1"/>
    <col min="5" max="5" width="9.1796875" style="13" customWidth="1"/>
    <col min="6" max="6" width="1.81640625" style="2" customWidth="1"/>
    <col min="7" max="7" width="12.6328125" style="2" customWidth="1"/>
    <col min="8" max="8" width="1.81640625" style="2" customWidth="1"/>
    <col min="9" max="11" width="11.26953125" style="2" customWidth="1"/>
    <col min="12" max="12" width="1.7265625" style="14" customWidth="1"/>
    <col min="13" max="13" width="12.7265625" style="2" customWidth="1"/>
    <col min="14" max="16" width="9.1796875" style="2"/>
    <col min="17" max="17" width="11.26953125" style="2" bestFit="1" customWidth="1"/>
    <col min="18" max="18" width="10.1796875" style="2" bestFit="1" customWidth="1"/>
    <col min="19" max="20" width="9.1796875" style="2"/>
    <col min="21" max="21" width="10.26953125" style="2" bestFit="1" customWidth="1"/>
    <col min="22" max="16384" width="9.1796875" style="2"/>
  </cols>
  <sheetData>
    <row r="1" spans="1:16" ht="15" x14ac:dyDescent="0.3">
      <c r="A1" s="12" t="s">
        <v>0</v>
      </c>
      <c r="M1" s="10" t="s">
        <v>6</v>
      </c>
    </row>
    <row r="2" spans="1:16" x14ac:dyDescent="0.25">
      <c r="A2" s="15" t="s">
        <v>7</v>
      </c>
      <c r="M2" s="16" t="str">
        <f>Index!F2</f>
        <v>April 14, 2022</v>
      </c>
    </row>
    <row r="3" spans="1:16" x14ac:dyDescent="0.25">
      <c r="A3" s="15" t="s">
        <v>8</v>
      </c>
    </row>
    <row r="4" spans="1:16" x14ac:dyDescent="0.25">
      <c r="A4" s="15"/>
    </row>
    <row r="5" spans="1:16" x14ac:dyDescent="0.25">
      <c r="A5" s="15"/>
    </row>
    <row r="6" spans="1:16" s="13" customFormat="1" x14ac:dyDescent="0.25">
      <c r="G6" s="17"/>
      <c r="I6" s="17"/>
      <c r="J6" s="17"/>
      <c r="K6" s="207"/>
      <c r="L6" s="17"/>
      <c r="M6" s="2"/>
    </row>
    <row r="7" spans="1:16" s="19" customFormat="1" ht="25" x14ac:dyDescent="0.25">
      <c r="A7" s="18" t="s">
        <v>9</v>
      </c>
      <c r="C7" s="18" t="s">
        <v>10</v>
      </c>
      <c r="E7" s="18" t="s">
        <v>11</v>
      </c>
      <c r="G7" s="18" t="s">
        <v>12</v>
      </c>
      <c r="I7" s="18" t="s">
        <v>13</v>
      </c>
      <c r="J7" s="18" t="s">
        <v>360</v>
      </c>
      <c r="K7" s="18" t="s">
        <v>364</v>
      </c>
      <c r="L7" s="20"/>
      <c r="M7" s="18" t="s">
        <v>385</v>
      </c>
    </row>
    <row r="9" spans="1:16" x14ac:dyDescent="0.25">
      <c r="A9" s="2">
        <v>1</v>
      </c>
      <c r="C9" s="21" t="s">
        <v>14</v>
      </c>
    </row>
    <row r="10" spans="1:16" x14ac:dyDescent="0.25">
      <c r="A10" s="2">
        <f>A9+1</f>
        <v>2</v>
      </c>
      <c r="C10" s="2" t="s">
        <v>15</v>
      </c>
      <c r="E10" s="13" t="s">
        <v>344</v>
      </c>
      <c r="G10" s="22">
        <f>'Schedule 3'!G13</f>
        <v>612436.33080999996</v>
      </c>
      <c r="I10" s="22">
        <f>'Schedule 3'!I13</f>
        <v>615386.82991999993</v>
      </c>
      <c r="J10" s="22">
        <f>'Schedule 3'!J13</f>
        <v>642737.99056999991</v>
      </c>
      <c r="K10" s="22">
        <f>'Schedule 3'!K13</f>
        <v>672466.67311999993</v>
      </c>
      <c r="L10" s="23"/>
      <c r="M10" s="22">
        <f>'Schedule 3'!M13</f>
        <v>728281.80911846145</v>
      </c>
      <c r="N10" s="24"/>
      <c r="P10" s="25"/>
    </row>
    <row r="11" spans="1:16" x14ac:dyDescent="0.25">
      <c r="E11" s="13" t="s">
        <v>16</v>
      </c>
      <c r="G11" s="22"/>
      <c r="I11" s="22"/>
      <c r="J11" s="22"/>
      <c r="K11" s="22"/>
      <c r="L11" s="23"/>
      <c r="M11" s="22"/>
    </row>
    <row r="12" spans="1:16" x14ac:dyDescent="0.25">
      <c r="C12" s="2" t="s">
        <v>17</v>
      </c>
      <c r="G12" s="22"/>
      <c r="I12" s="22"/>
      <c r="J12" s="22"/>
      <c r="K12" s="22"/>
      <c r="L12" s="23"/>
      <c r="M12" s="22"/>
    </row>
    <row r="13" spans="1:16" x14ac:dyDescent="0.25">
      <c r="A13" s="2">
        <f>A10+1</f>
        <v>3</v>
      </c>
      <c r="C13" s="2" t="s">
        <v>18</v>
      </c>
      <c r="E13" s="13" t="s">
        <v>216</v>
      </c>
      <c r="G13" s="22">
        <f>'Schedule 3'!G19</f>
        <v>163052.79194000011</v>
      </c>
      <c r="I13" s="22">
        <f>'Schedule 3'!I19</f>
        <v>160540.67798000009</v>
      </c>
      <c r="J13" s="22">
        <f>'Schedule 3'!J19</f>
        <v>172426.38678000009</v>
      </c>
      <c r="K13" s="22">
        <f>'Schedule 3'!K19</f>
        <v>185384.1806900001</v>
      </c>
      <c r="L13" s="23"/>
      <c r="M13" s="22">
        <f>'Schedule 3'!M19</f>
        <v>198339.31113659337</v>
      </c>
    </row>
    <row r="14" spans="1:16" x14ac:dyDescent="0.25">
      <c r="G14" s="22"/>
      <c r="I14" s="22"/>
      <c r="J14" s="22"/>
      <c r="K14" s="22"/>
      <c r="L14" s="23"/>
      <c r="M14" s="22"/>
    </row>
    <row r="15" spans="1:16" x14ac:dyDescent="0.25">
      <c r="A15" s="2">
        <f>A13+1</f>
        <v>4</v>
      </c>
      <c r="C15" s="2" t="s">
        <v>19</v>
      </c>
      <c r="E15" s="13" t="s">
        <v>22</v>
      </c>
      <c r="G15" s="22">
        <f>'Schedule 3'!G26</f>
        <v>7620.4991900000005</v>
      </c>
      <c r="I15" s="22">
        <f>'Schedule 3'!I26</f>
        <v>4491.3864100000001</v>
      </c>
      <c r="J15" s="22">
        <f>'Schedule 3'!J26</f>
        <v>8088.3169699999999</v>
      </c>
      <c r="K15" s="22">
        <f>'Schedule 3'!K26</f>
        <v>11872.680550000001</v>
      </c>
      <c r="L15" s="23"/>
      <c r="M15" s="22">
        <f>'Schedule 3'!M26</f>
        <v>40571.94255</v>
      </c>
      <c r="N15" s="25"/>
      <c r="O15" s="25"/>
      <c r="P15" s="25"/>
    </row>
    <row r="16" spans="1:16" x14ac:dyDescent="0.25">
      <c r="A16" s="2">
        <f>A15+1</f>
        <v>5</v>
      </c>
      <c r="C16" s="2" t="s">
        <v>21</v>
      </c>
      <c r="E16" s="13" t="s">
        <v>20</v>
      </c>
      <c r="G16" s="22">
        <f>'Schedule 3'!G24</f>
        <v>2192.9078289999998</v>
      </c>
      <c r="I16" s="22">
        <f>'Schedule 3'!I24</f>
        <v>2192.9078289999998</v>
      </c>
      <c r="J16" s="22">
        <f>'Schedule 3'!J24</f>
        <v>1989.106366</v>
      </c>
      <c r="K16" s="22">
        <f>'Schedule 3'!K24</f>
        <v>351.45490299999994</v>
      </c>
      <c r="L16" s="23"/>
      <c r="M16" s="22">
        <f>'Schedule 3'!M24</f>
        <v>12152.327230000001</v>
      </c>
    </row>
    <row r="17" spans="1:31" x14ac:dyDescent="0.25">
      <c r="A17" s="2">
        <f>A16+1</f>
        <v>6</v>
      </c>
      <c r="C17" s="2" t="s">
        <v>23</v>
      </c>
      <c r="E17" s="13" t="s">
        <v>26</v>
      </c>
      <c r="G17" s="26">
        <f>'Schedule 3'!G33</f>
        <v>7807.9959099999996</v>
      </c>
      <c r="I17" s="26">
        <f>'Schedule 3'!I33</f>
        <v>7248.9971699999987</v>
      </c>
      <c r="J17" s="26">
        <f>'Schedule 3'!J33</f>
        <v>6230.7979699999996</v>
      </c>
      <c r="K17" s="26">
        <f>'Schedule 3'!K33</f>
        <v>650.30770362936119</v>
      </c>
      <c r="L17" s="23"/>
      <c r="M17" s="26">
        <f>'Schedule 3'!M33</f>
        <v>7647.1959383458307</v>
      </c>
    </row>
    <row r="18" spans="1:31" x14ac:dyDescent="0.25">
      <c r="A18" s="2">
        <f>A17+1</f>
        <v>7</v>
      </c>
      <c r="C18" s="2" t="s">
        <v>24</v>
      </c>
      <c r="G18" s="22">
        <f>SUM(G13:G17)</f>
        <v>180674.19486900012</v>
      </c>
      <c r="I18" s="22">
        <f>SUM(I13:I17)</f>
        <v>174473.96938900009</v>
      </c>
      <c r="J18" s="22">
        <f>SUM(J13:J17)</f>
        <v>188734.60808600008</v>
      </c>
      <c r="K18" s="22">
        <f>SUM(K13:K17)</f>
        <v>198258.62384662946</v>
      </c>
      <c r="L18" s="23"/>
      <c r="M18" s="22">
        <f>SUM(M13:M17)</f>
        <v>258710.77685493921</v>
      </c>
    </row>
    <row r="19" spans="1:31" x14ac:dyDescent="0.25">
      <c r="G19" s="22"/>
      <c r="I19" s="22"/>
      <c r="J19" s="22"/>
      <c r="K19" s="22"/>
      <c r="L19" s="23"/>
      <c r="M19" s="22"/>
    </row>
    <row r="20" spans="1:31" x14ac:dyDescent="0.25">
      <c r="C20" s="2" t="s">
        <v>25</v>
      </c>
      <c r="G20" s="22"/>
      <c r="I20" s="22"/>
      <c r="J20" s="22"/>
      <c r="K20" s="22"/>
      <c r="L20" s="23"/>
      <c r="M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C20" s="22"/>
      <c r="AD20" s="22"/>
      <c r="AE20" s="22"/>
    </row>
    <row r="21" spans="1:31" x14ac:dyDescent="0.25">
      <c r="A21" s="2">
        <f>A18+1</f>
        <v>8</v>
      </c>
      <c r="C21" s="2" t="s">
        <v>377</v>
      </c>
      <c r="E21" s="13" t="s">
        <v>345</v>
      </c>
      <c r="G21" s="23">
        <f>'Schedule 3'!G81</f>
        <v>41695.399550999995</v>
      </c>
      <c r="I21" s="23">
        <f>'Schedule 3'!I81</f>
        <v>29961.783757000001</v>
      </c>
      <c r="J21" s="23">
        <f>'Schedule 3'!J81</f>
        <v>32018.904606</v>
      </c>
      <c r="K21" s="23">
        <f>'Schedule 3'!K81</f>
        <v>36071.470545098258</v>
      </c>
      <c r="L21" s="23"/>
      <c r="M21" s="23">
        <f>'Schedule 3'!M81</f>
        <v>42021.590906098267</v>
      </c>
      <c r="Q21" s="22"/>
      <c r="R21" s="22"/>
      <c r="S21" s="22"/>
      <c r="T21" s="22"/>
      <c r="U21" s="22"/>
      <c r="V21" s="22"/>
      <c r="W21" s="22"/>
      <c r="Y21" s="22"/>
      <c r="Z21" s="22"/>
      <c r="AA21" s="22"/>
      <c r="AC21" s="22"/>
      <c r="AD21" s="22"/>
      <c r="AE21" s="22"/>
    </row>
    <row r="22" spans="1:31" x14ac:dyDescent="0.25">
      <c r="A22" s="2">
        <f>A21+1</f>
        <v>9</v>
      </c>
      <c r="C22" s="2" t="s">
        <v>378</v>
      </c>
      <c r="E22" s="13" t="s">
        <v>346</v>
      </c>
      <c r="G22" s="23">
        <f>'Schedule 3'!G83</f>
        <v>29497.82085</v>
      </c>
      <c r="I22" s="23">
        <f>'Schedule 3'!I83</f>
        <v>18930.084010000002</v>
      </c>
      <c r="J22" s="23">
        <f>'Schedule 3'!J83</f>
        <v>20881.272539999998</v>
      </c>
      <c r="K22" s="23">
        <f>'Schedule 3'!K83</f>
        <v>25385.634550000002</v>
      </c>
      <c r="L22" s="23"/>
      <c r="M22" s="23">
        <f>'Schedule 3'!M83</f>
        <v>30489.241899999997</v>
      </c>
      <c r="Q22" s="22"/>
      <c r="R22" s="22"/>
      <c r="S22" s="22"/>
      <c r="T22" s="22"/>
      <c r="U22" s="22"/>
      <c r="V22" s="22"/>
      <c r="W22" s="22"/>
      <c r="Y22" s="22"/>
      <c r="Z22" s="22"/>
      <c r="AA22" s="22"/>
      <c r="AC22" s="22"/>
      <c r="AD22" s="22"/>
      <c r="AE22" s="22"/>
    </row>
    <row r="23" spans="1:31" x14ac:dyDescent="0.25">
      <c r="A23" s="2">
        <f>A22+1</f>
        <v>10</v>
      </c>
      <c r="C23" s="2" t="s">
        <v>28</v>
      </c>
      <c r="G23" s="27">
        <f>G21-G22</f>
        <v>12197.578700999995</v>
      </c>
      <c r="I23" s="27">
        <f>I21-I22</f>
        <v>11031.699746999999</v>
      </c>
      <c r="J23" s="27">
        <f>J21-J22</f>
        <v>11137.632066000002</v>
      </c>
      <c r="K23" s="27">
        <f>K21-K22</f>
        <v>10685.835995098256</v>
      </c>
      <c r="L23" s="23"/>
      <c r="M23" s="27">
        <f>M21-M22</f>
        <v>11532.349006098269</v>
      </c>
      <c r="Q23" s="25"/>
      <c r="R23" s="25"/>
      <c r="S23" s="25"/>
      <c r="U23" s="25"/>
      <c r="V23" s="25"/>
      <c r="W23" s="25"/>
      <c r="Y23" s="25"/>
      <c r="Z23" s="25"/>
      <c r="AA23" s="25"/>
      <c r="AC23" s="25"/>
      <c r="AD23" s="25"/>
      <c r="AE23" s="25"/>
    </row>
    <row r="24" spans="1:31" x14ac:dyDescent="0.25">
      <c r="G24" s="23"/>
      <c r="I24" s="23"/>
      <c r="J24" s="23"/>
      <c r="K24" s="23"/>
      <c r="L24" s="23"/>
      <c r="M24" s="23"/>
      <c r="Q24" s="22"/>
      <c r="R24" s="22"/>
      <c r="S24" s="22"/>
      <c r="T24" s="22"/>
      <c r="U24" s="22"/>
      <c r="V24" s="22"/>
      <c r="W24" s="22"/>
      <c r="Y24" s="22"/>
      <c r="Z24" s="22"/>
      <c r="AA24" s="22"/>
      <c r="AC24" s="22"/>
      <c r="AD24" s="22"/>
      <c r="AE24" s="22"/>
    </row>
    <row r="25" spans="1:31" x14ac:dyDescent="0.25">
      <c r="C25" s="21" t="s">
        <v>29</v>
      </c>
      <c r="G25" s="22"/>
      <c r="I25" s="22"/>
      <c r="J25" s="22"/>
      <c r="K25" s="22"/>
      <c r="L25" s="23"/>
      <c r="M25" s="22"/>
      <c r="Y25" s="25"/>
      <c r="Z25" s="25"/>
      <c r="AA25" s="25"/>
      <c r="AD25" s="25"/>
      <c r="AE25" s="25"/>
    </row>
    <row r="26" spans="1:31" x14ac:dyDescent="0.25">
      <c r="A26" s="2">
        <f>A23+1</f>
        <v>11</v>
      </c>
      <c r="C26" s="2" t="s">
        <v>30</v>
      </c>
      <c r="E26" s="13" t="s">
        <v>348</v>
      </c>
      <c r="G26" s="22">
        <f>G10-G18+G23</f>
        <v>443959.71464199986</v>
      </c>
      <c r="I26" s="22">
        <f>I10-I18+I23</f>
        <v>451944.56027799984</v>
      </c>
      <c r="J26" s="22">
        <f>J10-J18+J23</f>
        <v>465141.01454999985</v>
      </c>
      <c r="K26" s="22">
        <f>K10-K18+K23</f>
        <v>484893.88526846876</v>
      </c>
      <c r="L26" s="23"/>
      <c r="M26" s="22">
        <f>M10-M18+M23</f>
        <v>481103.38126962056</v>
      </c>
      <c r="N26" s="24"/>
      <c r="Y26" s="25"/>
      <c r="Z26" s="25"/>
      <c r="AA26" s="25"/>
      <c r="AB26" s="25"/>
      <c r="AC26" s="25"/>
      <c r="AD26" s="22"/>
      <c r="AE26" s="22"/>
    </row>
    <row r="27" spans="1:31" x14ac:dyDescent="0.25">
      <c r="A27" s="2">
        <f>A26+1</f>
        <v>12</v>
      </c>
      <c r="C27" s="2" t="s">
        <v>31</v>
      </c>
      <c r="G27" s="26">
        <v>446777.06542699994</v>
      </c>
      <c r="I27" s="26">
        <v>446795.24430999992</v>
      </c>
      <c r="J27" s="26">
        <f>I26</f>
        <v>451944.56027799984</v>
      </c>
      <c r="K27" s="26">
        <f>J26</f>
        <v>465141.01454999985</v>
      </c>
      <c r="L27" s="23"/>
      <c r="M27" s="26">
        <f>K26</f>
        <v>484893.88526846876</v>
      </c>
      <c r="Y27" s="25"/>
      <c r="Z27" s="25"/>
      <c r="AA27" s="25"/>
    </row>
    <row r="28" spans="1:31" x14ac:dyDescent="0.25">
      <c r="G28" s="22"/>
      <c r="I28" s="22"/>
      <c r="J28" s="22"/>
      <c r="K28" s="22"/>
      <c r="L28" s="23"/>
      <c r="M28" s="22"/>
    </row>
    <row r="29" spans="1:31" x14ac:dyDescent="0.25">
      <c r="A29" s="2">
        <f>A27+1</f>
        <v>13</v>
      </c>
      <c r="C29" s="2" t="s">
        <v>33</v>
      </c>
      <c r="G29" s="22">
        <f>(G27+G26)/2</f>
        <v>445368.39003449993</v>
      </c>
      <c r="I29" s="22">
        <f>(I27+I26)/2</f>
        <v>449369.90229399991</v>
      </c>
      <c r="J29" s="22">
        <f>(J27+J26)/2</f>
        <v>458542.78741399985</v>
      </c>
      <c r="K29" s="22">
        <f>(K27+K26)/2</f>
        <v>475017.4499092343</v>
      </c>
      <c r="L29" s="23"/>
      <c r="M29" s="22">
        <f>(M27+M26)/2</f>
        <v>482998.63326904469</v>
      </c>
      <c r="N29" s="24"/>
    </row>
    <row r="30" spans="1:31" x14ac:dyDescent="0.25">
      <c r="G30" s="22"/>
      <c r="I30" s="22"/>
      <c r="J30" s="22"/>
      <c r="K30" s="22"/>
      <c r="L30" s="23"/>
      <c r="M30" s="22"/>
    </row>
    <row r="31" spans="1:31" x14ac:dyDescent="0.25">
      <c r="A31" s="2">
        <f>A29+1</f>
        <v>14</v>
      </c>
      <c r="C31" s="2" t="s">
        <v>34</v>
      </c>
      <c r="G31" s="22">
        <v>3879</v>
      </c>
      <c r="I31" s="22">
        <v>3876</v>
      </c>
      <c r="J31" s="22">
        <v>3144</v>
      </c>
      <c r="K31" s="22">
        <v>2632</v>
      </c>
      <c r="L31" s="23"/>
      <c r="M31" s="22">
        <v>3046</v>
      </c>
      <c r="N31" s="25"/>
    </row>
    <row r="32" spans="1:31" x14ac:dyDescent="0.25">
      <c r="A32" s="2">
        <f>A31+1</f>
        <v>15</v>
      </c>
      <c r="C32" s="2" t="s">
        <v>35</v>
      </c>
      <c r="E32" s="13" t="s">
        <v>36</v>
      </c>
      <c r="G32" s="26">
        <f>'Schedule 2'!G21</f>
        <v>5344.1102083501937</v>
      </c>
      <c r="I32" s="26">
        <f>'Schedule 2'!I21</f>
        <v>5617.2372240973873</v>
      </c>
      <c r="J32" s="26">
        <f>'Schedule 2'!J21</f>
        <v>5934.5783740973784</v>
      </c>
      <c r="K32" s="26">
        <f>'Schedule 2'!K21</f>
        <v>6581.8312808080573</v>
      </c>
      <c r="L32" s="23"/>
      <c r="M32" s="26">
        <f>'Schedule 2'!M21</f>
        <v>7091.9572242594759</v>
      </c>
    </row>
    <row r="33" spans="1:27" x14ac:dyDescent="0.25">
      <c r="G33" s="23"/>
      <c r="I33" s="23"/>
      <c r="J33" s="23"/>
      <c r="K33" s="23"/>
      <c r="L33" s="23"/>
      <c r="M33" s="23"/>
    </row>
    <row r="34" spans="1:27" x14ac:dyDescent="0.25">
      <c r="G34" s="23"/>
      <c r="I34" s="23"/>
      <c r="J34" s="23"/>
      <c r="K34" s="23"/>
      <c r="L34" s="23"/>
      <c r="M34" s="23"/>
    </row>
    <row r="35" spans="1:27" x14ac:dyDescent="0.25">
      <c r="A35" s="2">
        <f>A32+1</f>
        <v>16</v>
      </c>
      <c r="C35" s="21" t="s">
        <v>37</v>
      </c>
      <c r="G35" s="22">
        <f>G29+G31+G32</f>
        <v>454591.5002428501</v>
      </c>
      <c r="I35" s="22">
        <f>I29+I31+I32</f>
        <v>458863.13951809728</v>
      </c>
      <c r="J35" s="22">
        <f>J29+J31+J32</f>
        <v>467621.3657880972</v>
      </c>
      <c r="K35" s="22">
        <f>K29+K31+K32</f>
        <v>484231.28119004238</v>
      </c>
      <c r="L35" s="23"/>
      <c r="M35" s="22">
        <f>M29+M31+M32</f>
        <v>493136.59049330419</v>
      </c>
    </row>
    <row r="36" spans="1:27" x14ac:dyDescent="0.25">
      <c r="G36" s="23"/>
      <c r="I36" s="23"/>
      <c r="J36" s="23"/>
      <c r="K36" s="23"/>
      <c r="L36" s="23"/>
      <c r="M36" s="23"/>
    </row>
    <row r="37" spans="1:27" x14ac:dyDescent="0.25">
      <c r="C37" s="2" t="s">
        <v>17</v>
      </c>
      <c r="G37" s="22"/>
      <c r="I37" s="22"/>
      <c r="J37" s="22"/>
      <c r="K37" s="22"/>
      <c r="L37" s="23"/>
      <c r="M37" s="22"/>
      <c r="Q37" s="25"/>
      <c r="R37" s="25"/>
      <c r="S37" s="25"/>
      <c r="U37" s="25"/>
      <c r="V37" s="25"/>
      <c r="W37" s="25"/>
      <c r="Y37" s="25"/>
      <c r="Z37" s="25"/>
      <c r="AA37" s="25"/>
    </row>
    <row r="38" spans="1:27" x14ac:dyDescent="0.25">
      <c r="C38" s="21" t="s">
        <v>334</v>
      </c>
      <c r="G38" s="22"/>
      <c r="I38" s="22"/>
      <c r="J38" s="22"/>
      <c r="K38" s="22"/>
      <c r="L38" s="23"/>
      <c r="M38" s="22"/>
      <c r="Q38" s="25"/>
      <c r="R38" s="28"/>
      <c r="S38" s="25"/>
      <c r="U38" s="28"/>
      <c r="V38" s="28"/>
      <c r="Y38" s="25"/>
      <c r="Z38" s="25"/>
      <c r="AA38" s="25"/>
    </row>
    <row r="39" spans="1:27" x14ac:dyDescent="0.25">
      <c r="A39" s="2">
        <f>A35+1</f>
        <v>17</v>
      </c>
      <c r="C39" s="2" t="s">
        <v>30</v>
      </c>
      <c r="G39" s="22">
        <v>201231.61713999999</v>
      </c>
      <c r="I39" s="22">
        <v>199526.83090000003</v>
      </c>
      <c r="J39" s="22">
        <v>211718.51792000001</v>
      </c>
      <c r="K39" s="22">
        <v>225336.60061000002</v>
      </c>
      <c r="L39" s="23"/>
      <c r="M39" s="22">
        <v>254347.60061000002</v>
      </c>
      <c r="P39" s="25"/>
      <c r="Q39" s="25"/>
      <c r="R39" s="25"/>
      <c r="S39" s="25"/>
      <c r="U39" s="25"/>
      <c r="V39" s="25"/>
      <c r="W39" s="25"/>
      <c r="Y39" s="25"/>
      <c r="Z39" s="25"/>
      <c r="AA39" s="25"/>
    </row>
    <row r="40" spans="1:27" x14ac:dyDescent="0.25">
      <c r="A40" s="2">
        <f>A39+1</f>
        <v>18</v>
      </c>
      <c r="C40" s="2" t="s">
        <v>38</v>
      </c>
      <c r="G40" s="26">
        <v>0</v>
      </c>
      <c r="I40" s="26">
        <v>603.05851000000007</v>
      </c>
      <c r="J40" s="26">
        <v>385.36619999999999</v>
      </c>
      <c r="K40" s="26">
        <v>776.28208999999993</v>
      </c>
      <c r="L40" s="23"/>
      <c r="M40" s="26">
        <v>20776.282090000001</v>
      </c>
      <c r="P40" s="25"/>
    </row>
    <row r="41" spans="1:27" x14ac:dyDescent="0.25">
      <c r="A41" s="2">
        <f>A40+1</f>
        <v>19</v>
      </c>
      <c r="C41" s="2" t="s">
        <v>39</v>
      </c>
      <c r="G41" s="22">
        <f>G39-G40</f>
        <v>201231.61713999999</v>
      </c>
      <c r="I41" s="22">
        <f>I39-I40</f>
        <v>198923.77239000003</v>
      </c>
      <c r="J41" s="22">
        <f>J39-J40</f>
        <v>211333.15172000002</v>
      </c>
      <c r="K41" s="22">
        <f>K39-K40</f>
        <v>224560.31852000003</v>
      </c>
      <c r="L41" s="23"/>
      <c r="M41" s="22">
        <f>M39-M40</f>
        <v>233571.31852000003</v>
      </c>
      <c r="P41" s="25"/>
    </row>
    <row r="42" spans="1:27" x14ac:dyDescent="0.25">
      <c r="A42" s="2">
        <f>A41+1</f>
        <v>20</v>
      </c>
      <c r="C42" s="2" t="s">
        <v>40</v>
      </c>
      <c r="G42" s="26">
        <v>35975.578200000004</v>
      </c>
      <c r="I42" s="26">
        <v>34536.325139999994</v>
      </c>
      <c r="J42" s="26">
        <v>39276.360019999993</v>
      </c>
      <c r="K42" s="26">
        <v>44305.711200000005</v>
      </c>
      <c r="L42" s="23"/>
      <c r="M42" s="26">
        <v>48721.982702000001</v>
      </c>
      <c r="P42" s="25"/>
      <c r="Q42" s="28"/>
      <c r="R42" s="28"/>
      <c r="S42" s="28"/>
    </row>
    <row r="43" spans="1:27" x14ac:dyDescent="0.25">
      <c r="A43" s="2">
        <f>A42+1</f>
        <v>21</v>
      </c>
      <c r="C43" s="2" t="s">
        <v>41</v>
      </c>
      <c r="G43" s="22">
        <f>G41-G42</f>
        <v>165256.03894</v>
      </c>
      <c r="I43" s="22">
        <f>I41-I42</f>
        <v>164387.44725000003</v>
      </c>
      <c r="J43" s="22">
        <f>J41-J42</f>
        <v>172056.79170000003</v>
      </c>
      <c r="K43" s="22">
        <f>K41-K42</f>
        <v>180254.60732000001</v>
      </c>
      <c r="L43" s="23"/>
      <c r="M43" s="22">
        <f>M41-M42</f>
        <v>184849.33581800002</v>
      </c>
      <c r="Q43" s="25"/>
      <c r="R43" s="25"/>
      <c r="S43" s="25"/>
      <c r="Z43" s="25"/>
      <c r="AA43" s="25"/>
    </row>
    <row r="44" spans="1:27" x14ac:dyDescent="0.25">
      <c r="G44" s="22"/>
      <c r="I44" s="22"/>
      <c r="J44" s="22"/>
      <c r="K44" s="22"/>
      <c r="L44" s="23"/>
      <c r="M44" s="22"/>
      <c r="Q44" s="29"/>
      <c r="R44" s="29"/>
      <c r="S44" s="29"/>
      <c r="Z44" s="42"/>
      <c r="AA44" s="42"/>
    </row>
    <row r="45" spans="1:27" x14ac:dyDescent="0.25">
      <c r="A45" s="2">
        <f>A43+1</f>
        <v>22</v>
      </c>
      <c r="C45" s="2" t="s">
        <v>31</v>
      </c>
      <c r="G45" s="26">
        <v>168967.08104000002</v>
      </c>
      <c r="I45" s="26">
        <v>168967.08104000002</v>
      </c>
      <c r="J45" s="26">
        <f>I43</f>
        <v>164387.44725000003</v>
      </c>
      <c r="K45" s="26">
        <f>J43</f>
        <v>172056.79170000003</v>
      </c>
      <c r="L45" s="23"/>
      <c r="M45" s="26">
        <f>K43</f>
        <v>180254.60732000001</v>
      </c>
      <c r="Q45" s="29"/>
      <c r="R45" s="29"/>
      <c r="S45" s="29"/>
      <c r="Z45" s="14"/>
      <c r="AA45" s="14"/>
    </row>
    <row r="46" spans="1:27" x14ac:dyDescent="0.25">
      <c r="G46" s="22"/>
      <c r="I46" s="22"/>
      <c r="J46" s="22"/>
      <c r="K46" s="22"/>
      <c r="L46" s="23"/>
      <c r="M46" s="22"/>
    </row>
    <row r="47" spans="1:27" x14ac:dyDescent="0.25">
      <c r="A47" s="2">
        <f>A45+1</f>
        <v>23</v>
      </c>
      <c r="C47" s="2" t="s">
        <v>33</v>
      </c>
      <c r="G47" s="26">
        <f>(G43+G45)/2</f>
        <v>167111.55999000001</v>
      </c>
      <c r="I47" s="26">
        <f>(I43+I45)/2</f>
        <v>166677.26414500002</v>
      </c>
      <c r="J47" s="26">
        <f>(J43+J45)/2</f>
        <v>168222.11947500001</v>
      </c>
      <c r="K47" s="26">
        <f>(K43+K45)/2</f>
        <v>176155.69951000001</v>
      </c>
      <c r="L47" s="23"/>
      <c r="M47" s="26">
        <f>(M43+M45)/2</f>
        <v>182551.97156900002</v>
      </c>
      <c r="N47" s="24"/>
      <c r="Z47" s="25"/>
      <c r="AA47" s="25"/>
    </row>
    <row r="48" spans="1:27" x14ac:dyDescent="0.25">
      <c r="G48" s="22"/>
      <c r="I48" s="22"/>
      <c r="J48" s="22"/>
      <c r="K48" s="22"/>
      <c r="L48" s="23"/>
      <c r="M48" s="22"/>
    </row>
    <row r="49" spans="1:16" ht="13" thickBot="1" x14ac:dyDescent="0.3">
      <c r="A49" s="2">
        <f>A47+1</f>
        <v>24</v>
      </c>
      <c r="C49" s="21" t="s">
        <v>42</v>
      </c>
      <c r="E49" s="13" t="s">
        <v>43</v>
      </c>
      <c r="G49" s="30">
        <f>G35-G47</f>
        <v>287479.94025285007</v>
      </c>
      <c r="I49" s="30">
        <f>I35-I47</f>
        <v>292185.87537309725</v>
      </c>
      <c r="J49" s="30">
        <f>J35-J47</f>
        <v>299399.24631309719</v>
      </c>
      <c r="K49" s="30">
        <f>K35-K47</f>
        <v>308075.58168004238</v>
      </c>
      <c r="L49" s="23"/>
      <c r="M49" s="30">
        <f>M35-M47</f>
        <v>310584.61892430414</v>
      </c>
      <c r="N49" s="25"/>
      <c r="O49" s="25"/>
      <c r="P49" s="25"/>
    </row>
    <row r="50" spans="1:16" x14ac:dyDescent="0.25">
      <c r="G50" s="22"/>
      <c r="I50" s="22"/>
      <c r="J50" s="22"/>
      <c r="K50" s="22"/>
      <c r="L50" s="23"/>
    </row>
    <row r="51" spans="1:16" x14ac:dyDescent="0.25">
      <c r="C51" s="2" t="s">
        <v>44</v>
      </c>
      <c r="G51" s="22"/>
      <c r="I51" s="22"/>
      <c r="J51" s="22"/>
      <c r="K51" s="22"/>
      <c r="L51" s="23"/>
    </row>
    <row r="52" spans="1:16" x14ac:dyDescent="0.25">
      <c r="C52" s="2" t="s">
        <v>379</v>
      </c>
    </row>
    <row r="53" spans="1:16" x14ac:dyDescent="0.25">
      <c r="C53" s="217"/>
      <c r="D53" s="217"/>
      <c r="E53" s="217"/>
      <c r="F53" s="217"/>
      <c r="G53" s="180"/>
      <c r="H53" s="180"/>
      <c r="I53" s="180"/>
      <c r="J53" s="201"/>
      <c r="K53" s="180"/>
      <c r="L53" s="31"/>
    </row>
  </sheetData>
  <mergeCells count="1">
    <mergeCell ref="C53:F53"/>
  </mergeCells>
  <phoneticPr fontId="0" type="noConversion"/>
  <printOptions horizontalCentered="1"/>
  <pageMargins left="0.55118110236220474" right="0.31496062992125984" top="0.5" bottom="0.5" header="0.51181102362204722" footer="0.51181102362204722"/>
  <pageSetup scale="7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  <pageSetUpPr fitToPage="1"/>
  </sheetPr>
  <dimension ref="A1:M25"/>
  <sheetViews>
    <sheetView view="pageBreakPreview" zoomScaleSheetLayoutView="100" workbookViewId="0">
      <selection activeCell="M6" sqref="M6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27.54296875" style="2" customWidth="1"/>
    <col min="4" max="4" width="1.81640625" style="2" customWidth="1"/>
    <col min="5" max="5" width="9.1796875" style="13"/>
    <col min="6" max="6" width="1.81640625" style="2" customWidth="1"/>
    <col min="7" max="7" width="12.81640625" style="2" customWidth="1"/>
    <col min="8" max="8" width="1.81640625" style="2" customWidth="1"/>
    <col min="9" max="11" width="11.26953125" style="2" customWidth="1"/>
    <col min="12" max="12" width="1.453125" style="14" customWidth="1"/>
    <col min="13" max="13" width="12.90625" style="2" customWidth="1"/>
    <col min="14" max="16384" width="9.1796875" style="2"/>
  </cols>
  <sheetData>
    <row r="1" spans="1:13" ht="15" x14ac:dyDescent="0.3">
      <c r="A1" s="12" t="s">
        <v>0</v>
      </c>
      <c r="M1" s="10" t="s">
        <v>45</v>
      </c>
    </row>
    <row r="2" spans="1:13" ht="14" x14ac:dyDescent="0.3">
      <c r="A2" s="32" t="s">
        <v>46</v>
      </c>
      <c r="E2" s="33"/>
      <c r="F2" s="34"/>
      <c r="H2" s="34"/>
      <c r="M2" s="16" t="str">
        <f>Index!F2</f>
        <v>April 14, 2022</v>
      </c>
    </row>
    <row r="3" spans="1:13" x14ac:dyDescent="0.25">
      <c r="A3" s="15" t="s">
        <v>8</v>
      </c>
      <c r="J3" s="14"/>
      <c r="K3" s="14"/>
    </row>
    <row r="6" spans="1:13" s="13" customFormat="1" x14ac:dyDescent="0.25">
      <c r="G6" s="17"/>
      <c r="I6" s="17"/>
      <c r="J6" s="17"/>
      <c r="K6" s="207"/>
      <c r="L6" s="17"/>
      <c r="M6" s="207"/>
    </row>
    <row r="7" spans="1:13" s="19" customFormat="1" ht="25" x14ac:dyDescent="0.25">
      <c r="A7" s="18" t="s">
        <v>9</v>
      </c>
      <c r="C7" s="18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</row>
    <row r="9" spans="1:13" x14ac:dyDescent="0.25">
      <c r="A9" s="2">
        <v>1</v>
      </c>
      <c r="C9" s="2" t="s">
        <v>47</v>
      </c>
      <c r="E9" s="13" t="s">
        <v>48</v>
      </c>
      <c r="G9" s="22">
        <f>'Schedule 5'!G16</f>
        <v>23714.856181529012</v>
      </c>
      <c r="I9" s="22">
        <f>'Schedule 5'!I16</f>
        <v>27794.447446414069</v>
      </c>
      <c r="J9" s="22">
        <f>'Schedule 5'!J16</f>
        <v>29784.141591192958</v>
      </c>
      <c r="K9" s="22">
        <f>'Schedule 5'!K16</f>
        <v>37675.835183103365</v>
      </c>
      <c r="L9" s="23"/>
      <c r="M9" s="22">
        <f>'Schedule 5'!M16</f>
        <v>43211.338227249857</v>
      </c>
    </row>
    <row r="10" spans="1:13" x14ac:dyDescent="0.25">
      <c r="A10" s="2">
        <v>2</v>
      </c>
      <c r="C10" s="2" t="s">
        <v>49</v>
      </c>
      <c r="E10" s="13" t="s">
        <v>50</v>
      </c>
      <c r="G10" s="22">
        <f>'Schedule 5'!G17</f>
        <v>708.13965357545919</v>
      </c>
      <c r="I10" s="22">
        <f>'Schedule 5'!I17</f>
        <v>670.86845243333323</v>
      </c>
      <c r="J10" s="22">
        <f>'Schedule 5'!J17</f>
        <v>672.54982999999982</v>
      </c>
      <c r="K10" s="22">
        <f>'Schedule 5'!K17</f>
        <v>739.45727411666655</v>
      </c>
      <c r="L10" s="23"/>
      <c r="M10" s="22">
        <f>'Schedule 5'!M17</f>
        <v>749.75450131960019</v>
      </c>
    </row>
    <row r="11" spans="1:13" x14ac:dyDescent="0.25">
      <c r="A11" s="2">
        <v>3</v>
      </c>
      <c r="C11" s="2" t="s">
        <v>51</v>
      </c>
      <c r="G11" s="22">
        <v>-99.999999999999957</v>
      </c>
      <c r="I11" s="22">
        <v>-99.349270000000004</v>
      </c>
      <c r="J11" s="22">
        <v>-166.39563000000001</v>
      </c>
      <c r="K11" s="22">
        <v>-94.999999999999901</v>
      </c>
      <c r="L11" s="23"/>
      <c r="M11" s="22">
        <v>-120.00024999999994</v>
      </c>
    </row>
    <row r="12" spans="1:13" x14ac:dyDescent="0.25">
      <c r="G12" s="22"/>
      <c r="I12" s="22"/>
      <c r="J12" s="22"/>
      <c r="K12" s="22"/>
      <c r="L12" s="23"/>
      <c r="M12" s="22"/>
    </row>
    <row r="13" spans="1:13" x14ac:dyDescent="0.25">
      <c r="A13" s="2">
        <v>4</v>
      </c>
      <c r="C13" s="2" t="s">
        <v>52</v>
      </c>
      <c r="G13" s="22">
        <f>SUM(G9:G11)</f>
        <v>24322.99583510447</v>
      </c>
      <c r="I13" s="22">
        <f>SUM(I9:I11)</f>
        <v>28365.966628847404</v>
      </c>
      <c r="J13" s="22">
        <f>SUM(J9:J11)</f>
        <v>30290.295791192959</v>
      </c>
      <c r="K13" s="22">
        <f>SUM(K9:K11)</f>
        <v>38320.292457220028</v>
      </c>
      <c r="L13" s="23"/>
      <c r="M13" s="22">
        <f>SUM(M9:M11)</f>
        <v>43841.092478569459</v>
      </c>
    </row>
    <row r="14" spans="1:13" x14ac:dyDescent="0.25">
      <c r="G14" s="35"/>
      <c r="I14" s="35"/>
      <c r="J14" s="35"/>
      <c r="K14" s="35"/>
      <c r="L14" s="36"/>
      <c r="M14" s="35"/>
    </row>
    <row r="15" spans="1:13" x14ac:dyDescent="0.25">
      <c r="A15" s="2">
        <v>5</v>
      </c>
      <c r="C15" s="2" t="s">
        <v>53</v>
      </c>
      <c r="G15" s="35">
        <f>G13*27/365</f>
        <v>1799.2353083501937</v>
      </c>
      <c r="I15" s="35">
        <f>I13*27/365</f>
        <v>2098.3043807640543</v>
      </c>
      <c r="J15" s="35">
        <f>J13*27/365</f>
        <v>2240.652017430712</v>
      </c>
      <c r="K15" s="35">
        <f>K13*27/365</f>
        <v>2834.6517708080569</v>
      </c>
      <c r="L15" s="36"/>
      <c r="M15" s="35">
        <f>M13*27/365</f>
        <v>3243.0397175928092</v>
      </c>
    </row>
    <row r="16" spans="1:13" x14ac:dyDescent="0.25">
      <c r="G16" s="22"/>
      <c r="I16" s="22"/>
      <c r="J16" s="22"/>
      <c r="K16" s="22"/>
      <c r="L16" s="23"/>
      <c r="M16" s="22"/>
    </row>
    <row r="17" spans="1:13" x14ac:dyDescent="0.25">
      <c r="A17" s="2">
        <v>6</v>
      </c>
      <c r="C17" s="2" t="s">
        <v>54</v>
      </c>
      <c r="G17" s="22">
        <v>3702.8749000000003</v>
      </c>
      <c r="I17" s="22">
        <v>3696.9328433333335</v>
      </c>
      <c r="J17" s="22">
        <v>3836.9263566666668</v>
      </c>
      <c r="K17" s="22">
        <v>3913.1795099999999</v>
      </c>
      <c r="L17" s="23"/>
      <c r="M17" s="22">
        <v>4013.9175066666667</v>
      </c>
    </row>
    <row r="18" spans="1:13" x14ac:dyDescent="0.25">
      <c r="G18" s="22"/>
      <c r="I18" s="22"/>
      <c r="J18" s="22"/>
      <c r="K18" s="22"/>
      <c r="L18" s="23"/>
      <c r="M18" s="22"/>
    </row>
    <row r="19" spans="1:13" x14ac:dyDescent="0.25">
      <c r="A19" s="2">
        <v>7</v>
      </c>
      <c r="C19" s="2" t="s">
        <v>55</v>
      </c>
      <c r="E19" s="13" t="s">
        <v>56</v>
      </c>
      <c r="G19" s="26">
        <f>'Schedule 2A'!G30</f>
        <v>-158</v>
      </c>
      <c r="I19" s="26">
        <f>'Schedule 2A'!I30</f>
        <v>-178</v>
      </c>
      <c r="J19" s="26">
        <f>'Schedule 2A'!J30</f>
        <v>-143</v>
      </c>
      <c r="K19" s="26">
        <f>'Schedule 2A'!K30</f>
        <v>-166</v>
      </c>
      <c r="L19" s="23"/>
      <c r="M19" s="26">
        <f>'Schedule 2A'!M30</f>
        <v>-165</v>
      </c>
    </row>
    <row r="20" spans="1:13" x14ac:dyDescent="0.25">
      <c r="G20" s="22"/>
      <c r="I20" s="22"/>
      <c r="J20" s="22"/>
      <c r="K20" s="22"/>
      <c r="L20" s="23"/>
      <c r="M20" s="22"/>
    </row>
    <row r="21" spans="1:13" ht="13" thickBot="1" x14ac:dyDescent="0.3">
      <c r="A21" s="2">
        <v>8</v>
      </c>
      <c r="C21" s="2" t="s">
        <v>35</v>
      </c>
      <c r="E21" s="13" t="s">
        <v>57</v>
      </c>
      <c r="G21" s="38">
        <f>G15+G17+G19</f>
        <v>5344.1102083501937</v>
      </c>
      <c r="I21" s="38">
        <f>I15+I17+I19</f>
        <v>5617.2372240973873</v>
      </c>
      <c r="J21" s="38">
        <f>J15+J17+J19</f>
        <v>5934.5783740973784</v>
      </c>
      <c r="K21" s="38">
        <f>K15+K17+K19</f>
        <v>6581.8312808080573</v>
      </c>
      <c r="L21" s="36"/>
      <c r="M21" s="38">
        <f>M15+M17+M19</f>
        <v>7091.9572242594759</v>
      </c>
    </row>
    <row r="22" spans="1:13" x14ac:dyDescent="0.25">
      <c r="G22" s="22"/>
      <c r="I22" s="22"/>
      <c r="J22" s="22"/>
      <c r="K22" s="22"/>
      <c r="L22" s="23"/>
    </row>
    <row r="23" spans="1:13" x14ac:dyDescent="0.25">
      <c r="C23" s="37" t="s">
        <v>16</v>
      </c>
      <c r="G23" s="22"/>
      <c r="I23" s="22"/>
      <c r="J23" s="22"/>
      <c r="K23" s="22"/>
      <c r="L23" s="23"/>
    </row>
    <row r="25" spans="1:13" x14ac:dyDescent="0.25">
      <c r="E25" s="39"/>
      <c r="F25" s="21"/>
      <c r="G25" s="40"/>
      <c r="H25" s="21"/>
      <c r="I25" s="40"/>
      <c r="J25" s="40"/>
      <c r="K25" s="40"/>
      <c r="L25" s="41"/>
      <c r="M25" s="40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39997558519241921"/>
    <pageSetUpPr fitToPage="1"/>
  </sheetPr>
  <dimension ref="A1:M30"/>
  <sheetViews>
    <sheetView view="pageBreakPreview" zoomScaleSheetLayoutView="100" workbookViewId="0">
      <selection activeCell="L6" sqref="L6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35.26953125" style="2" customWidth="1"/>
    <col min="4" max="4" width="1.81640625" style="2" customWidth="1"/>
    <col min="5" max="5" width="9.1796875" style="2"/>
    <col min="6" max="6" width="1.81640625" style="2" customWidth="1"/>
    <col min="7" max="7" width="12.26953125" style="2" customWidth="1"/>
    <col min="8" max="8" width="1.81640625" style="2" customWidth="1"/>
    <col min="9" max="11" width="11.26953125" style="2" customWidth="1"/>
    <col min="12" max="12" width="1.453125" style="14" customWidth="1"/>
    <col min="13" max="13" width="13.1796875" style="2" customWidth="1"/>
    <col min="14" max="16384" width="9.1796875" style="2"/>
  </cols>
  <sheetData>
    <row r="1" spans="1:13" ht="15" x14ac:dyDescent="0.3">
      <c r="A1" s="12" t="s">
        <v>0</v>
      </c>
      <c r="M1" s="10" t="s">
        <v>58</v>
      </c>
    </row>
    <row r="2" spans="1:13" x14ac:dyDescent="0.25">
      <c r="A2" s="15" t="s">
        <v>59</v>
      </c>
      <c r="M2" s="16" t="str">
        <f>Index!F2</f>
        <v>April 14, 2022</v>
      </c>
    </row>
    <row r="3" spans="1:13" x14ac:dyDescent="0.25">
      <c r="A3" s="15" t="s">
        <v>8</v>
      </c>
    </row>
    <row r="6" spans="1:13" s="13" customFormat="1" x14ac:dyDescent="0.25">
      <c r="G6" s="17"/>
      <c r="I6" s="17"/>
      <c r="J6" s="17"/>
      <c r="K6" s="207"/>
      <c r="L6" s="17"/>
      <c r="M6" s="207"/>
    </row>
    <row r="7" spans="1:13" s="19" customFormat="1" ht="25" x14ac:dyDescent="0.25">
      <c r="A7" s="18" t="s">
        <v>9</v>
      </c>
      <c r="C7" s="18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</row>
    <row r="9" spans="1:13" x14ac:dyDescent="0.25">
      <c r="A9" s="2">
        <v>1</v>
      </c>
      <c r="C9" s="2" t="s">
        <v>60</v>
      </c>
      <c r="G9" s="25">
        <v>42083.91804234391</v>
      </c>
      <c r="I9" s="25">
        <v>37733.38554666689</v>
      </c>
      <c r="J9" s="25">
        <v>53916.176490000078</v>
      </c>
      <c r="K9" s="25">
        <v>63063.658920426897</v>
      </c>
      <c r="L9" s="42"/>
      <c r="M9" s="25">
        <v>96063.004182098943</v>
      </c>
    </row>
    <row r="11" spans="1:13" x14ac:dyDescent="0.25">
      <c r="A11" s="2">
        <v>2</v>
      </c>
      <c r="C11" s="2" t="s">
        <v>61</v>
      </c>
      <c r="G11" s="43">
        <v>0.05</v>
      </c>
      <c r="I11" s="43">
        <v>0.05</v>
      </c>
      <c r="J11" s="43">
        <v>0.05</v>
      </c>
      <c r="K11" s="43">
        <v>0.05</v>
      </c>
      <c r="L11" s="44"/>
      <c r="M11" s="43">
        <v>0.05</v>
      </c>
    </row>
    <row r="13" spans="1:13" x14ac:dyDescent="0.25">
      <c r="A13" s="2">
        <v>3</v>
      </c>
      <c r="C13" s="2" t="s">
        <v>62</v>
      </c>
      <c r="G13" s="22">
        <f>G11*G9</f>
        <v>2104.1959021171956</v>
      </c>
      <c r="I13" s="22">
        <f>I11*I9</f>
        <v>1886.6692773333446</v>
      </c>
      <c r="J13" s="22">
        <f>J11*J9</f>
        <v>2695.808824500004</v>
      </c>
      <c r="K13" s="22">
        <f>K11*K9</f>
        <v>3153.1829460213448</v>
      </c>
      <c r="L13" s="23"/>
      <c r="M13" s="22">
        <f>M11*M9</f>
        <v>4803.150209104947</v>
      </c>
    </row>
    <row r="15" spans="1:13" x14ac:dyDescent="0.25">
      <c r="A15" s="2">
        <v>4</v>
      </c>
      <c r="C15" s="2" t="s">
        <v>63</v>
      </c>
      <c r="G15" s="26">
        <v>14</v>
      </c>
      <c r="I15" s="26">
        <v>14</v>
      </c>
      <c r="J15" s="26">
        <v>14</v>
      </c>
      <c r="K15" s="26">
        <v>14</v>
      </c>
      <c r="L15" s="23"/>
      <c r="M15" s="26">
        <v>14</v>
      </c>
    </row>
    <row r="17" spans="1:13" x14ac:dyDescent="0.25">
      <c r="A17" s="2">
        <v>5</v>
      </c>
      <c r="C17" s="2" t="s">
        <v>64</v>
      </c>
      <c r="G17" s="26">
        <f>ROUND(G13*G15/365,0)</f>
        <v>81</v>
      </c>
      <c r="I17" s="26">
        <f>ROUND(I13*I15/365,0)</f>
        <v>72</v>
      </c>
      <c r="J17" s="26">
        <f>ROUND(J13*J15/365,0)</f>
        <v>103</v>
      </c>
      <c r="K17" s="26">
        <f>ROUND(K13*K15/365,0)</f>
        <v>121</v>
      </c>
      <c r="L17" s="23"/>
      <c r="M17" s="26">
        <f>ROUND(M13*M15/365,0)</f>
        <v>184</v>
      </c>
    </row>
    <row r="20" spans="1:13" x14ac:dyDescent="0.25">
      <c r="A20" s="2">
        <v>6</v>
      </c>
      <c r="C20" s="2" t="s">
        <v>65</v>
      </c>
      <c r="G20" s="22">
        <v>49793.562824010733</v>
      </c>
      <c r="I20" s="22">
        <v>52059.178980371711</v>
      </c>
      <c r="J20" s="22">
        <v>51302.09621829199</v>
      </c>
      <c r="K20" s="22">
        <v>59946.915618843552</v>
      </c>
      <c r="L20" s="23"/>
      <c r="M20" s="22">
        <v>72824.85648652495</v>
      </c>
    </row>
    <row r="21" spans="1:13" x14ac:dyDescent="0.25">
      <c r="G21" s="14"/>
      <c r="I21" s="14"/>
      <c r="J21" s="14"/>
      <c r="K21" s="14"/>
      <c r="M21" s="14"/>
    </row>
    <row r="22" spans="1:13" x14ac:dyDescent="0.25">
      <c r="A22" s="2">
        <v>7</v>
      </c>
      <c r="C22" s="2" t="s">
        <v>66</v>
      </c>
      <c r="G22" s="43">
        <v>0.05</v>
      </c>
      <c r="I22" s="43">
        <v>0.05</v>
      </c>
      <c r="J22" s="43">
        <v>0.05</v>
      </c>
      <c r="K22" s="43">
        <v>0.05</v>
      </c>
      <c r="L22" s="44"/>
      <c r="M22" s="43">
        <v>0.05</v>
      </c>
    </row>
    <row r="24" spans="1:13" x14ac:dyDescent="0.25">
      <c r="A24" s="2">
        <v>8</v>
      </c>
      <c r="C24" s="2" t="s">
        <v>67</v>
      </c>
      <c r="G24" s="22">
        <f>G22*G20</f>
        <v>2489.6781412005366</v>
      </c>
      <c r="I24" s="22">
        <f>I22*I20</f>
        <v>2602.9589490185858</v>
      </c>
      <c r="J24" s="22">
        <f>J22*J20</f>
        <v>2565.1048109145995</v>
      </c>
      <c r="K24" s="22">
        <f>K22*K20</f>
        <v>2997.345780942178</v>
      </c>
      <c r="L24" s="23"/>
      <c r="M24" s="22">
        <f>M22*M20</f>
        <v>3641.2428243262475</v>
      </c>
    </row>
    <row r="26" spans="1:13" x14ac:dyDescent="0.25">
      <c r="A26" s="2">
        <v>9</v>
      </c>
      <c r="C26" s="2" t="s">
        <v>68</v>
      </c>
      <c r="F26" s="2" t="s">
        <v>16</v>
      </c>
      <c r="G26" s="26">
        <v>35</v>
      </c>
      <c r="H26" s="2" t="s">
        <v>16</v>
      </c>
      <c r="I26" s="26">
        <v>35</v>
      </c>
      <c r="J26" s="26">
        <v>35</v>
      </c>
      <c r="K26" s="26">
        <v>35</v>
      </c>
      <c r="L26" s="23"/>
      <c r="M26" s="26">
        <v>35</v>
      </c>
    </row>
    <row r="28" spans="1:13" x14ac:dyDescent="0.25">
      <c r="A28" s="2">
        <v>10</v>
      </c>
      <c r="C28" s="2" t="s">
        <v>69</v>
      </c>
      <c r="G28" s="26">
        <f>ROUND(G24*G26/365,0)</f>
        <v>239</v>
      </c>
      <c r="I28" s="26">
        <f>ROUND(I24*I26/365,0)</f>
        <v>250</v>
      </c>
      <c r="J28" s="26">
        <f>ROUND(J24*J26/365,0)</f>
        <v>246</v>
      </c>
      <c r="K28" s="26">
        <f>ROUND(K24*K26/365,0)</f>
        <v>287</v>
      </c>
      <c r="L28" s="23"/>
      <c r="M28" s="26">
        <f>ROUND(M24*M26/365,0)</f>
        <v>349</v>
      </c>
    </row>
    <row r="30" spans="1:13" ht="13" thickBot="1" x14ac:dyDescent="0.3">
      <c r="A30" s="2">
        <v>11</v>
      </c>
      <c r="C30" s="2" t="s">
        <v>70</v>
      </c>
      <c r="E30" s="2" t="s">
        <v>71</v>
      </c>
      <c r="G30" s="45">
        <f>G17-G28</f>
        <v>-158</v>
      </c>
      <c r="I30" s="45">
        <f>I17-I28</f>
        <v>-178</v>
      </c>
      <c r="J30" s="45">
        <f>J17-J28</f>
        <v>-143</v>
      </c>
      <c r="K30" s="45">
        <f>K17-K28</f>
        <v>-166</v>
      </c>
      <c r="L30" s="42"/>
      <c r="M30" s="45">
        <f>M17-M28</f>
        <v>-165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39997558519241921"/>
    <pageSetUpPr fitToPage="1"/>
  </sheetPr>
  <dimension ref="A1:P98"/>
  <sheetViews>
    <sheetView view="pageBreakPreview" zoomScaleSheetLayoutView="100" workbookViewId="0">
      <pane ySplit="7" topLeftCell="A89" activePane="bottomLeft" state="frozen"/>
      <selection activeCell="H15" sqref="H15"/>
      <selection pane="bottomLeft" activeCell="M7" sqref="M7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55" style="2" customWidth="1"/>
    <col min="4" max="4" width="1.81640625" style="2" customWidth="1"/>
    <col min="5" max="5" width="9.1796875" style="13" customWidth="1"/>
    <col min="6" max="6" width="1.81640625" style="2" customWidth="1"/>
    <col min="7" max="7" width="12.6328125" style="2" customWidth="1"/>
    <col min="8" max="8" width="1.81640625" style="2" customWidth="1"/>
    <col min="9" max="10" width="11.26953125" style="2" customWidth="1"/>
    <col min="11" max="11" width="11.1796875" style="2" customWidth="1"/>
    <col min="12" max="12" width="1.6328125" style="14" customWidth="1"/>
    <col min="13" max="13" width="13.08984375" style="2" customWidth="1"/>
    <col min="14" max="16384" width="9.1796875" style="2"/>
  </cols>
  <sheetData>
    <row r="1" spans="1:13" ht="15" x14ac:dyDescent="0.3">
      <c r="A1" s="12" t="s">
        <v>0</v>
      </c>
      <c r="M1" s="10" t="s">
        <v>72</v>
      </c>
    </row>
    <row r="2" spans="1:13" x14ac:dyDescent="0.25">
      <c r="A2" s="15" t="s">
        <v>374</v>
      </c>
      <c r="M2" s="16" t="str">
        <f>Index!F2</f>
        <v>April 14, 2022</v>
      </c>
    </row>
    <row r="3" spans="1:13" x14ac:dyDescent="0.25">
      <c r="A3" s="15" t="s">
        <v>8</v>
      </c>
      <c r="J3" s="14"/>
      <c r="K3" s="14"/>
    </row>
    <row r="6" spans="1:13" s="13" customFormat="1" x14ac:dyDescent="0.25">
      <c r="E6" s="13" t="s">
        <v>16</v>
      </c>
      <c r="G6" s="17"/>
      <c r="I6" s="17"/>
      <c r="J6" s="17"/>
      <c r="K6" s="207"/>
      <c r="L6" s="17"/>
      <c r="M6" s="207"/>
    </row>
    <row r="7" spans="1:13" s="19" customFormat="1" ht="25" x14ac:dyDescent="0.25">
      <c r="A7" s="18" t="s">
        <v>9</v>
      </c>
      <c r="C7" s="18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</row>
    <row r="9" spans="1:13" x14ac:dyDescent="0.25">
      <c r="C9" s="21" t="s">
        <v>14</v>
      </c>
    </row>
    <row r="10" spans="1:13" x14ac:dyDescent="0.25">
      <c r="A10" s="2">
        <v>1</v>
      </c>
      <c r="C10" s="2" t="s">
        <v>73</v>
      </c>
      <c r="F10" s="47"/>
      <c r="G10" s="22">
        <v>598756.32526999991</v>
      </c>
      <c r="H10" s="47"/>
      <c r="I10" s="22">
        <v>598756.32526999991</v>
      </c>
      <c r="J10" s="22">
        <f>I13</f>
        <v>615386.82991999993</v>
      </c>
      <c r="K10" s="22">
        <f>J13</f>
        <v>642737.99056999991</v>
      </c>
      <c r="L10" s="23"/>
      <c r="M10" s="22">
        <f>K13</f>
        <v>672466.67311999993</v>
      </c>
    </row>
    <row r="11" spans="1:13" x14ac:dyDescent="0.25">
      <c r="A11" s="2">
        <f>A10+1</f>
        <v>2</v>
      </c>
      <c r="C11" s="2" t="s">
        <v>74</v>
      </c>
      <c r="F11" s="47"/>
      <c r="G11" s="22">
        <v>13680.005539999998</v>
      </c>
      <c r="H11" s="47"/>
      <c r="I11" s="22">
        <v>20189.463969999997</v>
      </c>
      <c r="J11" s="22">
        <v>29258.90221</v>
      </c>
      <c r="K11" s="22">
        <v>29728.682550000001</v>
      </c>
      <c r="L11" s="23"/>
      <c r="M11" s="22">
        <v>57151.639539999989</v>
      </c>
    </row>
    <row r="12" spans="1:13" x14ac:dyDescent="0.25">
      <c r="A12" s="2">
        <f>A11+1</f>
        <v>3</v>
      </c>
      <c r="C12" s="2" t="s">
        <v>75</v>
      </c>
      <c r="F12" s="47"/>
      <c r="G12" s="26">
        <v>0</v>
      </c>
      <c r="H12" s="47"/>
      <c r="I12" s="26">
        <v>-3558.9593200000004</v>
      </c>
      <c r="J12" s="26">
        <v>-1907.7415600000002</v>
      </c>
      <c r="K12" s="26">
        <v>0</v>
      </c>
      <c r="L12" s="23"/>
      <c r="M12" s="26">
        <v>-1336.5035415384614</v>
      </c>
    </row>
    <row r="13" spans="1:13" x14ac:dyDescent="0.25">
      <c r="A13" s="2">
        <f>A12+1</f>
        <v>4</v>
      </c>
      <c r="C13" s="2" t="s">
        <v>76</v>
      </c>
      <c r="E13" s="13" t="s">
        <v>77</v>
      </c>
      <c r="F13" s="47"/>
      <c r="G13" s="22">
        <f>G10+G11+G12</f>
        <v>612436.33080999996</v>
      </c>
      <c r="H13" s="47"/>
      <c r="I13" s="22">
        <f>I10+I11+I12</f>
        <v>615386.82991999993</v>
      </c>
      <c r="J13" s="22">
        <f>J10+J11+J12</f>
        <v>642737.99056999991</v>
      </c>
      <c r="K13" s="22">
        <f>K10+K11+K12</f>
        <v>672466.67311999993</v>
      </c>
      <c r="L13" s="23"/>
      <c r="M13" s="22">
        <f>M10+M11+M12</f>
        <v>728281.80911846145</v>
      </c>
    </row>
    <row r="14" spans="1:13" x14ac:dyDescent="0.25">
      <c r="F14" s="47"/>
      <c r="H14" s="47"/>
    </row>
    <row r="15" spans="1:13" x14ac:dyDescent="0.25">
      <c r="C15" s="21" t="s">
        <v>78</v>
      </c>
    </row>
    <row r="16" spans="1:13" x14ac:dyDescent="0.25">
      <c r="A16" s="2">
        <f>A13+1</f>
        <v>5</v>
      </c>
      <c r="C16" s="2" t="s">
        <v>73</v>
      </c>
      <c r="G16" s="22">
        <v>150856.8383700001</v>
      </c>
      <c r="I16" s="22">
        <v>150856.8383700001</v>
      </c>
      <c r="J16" s="22">
        <f>I19</f>
        <v>160540.67798000009</v>
      </c>
      <c r="K16" s="22">
        <f>J19</f>
        <v>172426.38678000009</v>
      </c>
      <c r="L16" s="23"/>
      <c r="M16" s="22">
        <f>K19</f>
        <v>185384.1806900001</v>
      </c>
    </row>
    <row r="17" spans="1:13" x14ac:dyDescent="0.25">
      <c r="A17" s="2">
        <f>A16+1</f>
        <v>6</v>
      </c>
      <c r="C17" s="2" t="s">
        <v>79</v>
      </c>
      <c r="E17" s="13" t="s">
        <v>80</v>
      </c>
      <c r="G17" s="22">
        <v>12195.95357</v>
      </c>
      <c r="I17" s="22">
        <v>12184.949329999999</v>
      </c>
      <c r="J17" s="22">
        <v>12676.679799999998</v>
      </c>
      <c r="K17" s="22">
        <v>12962.793910000002</v>
      </c>
      <c r="L17" s="23"/>
      <c r="M17" s="22">
        <v>13371.867301977891</v>
      </c>
    </row>
    <row r="18" spans="1:13" x14ac:dyDescent="0.25">
      <c r="A18" s="2">
        <f>A17+1</f>
        <v>7</v>
      </c>
      <c r="C18" s="2" t="s">
        <v>75</v>
      </c>
      <c r="G18" s="26">
        <v>0</v>
      </c>
      <c r="I18" s="26">
        <v>-2501.1097199999999</v>
      </c>
      <c r="J18" s="26">
        <v>-790.97100000000012</v>
      </c>
      <c r="K18" s="26">
        <v>-5</v>
      </c>
      <c r="L18" s="26"/>
      <c r="M18" s="26">
        <v>-416.7368553846153</v>
      </c>
    </row>
    <row r="19" spans="1:13" x14ac:dyDescent="0.25">
      <c r="A19" s="2">
        <f>A18+1</f>
        <v>8</v>
      </c>
      <c r="C19" s="2" t="s">
        <v>76</v>
      </c>
      <c r="E19" s="13" t="s">
        <v>317</v>
      </c>
      <c r="G19" s="25">
        <f>SUM(G16:G18)</f>
        <v>163052.79194000011</v>
      </c>
      <c r="I19" s="25">
        <f>SUM(I16:I18)</f>
        <v>160540.67798000009</v>
      </c>
      <c r="J19" s="25">
        <f>SUM(J16:J18)</f>
        <v>172426.38678000009</v>
      </c>
      <c r="K19" s="25">
        <f>SUM(K16:K18)</f>
        <v>185384.1806900001</v>
      </c>
      <c r="L19" s="42"/>
      <c r="M19" s="25">
        <f>SUM(M16:M18)</f>
        <v>198339.31113659337</v>
      </c>
    </row>
    <row r="20" spans="1:13" x14ac:dyDescent="0.25">
      <c r="G20" s="25"/>
      <c r="I20" s="25"/>
      <c r="J20" s="25"/>
      <c r="K20" s="25"/>
      <c r="L20" s="42"/>
      <c r="M20" s="25"/>
    </row>
    <row r="21" spans="1:13" x14ac:dyDescent="0.25">
      <c r="C21" s="2" t="s">
        <v>81</v>
      </c>
    </row>
    <row r="22" spans="1:13" x14ac:dyDescent="0.25">
      <c r="A22" s="2">
        <f>A19+1</f>
        <v>9</v>
      </c>
      <c r="C22" s="2" t="s">
        <v>21</v>
      </c>
      <c r="G22" s="22">
        <v>2745.85358</v>
      </c>
      <c r="I22" s="22">
        <v>2745.85358</v>
      </c>
      <c r="J22" s="22">
        <v>2745.85358</v>
      </c>
      <c r="K22" s="22">
        <v>1152.4635799999999</v>
      </c>
      <c r="L22" s="23"/>
      <c r="M22" s="22">
        <v>13191.62039</v>
      </c>
    </row>
    <row r="23" spans="1:13" x14ac:dyDescent="0.25">
      <c r="A23" s="2">
        <f>A22+1</f>
        <v>10</v>
      </c>
      <c r="C23" s="2" t="s">
        <v>27</v>
      </c>
      <c r="G23" s="26">
        <v>-552.94575099999997</v>
      </c>
      <c r="I23" s="26">
        <v>-552.94575099999997</v>
      </c>
      <c r="J23" s="26">
        <v>-756.74721399999999</v>
      </c>
      <c r="K23" s="26">
        <v>-801.00867699999992</v>
      </c>
      <c r="L23" s="23"/>
      <c r="M23" s="26">
        <v>-1039.2931599999999</v>
      </c>
    </row>
    <row r="24" spans="1:13" x14ac:dyDescent="0.25">
      <c r="A24" s="2">
        <f>A23+1</f>
        <v>11</v>
      </c>
      <c r="C24" s="2" t="s">
        <v>84</v>
      </c>
      <c r="E24" s="13" t="s">
        <v>82</v>
      </c>
      <c r="G24" s="23">
        <f>SUM(G22:G23)</f>
        <v>2192.9078289999998</v>
      </c>
      <c r="I24" s="23">
        <f>SUM(I22:I23)</f>
        <v>2192.9078289999998</v>
      </c>
      <c r="J24" s="23">
        <f>SUM(J22:J23)</f>
        <v>1989.106366</v>
      </c>
      <c r="K24" s="23">
        <f>SUM(K22:K23)</f>
        <v>351.45490299999994</v>
      </c>
      <c r="L24" s="23"/>
      <c r="M24" s="23">
        <f>SUM(M22:M23)</f>
        <v>12152.327230000001</v>
      </c>
    </row>
    <row r="26" spans="1:13" x14ac:dyDescent="0.25">
      <c r="A26" s="2">
        <f>A24+1</f>
        <v>12</v>
      </c>
      <c r="C26" s="2" t="s">
        <v>19</v>
      </c>
      <c r="E26" s="13" t="s">
        <v>85</v>
      </c>
      <c r="G26" s="22">
        <v>7620.4991900000005</v>
      </c>
      <c r="I26" s="35">
        <v>4491.3864100000001</v>
      </c>
      <c r="J26" s="35">
        <v>8088.3169699999999</v>
      </c>
      <c r="K26" s="35">
        <v>11872.680550000001</v>
      </c>
      <c r="L26" s="23"/>
      <c r="M26" s="35">
        <v>40571.94255</v>
      </c>
    </row>
    <row r="27" spans="1:13" x14ac:dyDescent="0.25">
      <c r="G27" s="22"/>
      <c r="I27" s="22"/>
      <c r="J27" s="22"/>
      <c r="K27" s="22"/>
      <c r="L27" s="23"/>
      <c r="M27" s="22"/>
    </row>
    <row r="28" spans="1:13" x14ac:dyDescent="0.25">
      <c r="C28" s="2" t="s">
        <v>86</v>
      </c>
      <c r="G28" s="22"/>
      <c r="I28" s="22"/>
      <c r="J28" s="22"/>
      <c r="K28" s="22"/>
      <c r="L28" s="23"/>
      <c r="M28" s="22"/>
    </row>
    <row r="29" spans="1:13" x14ac:dyDescent="0.25">
      <c r="A29" s="2">
        <f>A26+1</f>
        <v>13</v>
      </c>
      <c r="C29" s="176" t="s">
        <v>382</v>
      </c>
      <c r="G29" s="22">
        <v>4704.2389999999996</v>
      </c>
      <c r="I29" s="22">
        <v>4704.2389999999996</v>
      </c>
      <c r="J29" s="22">
        <v>4442.2389999999996</v>
      </c>
      <c r="K29" s="22">
        <v>4180.2389999999996</v>
      </c>
      <c r="L29" s="23"/>
      <c r="M29" s="22">
        <v>3918.2389999999987</v>
      </c>
    </row>
    <row r="30" spans="1:13" x14ac:dyDescent="0.25">
      <c r="A30" s="2">
        <f>A29+1</f>
        <v>14</v>
      </c>
      <c r="C30" s="176" t="s">
        <v>381</v>
      </c>
      <c r="G30" s="22"/>
      <c r="I30" s="22"/>
      <c r="J30" s="22"/>
      <c r="K30" s="22">
        <v>-4272.3090963706381</v>
      </c>
      <c r="L30" s="23"/>
      <c r="M30" s="22">
        <v>2781.7699543458311</v>
      </c>
    </row>
    <row r="31" spans="1:13" x14ac:dyDescent="0.25">
      <c r="A31" s="2">
        <f>A30+1</f>
        <v>15</v>
      </c>
      <c r="C31" s="176" t="s">
        <v>87</v>
      </c>
      <c r="G31" s="22">
        <v>-1034.90507</v>
      </c>
      <c r="I31" s="22">
        <v>-1418.6801400000002</v>
      </c>
      <c r="J31" s="22">
        <v>-1001.90934</v>
      </c>
      <c r="K31" s="22">
        <v>-2048.09051</v>
      </c>
      <c r="L31" s="23"/>
      <c r="M31" s="22">
        <v>-1843.2813259999998</v>
      </c>
    </row>
    <row r="32" spans="1:13" x14ac:dyDescent="0.25">
      <c r="A32" s="2">
        <f>A31+1</f>
        <v>16</v>
      </c>
      <c r="C32" s="176" t="s">
        <v>88</v>
      </c>
      <c r="G32" s="26">
        <v>4138.6619799999999</v>
      </c>
      <c r="I32" s="26">
        <v>3963.4383099999995</v>
      </c>
      <c r="J32" s="26">
        <v>2790.4683099999997</v>
      </c>
      <c r="K32" s="26">
        <v>2790.4683099999997</v>
      </c>
      <c r="L32" s="23"/>
      <c r="M32" s="26">
        <v>2790.4683099999997</v>
      </c>
    </row>
    <row r="33" spans="1:13" x14ac:dyDescent="0.25">
      <c r="A33" s="2">
        <f>A32+1</f>
        <v>17</v>
      </c>
      <c r="C33" s="2" t="s">
        <v>335</v>
      </c>
      <c r="E33" s="13" t="s">
        <v>89</v>
      </c>
      <c r="G33" s="23">
        <f>SUM(G29:G32)</f>
        <v>7807.9959099999996</v>
      </c>
      <c r="H33" s="14"/>
      <c r="I33" s="23">
        <f>SUM(I29:I32)</f>
        <v>7248.9971699999987</v>
      </c>
      <c r="J33" s="23">
        <f>SUM(J29:J32)</f>
        <v>6230.7979699999996</v>
      </c>
      <c r="K33" s="23">
        <f>SUM(K29:K32)</f>
        <v>650.30770362936119</v>
      </c>
      <c r="L33" s="23"/>
      <c r="M33" s="23">
        <f>SUM(M29:M32)</f>
        <v>7647.1959383458307</v>
      </c>
    </row>
    <row r="34" spans="1:13" x14ac:dyDescent="0.25">
      <c r="G34" s="22"/>
      <c r="I34" s="22"/>
      <c r="J34" s="22"/>
      <c r="K34" s="22"/>
      <c r="L34" s="23"/>
      <c r="M34" s="22"/>
    </row>
    <row r="35" spans="1:13" x14ac:dyDescent="0.25">
      <c r="A35" s="2">
        <f>A33+1</f>
        <v>18</v>
      </c>
      <c r="C35" s="2" t="s">
        <v>90</v>
      </c>
      <c r="G35" s="26">
        <f>G24+G26+G33</f>
        <v>17621.402929</v>
      </c>
      <c r="I35" s="26">
        <f>I24+I26+I33</f>
        <v>13933.291408999998</v>
      </c>
      <c r="J35" s="26">
        <f>J24+J26+J33</f>
        <v>16308.221305999999</v>
      </c>
      <c r="K35" s="26">
        <f>K24+K26+K33</f>
        <v>12874.443156629362</v>
      </c>
      <c r="L35" s="23"/>
      <c r="M35" s="26">
        <f>M24+M26+M33</f>
        <v>60371.465718345833</v>
      </c>
    </row>
    <row r="36" spans="1:13" x14ac:dyDescent="0.25">
      <c r="G36" s="22"/>
      <c r="I36" s="22"/>
      <c r="J36" s="22"/>
      <c r="K36" s="22"/>
      <c r="L36" s="23"/>
      <c r="M36" s="22"/>
    </row>
    <row r="37" spans="1:13" ht="13" thickBot="1" x14ac:dyDescent="0.3">
      <c r="A37" s="2">
        <f>A35+1</f>
        <v>19</v>
      </c>
      <c r="C37" s="2" t="s">
        <v>91</v>
      </c>
      <c r="G37" s="30">
        <f>G13-G19-G35</f>
        <v>431762.13594099984</v>
      </c>
      <c r="I37" s="30">
        <f>I13-I19-I35</f>
        <v>440912.86053099984</v>
      </c>
      <c r="J37" s="30">
        <f>J13-J19-J35</f>
        <v>454003.38248399983</v>
      </c>
      <c r="K37" s="30">
        <f>K13-K19-K35</f>
        <v>474208.04927337053</v>
      </c>
      <c r="L37" s="23"/>
      <c r="M37" s="30">
        <f>M13-M19-M35</f>
        <v>469571.03226352227</v>
      </c>
    </row>
    <row r="38" spans="1:13" x14ac:dyDescent="0.25">
      <c r="G38" s="22"/>
      <c r="I38" s="22"/>
      <c r="J38" s="22"/>
      <c r="K38" s="22"/>
      <c r="L38" s="23"/>
      <c r="M38" s="22"/>
    </row>
    <row r="39" spans="1:13" x14ac:dyDescent="0.25">
      <c r="C39" s="2" t="s">
        <v>25</v>
      </c>
    </row>
    <row r="40" spans="1:13" x14ac:dyDescent="0.25">
      <c r="A40" s="2">
        <f>A37+1</f>
        <v>20</v>
      </c>
      <c r="C40" s="2" t="s">
        <v>373</v>
      </c>
      <c r="G40" s="22"/>
      <c r="I40" s="22"/>
      <c r="J40" s="22"/>
      <c r="K40" s="22"/>
      <c r="L40" s="22"/>
      <c r="M40" s="22"/>
    </row>
    <row r="41" spans="1:13" x14ac:dyDescent="0.25">
      <c r="A41" s="2">
        <f t="shared" ref="A41:A75" si="0">A40+1</f>
        <v>21</v>
      </c>
      <c r="C41" s="176" t="s">
        <v>92</v>
      </c>
      <c r="G41" s="22"/>
      <c r="I41" s="22"/>
      <c r="J41" s="22"/>
      <c r="K41" s="22"/>
      <c r="L41" s="22"/>
      <c r="M41" s="22"/>
    </row>
    <row r="42" spans="1:13" x14ac:dyDescent="0.25">
      <c r="A42" s="2">
        <f t="shared" si="0"/>
        <v>22</v>
      </c>
      <c r="C42" s="177" t="s">
        <v>93</v>
      </c>
      <c r="G42" s="22">
        <v>18498.559929999999</v>
      </c>
      <c r="I42" s="22">
        <v>18498.559929999999</v>
      </c>
      <c r="J42" s="22">
        <f>I45</f>
        <v>17798.411050000002</v>
      </c>
      <c r="K42" s="22">
        <f>J45</f>
        <v>16840.525000000001</v>
      </c>
      <c r="L42" s="22"/>
      <c r="M42" s="22">
        <f>K45</f>
        <v>16797.595870000005</v>
      </c>
    </row>
    <row r="43" spans="1:13" x14ac:dyDescent="0.25">
      <c r="A43" s="2">
        <f t="shared" si="0"/>
        <v>23</v>
      </c>
      <c r="C43" s="178" t="s">
        <v>94</v>
      </c>
      <c r="G43" s="22">
        <f>G45-G42-G44</f>
        <v>14127.4018</v>
      </c>
      <c r="I43" s="22">
        <f>I45-I42-I44</f>
        <v>1090.7162900000026</v>
      </c>
      <c r="J43" s="22">
        <f>J45-J42-J44</f>
        <v>865.63804999999866</v>
      </c>
      <c r="K43" s="22">
        <f>K45-K42-K44</f>
        <v>1825.7187800000027</v>
      </c>
      <c r="L43" s="22"/>
      <c r="M43" s="22">
        <f>M45-M42-M44</f>
        <v>6685.9286200000006</v>
      </c>
    </row>
    <row r="44" spans="1:13" x14ac:dyDescent="0.25">
      <c r="A44" s="2">
        <f t="shared" si="0"/>
        <v>24</v>
      </c>
      <c r="C44" s="178" t="s">
        <v>95</v>
      </c>
      <c r="G44" s="26">
        <v>-1838.2174599999996</v>
      </c>
      <c r="I44" s="26">
        <v>-1790.8651699999996</v>
      </c>
      <c r="J44" s="26">
        <v>-1823.5240999999996</v>
      </c>
      <c r="K44" s="26">
        <v>-1868.6479099999995</v>
      </c>
      <c r="L44" s="22"/>
      <c r="M44" s="26">
        <v>-2273.6872999999996</v>
      </c>
    </row>
    <row r="45" spans="1:13" x14ac:dyDescent="0.25">
      <c r="A45" s="2">
        <f t="shared" si="0"/>
        <v>25</v>
      </c>
      <c r="C45" s="177" t="s">
        <v>96</v>
      </c>
      <c r="G45" s="22">
        <v>30787.744269999999</v>
      </c>
      <c r="I45" s="22">
        <v>17798.411050000002</v>
      </c>
      <c r="J45" s="22">
        <v>16840.525000000001</v>
      </c>
      <c r="K45" s="22">
        <v>16797.595870000005</v>
      </c>
      <c r="L45" s="22"/>
      <c r="M45" s="22">
        <v>21209.837190000006</v>
      </c>
    </row>
    <row r="46" spans="1:13" x14ac:dyDescent="0.25">
      <c r="A46" s="2">
        <f t="shared" si="0"/>
        <v>26</v>
      </c>
      <c r="C46" s="176" t="s">
        <v>97</v>
      </c>
      <c r="G46" s="22"/>
      <c r="I46" s="22"/>
      <c r="J46" s="22"/>
      <c r="K46" s="22"/>
      <c r="L46" s="22"/>
      <c r="M46" s="22"/>
    </row>
    <row r="47" spans="1:13" x14ac:dyDescent="0.25">
      <c r="A47" s="2">
        <f t="shared" si="0"/>
        <v>27</v>
      </c>
      <c r="C47" s="177" t="s">
        <v>93</v>
      </c>
      <c r="G47" s="22">
        <v>6603.8113500000009</v>
      </c>
      <c r="I47" s="22">
        <v>6603.8113500000009</v>
      </c>
      <c r="J47" s="22">
        <f>I50</f>
        <v>8447.1282699999992</v>
      </c>
      <c r="K47" s="22">
        <f>J50</f>
        <v>10123.015120000002</v>
      </c>
      <c r="L47" s="22"/>
      <c r="M47" s="22">
        <f>K50</f>
        <v>11881.954470000001</v>
      </c>
    </row>
    <row r="48" spans="1:13" x14ac:dyDescent="0.25">
      <c r="A48" s="2">
        <f t="shared" si="0"/>
        <v>28</v>
      </c>
      <c r="C48" s="178" t="s">
        <v>94</v>
      </c>
      <c r="G48" s="22">
        <f>G50-G47-G49</f>
        <v>1543.9965199999997</v>
      </c>
      <c r="I48" s="22">
        <f>I50-I47-I49</f>
        <v>2358.5858899999985</v>
      </c>
      <c r="J48" s="22">
        <f>J50-J47-J49</f>
        <v>2102.4378300000026</v>
      </c>
      <c r="K48" s="22">
        <f>K50-K47-K49</f>
        <v>2060.2782699999989</v>
      </c>
      <c r="L48" s="22"/>
      <c r="M48" s="22">
        <f>M50-M47-M49</f>
        <v>1745.0000000000009</v>
      </c>
    </row>
    <row r="49" spans="1:13" x14ac:dyDescent="0.25">
      <c r="A49" s="2">
        <f t="shared" si="0"/>
        <v>29</v>
      </c>
      <c r="C49" s="178" t="s">
        <v>95</v>
      </c>
      <c r="G49" s="26">
        <v>-515.26896999999997</v>
      </c>
      <c r="I49" s="26">
        <v>-515.26896999999997</v>
      </c>
      <c r="J49" s="26">
        <v>-426.55097999999998</v>
      </c>
      <c r="K49" s="26">
        <v>-301.33892000000003</v>
      </c>
      <c r="L49" s="22"/>
      <c r="M49" s="26">
        <v>-338.76501000000002</v>
      </c>
    </row>
    <row r="50" spans="1:13" x14ac:dyDescent="0.25">
      <c r="A50" s="2">
        <f t="shared" si="0"/>
        <v>30</v>
      </c>
      <c r="C50" s="177" t="s">
        <v>96</v>
      </c>
      <c r="G50" s="22">
        <v>7632.5389000000005</v>
      </c>
      <c r="I50" s="22">
        <v>8447.1282699999992</v>
      </c>
      <c r="J50" s="22">
        <v>10123.015120000002</v>
      </c>
      <c r="K50" s="22">
        <v>11881.954470000001</v>
      </c>
      <c r="L50" s="22"/>
      <c r="M50" s="22">
        <v>13288.189460000001</v>
      </c>
    </row>
    <row r="51" spans="1:13" x14ac:dyDescent="0.25">
      <c r="A51" s="2">
        <f t="shared" si="0"/>
        <v>31</v>
      </c>
      <c r="C51" s="176" t="s">
        <v>98</v>
      </c>
      <c r="G51" s="22"/>
      <c r="I51" s="22"/>
      <c r="J51" s="22"/>
      <c r="K51" s="22"/>
      <c r="L51" s="22"/>
      <c r="M51" s="22"/>
    </row>
    <row r="52" spans="1:13" x14ac:dyDescent="0.25">
      <c r="A52" s="2">
        <f t="shared" si="0"/>
        <v>32</v>
      </c>
      <c r="C52" s="177" t="s">
        <v>93</v>
      </c>
      <c r="G52" s="22">
        <v>118.16955999999996</v>
      </c>
      <c r="I52" s="22">
        <v>118.16955999999996</v>
      </c>
      <c r="J52" s="22">
        <f>I55</f>
        <v>88.627169999999964</v>
      </c>
      <c r="K52" s="22">
        <f>J55</f>
        <v>59.084779999999974</v>
      </c>
      <c r="L52" s="22"/>
      <c r="M52" s="22">
        <f>K55</f>
        <v>203.18117999999998</v>
      </c>
    </row>
    <row r="53" spans="1:13" x14ac:dyDescent="0.25">
      <c r="A53" s="2">
        <f t="shared" si="0"/>
        <v>33</v>
      </c>
      <c r="C53" s="178" t="s">
        <v>94</v>
      </c>
      <c r="G53" s="22">
        <v>0</v>
      </c>
      <c r="I53" s="22">
        <v>0</v>
      </c>
      <c r="J53" s="22">
        <v>0</v>
      </c>
      <c r="K53" s="22">
        <v>173.63879</v>
      </c>
      <c r="L53" s="22"/>
      <c r="M53" s="22">
        <v>80</v>
      </c>
    </row>
    <row r="54" spans="1:13" x14ac:dyDescent="0.25">
      <c r="A54" s="2">
        <f t="shared" si="0"/>
        <v>34</v>
      </c>
      <c r="C54" s="178" t="s">
        <v>95</v>
      </c>
      <c r="G54" s="26">
        <v>-29.54238999999999</v>
      </c>
      <c r="I54" s="26">
        <v>-29.542389999999997</v>
      </c>
      <c r="J54" s="26">
        <v>-29.54238999999999</v>
      </c>
      <c r="K54" s="26">
        <v>-29.54238999999999</v>
      </c>
      <c r="L54" s="22"/>
      <c r="M54" s="26">
        <v>-64.270150000000001</v>
      </c>
    </row>
    <row r="55" spans="1:13" x14ac:dyDescent="0.25">
      <c r="A55" s="2">
        <f t="shared" si="0"/>
        <v>35</v>
      </c>
      <c r="C55" s="177" t="s">
        <v>96</v>
      </c>
      <c r="G55" s="22">
        <f>SUM(G52:G54)</f>
        <v>88.627169999999978</v>
      </c>
      <c r="I55" s="22">
        <f>SUM(I52:I54)</f>
        <v>88.627169999999964</v>
      </c>
      <c r="J55" s="22">
        <f>SUM(J52:J54)</f>
        <v>59.084779999999974</v>
      </c>
      <c r="K55" s="22">
        <f>SUM(K52:K54)</f>
        <v>203.18117999999998</v>
      </c>
      <c r="L55" s="22"/>
      <c r="M55" s="22">
        <f>SUM(M52:M54)</f>
        <v>218.91102999999998</v>
      </c>
    </row>
    <row r="56" spans="1:13" x14ac:dyDescent="0.25">
      <c r="A56" s="2">
        <f t="shared" si="0"/>
        <v>36</v>
      </c>
      <c r="C56" s="176" t="s">
        <v>99</v>
      </c>
      <c r="G56" s="22"/>
      <c r="I56" s="22"/>
      <c r="J56" s="22"/>
      <c r="K56" s="22"/>
      <c r="L56" s="22"/>
      <c r="M56" s="22"/>
    </row>
    <row r="57" spans="1:13" x14ac:dyDescent="0.25">
      <c r="A57" s="2">
        <f t="shared" si="0"/>
        <v>37</v>
      </c>
      <c r="C57" s="177" t="s">
        <v>93</v>
      </c>
      <c r="G57" s="22">
        <v>1993.7811499999989</v>
      </c>
      <c r="I57" s="22">
        <v>1993.7811499999989</v>
      </c>
      <c r="J57" s="22">
        <f>I60</f>
        <v>1772.249910999999</v>
      </c>
      <c r="K57" s="22">
        <f>J60</f>
        <v>1550.7186719999991</v>
      </c>
      <c r="L57" s="22"/>
      <c r="M57" s="22">
        <f>K60</f>
        <v>1329.1874329999991</v>
      </c>
    </row>
    <row r="58" spans="1:13" x14ac:dyDescent="0.25">
      <c r="A58" s="2">
        <f t="shared" si="0"/>
        <v>38</v>
      </c>
      <c r="C58" s="178" t="s">
        <v>94</v>
      </c>
      <c r="G58" s="22">
        <v>0</v>
      </c>
      <c r="I58" s="22">
        <v>0</v>
      </c>
      <c r="J58" s="22">
        <v>0</v>
      </c>
      <c r="K58" s="22">
        <v>0</v>
      </c>
      <c r="L58" s="22"/>
      <c r="M58" s="22">
        <v>0</v>
      </c>
    </row>
    <row r="59" spans="1:13" x14ac:dyDescent="0.25">
      <c r="A59" s="2">
        <f t="shared" si="0"/>
        <v>39</v>
      </c>
      <c r="C59" s="178" t="s">
        <v>95</v>
      </c>
      <c r="G59" s="26">
        <v>-221.531239</v>
      </c>
      <c r="I59" s="26">
        <v>-221.531239</v>
      </c>
      <c r="J59" s="26">
        <v>-221.53123899999997</v>
      </c>
      <c r="K59" s="26">
        <v>-221.53123899999997</v>
      </c>
      <c r="L59" s="22"/>
      <c r="M59" s="26">
        <v>-221.53123899999997</v>
      </c>
    </row>
    <row r="60" spans="1:13" x14ac:dyDescent="0.25">
      <c r="A60" s="2">
        <f t="shared" si="0"/>
        <v>40</v>
      </c>
      <c r="C60" s="177" t="s">
        <v>96</v>
      </c>
      <c r="G60" s="22">
        <f>SUM(G57:G59)</f>
        <v>1772.249910999999</v>
      </c>
      <c r="I60" s="22">
        <f>SUM(I57:I59)</f>
        <v>1772.249910999999</v>
      </c>
      <c r="J60" s="22">
        <f>SUM(J57:J59)</f>
        <v>1550.7186719999991</v>
      </c>
      <c r="K60" s="22">
        <f>SUM(K57:K59)</f>
        <v>1329.1874329999991</v>
      </c>
      <c r="L60" s="22"/>
      <c r="M60" s="22">
        <f>SUM(M57:M59)</f>
        <v>1107.6561939999992</v>
      </c>
    </row>
    <row r="61" spans="1:13" x14ac:dyDescent="0.25">
      <c r="A61" s="2">
        <f t="shared" si="0"/>
        <v>41</v>
      </c>
      <c r="C61" s="176" t="s">
        <v>100</v>
      </c>
      <c r="G61" s="22"/>
      <c r="I61" s="22"/>
      <c r="J61" s="22"/>
      <c r="K61" s="22"/>
      <c r="L61" s="22"/>
      <c r="M61" s="22"/>
    </row>
    <row r="62" spans="1:13" x14ac:dyDescent="0.25">
      <c r="A62" s="2">
        <f t="shared" si="0"/>
        <v>42</v>
      </c>
      <c r="C62" s="177" t="s">
        <v>93</v>
      </c>
      <c r="G62" s="22">
        <v>1858.9043000000004</v>
      </c>
      <c r="I62" s="22">
        <v>1858.9043000000004</v>
      </c>
      <c r="J62" s="22">
        <f>I65</f>
        <v>1684.3176700000004</v>
      </c>
      <c r="K62" s="22">
        <f>J65</f>
        <v>2339.2858300000003</v>
      </c>
      <c r="L62" s="22"/>
      <c r="M62" s="22">
        <f>K65</f>
        <v>5076.271920000001</v>
      </c>
    </row>
    <row r="63" spans="1:13" x14ac:dyDescent="0.25">
      <c r="A63" s="2">
        <f t="shared" si="0"/>
        <v>43</v>
      </c>
      <c r="C63" s="178" t="s">
        <v>94</v>
      </c>
      <c r="G63" s="22">
        <v>79.066459999999992</v>
      </c>
      <c r="I63" s="22">
        <v>307.56378999999998</v>
      </c>
      <c r="J63" s="22">
        <v>1215.0876599999999</v>
      </c>
      <c r="K63" s="22">
        <v>3315.1551500000005</v>
      </c>
      <c r="L63" s="22"/>
      <c r="M63" s="22">
        <v>1095</v>
      </c>
    </row>
    <row r="64" spans="1:13" x14ac:dyDescent="0.25">
      <c r="A64" s="2">
        <f t="shared" si="0"/>
        <v>44</v>
      </c>
      <c r="C64" s="178" t="s">
        <v>95</v>
      </c>
      <c r="G64" s="26">
        <v>-477.85299000000003</v>
      </c>
      <c r="I64" s="26">
        <v>-482.15042000000005</v>
      </c>
      <c r="J64" s="26">
        <v>-560.11950000000013</v>
      </c>
      <c r="K64" s="26">
        <v>-578.16905999999994</v>
      </c>
      <c r="L64" s="22"/>
      <c r="M64" s="26">
        <v>-728.80534000000011</v>
      </c>
    </row>
    <row r="65" spans="1:16" x14ac:dyDescent="0.25">
      <c r="A65" s="2">
        <f t="shared" si="0"/>
        <v>45</v>
      </c>
      <c r="C65" s="177" t="s">
        <v>96</v>
      </c>
      <c r="G65" s="22">
        <f>SUM(G62:G64)</f>
        <v>1460.1177700000003</v>
      </c>
      <c r="I65" s="22">
        <f>SUM(I62:I64)</f>
        <v>1684.3176700000004</v>
      </c>
      <c r="J65" s="22">
        <f>SUM(J62:J64)</f>
        <v>2339.2858300000003</v>
      </c>
      <c r="K65" s="22">
        <f>SUM(K62:K64)</f>
        <v>5076.271920000001</v>
      </c>
      <c r="L65" s="22"/>
      <c r="M65" s="22">
        <f>SUM(M62:M64)</f>
        <v>5442.4665800000012</v>
      </c>
    </row>
    <row r="66" spans="1:16" x14ac:dyDescent="0.25">
      <c r="A66" s="2">
        <f t="shared" si="0"/>
        <v>46</v>
      </c>
      <c r="C66" s="176" t="s">
        <v>341</v>
      </c>
      <c r="G66" s="22"/>
      <c r="I66" s="22"/>
      <c r="J66" s="22"/>
      <c r="K66" s="22"/>
      <c r="L66" s="22"/>
      <c r="M66" s="22"/>
    </row>
    <row r="67" spans="1:16" x14ac:dyDescent="0.25">
      <c r="A67" s="2">
        <f t="shared" si="0"/>
        <v>47</v>
      </c>
      <c r="C67" s="177" t="s">
        <v>93</v>
      </c>
      <c r="G67" s="22">
        <v>990.41147099999989</v>
      </c>
      <c r="I67" s="22">
        <v>1008.5903539999998</v>
      </c>
      <c r="J67" s="22">
        <f>I70</f>
        <v>1097.2939079999999</v>
      </c>
      <c r="K67" s="22">
        <f>J70</f>
        <v>1204.9054160000001</v>
      </c>
      <c r="L67" s="22"/>
      <c r="M67" s="22">
        <f>K70</f>
        <v>720.12384409825472</v>
      </c>
    </row>
    <row r="68" spans="1:16" x14ac:dyDescent="0.25">
      <c r="A68" s="2">
        <f t="shared" si="0"/>
        <v>48</v>
      </c>
      <c r="C68" s="178" t="s">
        <v>94</v>
      </c>
      <c r="G68" s="22">
        <v>0</v>
      </c>
      <c r="I68" s="22">
        <v>181.95338999999996</v>
      </c>
      <c r="J68" s="22">
        <v>210.11265000000003</v>
      </c>
      <c r="K68" s="22">
        <v>-400.26135999999963</v>
      </c>
      <c r="L68" s="22"/>
      <c r="M68" s="22">
        <v>119.99999999999977</v>
      </c>
    </row>
    <row r="69" spans="1:16" x14ac:dyDescent="0.25">
      <c r="A69" s="2">
        <f t="shared" si="0"/>
        <v>49</v>
      </c>
      <c r="C69" s="178" t="s">
        <v>95</v>
      </c>
      <c r="G69" s="26">
        <v>-110.04571899999989</v>
      </c>
      <c r="I69" s="26">
        <v>-93.24983599999986</v>
      </c>
      <c r="J69" s="26">
        <v>-102.50114199999993</v>
      </c>
      <c r="K69" s="26">
        <v>-84.520211901745753</v>
      </c>
      <c r="L69" s="22"/>
      <c r="M69" s="26">
        <v>-93.380260000000007</v>
      </c>
    </row>
    <row r="70" spans="1:16" x14ac:dyDescent="0.25">
      <c r="A70" s="2">
        <f t="shared" si="0"/>
        <v>50</v>
      </c>
      <c r="C70" s="177" t="s">
        <v>96</v>
      </c>
      <c r="G70" s="22">
        <f>SUM(G67:G69)</f>
        <v>880.36575200000004</v>
      </c>
      <c r="I70" s="22">
        <f>SUM(I67:I69)</f>
        <v>1097.2939079999999</v>
      </c>
      <c r="J70" s="22">
        <f>SUM(J67:J69)</f>
        <v>1204.9054160000001</v>
      </c>
      <c r="K70" s="22">
        <f>SUM(K67:K69)</f>
        <v>720.12384409825472</v>
      </c>
      <c r="L70" s="22"/>
      <c r="M70" s="22">
        <f>SUM(M67:M69)</f>
        <v>746.74358409825447</v>
      </c>
    </row>
    <row r="71" spans="1:16" x14ac:dyDescent="0.25">
      <c r="A71" s="2">
        <f t="shared" si="0"/>
        <v>51</v>
      </c>
      <c r="C71" s="176" t="s">
        <v>101</v>
      </c>
      <c r="G71" s="22"/>
      <c r="I71" s="22"/>
      <c r="J71" s="22"/>
      <c r="K71" s="22"/>
      <c r="L71" s="22"/>
      <c r="M71" s="22"/>
    </row>
    <row r="72" spans="1:16" x14ac:dyDescent="0.25">
      <c r="A72" s="2">
        <f t="shared" si="0"/>
        <v>52</v>
      </c>
      <c r="C72" s="177" t="s">
        <v>93</v>
      </c>
      <c r="G72" s="22">
        <v>-1026.0133299999998</v>
      </c>
      <c r="I72" s="22">
        <v>-1026.0133299999998</v>
      </c>
      <c r="J72" s="22">
        <f>I75</f>
        <v>-926.24422199999981</v>
      </c>
      <c r="K72" s="22">
        <f>J75</f>
        <v>-98.630211999999801</v>
      </c>
      <c r="L72" s="22"/>
      <c r="M72" s="22">
        <f>K75</f>
        <v>63.155828000000184</v>
      </c>
    </row>
    <row r="73" spans="1:16" x14ac:dyDescent="0.25">
      <c r="A73" s="2">
        <f t="shared" si="0"/>
        <v>53</v>
      </c>
      <c r="C73" s="178" t="s">
        <v>94</v>
      </c>
      <c r="G73" s="22">
        <v>155.13811999999999</v>
      </c>
      <c r="I73" s="22">
        <v>155.13811999999999</v>
      </c>
      <c r="J73" s="22">
        <v>882.98297000000002</v>
      </c>
      <c r="K73" s="22">
        <v>217.155</v>
      </c>
      <c r="L73" s="22"/>
      <c r="M73" s="22">
        <v>0</v>
      </c>
    </row>
    <row r="74" spans="1:16" x14ac:dyDescent="0.25">
      <c r="A74" s="2">
        <f t="shared" si="0"/>
        <v>54</v>
      </c>
      <c r="C74" s="178" t="s">
        <v>95</v>
      </c>
      <c r="G74" s="26">
        <v>-55.369012000000012</v>
      </c>
      <c r="I74" s="26">
        <v>-55.369012000000012</v>
      </c>
      <c r="J74" s="26">
        <v>-55.368960000000015</v>
      </c>
      <c r="K74" s="26">
        <v>-55.368960000000015</v>
      </c>
      <c r="L74" s="22"/>
      <c r="M74" s="26">
        <v>-55.368960000000015</v>
      </c>
    </row>
    <row r="75" spans="1:16" x14ac:dyDescent="0.25">
      <c r="A75" s="2">
        <f t="shared" si="0"/>
        <v>55</v>
      </c>
      <c r="C75" s="177" t="s">
        <v>96</v>
      </c>
      <c r="G75" s="22">
        <f>SUM(G72:G74)</f>
        <v>-926.24422199999981</v>
      </c>
      <c r="I75" s="22">
        <f>SUM(I72:I74)</f>
        <v>-926.24422199999981</v>
      </c>
      <c r="J75" s="22">
        <f>SUM(J72:J74)</f>
        <v>-98.630211999999801</v>
      </c>
      <c r="K75" s="22">
        <f>SUM(K72:K74)</f>
        <v>63.155828000000184</v>
      </c>
      <c r="L75" s="22"/>
      <c r="M75" s="22">
        <f>SUM(M72:M74)</f>
        <v>7.7868680000001689</v>
      </c>
    </row>
    <row r="76" spans="1:16" x14ac:dyDescent="0.25">
      <c r="C76" s="176"/>
      <c r="G76" s="22"/>
      <c r="I76" s="22"/>
      <c r="J76" s="22"/>
      <c r="K76" s="22"/>
      <c r="L76" s="22"/>
      <c r="M76" s="22"/>
    </row>
    <row r="77" spans="1:16" x14ac:dyDescent="0.25">
      <c r="A77" s="2">
        <f>A75+1</f>
        <v>56</v>
      </c>
      <c r="C77" s="2" t="s">
        <v>370</v>
      </c>
      <c r="G77" s="22"/>
      <c r="I77" s="22"/>
      <c r="J77" s="22"/>
      <c r="K77" s="22"/>
      <c r="L77" s="22"/>
      <c r="M77" s="22"/>
    </row>
    <row r="78" spans="1:16" x14ac:dyDescent="0.25">
      <c r="A78" s="2">
        <f>A77+1</f>
        <v>57</v>
      </c>
      <c r="C78" s="176" t="s">
        <v>93</v>
      </c>
      <c r="G78" s="22">
        <f>G42+G47+G52+G57+G62+G67+G72</f>
        <v>29037.624430999997</v>
      </c>
      <c r="I78" s="22">
        <f t="shared" ref="I78:K80" si="1">I42+I47+I52+I57+I62+I67+I72</f>
        <v>29055.803313999997</v>
      </c>
      <c r="J78" s="22">
        <f t="shared" si="1"/>
        <v>29961.783757000001</v>
      </c>
      <c r="K78" s="22">
        <f t="shared" si="1"/>
        <v>32018.904606000007</v>
      </c>
      <c r="L78" s="22"/>
      <c r="M78" s="22">
        <f>M42+M47+M52+M57+M62+M67+M72</f>
        <v>36071.470545098266</v>
      </c>
      <c r="P78" s="25"/>
    </row>
    <row r="79" spans="1:16" x14ac:dyDescent="0.25">
      <c r="A79" s="2">
        <f>A78+1</f>
        <v>58</v>
      </c>
      <c r="C79" s="179" t="s">
        <v>94</v>
      </c>
      <c r="G79" s="22">
        <f>G43+G48+G53+G58+G63+G68+G73</f>
        <v>15905.6029</v>
      </c>
      <c r="I79" s="22">
        <f t="shared" si="1"/>
        <v>4093.9574800000014</v>
      </c>
      <c r="J79" s="22">
        <f t="shared" si="1"/>
        <v>5276.2591600000014</v>
      </c>
      <c r="K79" s="22">
        <f t="shared" si="1"/>
        <v>7191.6846300000025</v>
      </c>
      <c r="L79" s="22"/>
      <c r="M79" s="22">
        <f>M43+M48+M53+M58+M63+M68+M73</f>
        <v>9725.9286200000024</v>
      </c>
      <c r="P79" s="25"/>
    </row>
    <row r="80" spans="1:16" x14ac:dyDescent="0.25">
      <c r="A80" s="2">
        <f>A79+1</f>
        <v>59</v>
      </c>
      <c r="C80" s="179" t="s">
        <v>95</v>
      </c>
      <c r="G80" s="26">
        <f>G44+G49+G54+G59+G64+G69+G74</f>
        <v>-3247.8277799999992</v>
      </c>
      <c r="I80" s="26">
        <f t="shared" si="1"/>
        <v>-3187.9770369999997</v>
      </c>
      <c r="J80" s="26">
        <f t="shared" si="1"/>
        <v>-3219.1383109999997</v>
      </c>
      <c r="K80" s="26">
        <f t="shared" si="1"/>
        <v>-3139.1186909017451</v>
      </c>
      <c r="L80" s="22"/>
      <c r="M80" s="26">
        <f>M44+M49+M54+M59+M64+M69+M74</f>
        <v>-3775.8082589999995</v>
      </c>
      <c r="P80" s="25"/>
    </row>
    <row r="81" spans="1:13" x14ac:dyDescent="0.25">
      <c r="A81" s="2">
        <f>A80+1</f>
        <v>60</v>
      </c>
      <c r="C81" s="176" t="s">
        <v>96</v>
      </c>
      <c r="E81" s="13" t="s">
        <v>347</v>
      </c>
      <c r="G81" s="22">
        <f>SUM(G78:G80)</f>
        <v>41695.399550999995</v>
      </c>
      <c r="I81" s="22">
        <f>SUM(I78:I80)</f>
        <v>29961.783757000001</v>
      </c>
      <c r="J81" s="22">
        <f>SUM(J78:J80)</f>
        <v>32018.904606</v>
      </c>
      <c r="K81" s="22">
        <f>SUM(K78:K80)</f>
        <v>36071.470545098258</v>
      </c>
      <c r="L81" s="22"/>
      <c r="M81" s="22">
        <f>SUM(M78:M80)</f>
        <v>42021.590906098267</v>
      </c>
    </row>
    <row r="82" spans="1:13" x14ac:dyDescent="0.25">
      <c r="C82" s="176"/>
      <c r="G82" s="22"/>
      <c r="I82" s="22"/>
      <c r="J82" s="22"/>
      <c r="K82" s="22"/>
      <c r="L82" s="22"/>
      <c r="M82" s="22"/>
    </row>
    <row r="83" spans="1:13" x14ac:dyDescent="0.25">
      <c r="A83" s="2">
        <f>A81+1</f>
        <v>61</v>
      </c>
      <c r="C83" s="2" t="s">
        <v>371</v>
      </c>
      <c r="E83" s="13" t="s">
        <v>102</v>
      </c>
      <c r="G83" s="23">
        <v>29497.82085</v>
      </c>
      <c r="I83" s="23">
        <v>18930.084010000002</v>
      </c>
      <c r="J83" s="23">
        <v>20881.272539999998</v>
      </c>
      <c r="K83" s="23">
        <v>25385.634550000002</v>
      </c>
      <c r="L83" s="23"/>
      <c r="M83" s="23">
        <v>30489.241899999997</v>
      </c>
    </row>
    <row r="84" spans="1:13" x14ac:dyDescent="0.25">
      <c r="G84" s="22"/>
      <c r="I84" s="22"/>
      <c r="J84" s="22"/>
      <c r="K84" s="22"/>
      <c r="L84" s="22"/>
      <c r="M84" s="22"/>
    </row>
    <row r="85" spans="1:13" x14ac:dyDescent="0.25">
      <c r="A85" s="2">
        <f>A83+1</f>
        <v>62</v>
      </c>
      <c r="C85" s="2" t="s">
        <v>372</v>
      </c>
      <c r="G85" s="26">
        <f>G81-G83</f>
        <v>12197.578700999995</v>
      </c>
      <c r="I85" s="26">
        <f>I81-I83</f>
        <v>11031.699746999999</v>
      </c>
      <c r="J85" s="26">
        <f>J81-J83</f>
        <v>11137.632066000002</v>
      </c>
      <c r="K85" s="26">
        <f>K81-K83</f>
        <v>10685.835995098256</v>
      </c>
      <c r="L85" s="26"/>
      <c r="M85" s="26">
        <f>M81-M83</f>
        <v>11532.349006098269</v>
      </c>
    </row>
    <row r="87" spans="1:13" ht="13" thickBot="1" x14ac:dyDescent="0.3">
      <c r="A87" s="2">
        <f>A85+1</f>
        <v>63</v>
      </c>
      <c r="C87" s="2" t="s">
        <v>375</v>
      </c>
      <c r="E87" s="13" t="s">
        <v>83</v>
      </c>
      <c r="G87" s="45">
        <f>G37+G85</f>
        <v>443959.71464199986</v>
      </c>
      <c r="I87" s="45">
        <f>I37+I85</f>
        <v>451944.56027799984</v>
      </c>
      <c r="J87" s="45">
        <f>J37+J85</f>
        <v>465141.01454999985</v>
      </c>
      <c r="K87" s="45">
        <f>K37+K85</f>
        <v>484893.88526846876</v>
      </c>
      <c r="L87" s="42"/>
      <c r="M87" s="45">
        <f>M37+M85</f>
        <v>481103.38126962056</v>
      </c>
    </row>
    <row r="88" spans="1:13" x14ac:dyDescent="0.25">
      <c r="G88" s="42"/>
      <c r="I88" s="42"/>
      <c r="J88" s="42"/>
      <c r="K88" s="42"/>
      <c r="L88" s="42"/>
      <c r="M88" s="42"/>
    </row>
    <row r="89" spans="1:13" x14ac:dyDescent="0.25">
      <c r="A89" s="2">
        <f>A87+1</f>
        <v>64</v>
      </c>
      <c r="C89" s="2" t="s">
        <v>340</v>
      </c>
      <c r="G89" s="22"/>
      <c r="I89" s="22"/>
      <c r="J89" s="22"/>
      <c r="K89" s="22"/>
      <c r="L89" s="22"/>
      <c r="M89" s="22"/>
    </row>
    <row r="90" spans="1:13" x14ac:dyDescent="0.25">
      <c r="A90" s="2">
        <f>A89+1</f>
        <v>65</v>
      </c>
      <c r="C90" s="176" t="s">
        <v>93</v>
      </c>
      <c r="G90" s="22">
        <v>3868.0184810000001</v>
      </c>
      <c r="I90" s="22">
        <v>3849.8390759999997</v>
      </c>
      <c r="J90" s="22">
        <f>I93</f>
        <v>3902.3982719999995</v>
      </c>
      <c r="K90" s="22">
        <f>J93</f>
        <v>2386.3418239999996</v>
      </c>
      <c r="L90" s="22"/>
      <c r="M90" s="22">
        <f>K93</f>
        <v>2877.5639759017449</v>
      </c>
    </row>
    <row r="91" spans="1:13" x14ac:dyDescent="0.25">
      <c r="A91" s="2">
        <f>A90+1</f>
        <v>66</v>
      </c>
      <c r="C91" s="179" t="s">
        <v>94</v>
      </c>
      <c r="G91" s="22">
        <v>318</v>
      </c>
      <c r="I91" s="22">
        <v>309.21971800000006</v>
      </c>
      <c r="J91" s="22">
        <v>-1208.5958799999999</v>
      </c>
      <c r="K91" s="22">
        <v>836.33931999999936</v>
      </c>
      <c r="L91" s="22"/>
      <c r="M91" s="22">
        <v>815.00000000000023</v>
      </c>
    </row>
    <row r="92" spans="1:13" x14ac:dyDescent="0.25">
      <c r="A92" s="2">
        <f>A91+1</f>
        <v>67</v>
      </c>
      <c r="C92" s="179" t="s">
        <v>95</v>
      </c>
      <c r="G92" s="26">
        <v>-295.23344100000025</v>
      </c>
      <c r="I92" s="26">
        <v>-256.66052200000019</v>
      </c>
      <c r="J92" s="26">
        <v>-307.46056800000008</v>
      </c>
      <c r="K92" s="26">
        <v>-345.11716809825435</v>
      </c>
      <c r="L92" s="22"/>
      <c r="M92" s="26">
        <v>-479.03733000000034</v>
      </c>
    </row>
    <row r="93" spans="1:13" x14ac:dyDescent="0.25">
      <c r="A93" s="2">
        <f>A92+1</f>
        <v>68</v>
      </c>
      <c r="C93" s="176" t="s">
        <v>96</v>
      </c>
      <c r="G93" s="22">
        <f>SUM(G90:G92)</f>
        <v>3890.7850399999998</v>
      </c>
      <c r="I93" s="22">
        <f>SUM(I90:I92)</f>
        <v>3902.3982719999995</v>
      </c>
      <c r="J93" s="22">
        <f>SUM(J90:J92)</f>
        <v>2386.3418239999996</v>
      </c>
      <c r="K93" s="22">
        <f>SUM(K90:K92)</f>
        <v>2877.5639759017449</v>
      </c>
      <c r="L93" s="22"/>
      <c r="M93" s="22">
        <f>SUM(M90:M92)</f>
        <v>3213.5266459017448</v>
      </c>
    </row>
    <row r="94" spans="1:13" x14ac:dyDescent="0.25">
      <c r="C94" s="177"/>
      <c r="G94" s="22"/>
      <c r="I94" s="22"/>
      <c r="J94" s="22"/>
      <c r="K94" s="22"/>
      <c r="L94" s="22"/>
      <c r="M94" s="22"/>
    </row>
    <row r="95" spans="1:13" x14ac:dyDescent="0.25">
      <c r="A95" s="2">
        <f>A93+1</f>
        <v>69</v>
      </c>
      <c r="C95" s="2" t="s">
        <v>376</v>
      </c>
      <c r="G95" s="22">
        <f>G87+G93</f>
        <v>447850.49968199985</v>
      </c>
      <c r="I95" s="22">
        <f>I87+I93</f>
        <v>455846.95854999986</v>
      </c>
      <c r="J95" s="22">
        <f>J87+J93</f>
        <v>467527.35637399985</v>
      </c>
      <c r="K95" s="22">
        <f>K87+K93</f>
        <v>487771.44924437051</v>
      </c>
      <c r="L95" s="22"/>
      <c r="M95" s="22">
        <f>M87+M93</f>
        <v>484316.90791552229</v>
      </c>
    </row>
    <row r="96" spans="1:13" x14ac:dyDescent="0.25">
      <c r="C96" s="177"/>
      <c r="G96" s="22"/>
      <c r="I96" s="22"/>
      <c r="J96" s="22"/>
      <c r="K96" s="22"/>
      <c r="L96" s="22"/>
      <c r="M96" s="22"/>
    </row>
    <row r="97" spans="3:13" x14ac:dyDescent="0.25">
      <c r="C97" s="177"/>
      <c r="G97" s="22"/>
      <c r="I97" s="22"/>
      <c r="J97" s="22"/>
      <c r="K97" s="22"/>
      <c r="L97" s="22"/>
      <c r="M97" s="22"/>
    </row>
    <row r="98" spans="3:13" x14ac:dyDescent="0.25">
      <c r="E98" s="156"/>
      <c r="G98" s="42"/>
      <c r="I98" s="42"/>
      <c r="J98" s="42"/>
      <c r="K98" s="42"/>
      <c r="L98" s="42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5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  <pageSetUpPr fitToPage="1"/>
  </sheetPr>
  <dimension ref="A1:T138"/>
  <sheetViews>
    <sheetView view="pageBreakPreview" zoomScaleNormal="100" zoomScaleSheetLayoutView="100" workbookViewId="0">
      <pane ySplit="6" topLeftCell="A7" activePane="bottomLeft" state="frozen"/>
      <selection activeCell="H15" sqref="H15"/>
      <selection pane="bottomLeft" activeCell="H6" sqref="H6"/>
    </sheetView>
  </sheetViews>
  <sheetFormatPr defaultColWidth="9.1796875" defaultRowHeight="12.5" x14ac:dyDescent="0.25"/>
  <cols>
    <col min="1" max="1" width="5.7265625" style="170" customWidth="1"/>
    <col min="2" max="2" width="31.1796875" style="170" customWidth="1"/>
    <col min="3" max="4" width="14.54296875" style="175" customWidth="1"/>
    <col min="5" max="5" width="12.54296875" style="175" bestFit="1" customWidth="1"/>
    <col min="6" max="6" width="14.54296875" style="175" customWidth="1"/>
    <col min="7" max="7" width="15.26953125" style="174" customWidth="1"/>
    <col min="8" max="8" width="17" style="175" customWidth="1"/>
    <col min="21" max="16384" width="9.1796875" style="170"/>
  </cols>
  <sheetData>
    <row r="1" spans="1:8" s="182" customFormat="1" ht="15.75" customHeight="1" x14ac:dyDescent="0.3">
      <c r="A1" s="187" t="s">
        <v>0</v>
      </c>
      <c r="B1" s="183"/>
      <c r="C1" s="183"/>
      <c r="D1" s="183"/>
      <c r="E1" s="188"/>
      <c r="F1" s="183"/>
      <c r="H1" s="189" t="s">
        <v>104</v>
      </c>
    </row>
    <row r="2" spans="1:8" s="182" customFormat="1" ht="15.75" customHeight="1" x14ac:dyDescent="0.25">
      <c r="A2" s="190" t="s">
        <v>361</v>
      </c>
      <c r="B2" s="183"/>
      <c r="C2" s="183"/>
      <c r="D2" s="183"/>
      <c r="E2" s="188"/>
      <c r="F2" s="183"/>
      <c r="H2" s="191" t="str">
        <f>Index!F2</f>
        <v>April 14, 2022</v>
      </c>
    </row>
    <row r="3" spans="1:8" s="182" customFormat="1" ht="15.75" customHeight="1" x14ac:dyDescent="0.25">
      <c r="A3" s="216" t="s">
        <v>387</v>
      </c>
      <c r="B3" s="183"/>
      <c r="C3" s="183"/>
      <c r="D3" s="183"/>
      <c r="E3" s="188"/>
      <c r="F3" s="183"/>
      <c r="G3" s="183"/>
      <c r="H3" s="183"/>
    </row>
    <row r="4" spans="1:8" s="182" customFormat="1" ht="15.75" customHeight="1" x14ac:dyDescent="0.25">
      <c r="A4" s="184"/>
      <c r="B4" s="184"/>
      <c r="C4" s="184"/>
      <c r="D4" s="184"/>
      <c r="E4" s="184"/>
      <c r="F4" s="184"/>
      <c r="G4" s="184"/>
      <c r="H4" s="184"/>
    </row>
    <row r="5" spans="1:8" s="182" customFormat="1" x14ac:dyDescent="0.25">
      <c r="A5" s="192"/>
      <c r="B5" s="192"/>
      <c r="C5" s="185"/>
      <c r="D5" s="185"/>
      <c r="E5" s="185"/>
      <c r="F5" s="185"/>
      <c r="G5" s="193"/>
      <c r="H5" s="185"/>
    </row>
    <row r="6" spans="1:8" s="195" customFormat="1" ht="37.5" x14ac:dyDescent="0.25">
      <c r="A6" s="192"/>
      <c r="B6" s="192" t="s">
        <v>10</v>
      </c>
      <c r="C6" s="186" t="s">
        <v>174</v>
      </c>
      <c r="D6" s="186" t="s">
        <v>362</v>
      </c>
      <c r="E6" s="209" t="s">
        <v>386</v>
      </c>
      <c r="F6" s="186" t="s">
        <v>363</v>
      </c>
      <c r="G6" s="194" t="s">
        <v>342</v>
      </c>
      <c r="H6" s="186" t="str">
        <f>'Schedule 1'!M7</f>
        <v>2021 GRA
Compliance</v>
      </c>
    </row>
    <row r="7" spans="1:8" s="158" customFormat="1" x14ac:dyDescent="0.25">
      <c r="A7" s="157" t="s">
        <v>105</v>
      </c>
      <c r="C7" s="159"/>
      <c r="D7" s="159"/>
      <c r="E7" s="159"/>
      <c r="F7" s="159"/>
      <c r="G7" s="160"/>
      <c r="H7" s="159"/>
    </row>
    <row r="8" spans="1:8" s="158" customFormat="1" x14ac:dyDescent="0.25">
      <c r="A8" s="161"/>
      <c r="B8" s="162" t="s">
        <v>106</v>
      </c>
      <c r="C8" s="210">
        <v>444911.52</v>
      </c>
      <c r="D8" s="210">
        <v>0</v>
      </c>
      <c r="E8" s="210"/>
      <c r="F8" s="210">
        <f t="shared" ref="F8:F13" si="0">C8+D8-E8</f>
        <v>444911.52</v>
      </c>
      <c r="G8" s="196">
        <v>0</v>
      </c>
      <c r="H8" s="210">
        <v>0</v>
      </c>
    </row>
    <row r="9" spans="1:8" s="158" customFormat="1" x14ac:dyDescent="0.25">
      <c r="A9" s="161"/>
      <c r="B9" s="162" t="s">
        <v>107</v>
      </c>
      <c r="C9" s="210">
        <v>27680.47</v>
      </c>
      <c r="D9" s="210">
        <v>0</v>
      </c>
      <c r="E9" s="210"/>
      <c r="F9" s="210">
        <f t="shared" si="0"/>
        <v>27680.47</v>
      </c>
      <c r="G9" s="196">
        <v>0</v>
      </c>
      <c r="H9" s="210">
        <v>0</v>
      </c>
    </row>
    <row r="10" spans="1:8" s="158" customFormat="1" x14ac:dyDescent="0.25">
      <c r="A10" s="161"/>
      <c r="B10" s="162" t="s">
        <v>108</v>
      </c>
      <c r="C10" s="210">
        <v>576862.49</v>
      </c>
      <c r="D10" s="210">
        <v>0</v>
      </c>
      <c r="E10" s="210"/>
      <c r="F10" s="210">
        <f t="shared" si="0"/>
        <v>576862.49</v>
      </c>
      <c r="G10" s="196">
        <v>0</v>
      </c>
      <c r="H10" s="210">
        <v>0</v>
      </c>
    </row>
    <row r="11" spans="1:8" s="158" customFormat="1" x14ac:dyDescent="0.25">
      <c r="A11" s="161"/>
      <c r="B11" s="162" t="s">
        <v>142</v>
      </c>
      <c r="C11" s="210">
        <v>17775.009999999998</v>
      </c>
      <c r="D11" s="210">
        <v>0</v>
      </c>
      <c r="E11" s="210"/>
      <c r="F11" s="210">
        <f t="shared" si="0"/>
        <v>17775.009999999998</v>
      </c>
      <c r="G11" s="196">
        <v>0</v>
      </c>
      <c r="H11" s="210">
        <v>0</v>
      </c>
    </row>
    <row r="12" spans="1:8" s="158" customFormat="1" x14ac:dyDescent="0.25">
      <c r="A12" s="161"/>
      <c r="B12" s="162" t="s">
        <v>109</v>
      </c>
      <c r="C12" s="210">
        <v>547992.46</v>
      </c>
      <c r="D12" s="210">
        <v>0</v>
      </c>
      <c r="E12" s="210"/>
      <c r="F12" s="210">
        <f t="shared" si="0"/>
        <v>547992.46</v>
      </c>
      <c r="G12" s="196">
        <v>0</v>
      </c>
      <c r="H12" s="210">
        <v>0</v>
      </c>
    </row>
    <row r="13" spans="1:8" s="158" customFormat="1" x14ac:dyDescent="0.25">
      <c r="A13" s="161"/>
      <c r="B13" s="162" t="s">
        <v>110</v>
      </c>
      <c r="C13" s="210">
        <v>128779.83</v>
      </c>
      <c r="D13" s="210">
        <v>0</v>
      </c>
      <c r="E13" s="210"/>
      <c r="F13" s="210">
        <f t="shared" si="0"/>
        <v>128779.83</v>
      </c>
      <c r="G13" s="196">
        <v>50</v>
      </c>
      <c r="H13" s="210">
        <v>1568.7</v>
      </c>
    </row>
    <row r="14" spans="1:8" s="158" customFormat="1" x14ac:dyDescent="0.25">
      <c r="A14" s="161"/>
      <c r="B14" s="162" t="s">
        <v>339</v>
      </c>
      <c r="C14" s="211"/>
      <c r="D14" s="211"/>
      <c r="E14" s="211"/>
      <c r="F14" s="211"/>
      <c r="G14" s="163"/>
      <c r="H14" s="211">
        <v>-12.96</v>
      </c>
    </row>
    <row r="15" spans="1:8" s="166" customFormat="1" ht="18.75" customHeight="1" x14ac:dyDescent="0.25">
      <c r="A15" s="157" t="s">
        <v>111</v>
      </c>
      <c r="B15" s="157"/>
      <c r="C15" s="212">
        <f>SUBTOTAL(9,C8:C14)</f>
        <v>1744001.78</v>
      </c>
      <c r="D15" s="212">
        <f>SUBTOTAL(9,D8:D14)</f>
        <v>0</v>
      </c>
      <c r="E15" s="212">
        <f>SUBTOTAL(9,E8:E14)</f>
        <v>0</v>
      </c>
      <c r="F15" s="212">
        <f>SUBTOTAL(9,F8:F14)</f>
        <v>1744001.78</v>
      </c>
      <c r="G15" s="165"/>
      <c r="H15" s="212">
        <f>SUBTOTAL(9,H8:H14)</f>
        <v>1555.74</v>
      </c>
    </row>
    <row r="16" spans="1:8" s="158" customFormat="1" x14ac:dyDescent="0.25">
      <c r="C16" s="213"/>
      <c r="D16" s="213"/>
      <c r="E16" s="213"/>
      <c r="F16" s="213"/>
      <c r="G16" s="167"/>
      <c r="H16" s="213"/>
    </row>
    <row r="17" spans="1:8" s="158" customFormat="1" x14ac:dyDescent="0.25">
      <c r="A17" s="157" t="s">
        <v>112</v>
      </c>
      <c r="C17" s="213"/>
      <c r="D17" s="213"/>
      <c r="E17" s="213"/>
      <c r="F17" s="213"/>
      <c r="G17" s="167"/>
      <c r="H17" s="213"/>
    </row>
    <row r="18" spans="1:8" s="158" customFormat="1" x14ac:dyDescent="0.25">
      <c r="A18" s="168"/>
      <c r="B18" s="162" t="s">
        <v>113</v>
      </c>
      <c r="C18" s="210">
        <v>35100598.879999995</v>
      </c>
      <c r="D18" s="210">
        <v>13926075.800000001</v>
      </c>
      <c r="E18" s="210"/>
      <c r="F18" s="210">
        <f t="shared" ref="F18:F26" si="1">C18+D18-E18</f>
        <v>49026674.679999992</v>
      </c>
      <c r="G18" s="196">
        <v>72</v>
      </c>
      <c r="H18" s="210">
        <v>488202.76</v>
      </c>
    </row>
    <row r="19" spans="1:8" s="158" customFormat="1" x14ac:dyDescent="0.25">
      <c r="A19" s="168"/>
      <c r="B19" s="162" t="s">
        <v>120</v>
      </c>
      <c r="C19" s="210">
        <v>10278688.460000001</v>
      </c>
      <c r="D19" s="210">
        <v>0</v>
      </c>
      <c r="E19" s="210"/>
      <c r="F19" s="210">
        <f t="shared" si="1"/>
        <v>10278688.460000001</v>
      </c>
      <c r="G19" s="196">
        <v>40</v>
      </c>
      <c r="H19" s="210">
        <v>256967.21</v>
      </c>
    </row>
    <row r="20" spans="1:8" s="158" customFormat="1" x14ac:dyDescent="0.25">
      <c r="A20" s="168"/>
      <c r="B20" s="162" t="s">
        <v>114</v>
      </c>
      <c r="C20" s="210">
        <v>173385247.52000001</v>
      </c>
      <c r="D20" s="210">
        <v>300000</v>
      </c>
      <c r="E20" s="210"/>
      <c r="F20" s="210">
        <f t="shared" si="1"/>
        <v>173685247.52000001</v>
      </c>
      <c r="G20" s="196">
        <v>103</v>
      </c>
      <c r="H20" s="210">
        <v>1683496.22</v>
      </c>
    </row>
    <row r="21" spans="1:8" s="158" customFormat="1" x14ac:dyDescent="0.25">
      <c r="A21" s="168"/>
      <c r="B21" s="162" t="s">
        <v>318</v>
      </c>
      <c r="C21" s="210">
        <v>6712131.5700000003</v>
      </c>
      <c r="D21" s="210">
        <v>0</v>
      </c>
      <c r="E21" s="210"/>
      <c r="F21" s="210">
        <f t="shared" si="1"/>
        <v>6712131.5700000003</v>
      </c>
      <c r="G21" s="196">
        <v>10</v>
      </c>
      <c r="H21" s="210">
        <v>671213.18</v>
      </c>
    </row>
    <row r="22" spans="1:8" s="158" customFormat="1" x14ac:dyDescent="0.25">
      <c r="A22" s="168"/>
      <c r="B22" s="162" t="s">
        <v>115</v>
      </c>
      <c r="C22" s="210">
        <v>26904609.390000001</v>
      </c>
      <c r="D22" s="210">
        <v>0</v>
      </c>
      <c r="E22" s="210"/>
      <c r="F22" s="210">
        <f t="shared" si="1"/>
        <v>26904609.390000001</v>
      </c>
      <c r="G22" s="196">
        <v>85</v>
      </c>
      <c r="H22" s="210">
        <v>309875.84000000003</v>
      </c>
    </row>
    <row r="23" spans="1:8" s="158" customFormat="1" x14ac:dyDescent="0.25">
      <c r="A23" s="168"/>
      <c r="B23" s="162" t="s">
        <v>116</v>
      </c>
      <c r="C23" s="210">
        <v>27364118.510000005</v>
      </c>
      <c r="D23" s="210">
        <v>0</v>
      </c>
      <c r="E23" s="210"/>
      <c r="F23" s="210">
        <f t="shared" si="1"/>
        <v>27364118.510000005</v>
      </c>
      <c r="G23" s="196">
        <v>40</v>
      </c>
      <c r="H23" s="210">
        <v>684788.49</v>
      </c>
    </row>
    <row r="24" spans="1:8" s="158" customFormat="1" x14ac:dyDescent="0.25">
      <c r="A24" s="168"/>
      <c r="B24" s="162" t="s">
        <v>337</v>
      </c>
      <c r="C24" s="210">
        <v>837944.78</v>
      </c>
      <c r="D24" s="210">
        <v>0</v>
      </c>
      <c r="E24" s="210"/>
      <c r="F24" s="210">
        <f t="shared" si="1"/>
        <v>837944.78</v>
      </c>
      <c r="G24" s="196">
        <v>20</v>
      </c>
      <c r="H24" s="210">
        <v>41897.24</v>
      </c>
    </row>
    <row r="25" spans="1:8" s="158" customFormat="1" x14ac:dyDescent="0.25">
      <c r="A25" s="168"/>
      <c r="B25" s="162" t="s">
        <v>117</v>
      </c>
      <c r="C25" s="210">
        <v>11791437.920000002</v>
      </c>
      <c r="D25" s="210">
        <v>25000</v>
      </c>
      <c r="E25" s="210"/>
      <c r="F25" s="210">
        <f t="shared" si="1"/>
        <v>11816437.920000002</v>
      </c>
      <c r="G25" s="196">
        <v>30</v>
      </c>
      <c r="H25" s="210">
        <v>393047.93000000005</v>
      </c>
    </row>
    <row r="26" spans="1:8" s="158" customFormat="1" x14ac:dyDescent="0.25">
      <c r="A26" s="168"/>
      <c r="B26" s="162" t="s">
        <v>118</v>
      </c>
      <c r="C26" s="210">
        <v>107086</v>
      </c>
      <c r="D26" s="210">
        <v>0</v>
      </c>
      <c r="E26" s="210"/>
      <c r="F26" s="210">
        <f t="shared" si="1"/>
        <v>107086</v>
      </c>
      <c r="G26" s="196">
        <v>30</v>
      </c>
      <c r="H26" s="210">
        <v>2677.14</v>
      </c>
    </row>
    <row r="27" spans="1:8" s="158" customFormat="1" x14ac:dyDescent="0.25">
      <c r="A27" s="168"/>
      <c r="B27" s="162" t="s">
        <v>339</v>
      </c>
      <c r="C27" s="211"/>
      <c r="D27" s="211"/>
      <c r="E27" s="211"/>
      <c r="F27" s="211"/>
      <c r="G27" s="197"/>
      <c r="H27" s="211">
        <v>-140465.28</v>
      </c>
    </row>
    <row r="28" spans="1:8" s="166" customFormat="1" x14ac:dyDescent="0.25">
      <c r="A28" s="157" t="s">
        <v>119</v>
      </c>
      <c r="B28" s="157"/>
      <c r="C28" s="212">
        <f>SUBTOTAL(9,C18:C27)</f>
        <v>292481863.02999997</v>
      </c>
      <c r="D28" s="212">
        <f>SUBTOTAL(9,D18:D27)</f>
        <v>14251075.800000001</v>
      </c>
      <c r="E28" s="212">
        <f>SUBTOTAL(9,E18:E27)</f>
        <v>0</v>
      </c>
      <c r="F28" s="212">
        <f>SUBTOTAL(9,F18:F27)</f>
        <v>306732938.82999998</v>
      </c>
      <c r="G28" s="164"/>
      <c r="H28" s="212">
        <f>SUBTOTAL(9,H18:H27)</f>
        <v>4391700.7299999995</v>
      </c>
    </row>
    <row r="29" spans="1:8" s="158" customFormat="1" x14ac:dyDescent="0.25">
      <c r="C29" s="213"/>
      <c r="D29" s="213"/>
      <c r="E29" s="213"/>
      <c r="F29" s="213"/>
      <c r="G29" s="167"/>
      <c r="H29" s="213"/>
    </row>
    <row r="30" spans="1:8" s="158" customFormat="1" x14ac:dyDescent="0.25">
      <c r="A30" s="157" t="s">
        <v>107</v>
      </c>
      <c r="C30" s="213"/>
      <c r="D30" s="213"/>
      <c r="E30" s="213"/>
      <c r="F30" s="213"/>
      <c r="G30" s="167"/>
      <c r="H30" s="213"/>
    </row>
    <row r="31" spans="1:8" s="158" customFormat="1" x14ac:dyDescent="0.25">
      <c r="A31" s="168"/>
      <c r="B31" s="162" t="s">
        <v>113</v>
      </c>
      <c r="C31" s="210">
        <v>1562351.7</v>
      </c>
      <c r="D31" s="210">
        <v>0</v>
      </c>
      <c r="E31" s="210"/>
      <c r="F31" s="210">
        <f t="shared" ref="F31:F38" si="2">C31+D31-E31</f>
        <v>1562351.7</v>
      </c>
      <c r="G31" s="196">
        <v>72</v>
      </c>
      <c r="H31" s="210">
        <v>21699.33</v>
      </c>
    </row>
    <row r="32" spans="1:8" s="158" customFormat="1" x14ac:dyDescent="0.25">
      <c r="A32" s="168"/>
      <c r="B32" s="162" t="s">
        <v>120</v>
      </c>
      <c r="C32" s="210">
        <v>466053.54</v>
      </c>
      <c r="D32" s="210">
        <v>0</v>
      </c>
      <c r="E32" s="210"/>
      <c r="F32" s="210">
        <f t="shared" si="2"/>
        <v>466053.54</v>
      </c>
      <c r="G32" s="196">
        <v>55</v>
      </c>
      <c r="H32" s="210">
        <v>8473.68</v>
      </c>
    </row>
    <row r="33" spans="1:8" s="158" customFormat="1" x14ac:dyDescent="0.25">
      <c r="A33" s="168"/>
      <c r="B33" s="162" t="s">
        <v>121</v>
      </c>
      <c r="C33" s="210">
        <v>1688500.95</v>
      </c>
      <c r="D33" s="210">
        <v>0</v>
      </c>
      <c r="E33" s="210"/>
      <c r="F33" s="210">
        <f t="shared" si="2"/>
        <v>1688500.95</v>
      </c>
      <c r="G33" s="196">
        <v>40</v>
      </c>
      <c r="H33" s="210">
        <v>26011.231250000001</v>
      </c>
    </row>
    <row r="34" spans="1:8" s="158" customFormat="1" x14ac:dyDescent="0.25">
      <c r="A34" s="168"/>
      <c r="B34" s="162" t="s">
        <v>122</v>
      </c>
      <c r="C34" s="210">
        <v>14192881.969999999</v>
      </c>
      <c r="D34" s="210">
        <v>0</v>
      </c>
      <c r="E34" s="210"/>
      <c r="F34" s="210">
        <f t="shared" si="2"/>
        <v>14192881.969999999</v>
      </c>
      <c r="G34" s="196">
        <v>40</v>
      </c>
      <c r="H34" s="210">
        <v>635196.6</v>
      </c>
    </row>
    <row r="35" spans="1:8" s="158" customFormat="1" x14ac:dyDescent="0.25">
      <c r="A35" s="168"/>
      <c r="B35" s="162" t="s">
        <v>318</v>
      </c>
      <c r="C35" s="210">
        <v>2962780.46</v>
      </c>
      <c r="D35" s="210">
        <v>0</v>
      </c>
      <c r="E35" s="210"/>
      <c r="F35" s="210">
        <f t="shared" si="2"/>
        <v>2962780.46</v>
      </c>
      <c r="G35" s="196">
        <v>5</v>
      </c>
      <c r="H35" s="210">
        <v>592556.14</v>
      </c>
    </row>
    <row r="36" spans="1:8" s="158" customFormat="1" x14ac:dyDescent="0.25">
      <c r="A36" s="168"/>
      <c r="B36" s="162" t="s">
        <v>338</v>
      </c>
      <c r="C36" s="210">
        <v>243547.65000000002</v>
      </c>
      <c r="D36" s="210">
        <v>0</v>
      </c>
      <c r="E36" s="210"/>
      <c r="F36" s="210">
        <f t="shared" si="2"/>
        <v>243547.65000000002</v>
      </c>
      <c r="G36" s="196">
        <v>12</v>
      </c>
      <c r="H36" s="210">
        <v>26068.79</v>
      </c>
    </row>
    <row r="37" spans="1:8" s="158" customFormat="1" x14ac:dyDescent="0.25">
      <c r="A37" s="168"/>
      <c r="B37" s="162" t="s">
        <v>116</v>
      </c>
      <c r="C37" s="210">
        <v>9427503.6700000018</v>
      </c>
      <c r="D37" s="210">
        <v>0</v>
      </c>
      <c r="E37" s="210"/>
      <c r="F37" s="210">
        <f t="shared" si="2"/>
        <v>9427503.6700000018</v>
      </c>
      <c r="G37" s="196">
        <v>45</v>
      </c>
      <c r="H37" s="210">
        <v>208734.43</v>
      </c>
    </row>
    <row r="38" spans="1:8" s="158" customFormat="1" x14ac:dyDescent="0.25">
      <c r="A38" s="168"/>
      <c r="B38" s="162" t="s">
        <v>117</v>
      </c>
      <c r="C38" s="210">
        <v>1837693.49</v>
      </c>
      <c r="D38" s="210">
        <v>0</v>
      </c>
      <c r="E38" s="210"/>
      <c r="F38" s="210">
        <f t="shared" si="2"/>
        <v>1837693.49</v>
      </c>
      <c r="G38" s="196">
        <v>30</v>
      </c>
      <c r="H38" s="210">
        <v>59215.56</v>
      </c>
    </row>
    <row r="39" spans="1:8" s="158" customFormat="1" x14ac:dyDescent="0.25">
      <c r="A39" s="168"/>
      <c r="B39" s="162" t="s">
        <v>339</v>
      </c>
      <c r="C39" s="211"/>
      <c r="D39" s="211"/>
      <c r="E39" s="211"/>
      <c r="F39" s="211"/>
      <c r="G39" s="163"/>
      <c r="H39" s="211">
        <v>-70207.724697434329</v>
      </c>
    </row>
    <row r="40" spans="1:8" s="166" customFormat="1" ht="18.75" customHeight="1" x14ac:dyDescent="0.25">
      <c r="A40" s="157" t="s">
        <v>123</v>
      </c>
      <c r="B40" s="157"/>
      <c r="C40" s="212">
        <f>SUBTOTAL(9,C31:C39)</f>
        <v>32381313.43</v>
      </c>
      <c r="D40" s="212">
        <f>SUBTOTAL(9,D31:D39)</f>
        <v>0</v>
      </c>
      <c r="E40" s="212">
        <f>SUBTOTAL(9,E31:E39)</f>
        <v>0</v>
      </c>
      <c r="F40" s="212">
        <f>SUBTOTAL(9,F31:F39)</f>
        <v>32381313.43</v>
      </c>
      <c r="G40" s="165"/>
      <c r="H40" s="212">
        <f>SUBTOTAL(9,H31:H39)</f>
        <v>1507748.0365525656</v>
      </c>
    </row>
    <row r="41" spans="1:8" s="158" customFormat="1" x14ac:dyDescent="0.25">
      <c r="C41" s="213"/>
      <c r="D41" s="213"/>
      <c r="E41" s="213"/>
      <c r="F41" s="213"/>
      <c r="G41" s="167"/>
      <c r="H41" s="213"/>
    </row>
    <row r="42" spans="1:8" s="158" customFormat="1" x14ac:dyDescent="0.25">
      <c r="A42" s="157" t="s">
        <v>124</v>
      </c>
      <c r="C42" s="213"/>
      <c r="D42" s="213"/>
      <c r="E42" s="213"/>
      <c r="F42" s="213"/>
      <c r="G42" s="167"/>
      <c r="H42" s="213"/>
    </row>
    <row r="43" spans="1:8" s="158" customFormat="1" x14ac:dyDescent="0.25">
      <c r="A43" s="168"/>
      <c r="B43" s="162" t="s">
        <v>124</v>
      </c>
      <c r="C43" s="211">
        <v>0</v>
      </c>
      <c r="D43" s="211">
        <v>0</v>
      </c>
      <c r="E43" s="211"/>
      <c r="F43" s="211">
        <f>C43+D43-E43</f>
        <v>0</v>
      </c>
      <c r="G43" s="197">
        <v>0</v>
      </c>
      <c r="H43" s="211">
        <v>0</v>
      </c>
    </row>
    <row r="44" spans="1:8" s="166" customFormat="1" ht="18.75" customHeight="1" x14ac:dyDescent="0.25">
      <c r="A44" s="157" t="s">
        <v>125</v>
      </c>
      <c r="B44" s="157"/>
      <c r="C44" s="212">
        <f>C43</f>
        <v>0</v>
      </c>
      <c r="D44" s="212">
        <f>D43</f>
        <v>0</v>
      </c>
      <c r="E44" s="212">
        <f>E43</f>
        <v>0</v>
      </c>
      <c r="F44" s="212">
        <f>F43</f>
        <v>0</v>
      </c>
      <c r="G44" s="165"/>
      <c r="H44" s="212">
        <f>SUBTOTAL(9,H43)</f>
        <v>0</v>
      </c>
    </row>
    <row r="45" spans="1:8" s="158" customFormat="1" x14ac:dyDescent="0.25">
      <c r="C45" s="213"/>
      <c r="D45" s="213"/>
      <c r="E45" s="213"/>
      <c r="F45" s="213"/>
      <c r="G45" s="167"/>
      <c r="H45" s="213"/>
    </row>
    <row r="46" spans="1:8" s="158" customFormat="1" x14ac:dyDescent="0.25">
      <c r="A46" s="157" t="s">
        <v>108</v>
      </c>
      <c r="C46" s="213"/>
      <c r="D46" s="213"/>
      <c r="E46" s="213"/>
      <c r="F46" s="213"/>
      <c r="G46" s="167"/>
      <c r="H46" s="213"/>
    </row>
    <row r="47" spans="1:8" s="158" customFormat="1" x14ac:dyDescent="0.25">
      <c r="A47" s="168"/>
      <c r="B47" s="162" t="s">
        <v>126</v>
      </c>
      <c r="C47" s="210">
        <v>83423756.849999994</v>
      </c>
      <c r="D47" s="210">
        <v>12132000</v>
      </c>
      <c r="E47" s="210">
        <v>978115.99384615396</v>
      </c>
      <c r="F47" s="210">
        <f t="shared" ref="F47:F55" si="3">C47+D47-E47</f>
        <v>94577640.856153846</v>
      </c>
      <c r="G47" s="196">
        <v>65</v>
      </c>
      <c r="H47" s="210">
        <v>1276870.73</v>
      </c>
    </row>
    <row r="48" spans="1:8" s="158" customFormat="1" x14ac:dyDescent="0.25">
      <c r="A48" s="168"/>
      <c r="B48" s="162" t="s">
        <v>127</v>
      </c>
      <c r="C48" s="210">
        <v>14082335.510000002</v>
      </c>
      <c r="D48" s="210">
        <v>0</v>
      </c>
      <c r="E48" s="210"/>
      <c r="F48" s="210">
        <f t="shared" si="3"/>
        <v>14082335.510000002</v>
      </c>
      <c r="G48" s="196">
        <v>60</v>
      </c>
      <c r="H48" s="210">
        <v>234705.59166666667</v>
      </c>
    </row>
    <row r="49" spans="1:8" s="158" customFormat="1" x14ac:dyDescent="0.25">
      <c r="A49" s="168"/>
      <c r="B49" s="162" t="s">
        <v>128</v>
      </c>
      <c r="C49" s="210">
        <v>4083379.09</v>
      </c>
      <c r="D49" s="210">
        <v>0</v>
      </c>
      <c r="E49" s="210"/>
      <c r="F49" s="210">
        <f t="shared" si="3"/>
        <v>4083379.09</v>
      </c>
      <c r="G49" s="196">
        <v>60</v>
      </c>
      <c r="H49" s="210">
        <v>149346.34166666665</v>
      </c>
    </row>
    <row r="50" spans="1:8" s="158" customFormat="1" x14ac:dyDescent="0.25">
      <c r="A50" s="168"/>
      <c r="B50" s="162" t="s">
        <v>129</v>
      </c>
      <c r="C50" s="210">
        <v>20561275.119999997</v>
      </c>
      <c r="D50" s="210">
        <v>0</v>
      </c>
      <c r="E50" s="210">
        <v>358386.54769230774</v>
      </c>
      <c r="F50" s="210">
        <f t="shared" si="3"/>
        <v>20202888.572307691</v>
      </c>
      <c r="G50" s="196">
        <v>60</v>
      </c>
      <c r="H50" s="210">
        <v>342687.92500000005</v>
      </c>
    </row>
    <row r="51" spans="1:8" s="158" customFormat="1" x14ac:dyDescent="0.25">
      <c r="A51" s="168"/>
      <c r="B51" s="162" t="s">
        <v>130</v>
      </c>
      <c r="C51" s="210">
        <v>277975</v>
      </c>
      <c r="D51" s="210">
        <v>0</v>
      </c>
      <c r="E51" s="210"/>
      <c r="F51" s="210">
        <f t="shared" si="3"/>
        <v>277975</v>
      </c>
      <c r="G51" s="196">
        <v>60</v>
      </c>
      <c r="H51" s="210">
        <v>4632.916666666667</v>
      </c>
    </row>
    <row r="52" spans="1:8" s="158" customFormat="1" x14ac:dyDescent="0.25">
      <c r="A52" s="168"/>
      <c r="B52" s="162" t="s">
        <v>131</v>
      </c>
      <c r="C52" s="210">
        <v>70642901.36999999</v>
      </c>
      <c r="D52" s="210">
        <v>125000</v>
      </c>
      <c r="E52" s="210"/>
      <c r="F52" s="210">
        <f t="shared" si="3"/>
        <v>70767901.36999999</v>
      </c>
      <c r="G52" s="196">
        <v>54</v>
      </c>
      <c r="H52" s="210">
        <v>1313969.705151163</v>
      </c>
    </row>
    <row r="53" spans="1:8" s="158" customFormat="1" x14ac:dyDescent="0.25">
      <c r="A53" s="168"/>
      <c r="B53" s="162" t="s">
        <v>380</v>
      </c>
      <c r="C53" s="210">
        <v>10688553.15</v>
      </c>
      <c r="D53" s="210"/>
      <c r="E53" s="210"/>
      <c r="F53" s="210">
        <f t="shared" si="3"/>
        <v>10688553.15</v>
      </c>
      <c r="G53" s="196">
        <v>12</v>
      </c>
      <c r="H53" s="210">
        <f>C53/G53</f>
        <v>890712.76250000007</v>
      </c>
    </row>
    <row r="54" spans="1:8" s="158" customFormat="1" x14ac:dyDescent="0.25">
      <c r="A54" s="168"/>
      <c r="B54" s="162" t="s">
        <v>132</v>
      </c>
      <c r="C54" s="210">
        <v>1536213.38</v>
      </c>
      <c r="D54" s="210">
        <v>0</v>
      </c>
      <c r="E54" s="210"/>
      <c r="F54" s="210">
        <f t="shared" si="3"/>
        <v>1536213.38</v>
      </c>
      <c r="G54" s="196">
        <v>55</v>
      </c>
      <c r="H54" s="210">
        <v>27931.15</v>
      </c>
    </row>
    <row r="55" spans="1:8" s="158" customFormat="1" x14ac:dyDescent="0.25">
      <c r="A55" s="168"/>
      <c r="B55" s="162" t="s">
        <v>133</v>
      </c>
      <c r="C55" s="210">
        <v>274477.44999999995</v>
      </c>
      <c r="D55" s="210">
        <v>0</v>
      </c>
      <c r="E55" s="210"/>
      <c r="F55" s="210">
        <f t="shared" si="3"/>
        <v>274477.44999999995</v>
      </c>
      <c r="G55" s="196">
        <v>30</v>
      </c>
      <c r="H55" s="210">
        <v>8918.32</v>
      </c>
    </row>
    <row r="56" spans="1:8" s="158" customFormat="1" x14ac:dyDescent="0.25">
      <c r="A56" s="168"/>
      <c r="B56" s="162" t="s">
        <v>339</v>
      </c>
      <c r="C56" s="211"/>
      <c r="D56" s="211"/>
      <c r="E56" s="211"/>
      <c r="F56" s="211"/>
      <c r="G56" s="197"/>
      <c r="H56" s="211">
        <v>34663.847386094378</v>
      </c>
    </row>
    <row r="57" spans="1:8" s="166" customFormat="1" ht="18" customHeight="1" x14ac:dyDescent="0.25">
      <c r="A57" s="157" t="s">
        <v>134</v>
      </c>
      <c r="B57" s="157"/>
      <c r="C57" s="212">
        <f>SUBTOTAL(9,C47:C56)</f>
        <v>205570866.91999999</v>
      </c>
      <c r="D57" s="212">
        <f>SUBTOTAL(9,D47:D56)</f>
        <v>12257000</v>
      </c>
      <c r="E57" s="212">
        <f>SUBTOTAL(9,E47:E56)</f>
        <v>1336502.5415384616</v>
      </c>
      <c r="F57" s="212">
        <f>SUBTOTAL(9,F47:F56)</f>
        <v>216491364.37846151</v>
      </c>
      <c r="G57" s="165"/>
      <c r="H57" s="212">
        <f>SUBTOTAL(9,H47:H56)</f>
        <v>4284439.2900372585</v>
      </c>
    </row>
    <row r="58" spans="1:8" s="158" customFormat="1" x14ac:dyDescent="0.25">
      <c r="C58" s="213"/>
      <c r="D58" s="213"/>
      <c r="E58" s="213"/>
      <c r="F58" s="213"/>
      <c r="G58" s="167"/>
      <c r="H58" s="213"/>
    </row>
    <row r="59" spans="1:8" s="158" customFormat="1" x14ac:dyDescent="0.25">
      <c r="A59" s="157" t="s">
        <v>135</v>
      </c>
      <c r="C59" s="213"/>
      <c r="D59" s="213"/>
      <c r="E59" s="213"/>
      <c r="F59" s="213"/>
      <c r="G59" s="167"/>
      <c r="H59" s="213"/>
    </row>
    <row r="60" spans="1:8" s="158" customFormat="1" x14ac:dyDescent="0.25">
      <c r="A60" s="168"/>
      <c r="B60" s="162" t="s">
        <v>126</v>
      </c>
      <c r="C60" s="210">
        <v>4659633.82</v>
      </c>
      <c r="D60" s="210">
        <v>0</v>
      </c>
      <c r="E60" s="210"/>
      <c r="F60" s="210">
        <f t="shared" ref="F60:F70" si="4">C60+D60-E60</f>
        <v>4659633.82</v>
      </c>
      <c r="G60" s="196">
        <v>65</v>
      </c>
      <c r="H60" s="210">
        <v>66958.86461538462</v>
      </c>
    </row>
    <row r="61" spans="1:8" s="158" customFormat="1" x14ac:dyDescent="0.25">
      <c r="A61" s="168"/>
      <c r="B61" s="162" t="s">
        <v>136</v>
      </c>
      <c r="C61" s="210">
        <v>2646131.54</v>
      </c>
      <c r="D61" s="210">
        <v>0</v>
      </c>
      <c r="E61" s="210"/>
      <c r="F61" s="210">
        <f t="shared" si="4"/>
        <v>2646131.54</v>
      </c>
      <c r="G61" s="196">
        <v>12</v>
      </c>
      <c r="H61" s="210">
        <v>0</v>
      </c>
    </row>
    <row r="62" spans="1:8" s="158" customFormat="1" x14ac:dyDescent="0.25">
      <c r="A62" s="168"/>
      <c r="B62" s="162" t="s">
        <v>137</v>
      </c>
      <c r="C62" s="210">
        <v>41597.199999999997</v>
      </c>
      <c r="D62" s="210">
        <v>0</v>
      </c>
      <c r="E62" s="210"/>
      <c r="F62" s="210">
        <f t="shared" si="4"/>
        <v>41597.199999999997</v>
      </c>
      <c r="G62" s="196">
        <v>60</v>
      </c>
      <c r="H62" s="210">
        <v>693.28333333333342</v>
      </c>
    </row>
    <row r="63" spans="1:8" s="158" customFormat="1" x14ac:dyDescent="0.25">
      <c r="A63" s="168"/>
      <c r="B63" s="162" t="s">
        <v>319</v>
      </c>
      <c r="C63" s="210">
        <v>432532.51</v>
      </c>
      <c r="D63" s="210">
        <v>0</v>
      </c>
      <c r="E63" s="210"/>
      <c r="F63" s="210">
        <f t="shared" si="4"/>
        <v>432532.51</v>
      </c>
      <c r="G63" s="196">
        <v>12</v>
      </c>
      <c r="H63" s="210">
        <v>0</v>
      </c>
    </row>
    <row r="64" spans="1:8" s="158" customFormat="1" x14ac:dyDescent="0.25">
      <c r="A64" s="168"/>
      <c r="B64" s="162" t="s">
        <v>138</v>
      </c>
      <c r="C64" s="210">
        <v>0</v>
      </c>
      <c r="D64" s="210">
        <v>0</v>
      </c>
      <c r="E64" s="210"/>
      <c r="F64" s="210">
        <f t="shared" si="4"/>
        <v>0</v>
      </c>
      <c r="G64" s="196">
        <v>60</v>
      </c>
      <c r="H64" s="210">
        <v>0</v>
      </c>
    </row>
    <row r="65" spans="1:8" s="158" customFormat="1" x14ac:dyDescent="0.25">
      <c r="A65" s="168"/>
      <c r="B65" s="162" t="s">
        <v>320</v>
      </c>
      <c r="C65" s="210">
        <v>95136.43</v>
      </c>
      <c r="D65" s="210">
        <v>0</v>
      </c>
      <c r="E65" s="210"/>
      <c r="F65" s="210">
        <f t="shared" si="4"/>
        <v>95136.43</v>
      </c>
      <c r="G65" s="196">
        <v>12</v>
      </c>
      <c r="H65" s="210">
        <v>0</v>
      </c>
    </row>
    <row r="66" spans="1:8" s="158" customFormat="1" x14ac:dyDescent="0.25">
      <c r="A66" s="168"/>
      <c r="B66" s="162" t="s">
        <v>139</v>
      </c>
      <c r="C66" s="210">
        <v>1840368.81</v>
      </c>
      <c r="D66" s="210">
        <v>0</v>
      </c>
      <c r="E66" s="210"/>
      <c r="F66" s="210">
        <f t="shared" si="4"/>
        <v>1840368.81</v>
      </c>
      <c r="G66" s="196">
        <v>60</v>
      </c>
      <c r="H66" s="210">
        <v>30537.360000000001</v>
      </c>
    </row>
    <row r="67" spans="1:8" s="158" customFormat="1" x14ac:dyDescent="0.25">
      <c r="A67" s="168"/>
      <c r="B67" s="162" t="s">
        <v>140</v>
      </c>
      <c r="C67" s="210">
        <v>83872.850000000006</v>
      </c>
      <c r="D67" s="210">
        <v>0</v>
      </c>
      <c r="E67" s="210"/>
      <c r="F67" s="210">
        <f t="shared" si="4"/>
        <v>83872.850000000006</v>
      </c>
      <c r="G67" s="196">
        <v>45</v>
      </c>
      <c r="H67" s="210">
        <v>1863.84</v>
      </c>
    </row>
    <row r="68" spans="1:8" s="158" customFormat="1" x14ac:dyDescent="0.25">
      <c r="A68" s="168"/>
      <c r="B68" s="162" t="s">
        <v>321</v>
      </c>
      <c r="C68" s="210">
        <v>920692.5</v>
      </c>
      <c r="D68" s="210">
        <v>0</v>
      </c>
      <c r="E68" s="210"/>
      <c r="F68" s="210">
        <f t="shared" si="4"/>
        <v>920692.5</v>
      </c>
      <c r="G68" s="196">
        <v>12</v>
      </c>
      <c r="H68" s="210">
        <v>0</v>
      </c>
    </row>
    <row r="69" spans="1:8" s="158" customFormat="1" x14ac:dyDescent="0.25">
      <c r="A69" s="168"/>
      <c r="B69" s="162" t="s">
        <v>322</v>
      </c>
      <c r="C69" s="210">
        <v>8013609.3399999999</v>
      </c>
      <c r="D69" s="210">
        <v>0</v>
      </c>
      <c r="E69" s="210"/>
      <c r="F69" s="210">
        <f t="shared" si="4"/>
        <v>8013609.3399999999</v>
      </c>
      <c r="G69" s="196">
        <v>54</v>
      </c>
      <c r="H69" s="210">
        <v>148400.17037037035</v>
      </c>
    </row>
    <row r="70" spans="1:8" s="158" customFormat="1" x14ac:dyDescent="0.25">
      <c r="A70" s="168"/>
      <c r="B70" s="162" t="s">
        <v>323</v>
      </c>
      <c r="C70" s="210">
        <v>7111245.04</v>
      </c>
      <c r="D70" s="210">
        <v>0</v>
      </c>
      <c r="E70" s="210"/>
      <c r="F70" s="210">
        <f t="shared" si="4"/>
        <v>7111245.04</v>
      </c>
      <c r="G70" s="196">
        <v>12</v>
      </c>
      <c r="H70" s="210">
        <v>74559.39</v>
      </c>
    </row>
    <row r="71" spans="1:8" s="158" customFormat="1" x14ac:dyDescent="0.25">
      <c r="A71" s="168"/>
      <c r="B71" s="162" t="s">
        <v>339</v>
      </c>
      <c r="C71" s="211"/>
      <c r="D71" s="211"/>
      <c r="E71" s="211"/>
      <c r="F71" s="211"/>
      <c r="G71" s="197"/>
      <c r="H71" s="211">
        <v>-45813.36</v>
      </c>
    </row>
    <row r="72" spans="1:8" s="166" customFormat="1" x14ac:dyDescent="0.25">
      <c r="A72" s="157" t="s">
        <v>141</v>
      </c>
      <c r="B72" s="157"/>
      <c r="C72" s="212">
        <f>SUBTOTAL(9,C60:C71)</f>
        <v>25844820.039999999</v>
      </c>
      <c r="D72" s="212">
        <f>SUBTOTAL(9,D60:D71)</f>
        <v>0</v>
      </c>
      <c r="E72" s="212">
        <f>SUBTOTAL(9,E60:E71)</f>
        <v>0</v>
      </c>
      <c r="F72" s="212">
        <f>SUBTOTAL(9,F60:F71)</f>
        <v>25844820.039999999</v>
      </c>
      <c r="G72" s="165"/>
      <c r="H72" s="212">
        <f>SUBTOTAL(9,H60:H71)</f>
        <v>277199.54831908835</v>
      </c>
    </row>
    <row r="73" spans="1:8" s="158" customFormat="1" x14ac:dyDescent="0.25">
      <c r="C73" s="213"/>
      <c r="D73" s="213"/>
      <c r="E73" s="213"/>
      <c r="F73" s="213"/>
      <c r="G73" s="167"/>
      <c r="H73" s="213"/>
    </row>
    <row r="74" spans="1:8" s="158" customFormat="1" x14ac:dyDescent="0.25">
      <c r="A74" s="157" t="s">
        <v>142</v>
      </c>
      <c r="C74" s="213"/>
      <c r="D74" s="213"/>
      <c r="E74" s="213"/>
      <c r="F74" s="213"/>
      <c r="G74" s="167"/>
      <c r="H74" s="213"/>
    </row>
    <row r="75" spans="1:8" s="158" customFormat="1" x14ac:dyDescent="0.25">
      <c r="A75" s="168"/>
      <c r="B75" s="162" t="s">
        <v>126</v>
      </c>
      <c r="C75" s="210">
        <v>9709083.2399999965</v>
      </c>
      <c r="D75" s="210">
        <v>648000</v>
      </c>
      <c r="E75" s="210"/>
      <c r="F75" s="210">
        <f t="shared" ref="F75:F90" si="5">C75+D75-E75</f>
        <v>10357083.239999996</v>
      </c>
      <c r="G75" s="196">
        <v>40</v>
      </c>
      <c r="H75" s="210">
        <v>242367.18625000003</v>
      </c>
    </row>
    <row r="76" spans="1:8" s="158" customFormat="1" x14ac:dyDescent="0.25">
      <c r="A76" s="168"/>
      <c r="B76" s="162" t="s">
        <v>127</v>
      </c>
      <c r="C76" s="210">
        <v>44763.01</v>
      </c>
      <c r="D76" s="210">
        <v>0</v>
      </c>
      <c r="E76" s="210"/>
      <c r="F76" s="210">
        <f t="shared" si="5"/>
        <v>44763.01</v>
      </c>
      <c r="G76" s="196">
        <v>50</v>
      </c>
      <c r="H76" s="210">
        <v>895.26</v>
      </c>
    </row>
    <row r="77" spans="1:8" s="158" customFormat="1" x14ac:dyDescent="0.25">
      <c r="A77" s="168"/>
      <c r="B77" s="162" t="s">
        <v>138</v>
      </c>
      <c r="C77" s="210">
        <v>619385.92999999993</v>
      </c>
      <c r="D77" s="210">
        <v>0</v>
      </c>
      <c r="E77" s="210"/>
      <c r="F77" s="210">
        <f t="shared" si="5"/>
        <v>619385.92999999993</v>
      </c>
      <c r="G77" s="196">
        <v>50</v>
      </c>
      <c r="H77" s="210">
        <v>17696.759999999998</v>
      </c>
    </row>
    <row r="78" spans="1:8" s="158" customFormat="1" x14ac:dyDescent="0.25">
      <c r="A78" s="168"/>
      <c r="B78" s="162" t="s">
        <v>143</v>
      </c>
      <c r="C78" s="210">
        <v>268208.24</v>
      </c>
      <c r="D78" s="210">
        <v>0</v>
      </c>
      <c r="E78" s="210"/>
      <c r="F78" s="210">
        <f t="shared" si="5"/>
        <v>268208.24</v>
      </c>
      <c r="G78" s="196">
        <v>50</v>
      </c>
      <c r="H78" s="210">
        <v>4292.6939999999995</v>
      </c>
    </row>
    <row r="79" spans="1:8" s="158" customFormat="1" x14ac:dyDescent="0.25">
      <c r="A79" s="168"/>
      <c r="B79" s="162" t="s">
        <v>144</v>
      </c>
      <c r="C79" s="210">
        <v>2117380.9599999995</v>
      </c>
      <c r="D79" s="210">
        <v>0</v>
      </c>
      <c r="E79" s="210"/>
      <c r="F79" s="210">
        <f t="shared" si="5"/>
        <v>2117380.9599999995</v>
      </c>
      <c r="G79" s="196">
        <v>40</v>
      </c>
      <c r="H79" s="210">
        <v>52933.43</v>
      </c>
    </row>
    <row r="80" spans="1:8" s="158" customFormat="1" x14ac:dyDescent="0.25">
      <c r="A80" s="168"/>
      <c r="B80" s="162" t="s">
        <v>145</v>
      </c>
      <c r="C80" s="210">
        <v>385154.92</v>
      </c>
      <c r="D80" s="210">
        <v>0</v>
      </c>
      <c r="E80" s="210"/>
      <c r="F80" s="210">
        <f t="shared" si="5"/>
        <v>385154.92</v>
      </c>
      <c r="G80" s="196">
        <v>40</v>
      </c>
      <c r="H80" s="210">
        <v>9628.8700000000008</v>
      </c>
    </row>
    <row r="81" spans="1:8" s="158" customFormat="1" x14ac:dyDescent="0.25">
      <c r="A81" s="168"/>
      <c r="B81" s="162" t="s">
        <v>336</v>
      </c>
      <c r="C81" s="210">
        <v>40460.129999999997</v>
      </c>
      <c r="D81" s="210">
        <v>0</v>
      </c>
      <c r="E81" s="210"/>
      <c r="F81" s="210">
        <f t="shared" si="5"/>
        <v>40460.129999999997</v>
      </c>
      <c r="G81" s="196">
        <v>40</v>
      </c>
      <c r="H81" s="210">
        <v>1011.5100000000001</v>
      </c>
    </row>
    <row r="82" spans="1:8" s="158" customFormat="1" x14ac:dyDescent="0.25">
      <c r="A82" s="168"/>
      <c r="B82" s="162" t="s">
        <v>146</v>
      </c>
      <c r="C82" s="210">
        <v>0</v>
      </c>
      <c r="D82" s="210">
        <v>0</v>
      </c>
      <c r="E82" s="210"/>
      <c r="F82" s="210">
        <f t="shared" si="5"/>
        <v>0</v>
      </c>
      <c r="G82" s="196">
        <v>0</v>
      </c>
      <c r="H82" s="210">
        <v>0</v>
      </c>
    </row>
    <row r="83" spans="1:8" s="158" customFormat="1" x14ac:dyDescent="0.25">
      <c r="A83" s="168"/>
      <c r="B83" s="162" t="s">
        <v>147</v>
      </c>
      <c r="C83" s="210">
        <v>312632.61</v>
      </c>
      <c r="D83" s="210">
        <v>0</v>
      </c>
      <c r="E83" s="210"/>
      <c r="F83" s="210">
        <f t="shared" si="5"/>
        <v>312632.61</v>
      </c>
      <c r="G83" s="196">
        <v>16</v>
      </c>
      <c r="H83" s="210">
        <v>16101.431250000003</v>
      </c>
    </row>
    <row r="84" spans="1:8" s="158" customFormat="1" x14ac:dyDescent="0.25">
      <c r="A84" s="168"/>
      <c r="B84" s="162" t="s">
        <v>148</v>
      </c>
      <c r="C84" s="210">
        <v>288392.18999999994</v>
      </c>
      <c r="D84" s="210">
        <v>0</v>
      </c>
      <c r="E84" s="210"/>
      <c r="F84" s="210">
        <f t="shared" si="5"/>
        <v>288392.18999999994</v>
      </c>
      <c r="G84" s="196">
        <v>16</v>
      </c>
      <c r="H84" s="210">
        <v>17198.887500000001</v>
      </c>
    </row>
    <row r="85" spans="1:8" s="158" customFormat="1" x14ac:dyDescent="0.25">
      <c r="A85" s="168"/>
      <c r="B85" s="162" t="s">
        <v>131</v>
      </c>
      <c r="C85" s="210">
        <v>1287180</v>
      </c>
      <c r="D85" s="210">
        <v>0</v>
      </c>
      <c r="E85" s="210"/>
      <c r="F85" s="210">
        <f t="shared" si="5"/>
        <v>1287180</v>
      </c>
      <c r="G85" s="196">
        <v>40</v>
      </c>
      <c r="H85" s="210">
        <v>30257.29</v>
      </c>
    </row>
    <row r="86" spans="1:8" s="158" customFormat="1" x14ac:dyDescent="0.25">
      <c r="A86" s="168"/>
      <c r="B86" s="162" t="s">
        <v>132</v>
      </c>
      <c r="C86" s="210">
        <v>64798.340000000004</v>
      </c>
      <c r="D86" s="210">
        <v>0</v>
      </c>
      <c r="E86" s="210"/>
      <c r="F86" s="210">
        <f t="shared" si="5"/>
        <v>64798.340000000004</v>
      </c>
      <c r="G86" s="196">
        <v>55</v>
      </c>
      <c r="H86" s="210">
        <v>1178.1500000000001</v>
      </c>
    </row>
    <row r="87" spans="1:8" s="158" customFormat="1" x14ac:dyDescent="0.25">
      <c r="A87" s="168"/>
      <c r="B87" s="162" t="s">
        <v>133</v>
      </c>
      <c r="C87" s="210">
        <v>100328.43</v>
      </c>
      <c r="D87" s="210">
        <v>0</v>
      </c>
      <c r="E87" s="210"/>
      <c r="F87" s="210">
        <f t="shared" si="5"/>
        <v>100328.43</v>
      </c>
      <c r="G87" s="196">
        <v>30</v>
      </c>
      <c r="H87" s="210">
        <v>3344.2799999999997</v>
      </c>
    </row>
    <row r="88" spans="1:8" s="158" customFormat="1" x14ac:dyDescent="0.25">
      <c r="A88" s="168"/>
      <c r="B88" s="162" t="s">
        <v>149</v>
      </c>
      <c r="C88" s="210">
        <v>591567.12</v>
      </c>
      <c r="D88" s="210">
        <v>0</v>
      </c>
      <c r="E88" s="210"/>
      <c r="F88" s="210">
        <f t="shared" si="5"/>
        <v>591567.12</v>
      </c>
      <c r="G88" s="196">
        <v>40</v>
      </c>
      <c r="H88" s="210">
        <v>13831.51</v>
      </c>
    </row>
    <row r="89" spans="1:8" s="158" customFormat="1" x14ac:dyDescent="0.25">
      <c r="A89" s="168"/>
      <c r="B89" s="162" t="s">
        <v>150</v>
      </c>
      <c r="C89" s="210">
        <v>4051085.78</v>
      </c>
      <c r="D89" s="210">
        <v>0</v>
      </c>
      <c r="E89" s="210"/>
      <c r="F89" s="210">
        <f t="shared" si="5"/>
        <v>4051085.78</v>
      </c>
      <c r="G89" s="196">
        <v>35</v>
      </c>
      <c r="H89" s="210">
        <v>113047.89714285715</v>
      </c>
    </row>
    <row r="90" spans="1:8" s="158" customFormat="1" x14ac:dyDescent="0.25">
      <c r="A90" s="168"/>
      <c r="B90" s="162" t="s">
        <v>151</v>
      </c>
      <c r="C90" s="210">
        <v>36442.910000000003</v>
      </c>
      <c r="D90" s="210">
        <v>0</v>
      </c>
      <c r="E90" s="210"/>
      <c r="F90" s="210">
        <f t="shared" si="5"/>
        <v>36442.910000000003</v>
      </c>
      <c r="G90" s="196">
        <v>30</v>
      </c>
      <c r="H90" s="210">
        <v>1214.77</v>
      </c>
    </row>
    <row r="91" spans="1:8" s="158" customFormat="1" x14ac:dyDescent="0.25">
      <c r="A91" s="168"/>
      <c r="B91" s="162" t="s">
        <v>339</v>
      </c>
      <c r="C91" s="211"/>
      <c r="D91" s="211"/>
      <c r="E91" s="211"/>
      <c r="F91" s="211"/>
      <c r="G91" s="163"/>
      <c r="H91" s="211">
        <v>1329.24</v>
      </c>
    </row>
    <row r="92" spans="1:8" s="166" customFormat="1" ht="18" customHeight="1" x14ac:dyDescent="0.25">
      <c r="A92" s="157" t="s">
        <v>152</v>
      </c>
      <c r="B92" s="157"/>
      <c r="C92" s="212">
        <f t="shared" ref="C92:F92" si="6">SUBTOTAL(9,C75:C91)</f>
        <v>19916863.809999995</v>
      </c>
      <c r="D92" s="212">
        <f t="shared" si="6"/>
        <v>648000</v>
      </c>
      <c r="E92" s="212">
        <f t="shared" si="6"/>
        <v>0</v>
      </c>
      <c r="F92" s="212">
        <f t="shared" si="6"/>
        <v>20564863.809999995</v>
      </c>
      <c r="G92" s="165"/>
      <c r="H92" s="212">
        <f>SUBTOTAL(9,H75:H91)</f>
        <v>526329.16614285728</v>
      </c>
    </row>
    <row r="93" spans="1:8" s="158" customFormat="1" x14ac:dyDescent="0.25">
      <c r="C93" s="214"/>
      <c r="D93" s="214"/>
      <c r="E93" s="214"/>
      <c r="F93" s="214"/>
      <c r="G93" s="169"/>
      <c r="H93" s="214"/>
    </row>
    <row r="94" spans="1:8" s="158" customFormat="1" x14ac:dyDescent="0.25">
      <c r="A94" s="157" t="s">
        <v>153</v>
      </c>
      <c r="C94" s="213"/>
      <c r="D94" s="213"/>
      <c r="E94" s="213"/>
      <c r="F94" s="213"/>
      <c r="G94" s="167"/>
      <c r="H94" s="213"/>
    </row>
    <row r="95" spans="1:8" s="158" customFormat="1" x14ac:dyDescent="0.25">
      <c r="A95" s="168"/>
      <c r="B95" s="162" t="s">
        <v>154</v>
      </c>
      <c r="C95" s="210">
        <v>4320.91</v>
      </c>
      <c r="D95" s="210">
        <v>0</v>
      </c>
      <c r="E95" s="210"/>
      <c r="F95" s="210">
        <f t="shared" ref="F95:F107" si="7">C95+D95-E95</f>
        <v>4320.91</v>
      </c>
      <c r="G95" s="196">
        <v>50</v>
      </c>
      <c r="H95" s="210">
        <v>86.42</v>
      </c>
    </row>
    <row r="96" spans="1:8" s="158" customFormat="1" x14ac:dyDescent="0.25">
      <c r="A96" s="168"/>
      <c r="B96" s="162" t="s">
        <v>155</v>
      </c>
      <c r="C96" s="210">
        <v>2529545.21</v>
      </c>
      <c r="D96" s="210">
        <v>50000</v>
      </c>
      <c r="E96" s="210"/>
      <c r="F96" s="210">
        <f t="shared" si="7"/>
        <v>2579545.21</v>
      </c>
      <c r="G96" s="196">
        <v>50</v>
      </c>
      <c r="H96" s="210">
        <v>49886.296000000009</v>
      </c>
    </row>
    <row r="97" spans="1:8" s="158" customFormat="1" x14ac:dyDescent="0.25">
      <c r="A97" s="168"/>
      <c r="B97" s="162" t="s">
        <v>156</v>
      </c>
      <c r="C97" s="210">
        <v>10549707.020000001</v>
      </c>
      <c r="D97" s="210">
        <v>131800</v>
      </c>
      <c r="E97" s="210"/>
      <c r="F97" s="210">
        <f t="shared" si="7"/>
        <v>10681507.020000001</v>
      </c>
      <c r="G97" s="196">
        <v>55</v>
      </c>
      <c r="H97" s="210">
        <v>190903.80000000002</v>
      </c>
    </row>
    <row r="98" spans="1:8" s="158" customFormat="1" x14ac:dyDescent="0.25">
      <c r="A98" s="168"/>
      <c r="B98" s="162" t="s">
        <v>157</v>
      </c>
      <c r="C98" s="210">
        <v>1877376.68</v>
      </c>
      <c r="D98" s="210">
        <v>25000</v>
      </c>
      <c r="E98" s="210"/>
      <c r="F98" s="210">
        <f t="shared" si="7"/>
        <v>1902376.68</v>
      </c>
      <c r="G98" s="196">
        <v>20</v>
      </c>
      <c r="H98" s="210">
        <v>47154.84</v>
      </c>
    </row>
    <row r="99" spans="1:8" s="158" customFormat="1" x14ac:dyDescent="0.25">
      <c r="A99" s="168"/>
      <c r="B99" s="162" t="s">
        <v>158</v>
      </c>
      <c r="C99" s="210">
        <v>19296.990000000002</v>
      </c>
      <c r="D99" s="210">
        <v>0</v>
      </c>
      <c r="E99" s="210"/>
      <c r="F99" s="210">
        <f t="shared" si="7"/>
        <v>19296.990000000002</v>
      </c>
      <c r="G99" s="196">
        <v>40</v>
      </c>
      <c r="H99" s="210">
        <v>482.42249999999996</v>
      </c>
    </row>
    <row r="100" spans="1:8" s="158" customFormat="1" x14ac:dyDescent="0.25">
      <c r="A100" s="168"/>
      <c r="B100" s="162" t="s">
        <v>159</v>
      </c>
      <c r="C100" s="210">
        <v>64126.46</v>
      </c>
      <c r="D100" s="210">
        <v>25000</v>
      </c>
      <c r="E100" s="210"/>
      <c r="F100" s="210">
        <f t="shared" si="7"/>
        <v>89126.459999999992</v>
      </c>
      <c r="G100" s="196">
        <v>30</v>
      </c>
      <c r="H100" s="210">
        <v>2137.5466666666666</v>
      </c>
    </row>
    <row r="101" spans="1:8" s="158" customFormat="1" x14ac:dyDescent="0.25">
      <c r="A101" s="168"/>
      <c r="B101" s="162" t="s">
        <v>160</v>
      </c>
      <c r="C101" s="210">
        <v>2063377.66</v>
      </c>
      <c r="D101" s="210">
        <v>230000</v>
      </c>
      <c r="E101" s="210"/>
      <c r="F101" s="210">
        <f t="shared" si="7"/>
        <v>2293377.66</v>
      </c>
      <c r="G101" s="196">
        <v>7</v>
      </c>
      <c r="H101" s="210">
        <v>130167.71428571428</v>
      </c>
    </row>
    <row r="102" spans="1:8" s="158" customFormat="1" x14ac:dyDescent="0.25">
      <c r="A102" s="168"/>
      <c r="B102" s="162" t="s">
        <v>161</v>
      </c>
      <c r="C102" s="210">
        <v>0</v>
      </c>
      <c r="D102" s="210">
        <v>0</v>
      </c>
      <c r="E102" s="210"/>
      <c r="F102" s="210">
        <f t="shared" si="7"/>
        <v>0</v>
      </c>
      <c r="G102" s="196">
        <v>5</v>
      </c>
      <c r="H102" s="210">
        <v>0</v>
      </c>
    </row>
    <row r="103" spans="1:8" s="158" customFormat="1" x14ac:dyDescent="0.25">
      <c r="A103" s="168"/>
      <c r="B103" s="162" t="s">
        <v>162</v>
      </c>
      <c r="C103" s="210">
        <v>2157544.2900000005</v>
      </c>
      <c r="D103" s="210">
        <v>490000</v>
      </c>
      <c r="E103" s="210"/>
      <c r="F103" s="210">
        <f t="shared" si="7"/>
        <v>2647544.2900000005</v>
      </c>
      <c r="G103" s="196">
        <v>20</v>
      </c>
      <c r="H103" s="210">
        <v>84363.92</v>
      </c>
    </row>
    <row r="104" spans="1:8" s="158" customFormat="1" x14ac:dyDescent="0.25">
      <c r="A104" s="168"/>
      <c r="B104" s="162" t="s">
        <v>146</v>
      </c>
      <c r="C104" s="210">
        <v>14282.5</v>
      </c>
      <c r="D104" s="210">
        <v>0</v>
      </c>
      <c r="E104" s="210"/>
      <c r="F104" s="210">
        <f t="shared" si="7"/>
        <v>14282.5</v>
      </c>
      <c r="G104" s="196">
        <v>15</v>
      </c>
      <c r="H104" s="210">
        <v>952.17333333333329</v>
      </c>
    </row>
    <row r="105" spans="1:8" s="158" customFormat="1" x14ac:dyDescent="0.25">
      <c r="A105" s="168"/>
      <c r="B105" s="162" t="s">
        <v>163</v>
      </c>
      <c r="C105" s="210">
        <v>5615603.9199999999</v>
      </c>
      <c r="D105" s="210">
        <v>100000</v>
      </c>
      <c r="E105" s="210"/>
      <c r="F105" s="210">
        <f t="shared" si="7"/>
        <v>5715603.9199999999</v>
      </c>
      <c r="G105" s="196">
        <v>20</v>
      </c>
      <c r="H105" s="210">
        <v>234071.88</v>
      </c>
    </row>
    <row r="106" spans="1:8" s="158" customFormat="1" x14ac:dyDescent="0.25">
      <c r="A106" s="168"/>
      <c r="B106" s="162" t="s">
        <v>164</v>
      </c>
      <c r="C106" s="210">
        <v>59031.369999999995</v>
      </c>
      <c r="D106" s="210">
        <v>0</v>
      </c>
      <c r="E106" s="210"/>
      <c r="F106" s="210">
        <f t="shared" si="7"/>
        <v>59031.369999999995</v>
      </c>
      <c r="G106" s="196">
        <v>40</v>
      </c>
      <c r="H106" s="210">
        <v>1264.9574999999998</v>
      </c>
    </row>
    <row r="107" spans="1:8" s="158" customFormat="1" x14ac:dyDescent="0.25">
      <c r="A107" s="168"/>
      <c r="B107" s="162" t="s">
        <v>165</v>
      </c>
      <c r="C107" s="210">
        <v>2132362.12</v>
      </c>
      <c r="D107" s="210">
        <v>0</v>
      </c>
      <c r="E107" s="210"/>
      <c r="F107" s="210">
        <f t="shared" si="7"/>
        <v>2132362.12</v>
      </c>
      <c r="G107" s="196">
        <v>40</v>
      </c>
      <c r="H107" s="210">
        <v>17086.650000000001</v>
      </c>
    </row>
    <row r="108" spans="1:8" s="158" customFormat="1" x14ac:dyDescent="0.25">
      <c r="A108" s="168"/>
      <c r="B108" s="162" t="s">
        <v>339</v>
      </c>
      <c r="C108" s="211"/>
      <c r="D108" s="211"/>
      <c r="E108" s="211"/>
      <c r="F108" s="211"/>
      <c r="G108" s="197"/>
      <c r="H108" s="211">
        <v>-18981.84</v>
      </c>
    </row>
    <row r="109" spans="1:8" s="166" customFormat="1" ht="18" customHeight="1" x14ac:dyDescent="0.25">
      <c r="A109" s="157" t="s">
        <v>166</v>
      </c>
      <c r="B109" s="157"/>
      <c r="C109" s="212">
        <f t="shared" ref="C109:F109" si="8">SUBTOTAL(9,C95:C108)</f>
        <v>27086575.130000003</v>
      </c>
      <c r="D109" s="212">
        <f t="shared" si="8"/>
        <v>1051800</v>
      </c>
      <c r="E109" s="212">
        <f t="shared" si="8"/>
        <v>0</v>
      </c>
      <c r="F109" s="212">
        <f t="shared" si="8"/>
        <v>28138375.130000003</v>
      </c>
      <c r="G109" s="165"/>
      <c r="H109" s="212">
        <f>SUBTOTAL(9,H95:H108)</f>
        <v>739576.78028571443</v>
      </c>
    </row>
    <row r="110" spans="1:8" x14ac:dyDescent="0.25">
      <c r="C110" s="215"/>
      <c r="D110" s="215"/>
      <c r="E110" s="215"/>
      <c r="F110" s="215"/>
      <c r="G110" s="172"/>
      <c r="H110" s="215"/>
    </row>
    <row r="111" spans="1:8" s="158" customFormat="1" x14ac:dyDescent="0.25">
      <c r="A111" s="157" t="s">
        <v>167</v>
      </c>
      <c r="C111" s="213"/>
      <c r="D111" s="213"/>
      <c r="E111" s="213"/>
      <c r="F111" s="213"/>
      <c r="G111" s="167"/>
      <c r="H111" s="213"/>
    </row>
    <row r="112" spans="1:8" s="158" customFormat="1" x14ac:dyDescent="0.25">
      <c r="A112" s="168"/>
      <c r="B112" s="162" t="s">
        <v>168</v>
      </c>
      <c r="C112" s="210">
        <v>371571.19000000006</v>
      </c>
      <c r="D112" s="210">
        <v>30000</v>
      </c>
      <c r="E112" s="210"/>
      <c r="F112" s="210">
        <f t="shared" ref="F112:F118" si="9">C112+D112-E112</f>
        <v>401571.19000000006</v>
      </c>
      <c r="G112" s="196">
        <v>8</v>
      </c>
      <c r="H112" s="210">
        <v>25636.695</v>
      </c>
    </row>
    <row r="113" spans="1:8" s="158" customFormat="1" x14ac:dyDescent="0.25">
      <c r="A113" s="168"/>
      <c r="B113" s="162" t="s">
        <v>169</v>
      </c>
      <c r="C113" s="210">
        <v>137763.59</v>
      </c>
      <c r="D113" s="210">
        <v>0</v>
      </c>
      <c r="E113" s="210"/>
      <c r="F113" s="210">
        <f t="shared" si="9"/>
        <v>137763.59</v>
      </c>
      <c r="G113" s="196">
        <v>11</v>
      </c>
      <c r="H113" s="210">
        <v>5996.7918181818186</v>
      </c>
    </row>
    <row r="114" spans="1:8" s="158" customFormat="1" x14ac:dyDescent="0.25">
      <c r="A114" s="168"/>
      <c r="B114" s="162" t="s">
        <v>324</v>
      </c>
      <c r="C114" s="210">
        <v>11000</v>
      </c>
      <c r="D114" s="210">
        <v>0</v>
      </c>
      <c r="E114" s="210"/>
      <c r="F114" s="210">
        <f t="shared" si="9"/>
        <v>11000</v>
      </c>
      <c r="G114" s="196">
        <v>25</v>
      </c>
      <c r="H114" s="210">
        <v>440.0016</v>
      </c>
    </row>
    <row r="115" spans="1:8" s="158" customFormat="1" x14ac:dyDescent="0.25">
      <c r="A115" s="168"/>
      <c r="B115" s="162" t="s">
        <v>170</v>
      </c>
      <c r="C115" s="210">
        <v>53710.58</v>
      </c>
      <c r="D115" s="210">
        <v>0</v>
      </c>
      <c r="E115" s="210"/>
      <c r="F115" s="210">
        <f t="shared" si="9"/>
        <v>53710.58</v>
      </c>
      <c r="G115" s="196">
        <v>25</v>
      </c>
      <c r="H115" s="210">
        <v>1732.61</v>
      </c>
    </row>
    <row r="116" spans="1:8" s="158" customFormat="1" x14ac:dyDescent="0.25">
      <c r="A116" s="168"/>
      <c r="B116" s="162" t="s">
        <v>171</v>
      </c>
      <c r="C116" s="210">
        <v>3430067.2400000007</v>
      </c>
      <c r="D116" s="210">
        <v>0</v>
      </c>
      <c r="E116" s="210"/>
      <c r="F116" s="210">
        <f t="shared" si="9"/>
        <v>3430067.2400000007</v>
      </c>
      <c r="G116" s="196">
        <v>9</v>
      </c>
      <c r="H116" s="210">
        <v>293756.75555555557</v>
      </c>
    </row>
    <row r="117" spans="1:8" s="158" customFormat="1" x14ac:dyDescent="0.25">
      <c r="A117" s="168"/>
      <c r="B117" s="162" t="s">
        <v>172</v>
      </c>
      <c r="C117" s="210">
        <v>1459849.1099999999</v>
      </c>
      <c r="D117" s="210">
        <v>0</v>
      </c>
      <c r="E117" s="210"/>
      <c r="F117" s="210">
        <f t="shared" si="9"/>
        <v>1459849.1099999999</v>
      </c>
      <c r="G117" s="196">
        <v>20</v>
      </c>
      <c r="H117" s="210">
        <v>58393.96</v>
      </c>
    </row>
    <row r="118" spans="1:8" s="158" customFormat="1" x14ac:dyDescent="0.25">
      <c r="A118" s="168"/>
      <c r="B118" s="162" t="s">
        <v>325</v>
      </c>
      <c r="C118" s="210">
        <v>1003858.15</v>
      </c>
      <c r="D118" s="210">
        <v>0</v>
      </c>
      <c r="E118" s="210"/>
      <c r="F118" s="210">
        <f t="shared" si="9"/>
        <v>1003858.15</v>
      </c>
      <c r="G118" s="198">
        <v>20</v>
      </c>
      <c r="H118" s="210">
        <v>50192.9</v>
      </c>
    </row>
    <row r="119" spans="1:8" s="158" customFormat="1" x14ac:dyDescent="0.25">
      <c r="A119" s="168"/>
      <c r="B119" s="162" t="s">
        <v>339</v>
      </c>
      <c r="C119" s="211"/>
      <c r="D119" s="211"/>
      <c r="E119" s="211"/>
      <c r="F119" s="211"/>
      <c r="G119" s="199"/>
      <c r="H119" s="211">
        <v>19267.32</v>
      </c>
    </row>
    <row r="120" spans="1:8" s="166" customFormat="1" ht="18" customHeight="1" x14ac:dyDescent="0.25">
      <c r="A120" s="157" t="s">
        <v>173</v>
      </c>
      <c r="B120" s="157"/>
      <c r="C120" s="212">
        <f t="shared" ref="C120:F120" si="10">SUBTOTAL(9,C112:C119)</f>
        <v>6467819.8600000013</v>
      </c>
      <c r="D120" s="212">
        <f t="shared" si="10"/>
        <v>30000</v>
      </c>
      <c r="E120" s="212">
        <f t="shared" si="10"/>
        <v>0</v>
      </c>
      <c r="F120" s="212">
        <f t="shared" si="10"/>
        <v>6497819.8600000013</v>
      </c>
      <c r="G120" s="164"/>
      <c r="H120" s="212">
        <f>SUBTOTAL(9,H112:H119)</f>
        <v>455417.03397373745</v>
      </c>
    </row>
    <row r="121" spans="1:8" x14ac:dyDescent="0.25">
      <c r="C121" s="215"/>
      <c r="D121" s="215"/>
      <c r="E121" s="215"/>
      <c r="F121" s="215"/>
      <c r="H121" s="215"/>
    </row>
    <row r="122" spans="1:8" s="158" customFormat="1" x14ac:dyDescent="0.25">
      <c r="A122" s="157" t="s">
        <v>326</v>
      </c>
      <c r="C122" s="213"/>
      <c r="D122" s="213"/>
      <c r="E122" s="213"/>
      <c r="F122" s="213"/>
      <c r="G122" s="167"/>
      <c r="H122" s="213"/>
    </row>
    <row r="123" spans="1:8" s="158" customFormat="1" x14ac:dyDescent="0.25">
      <c r="A123" s="168"/>
      <c r="B123" s="162" t="s">
        <v>326</v>
      </c>
      <c r="C123" s="211">
        <v>1193562.28</v>
      </c>
      <c r="D123" s="211">
        <v>0</v>
      </c>
      <c r="E123" s="211"/>
      <c r="F123" s="211">
        <f>C123+D123-E123</f>
        <v>1193562.28</v>
      </c>
      <c r="G123" s="197">
        <v>0</v>
      </c>
      <c r="H123" s="211">
        <v>0</v>
      </c>
    </row>
    <row r="124" spans="1:8" s="166" customFormat="1" ht="18.75" customHeight="1" x14ac:dyDescent="0.25">
      <c r="A124" s="157" t="s">
        <v>327</v>
      </c>
      <c r="B124" s="157"/>
      <c r="C124" s="212">
        <f t="shared" ref="C124:F124" si="11">SUBTOTAL(9,C123)</f>
        <v>1193562.28</v>
      </c>
      <c r="D124" s="212">
        <f t="shared" si="11"/>
        <v>0</v>
      </c>
      <c r="E124" s="212">
        <f t="shared" si="11"/>
        <v>0</v>
      </c>
      <c r="F124" s="212">
        <f t="shared" si="11"/>
        <v>1193562.28</v>
      </c>
      <c r="G124" s="165"/>
      <c r="H124" s="212">
        <f>SUBTOTAL(9,H123)</f>
        <v>0</v>
      </c>
    </row>
    <row r="125" spans="1:8" s="166" customFormat="1" ht="18.75" customHeight="1" x14ac:dyDescent="0.25">
      <c r="A125" s="157"/>
      <c r="B125" s="157"/>
      <c r="C125" s="212"/>
      <c r="D125" s="212"/>
      <c r="E125" s="212"/>
      <c r="F125" s="212"/>
      <c r="G125" s="165"/>
      <c r="H125" s="212"/>
    </row>
    <row r="126" spans="1:8" s="158" customFormat="1" x14ac:dyDescent="0.25">
      <c r="A126" s="157" t="s">
        <v>328</v>
      </c>
      <c r="C126" s="213"/>
      <c r="D126" s="213"/>
      <c r="E126" s="213"/>
      <c r="F126" s="213"/>
      <c r="G126" s="167"/>
      <c r="H126" s="213"/>
    </row>
    <row r="127" spans="1:8" s="158" customFormat="1" x14ac:dyDescent="0.25">
      <c r="A127" s="168"/>
      <c r="B127" s="162" t="s">
        <v>113</v>
      </c>
      <c r="C127" s="210">
        <v>6184735</v>
      </c>
      <c r="D127" s="210">
        <v>0</v>
      </c>
      <c r="E127" s="210"/>
      <c r="F127" s="210">
        <f t="shared" ref="F127:F132" si="12">C127+D127-E127</f>
        <v>6184735</v>
      </c>
      <c r="G127" s="196">
        <v>72</v>
      </c>
      <c r="H127" s="210">
        <v>85899.1</v>
      </c>
    </row>
    <row r="128" spans="1:8" s="158" customFormat="1" x14ac:dyDescent="0.25">
      <c r="A128" s="168"/>
      <c r="B128" s="162" t="s">
        <v>329</v>
      </c>
      <c r="C128" s="210">
        <v>13200669.02</v>
      </c>
      <c r="D128" s="210">
        <v>0</v>
      </c>
      <c r="E128" s="210"/>
      <c r="F128" s="210">
        <f t="shared" si="12"/>
        <v>13200669.02</v>
      </c>
      <c r="G128" s="196">
        <v>60</v>
      </c>
      <c r="H128" s="210">
        <v>220011.14666666667</v>
      </c>
    </row>
    <row r="129" spans="1:8" s="158" customFormat="1" x14ac:dyDescent="0.25">
      <c r="A129" s="168"/>
      <c r="B129" s="162" t="s">
        <v>330</v>
      </c>
      <c r="C129" s="210">
        <v>20890968.259999998</v>
      </c>
      <c r="D129" s="210">
        <v>0</v>
      </c>
      <c r="E129" s="210"/>
      <c r="F129" s="210">
        <f t="shared" si="12"/>
        <v>20890968.259999998</v>
      </c>
      <c r="G129" s="196">
        <v>40</v>
      </c>
      <c r="H129" s="210">
        <v>522274.21000000008</v>
      </c>
    </row>
    <row r="130" spans="1:8" s="158" customFormat="1" x14ac:dyDescent="0.25">
      <c r="A130" s="168"/>
      <c r="B130" s="162" t="s">
        <v>318</v>
      </c>
      <c r="C130" s="210">
        <v>343287.82999999996</v>
      </c>
      <c r="D130" s="210">
        <v>180000</v>
      </c>
      <c r="E130" s="210"/>
      <c r="F130" s="210">
        <f t="shared" si="12"/>
        <v>523287.82999999996</v>
      </c>
      <c r="G130" s="196">
        <v>2</v>
      </c>
      <c r="H130" s="210">
        <v>171445.39</v>
      </c>
    </row>
    <row r="131" spans="1:8" s="158" customFormat="1" x14ac:dyDescent="0.25">
      <c r="A131" s="168"/>
      <c r="B131" s="162" t="s">
        <v>116</v>
      </c>
      <c r="C131" s="210">
        <v>3655939.21</v>
      </c>
      <c r="D131" s="210">
        <v>0</v>
      </c>
      <c r="E131" s="210"/>
      <c r="F131" s="210">
        <f t="shared" si="12"/>
        <v>3655939.21</v>
      </c>
      <c r="G131" s="196">
        <v>45</v>
      </c>
      <c r="H131" s="210">
        <v>81243.09</v>
      </c>
    </row>
    <row r="132" spans="1:8" s="158" customFormat="1" x14ac:dyDescent="0.25">
      <c r="A132" s="168"/>
      <c r="B132" s="162" t="s">
        <v>117</v>
      </c>
      <c r="C132" s="210">
        <v>2850629.7800000003</v>
      </c>
      <c r="D132" s="210">
        <v>35000</v>
      </c>
      <c r="E132" s="210"/>
      <c r="F132" s="210">
        <f t="shared" si="12"/>
        <v>2885629.7800000003</v>
      </c>
      <c r="G132" s="196">
        <v>30</v>
      </c>
      <c r="H132" s="210">
        <v>95020.99</v>
      </c>
    </row>
    <row r="133" spans="1:8" s="158" customFormat="1" x14ac:dyDescent="0.25">
      <c r="A133" s="168"/>
      <c r="B133" s="158" t="s">
        <v>331</v>
      </c>
      <c r="C133" s="210">
        <v>779651</v>
      </c>
      <c r="D133" s="210">
        <v>0</v>
      </c>
      <c r="E133" s="210"/>
      <c r="F133" s="210">
        <f>C133+D133-E133</f>
        <v>779651</v>
      </c>
      <c r="G133" s="196">
        <v>30</v>
      </c>
      <c r="H133" s="210">
        <v>25988.37</v>
      </c>
    </row>
    <row r="134" spans="1:8" s="158" customFormat="1" x14ac:dyDescent="0.25">
      <c r="A134" s="168"/>
      <c r="B134" s="162" t="s">
        <v>339</v>
      </c>
      <c r="C134" s="211"/>
      <c r="D134" s="211"/>
      <c r="E134" s="211"/>
      <c r="F134" s="211"/>
      <c r="G134" s="197"/>
      <c r="H134" s="211">
        <v>-13981.32</v>
      </c>
    </row>
    <row r="135" spans="1:8" s="166" customFormat="1" ht="18" customHeight="1" x14ac:dyDescent="0.25">
      <c r="A135" s="157" t="s">
        <v>332</v>
      </c>
      <c r="B135" s="157"/>
      <c r="C135" s="212">
        <f t="shared" ref="C135:F135" si="13">SUBTOTAL(9,C127:C134)</f>
        <v>47905880.100000001</v>
      </c>
      <c r="D135" s="212">
        <f t="shared" si="13"/>
        <v>215000</v>
      </c>
      <c r="E135" s="212">
        <f t="shared" si="13"/>
        <v>0</v>
      </c>
      <c r="F135" s="212">
        <f t="shared" si="13"/>
        <v>48120880.100000001</v>
      </c>
      <c r="G135" s="173"/>
      <c r="H135" s="212">
        <f>SUBTOTAL(9,H127:H134)</f>
        <v>1187900.9766666668</v>
      </c>
    </row>
    <row r="136" spans="1:8" x14ac:dyDescent="0.25">
      <c r="C136" s="215"/>
      <c r="D136" s="215"/>
      <c r="E136" s="215"/>
      <c r="F136" s="215"/>
      <c r="H136" s="215"/>
    </row>
    <row r="137" spans="1:8" s="166" customFormat="1" ht="18" customHeight="1" x14ac:dyDescent="0.25">
      <c r="A137" s="157" t="s">
        <v>32</v>
      </c>
      <c r="B137" s="157"/>
      <c r="C137" s="212">
        <f>SUBTOTAL(9,C8:C136)</f>
        <v>660593566.37999988</v>
      </c>
      <c r="D137" s="212">
        <f>SUBTOTAL(9,D8:D136)</f>
        <v>28452875.800000001</v>
      </c>
      <c r="E137" s="212">
        <f>SUBTOTAL(9,E8:E136)</f>
        <v>1336502.5415384616</v>
      </c>
      <c r="F137" s="212">
        <f>SUBTOTAL(9,F8:F136)</f>
        <v>687709939.63846135</v>
      </c>
      <c r="G137" s="173"/>
      <c r="H137" s="212">
        <f>SUBTOTAL(9,H8:H136)</f>
        <v>13371867.30197788</v>
      </c>
    </row>
    <row r="138" spans="1:8" x14ac:dyDescent="0.25">
      <c r="C138" s="171"/>
      <c r="D138" s="171"/>
      <c r="E138" s="171"/>
      <c r="F138" s="171"/>
      <c r="H138" s="171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39997558519241921"/>
    <pageSetUpPr fitToPage="1"/>
  </sheetPr>
  <dimension ref="A1:R64"/>
  <sheetViews>
    <sheetView view="pageBreakPreview" zoomScaleNormal="100" zoomScaleSheetLayoutView="100" workbookViewId="0">
      <pane ySplit="7" topLeftCell="A40" activePane="bottomLeft" state="frozen"/>
      <selection activeCell="H15" sqref="H15"/>
      <selection pane="bottomLeft" activeCell="C45" sqref="C45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35.7265625" style="2" customWidth="1"/>
    <col min="4" max="4" width="1.81640625" style="2" customWidth="1"/>
    <col min="5" max="5" width="11.26953125" style="13" customWidth="1"/>
    <col min="6" max="6" width="1.81640625" style="2" customWidth="1"/>
    <col min="7" max="7" width="15.54296875" style="28" customWidth="1"/>
    <col min="8" max="8" width="1.81640625" style="2" customWidth="1"/>
    <col min="9" max="9" width="15.54296875" style="2" customWidth="1"/>
    <col min="10" max="10" width="1.81640625" style="2" customWidth="1"/>
    <col min="11" max="11" width="14.453125" style="2" customWidth="1"/>
    <col min="12" max="12" width="1.81640625" style="2" customWidth="1"/>
    <col min="13" max="13" width="15.54296875" style="28" customWidth="1"/>
    <col min="14" max="14" width="1.81640625" style="2" customWidth="1"/>
    <col min="15" max="15" width="15.54296875" style="2" customWidth="1"/>
    <col min="16" max="16" width="1.81640625" style="2" customWidth="1"/>
    <col min="17" max="17" width="15.54296875" style="28" customWidth="1"/>
    <col min="18" max="20" width="1.81640625" style="2" customWidth="1"/>
    <col min="21" max="21" width="11.26953125" style="2" customWidth="1"/>
    <col min="22" max="16384" width="9.1796875" style="2"/>
  </cols>
  <sheetData>
    <row r="1" spans="1:18" ht="15" x14ac:dyDescent="0.3">
      <c r="A1" s="66" t="s">
        <v>0</v>
      </c>
      <c r="Q1" s="55" t="s">
        <v>352</v>
      </c>
    </row>
    <row r="2" spans="1:18" x14ac:dyDescent="0.25">
      <c r="A2" s="67" t="s">
        <v>4</v>
      </c>
      <c r="Q2" s="16" t="str">
        <f>Index!F2</f>
        <v>April 14, 2022</v>
      </c>
      <c r="R2" s="68"/>
    </row>
    <row r="3" spans="1:18" x14ac:dyDescent="0.25">
      <c r="A3" s="67" t="s">
        <v>8</v>
      </c>
    </row>
    <row r="6" spans="1:18" x14ac:dyDescent="0.25">
      <c r="A6" s="13"/>
      <c r="B6" s="13"/>
      <c r="C6" s="13"/>
      <c r="D6" s="13"/>
      <c r="F6" s="13"/>
      <c r="G6" s="57"/>
      <c r="H6" s="13"/>
      <c r="I6" s="13"/>
      <c r="J6" s="13"/>
      <c r="K6" s="13"/>
      <c r="L6" s="13"/>
      <c r="M6" s="57"/>
      <c r="N6" s="13"/>
      <c r="O6" s="13"/>
      <c r="P6" s="13"/>
      <c r="Q6" s="57"/>
    </row>
    <row r="7" spans="1:18" ht="25" x14ac:dyDescent="0.25">
      <c r="A7" s="18" t="s">
        <v>9</v>
      </c>
      <c r="B7" s="19"/>
      <c r="C7" s="18" t="s">
        <v>10</v>
      </c>
      <c r="D7" s="19"/>
      <c r="E7" s="18" t="s">
        <v>11</v>
      </c>
      <c r="F7" s="19"/>
      <c r="G7" s="58" t="s">
        <v>175</v>
      </c>
      <c r="H7" s="19"/>
      <c r="I7" s="18" t="s">
        <v>176</v>
      </c>
      <c r="J7" s="19"/>
      <c r="K7" s="19"/>
      <c r="L7" s="19"/>
      <c r="M7" s="58" t="s">
        <v>177</v>
      </c>
      <c r="N7" s="19"/>
      <c r="O7" s="18" t="s">
        <v>178</v>
      </c>
      <c r="P7" s="19"/>
      <c r="Q7" s="58" t="s">
        <v>179</v>
      </c>
    </row>
    <row r="9" spans="1:18" x14ac:dyDescent="0.25">
      <c r="C9" s="21" t="s">
        <v>180</v>
      </c>
    </row>
    <row r="11" spans="1:18" x14ac:dyDescent="0.25">
      <c r="A11" s="2">
        <v>1</v>
      </c>
      <c r="C11" s="2" t="s">
        <v>181</v>
      </c>
      <c r="E11" s="13" t="s">
        <v>182</v>
      </c>
      <c r="G11" s="53">
        <f>'Schedule 11'!G28</f>
        <v>172471.84319999994</v>
      </c>
      <c r="I11" s="69">
        <f>SUM(G11)/(G11+G13)</f>
        <v>0.59994938470175141</v>
      </c>
      <c r="M11" s="28">
        <f>SUM(M15)*(I11)</f>
        <v>172473.41326879367</v>
      </c>
      <c r="O11" s="46">
        <f>'Schedule 11'!G50</f>
        <v>2.2288178842662952E-2</v>
      </c>
      <c r="P11" s="59"/>
      <c r="Q11" s="28">
        <f>SUM(M11)*(O11)</f>
        <v>3844.1182805393905</v>
      </c>
    </row>
    <row r="12" spans="1:18" x14ac:dyDescent="0.25">
      <c r="G12" s="28" t="s">
        <v>16</v>
      </c>
      <c r="I12" s="69"/>
      <c r="O12" s="59"/>
      <c r="P12" s="59" t="s">
        <v>16</v>
      </c>
      <c r="Q12" s="28" t="s">
        <v>16</v>
      </c>
    </row>
    <row r="13" spans="1:18" x14ac:dyDescent="0.25">
      <c r="A13" s="2">
        <v>2</v>
      </c>
      <c r="C13" s="2" t="s">
        <v>183</v>
      </c>
      <c r="E13" s="13" t="s">
        <v>184</v>
      </c>
      <c r="G13" s="64">
        <v>115005.48005076</v>
      </c>
      <c r="I13" s="70">
        <f>SUM(G13)/(G11+G13)</f>
        <v>0.40005061529824848</v>
      </c>
      <c r="M13" s="60">
        <f>SUM(M15)*(I13)</f>
        <v>115006.52698405639</v>
      </c>
      <c r="O13" s="43">
        <v>8.7004208470433803E-2</v>
      </c>
      <c r="P13" s="59"/>
      <c r="Q13" s="60">
        <f>SUM(M13)*(O13)</f>
        <v>10006.051849181413</v>
      </c>
    </row>
    <row r="14" spans="1:18" x14ac:dyDescent="0.25">
      <c r="I14" s="69"/>
      <c r="O14" s="59"/>
      <c r="P14" s="59"/>
      <c r="Q14" s="28" t="s">
        <v>16</v>
      </c>
    </row>
    <row r="15" spans="1:18" ht="13" thickBot="1" x14ac:dyDescent="0.3">
      <c r="A15" s="2">
        <v>3</v>
      </c>
      <c r="C15" s="2" t="s">
        <v>32</v>
      </c>
      <c r="E15" s="13" t="s">
        <v>185</v>
      </c>
      <c r="G15" s="65">
        <f>SUM(G11+G13)</f>
        <v>287477.32325075998</v>
      </c>
      <c r="I15" s="71">
        <f>SUM(I11+I13)</f>
        <v>0.99999999999999989</v>
      </c>
      <c r="M15" s="62">
        <f>'Schedule 1'!G49</f>
        <v>287479.94025285007</v>
      </c>
      <c r="O15" s="63">
        <f>SUM(I11)*(O11)+SUM(I13)*(O13)</f>
        <v>4.8177866314912353E-2</v>
      </c>
      <c r="P15" s="59"/>
      <c r="Q15" s="65">
        <f>Q13+Q11</f>
        <v>13850.170129720804</v>
      </c>
    </row>
    <row r="18" spans="1:17" x14ac:dyDescent="0.25">
      <c r="C18" s="21" t="s">
        <v>186</v>
      </c>
      <c r="I18" s="69"/>
    </row>
    <row r="19" spans="1:17" x14ac:dyDescent="0.25">
      <c r="I19" s="69"/>
    </row>
    <row r="20" spans="1:17" x14ac:dyDescent="0.25">
      <c r="A20" s="2">
        <v>7</v>
      </c>
      <c r="C20" s="2" t="s">
        <v>181</v>
      </c>
      <c r="E20" s="13" t="s">
        <v>182</v>
      </c>
      <c r="G20" s="28">
        <f>'Schedule 11'!I28</f>
        <v>159362.59001176502</v>
      </c>
      <c r="I20" s="69">
        <f>SUM(G20)/(G20+G22)</f>
        <v>0.57433840345603637</v>
      </c>
      <c r="M20" s="28">
        <f>SUM(M24)*(I20)</f>
        <v>167813.56917418909</v>
      </c>
      <c r="O20" s="46">
        <f>'Schedule 11'!I50</f>
        <v>2.5840731334073355E-2</v>
      </c>
      <c r="P20" s="59"/>
      <c r="Q20" s="28">
        <f>SUM(M20)*(O20)</f>
        <v>4336.4253552421542</v>
      </c>
    </row>
    <row r="21" spans="1:17" x14ac:dyDescent="0.25">
      <c r="G21" s="28" t="s">
        <v>16</v>
      </c>
      <c r="I21" s="69"/>
      <c r="O21" s="59"/>
      <c r="P21" s="59" t="s">
        <v>16</v>
      </c>
      <c r="Q21" s="28" t="s">
        <v>16</v>
      </c>
    </row>
    <row r="22" spans="1:17" x14ac:dyDescent="0.25">
      <c r="A22" s="2">
        <v>8</v>
      </c>
      <c r="C22" s="2" t="s">
        <v>183</v>
      </c>
      <c r="E22" s="13" t="s">
        <v>184</v>
      </c>
      <c r="G22" s="64">
        <v>118109</v>
      </c>
      <c r="I22" s="70">
        <f>SUM(G22)/(G20+G22)</f>
        <v>0.42566159654396357</v>
      </c>
      <c r="M22" s="60">
        <f>SUM(M24)*(I22)</f>
        <v>124372.30619890815</v>
      </c>
      <c r="O22" s="43">
        <v>6.2501529924272617E-2</v>
      </c>
      <c r="P22" s="59"/>
      <c r="Q22" s="60">
        <f>M22*O22</f>
        <v>7773.4594176418541</v>
      </c>
    </row>
    <row r="23" spans="1:17" x14ac:dyDescent="0.25">
      <c r="I23" s="69"/>
      <c r="O23" s="59"/>
      <c r="P23" s="59"/>
      <c r="Q23" s="28" t="s">
        <v>16</v>
      </c>
    </row>
    <row r="24" spans="1:17" ht="13" thickBot="1" x14ac:dyDescent="0.3">
      <c r="A24" s="2">
        <v>9</v>
      </c>
      <c r="C24" s="2" t="s">
        <v>32</v>
      </c>
      <c r="E24" s="13" t="s">
        <v>185</v>
      </c>
      <c r="G24" s="62">
        <f>SUM(G20+G22)</f>
        <v>277471.59001176502</v>
      </c>
      <c r="I24" s="71">
        <f>SUM(I20+I22)</f>
        <v>1</v>
      </c>
      <c r="M24" s="62">
        <f>'Schedule 1'!I49</f>
        <v>292185.87537309725</v>
      </c>
      <c r="O24" s="63">
        <f>SUM(I20)*(O20)+SUM(I22)*(O22)</f>
        <v>4.1445825392554259E-2</v>
      </c>
      <c r="P24" s="59"/>
      <c r="Q24" s="62">
        <f>Q20+Q22</f>
        <v>12109.884772884008</v>
      </c>
    </row>
    <row r="25" spans="1:17" x14ac:dyDescent="0.25">
      <c r="G25" s="49"/>
      <c r="I25" s="72"/>
      <c r="M25" s="49"/>
      <c r="O25" s="44"/>
      <c r="P25" s="59"/>
      <c r="Q25" s="49"/>
    </row>
    <row r="26" spans="1:17" x14ac:dyDescent="0.25">
      <c r="G26" s="49"/>
      <c r="I26" s="72"/>
      <c r="M26" s="49"/>
      <c r="O26" s="44"/>
      <c r="P26" s="59"/>
      <c r="Q26" s="49"/>
    </row>
    <row r="27" spans="1:17" x14ac:dyDescent="0.25">
      <c r="C27" s="21" t="s">
        <v>365</v>
      </c>
      <c r="I27" s="69"/>
    </row>
    <row r="28" spans="1:17" x14ac:dyDescent="0.25">
      <c r="I28" s="69"/>
    </row>
    <row r="29" spans="1:17" x14ac:dyDescent="0.25">
      <c r="A29" s="2">
        <v>10</v>
      </c>
      <c r="C29" s="2" t="s">
        <v>181</v>
      </c>
      <c r="E29" s="13" t="s">
        <v>182</v>
      </c>
      <c r="G29" s="28">
        <f>'Schedule 11'!J28</f>
        <v>170376.83542989043</v>
      </c>
      <c r="I29" s="69">
        <f>SUM(G29)/(G29+G31)</f>
        <v>0.58628087566689668</v>
      </c>
      <c r="M29" s="28">
        <f>SUM(M33)*(I29)</f>
        <v>175532.05230245151</v>
      </c>
      <c r="O29" s="46">
        <f>'Schedule 11'!J50</f>
        <v>2.7102157311609917E-2</v>
      </c>
      <c r="P29" s="59"/>
      <c r="Q29" s="28">
        <f>SUM(M29)*(O29)</f>
        <v>4757.2972947307808</v>
      </c>
    </row>
    <row r="30" spans="1:17" x14ac:dyDescent="0.25">
      <c r="G30" s="28" t="s">
        <v>16</v>
      </c>
      <c r="I30" s="69"/>
      <c r="O30" s="59"/>
      <c r="P30" s="59" t="s">
        <v>16</v>
      </c>
      <c r="Q30" s="28" t="s">
        <v>16</v>
      </c>
    </row>
    <row r="31" spans="1:17" x14ac:dyDescent="0.25">
      <c r="A31" s="2">
        <v>11</v>
      </c>
      <c r="C31" s="2" t="s">
        <v>183</v>
      </c>
      <c r="E31" s="13" t="s">
        <v>184</v>
      </c>
      <c r="G31" s="60">
        <f>AVERAGE('Schedule 7'!I25,'Schedule 7'!J25)</f>
        <v>120229.32707896875</v>
      </c>
      <c r="I31" s="70">
        <f>SUM(G31)/(G29+G31)</f>
        <v>0.41371912433310337</v>
      </c>
      <c r="M31" s="60">
        <f>SUM(M33)*(I31)</f>
        <v>123867.1940106457</v>
      </c>
      <c r="O31" s="43">
        <v>3.8126871890559647E-2</v>
      </c>
      <c r="P31" s="59"/>
      <c r="Q31" s="60">
        <f>M31*O31</f>
        <v>4722.668637486986</v>
      </c>
    </row>
    <row r="32" spans="1:17" x14ac:dyDescent="0.25">
      <c r="I32" s="69"/>
      <c r="O32" s="59"/>
      <c r="P32" s="59"/>
      <c r="Q32" s="28" t="s">
        <v>16</v>
      </c>
    </row>
    <row r="33" spans="1:17" ht="13" thickBot="1" x14ac:dyDescent="0.3">
      <c r="A33" s="2">
        <v>12</v>
      </c>
      <c r="C33" s="2" t="s">
        <v>32</v>
      </c>
      <c r="E33" s="13" t="s">
        <v>185</v>
      </c>
      <c r="G33" s="62">
        <f>SUM(G29+G31)</f>
        <v>290606.16250885918</v>
      </c>
      <c r="I33" s="71">
        <f>SUM(I29+I31)</f>
        <v>1</v>
      </c>
      <c r="M33" s="62">
        <f>'Schedule 1'!J49</f>
        <v>299399.24631309719</v>
      </c>
      <c r="O33" s="63">
        <v>3.16632673675191E-2</v>
      </c>
      <c r="P33" s="59"/>
      <c r="Q33" s="62">
        <f>Q29+Q31</f>
        <v>9479.9659322177667</v>
      </c>
    </row>
    <row r="34" spans="1:17" x14ac:dyDescent="0.25">
      <c r="G34" s="49"/>
      <c r="I34" s="72"/>
      <c r="M34" s="49"/>
      <c r="O34" s="44"/>
      <c r="P34" s="59"/>
      <c r="Q34" s="49"/>
    </row>
    <row r="35" spans="1:17" x14ac:dyDescent="0.25">
      <c r="I35" s="69"/>
    </row>
    <row r="36" spans="1:17" x14ac:dyDescent="0.25">
      <c r="C36" s="21" t="s">
        <v>364</v>
      </c>
      <c r="I36" s="69"/>
      <c r="K36" s="39" t="s">
        <v>333</v>
      </c>
    </row>
    <row r="37" spans="1:17" x14ac:dyDescent="0.25">
      <c r="I37" s="69"/>
    </row>
    <row r="38" spans="1:17" x14ac:dyDescent="0.25">
      <c r="A38" s="2">
        <v>13</v>
      </c>
      <c r="C38" s="2" t="s">
        <v>181</v>
      </c>
      <c r="E38" s="13" t="s">
        <v>182</v>
      </c>
      <c r="G38" s="28">
        <f>'Schedule 11'!K28</f>
        <v>180367.00484212727</v>
      </c>
      <c r="I38" s="69">
        <f>SUM(G38)/(G38+G40)</f>
        <v>0.59752900674711218</v>
      </c>
      <c r="K38" s="69">
        <v>0.6</v>
      </c>
      <c r="M38" s="28">
        <v>182951.94360404002</v>
      </c>
      <c r="O38" s="46">
        <f>'Schedule 11'!K50</f>
        <v>2.9088715044257234E-2</v>
      </c>
      <c r="P38" s="59"/>
      <c r="Q38" s="28">
        <f>SUM(M38)*(O38)</f>
        <v>5321.8369542909404</v>
      </c>
    </row>
    <row r="39" spans="1:17" x14ac:dyDescent="0.25">
      <c r="G39" s="28" t="s">
        <v>16</v>
      </c>
      <c r="I39" s="69"/>
      <c r="K39" s="69"/>
      <c r="O39" s="59"/>
      <c r="P39" s="59" t="s">
        <v>16</v>
      </c>
      <c r="Q39" s="28" t="s">
        <v>16</v>
      </c>
    </row>
    <row r="40" spans="1:17" x14ac:dyDescent="0.25">
      <c r="A40" s="2">
        <v>14</v>
      </c>
      <c r="C40" s="2" t="s">
        <v>183</v>
      </c>
      <c r="E40" s="13" t="s">
        <v>184</v>
      </c>
      <c r="G40" s="60">
        <f>AVERAGE('Schedule 7'!J25,'Schedule 7'!K25)</f>
        <v>121487.80522647023</v>
      </c>
      <c r="I40" s="70">
        <f>SUM(G40)/(G38+G40)</f>
        <v>0.40247099325288777</v>
      </c>
      <c r="K40" s="70">
        <f>1-K38</f>
        <v>0.4</v>
      </c>
      <c r="M40" s="60">
        <v>125125.44652319457</v>
      </c>
      <c r="O40" s="43">
        <v>3.7235135681206552E-2</v>
      </c>
      <c r="P40" s="59"/>
      <c r="Q40" s="60">
        <f>M40*O40</f>
        <v>4659.0629784627045</v>
      </c>
    </row>
    <row r="41" spans="1:17" x14ac:dyDescent="0.25">
      <c r="I41" s="69"/>
      <c r="K41" s="69"/>
      <c r="O41" s="59"/>
      <c r="P41" s="59"/>
      <c r="Q41" s="28" t="s">
        <v>16</v>
      </c>
    </row>
    <row r="42" spans="1:17" ht="13" thickBot="1" x14ac:dyDescent="0.3">
      <c r="A42" s="2">
        <v>15</v>
      </c>
      <c r="C42" s="2" t="s">
        <v>32</v>
      </c>
      <c r="E42" s="13" t="s">
        <v>185</v>
      </c>
      <c r="G42" s="62">
        <f>SUM(G38+G40)</f>
        <v>301854.81006859749</v>
      </c>
      <c r="I42" s="71">
        <f>SUM(I38+I40)</f>
        <v>1</v>
      </c>
      <c r="K42" s="71">
        <f>SUM(K38+K40)</f>
        <v>1</v>
      </c>
      <c r="M42" s="62">
        <f>'Schedule 1'!K49</f>
        <v>308075.58168004238</v>
      </c>
      <c r="O42" s="63">
        <f>SUM(K38)*(O38)+SUM(K40)*(O40)</f>
        <v>3.2347283299036959E-2</v>
      </c>
      <c r="P42" s="59"/>
      <c r="Q42" s="62">
        <f>Q38+Q40</f>
        <v>9980.899932753644</v>
      </c>
    </row>
    <row r="43" spans="1:17" x14ac:dyDescent="0.25">
      <c r="I43" s="69"/>
    </row>
    <row r="44" spans="1:17" x14ac:dyDescent="0.25">
      <c r="I44" s="69"/>
    </row>
    <row r="45" spans="1:17" x14ac:dyDescent="0.25">
      <c r="C45" s="21" t="s">
        <v>388</v>
      </c>
      <c r="I45" s="69"/>
      <c r="K45" s="39" t="s">
        <v>333</v>
      </c>
    </row>
    <row r="46" spans="1:17" x14ac:dyDescent="0.25">
      <c r="I46" s="69"/>
    </row>
    <row r="47" spans="1:17" x14ac:dyDescent="0.25">
      <c r="A47" s="2">
        <v>19</v>
      </c>
      <c r="C47" s="2" t="s">
        <v>181</v>
      </c>
      <c r="E47" s="13" t="s">
        <v>182</v>
      </c>
      <c r="G47" s="28">
        <f>'Schedule 11'!$M$28</f>
        <v>186198.23915547464</v>
      </c>
      <c r="I47" s="69">
        <f>SUM(G47)/(G47+G49)</f>
        <v>0.60363739423855578</v>
      </c>
      <c r="K47" s="69">
        <v>0.6</v>
      </c>
      <c r="M47" s="53">
        <f>M51*K47</f>
        <v>186350.77135458248</v>
      </c>
      <c r="O47" s="46">
        <v>2.9347281764870684E-2</v>
      </c>
      <c r="P47" s="59"/>
      <c r="Q47" s="53">
        <f>SUM(M47)*(O47)</f>
        <v>5468.888594043925</v>
      </c>
    </row>
    <row r="48" spans="1:17" x14ac:dyDescent="0.25">
      <c r="G48" s="28" t="s">
        <v>16</v>
      </c>
      <c r="I48" s="69"/>
      <c r="K48" s="69"/>
      <c r="O48" s="59"/>
      <c r="P48" s="59" t="s">
        <v>16</v>
      </c>
      <c r="Q48" s="28" t="s">
        <v>16</v>
      </c>
    </row>
    <row r="49" spans="1:17" x14ac:dyDescent="0.25">
      <c r="A49" s="2">
        <v>20</v>
      </c>
      <c r="C49" s="2" t="s">
        <v>183</v>
      </c>
      <c r="E49" s="13" t="s">
        <v>184</v>
      </c>
      <c r="G49" s="60">
        <f>AVERAGE('Schedule 7'!K25,'Schedule 7'!M25)</f>
        <v>122262.17256297107</v>
      </c>
      <c r="I49" s="70">
        <f>SUM(G49)/(G47+G49)</f>
        <v>0.39636260576144422</v>
      </c>
      <c r="K49" s="70">
        <f>1-K47</f>
        <v>0.4</v>
      </c>
      <c r="M49" s="64">
        <f>M51*K49</f>
        <v>124233.84756972166</v>
      </c>
      <c r="O49" s="43">
        <v>8.1997869333589046E-2</v>
      </c>
      <c r="P49" s="59"/>
      <c r="Q49" s="64">
        <f>SUM(M49)*(O49)</f>
        <v>10186.910799831056</v>
      </c>
    </row>
    <row r="50" spans="1:17" x14ac:dyDescent="0.25">
      <c r="I50" s="69"/>
      <c r="K50" s="69"/>
      <c r="O50" s="59"/>
      <c r="P50" s="59"/>
      <c r="Q50" s="28" t="s">
        <v>16</v>
      </c>
    </row>
    <row r="51" spans="1:17" ht="13" thickBot="1" x14ac:dyDescent="0.3">
      <c r="A51" s="2">
        <v>21</v>
      </c>
      <c r="C51" s="2" t="s">
        <v>32</v>
      </c>
      <c r="E51" s="13" t="s">
        <v>185</v>
      </c>
      <c r="G51" s="65">
        <f>SUM(G47+G49)</f>
        <v>308460.41171844571</v>
      </c>
      <c r="I51" s="71">
        <f>SUM(I47+I49)</f>
        <v>1</v>
      </c>
      <c r="K51" s="71">
        <f>SUM(K47+K49)</f>
        <v>1</v>
      </c>
      <c r="M51" s="65">
        <f>'Schedule 1'!M49</f>
        <v>310584.61892430414</v>
      </c>
      <c r="O51" s="63">
        <f>SUM(K47)*(O47)+SUM(K49)*(O49)</f>
        <v>5.0407516792358026E-2</v>
      </c>
      <c r="P51" s="59"/>
      <c r="Q51" s="65">
        <f>Q47+Q49</f>
        <v>15655.799393874981</v>
      </c>
    </row>
    <row r="64" spans="1:17" x14ac:dyDescent="0.25">
      <c r="I64" s="69"/>
      <c r="O64" s="59"/>
      <c r="P64" s="59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5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39997558519241921"/>
    <pageSetUpPr fitToPage="1"/>
  </sheetPr>
  <dimension ref="A1:M38"/>
  <sheetViews>
    <sheetView view="pageBreakPreview" zoomScaleSheetLayoutView="100" workbookViewId="0">
      <selection activeCell="L6" sqref="L6"/>
    </sheetView>
  </sheetViews>
  <sheetFormatPr defaultColWidth="9.1796875" defaultRowHeight="12.5" x14ac:dyDescent="0.25"/>
  <cols>
    <col min="1" max="1" width="7.453125" style="2" customWidth="1"/>
    <col min="2" max="2" width="1.81640625" style="2" customWidth="1"/>
    <col min="3" max="3" width="28" style="2" customWidth="1"/>
    <col min="4" max="4" width="3.54296875" style="2" customWidth="1"/>
    <col min="5" max="5" width="9.1796875" style="13"/>
    <col min="6" max="6" width="1.81640625" style="2" customWidth="1"/>
    <col min="7" max="7" width="12.26953125" style="2" customWidth="1"/>
    <col min="8" max="8" width="1.81640625" style="2" customWidth="1"/>
    <col min="9" max="11" width="11.26953125" style="2" customWidth="1"/>
    <col min="12" max="12" width="1.453125" style="14" customWidth="1"/>
    <col min="13" max="13" width="13.54296875" style="2" customWidth="1"/>
    <col min="14" max="16384" width="9.1796875" style="2"/>
  </cols>
  <sheetData>
    <row r="1" spans="1:13" ht="15" x14ac:dyDescent="0.3">
      <c r="A1" s="12" t="s">
        <v>0</v>
      </c>
      <c r="L1" s="2"/>
      <c r="M1" s="10" t="s">
        <v>187</v>
      </c>
    </row>
    <row r="2" spans="1:13" x14ac:dyDescent="0.25">
      <c r="A2" s="15" t="s">
        <v>188</v>
      </c>
      <c r="L2" s="2"/>
      <c r="M2" s="16" t="str">
        <f>Index!F2</f>
        <v>April 14, 2022</v>
      </c>
    </row>
    <row r="3" spans="1:13" x14ac:dyDescent="0.25">
      <c r="A3" s="15" t="s">
        <v>8</v>
      </c>
      <c r="L3" s="2"/>
    </row>
    <row r="6" spans="1:13" s="13" customFormat="1" x14ac:dyDescent="0.25">
      <c r="G6" s="17"/>
      <c r="I6" s="17"/>
      <c r="J6" s="17"/>
      <c r="K6" s="207"/>
      <c r="L6" s="17"/>
      <c r="M6" s="207"/>
    </row>
    <row r="7" spans="1:13" s="19" customFormat="1" ht="25" x14ac:dyDescent="0.25">
      <c r="A7" s="18" t="s">
        <v>9</v>
      </c>
      <c r="C7" s="18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</row>
    <row r="9" spans="1:13" x14ac:dyDescent="0.25">
      <c r="A9" s="2">
        <v>1</v>
      </c>
      <c r="C9" s="2" t="s">
        <v>189</v>
      </c>
      <c r="E9" s="13" t="s">
        <v>349</v>
      </c>
      <c r="G9" s="22">
        <f>'Schedule 1'!G49</f>
        <v>287479.94025285007</v>
      </c>
      <c r="I9" s="22">
        <f>'Schedule 1'!I49</f>
        <v>292185.87537309725</v>
      </c>
      <c r="J9" s="22">
        <f>'Schedule 1'!J49</f>
        <v>299399.24631309719</v>
      </c>
      <c r="K9" s="22">
        <f>'Schedule 1'!K49</f>
        <v>308075.58168004238</v>
      </c>
      <c r="L9" s="23"/>
      <c r="M9" s="22">
        <f>'Schedule 1'!M49</f>
        <v>310584.61892430414</v>
      </c>
    </row>
    <row r="10" spans="1:13" x14ac:dyDescent="0.25">
      <c r="G10" s="2" t="s">
        <v>16</v>
      </c>
      <c r="I10" s="2" t="s">
        <v>16</v>
      </c>
      <c r="J10" s="2" t="s">
        <v>16</v>
      </c>
      <c r="K10" s="2" t="s">
        <v>16</v>
      </c>
      <c r="M10" s="2" t="s">
        <v>16</v>
      </c>
    </row>
    <row r="11" spans="1:13" x14ac:dyDescent="0.25">
      <c r="A11" s="2">
        <v>2</v>
      </c>
      <c r="C11" s="2" t="s">
        <v>190</v>
      </c>
      <c r="G11" s="46">
        <f>SUM(G13)/(G9)</f>
        <v>4.817786631491236E-2</v>
      </c>
      <c r="I11" s="46">
        <f>SUM(I13)/(I9)</f>
        <v>4.1445825392554259E-2</v>
      </c>
      <c r="J11" s="46">
        <f>SUM(J13)/(J9)</f>
        <v>3.1663292573235399E-2</v>
      </c>
      <c r="K11" s="46">
        <f>SUM(K13)/(K9)</f>
        <v>3.2397569058619818E-2</v>
      </c>
      <c r="L11" s="44"/>
      <c r="M11" s="46">
        <f>SUM(M13)/(M9)</f>
        <v>5.0407516792358026E-2</v>
      </c>
    </row>
    <row r="13" spans="1:13" x14ac:dyDescent="0.25">
      <c r="A13" s="2">
        <v>3</v>
      </c>
      <c r="C13" s="2" t="s">
        <v>191</v>
      </c>
      <c r="E13" s="13" t="s">
        <v>192</v>
      </c>
      <c r="G13" s="22">
        <f>'Schedule 4'!Q15</f>
        <v>13850.170129720804</v>
      </c>
      <c r="I13" s="22">
        <f>'Schedule 4'!Q24</f>
        <v>12109.884772884008</v>
      </c>
      <c r="J13" s="22">
        <f>'Schedule 4'!Q33</f>
        <v>9479.9659322177667</v>
      </c>
      <c r="K13" s="22">
        <f>'Schedule 4'!Q42</f>
        <v>9980.899932753644</v>
      </c>
      <c r="L13" s="23"/>
      <c r="M13" s="22">
        <f>'Schedule 4'!Q51</f>
        <v>15655.799393874981</v>
      </c>
    </row>
    <row r="15" spans="1:13" x14ac:dyDescent="0.25">
      <c r="A15" s="2">
        <v>4</v>
      </c>
      <c r="C15" s="2" t="s">
        <v>193</v>
      </c>
    </row>
    <row r="16" spans="1:13" x14ac:dyDescent="0.25">
      <c r="A16" s="2">
        <v>5</v>
      </c>
      <c r="C16" s="2" t="s">
        <v>194</v>
      </c>
      <c r="E16" s="13" t="s">
        <v>195</v>
      </c>
      <c r="G16" s="22">
        <f>'Schedule 6'!G12</f>
        <v>23714.856181529012</v>
      </c>
      <c r="I16" s="22">
        <f>'Schedule 6'!I12</f>
        <v>27794.447446414069</v>
      </c>
      <c r="J16" s="22">
        <f>'Schedule 6'!J12</f>
        <v>29784.141591192958</v>
      </c>
      <c r="K16" s="22">
        <f>'Schedule 6'!K12</f>
        <v>37675.835183103365</v>
      </c>
      <c r="L16" s="23"/>
      <c r="M16" s="22">
        <f>'Schedule 6'!M12</f>
        <v>43211.338227249857</v>
      </c>
    </row>
    <row r="17" spans="1:13" x14ac:dyDescent="0.25">
      <c r="A17" s="2">
        <v>6</v>
      </c>
      <c r="C17" s="2" t="s">
        <v>49</v>
      </c>
      <c r="E17" s="13" t="s">
        <v>196</v>
      </c>
      <c r="G17" s="22">
        <f>'Schedule 6'!G13</f>
        <v>708.13965357545919</v>
      </c>
      <c r="I17" s="22">
        <f>'Schedule 6'!I13</f>
        <v>670.86845243333323</v>
      </c>
      <c r="J17" s="22">
        <f>'Schedule 6'!J13</f>
        <v>672.54982999999982</v>
      </c>
      <c r="K17" s="22">
        <f>'Schedule 6'!K13</f>
        <v>739.45727411666655</v>
      </c>
      <c r="L17" s="23"/>
      <c r="M17" s="22">
        <f>'Schedule 6'!M13</f>
        <v>749.75450131960019</v>
      </c>
    </row>
    <row r="18" spans="1:13" x14ac:dyDescent="0.25">
      <c r="A18" s="2">
        <v>7</v>
      </c>
      <c r="C18" s="2" t="s">
        <v>197</v>
      </c>
      <c r="E18" s="13" t="s">
        <v>198</v>
      </c>
      <c r="G18" s="22">
        <f>'Schedule 6'!G14</f>
        <v>3543.0612209999995</v>
      </c>
      <c r="I18" s="22">
        <f>'Schedule 6'!I14</f>
        <v>3500.0065709999999</v>
      </c>
      <c r="J18" s="22">
        <f>'Schedule 6'!J14</f>
        <v>3581.9678389999999</v>
      </c>
      <c r="K18" s="22">
        <f>'Schedule 6'!K14</f>
        <v>3539.6048189999992</v>
      </c>
      <c r="L18" s="23"/>
      <c r="M18" s="22">
        <f>'Schedule 6'!M14</f>
        <v>4310.2145489999994</v>
      </c>
    </row>
    <row r="19" spans="1:13" x14ac:dyDescent="0.25">
      <c r="A19" s="2">
        <v>8</v>
      </c>
      <c r="C19" s="2" t="s">
        <v>87</v>
      </c>
      <c r="E19" s="13" t="s">
        <v>103</v>
      </c>
      <c r="G19" s="22">
        <f>'Schedule 6'!G15</f>
        <v>478.93700000000001</v>
      </c>
      <c r="I19" s="22">
        <f>'Schedule 6'!I15</f>
        <v>478.93700000000001</v>
      </c>
      <c r="J19" s="22">
        <f>'Schedule 6'!J15</f>
        <v>478.93700000000001</v>
      </c>
      <c r="K19" s="22">
        <f>'Schedule 6'!K15</f>
        <v>478.93700000000001</v>
      </c>
      <c r="L19" s="23"/>
      <c r="M19" s="22">
        <f>'Schedule 6'!M15</f>
        <v>615.80918399999985</v>
      </c>
    </row>
    <row r="20" spans="1:13" x14ac:dyDescent="0.25">
      <c r="A20" s="2">
        <v>9</v>
      </c>
      <c r="C20" s="2" t="s">
        <v>199</v>
      </c>
      <c r="E20" s="13" t="s">
        <v>80</v>
      </c>
      <c r="G20" s="22">
        <f>'Schedule 6'!G16</f>
        <v>12195.95357</v>
      </c>
      <c r="I20" s="22">
        <f>'Schedule 6'!I16</f>
        <v>12184.949329999999</v>
      </c>
      <c r="J20" s="22">
        <f>'Schedule 6'!J16</f>
        <v>12676.679799999998</v>
      </c>
      <c r="K20" s="22">
        <f>'Schedule 6'!K16</f>
        <v>12962.793910000002</v>
      </c>
      <c r="L20" s="23"/>
      <c r="M20" s="22">
        <f>'Schedule 6'!M16</f>
        <v>13371.867301977891</v>
      </c>
    </row>
    <row r="21" spans="1:13" ht="25" x14ac:dyDescent="0.25">
      <c r="A21" s="73">
        <v>10</v>
      </c>
      <c r="C21" s="74" t="s">
        <v>200</v>
      </c>
      <c r="E21" s="3" t="s">
        <v>201</v>
      </c>
      <c r="F21" s="73"/>
      <c r="G21" s="124">
        <f>'Schedule 6'!G17</f>
        <v>-4393.7347499999996</v>
      </c>
      <c r="H21" s="73"/>
      <c r="I21" s="124">
        <f>'Schedule 6'!I17</f>
        <v>-4376.7759999999998</v>
      </c>
      <c r="J21" s="124">
        <f>'Schedule 6'!J17</f>
        <v>-5002.0348800000002</v>
      </c>
      <c r="K21" s="124">
        <f>'Schedule 6'!K17</f>
        <v>-5291.3511799999997</v>
      </c>
      <c r="L21" s="75"/>
      <c r="M21" s="124">
        <f>'Schedule 6'!M17</f>
        <v>-4678.2715019999996</v>
      </c>
    </row>
    <row r="22" spans="1:13" x14ac:dyDescent="0.25">
      <c r="A22" s="2">
        <v>11</v>
      </c>
      <c r="C22" s="2" t="s">
        <v>202</v>
      </c>
      <c r="G22" s="22">
        <v>-203.80146299999998</v>
      </c>
      <c r="I22" s="22">
        <v>-203.80146299999998</v>
      </c>
      <c r="J22" s="22">
        <v>-203.80146299999998</v>
      </c>
      <c r="K22" s="22">
        <v>-44.261462999999978</v>
      </c>
      <c r="L22" s="23"/>
      <c r="M22" s="22">
        <v>-238.28448299999997</v>
      </c>
    </row>
    <row r="23" spans="1:13" x14ac:dyDescent="0.25">
      <c r="A23" s="2">
        <v>12</v>
      </c>
      <c r="C23" s="2" t="s">
        <v>203</v>
      </c>
      <c r="G23" s="22">
        <v>-99.999999999999957</v>
      </c>
      <c r="I23" s="22">
        <v>-99.349270000000004</v>
      </c>
      <c r="J23" s="22">
        <v>-166.39563000000001</v>
      </c>
      <c r="K23" s="22">
        <v>-94.999999999999901</v>
      </c>
      <c r="L23" s="23"/>
      <c r="M23" s="22">
        <v>-120.00024999999994</v>
      </c>
    </row>
    <row r="24" spans="1:13" x14ac:dyDescent="0.25">
      <c r="G24" s="26"/>
      <c r="I24" s="26"/>
      <c r="J24" s="26"/>
      <c r="K24" s="26"/>
      <c r="L24" s="23"/>
      <c r="M24" s="26"/>
    </row>
    <row r="25" spans="1:13" x14ac:dyDescent="0.25">
      <c r="A25" s="2">
        <v>13</v>
      </c>
      <c r="C25" s="2" t="s">
        <v>204</v>
      </c>
      <c r="G25" s="27">
        <f>SUM(G15:G24)</f>
        <v>35943.41141310447</v>
      </c>
      <c r="I25" s="27">
        <f>SUM(I15:I24)</f>
        <v>39949.282066847401</v>
      </c>
      <c r="J25" s="27">
        <f>SUM(J15:J24)</f>
        <v>41822.044087192953</v>
      </c>
      <c r="K25" s="27">
        <f>SUM(K15:K24)</f>
        <v>49966.015543220026</v>
      </c>
      <c r="L25" s="23"/>
      <c r="M25" s="27">
        <f>SUM(M15:M24)</f>
        <v>57222.427528547334</v>
      </c>
    </row>
    <row r="26" spans="1:13" x14ac:dyDescent="0.25">
      <c r="G26" s="23"/>
      <c r="I26" s="23"/>
      <c r="J26" s="23"/>
      <c r="K26" s="23"/>
      <c r="L26" s="23"/>
      <c r="M26" s="23"/>
    </row>
    <row r="27" spans="1:13" ht="13" thickBot="1" x14ac:dyDescent="0.3">
      <c r="A27" s="2">
        <v>14</v>
      </c>
      <c r="C27" s="2" t="s">
        <v>205</v>
      </c>
      <c r="E27" s="13" t="s">
        <v>206</v>
      </c>
      <c r="G27" s="38">
        <f>G13+G25</f>
        <v>49793.581542825275</v>
      </c>
      <c r="I27" s="38">
        <f>I13+I25</f>
        <v>52059.166839731406</v>
      </c>
      <c r="J27" s="38">
        <f>J13+J25</f>
        <v>51302.010019410722</v>
      </c>
      <c r="K27" s="38">
        <f>K13+K25</f>
        <v>59946.91547597367</v>
      </c>
      <c r="L27" s="36"/>
      <c r="M27" s="38">
        <f>M13+M25</f>
        <v>72878.226922422313</v>
      </c>
    </row>
    <row r="29" spans="1:13" x14ac:dyDescent="0.25">
      <c r="C29" s="2" t="s">
        <v>207</v>
      </c>
    </row>
    <row r="30" spans="1:13" ht="12.75" customHeight="1" x14ac:dyDescent="0.25">
      <c r="A30" s="76"/>
      <c r="C30" s="200"/>
      <c r="D30" s="200"/>
      <c r="E30" s="200"/>
      <c r="F30" s="200"/>
      <c r="G30" s="200"/>
      <c r="H30" s="200"/>
      <c r="I30" s="200"/>
      <c r="J30" s="200"/>
      <c r="K30" s="200"/>
      <c r="L30" s="200"/>
    </row>
    <row r="31" spans="1:13" x14ac:dyDescent="0.25">
      <c r="C31" s="200"/>
      <c r="D31" s="200"/>
      <c r="E31" s="200"/>
      <c r="F31" s="200"/>
      <c r="G31" s="200"/>
      <c r="H31" s="200"/>
      <c r="I31" s="200"/>
      <c r="J31" s="200"/>
      <c r="K31" s="200"/>
      <c r="L31" s="200"/>
    </row>
    <row r="32" spans="1:13" x14ac:dyDescent="0.25">
      <c r="G32" s="29"/>
      <c r="I32" s="29"/>
      <c r="J32" s="29"/>
      <c r="K32" s="29"/>
      <c r="L32" s="29"/>
    </row>
    <row r="33" spans="7:13" x14ac:dyDescent="0.25">
      <c r="G33" s="29"/>
      <c r="I33" s="29"/>
      <c r="J33" s="29"/>
      <c r="K33" s="29"/>
      <c r="L33" s="29"/>
      <c r="M33" s="29"/>
    </row>
    <row r="34" spans="7:13" x14ac:dyDescent="0.25">
      <c r="G34" s="48"/>
      <c r="I34" s="48"/>
      <c r="J34" s="48"/>
      <c r="K34" s="48"/>
      <c r="L34" s="48"/>
      <c r="M34" s="48"/>
    </row>
    <row r="35" spans="7:13" x14ac:dyDescent="0.25">
      <c r="G35" s="48"/>
      <c r="I35" s="48"/>
      <c r="J35" s="48"/>
      <c r="K35" s="48"/>
      <c r="L35" s="77"/>
    </row>
    <row r="36" spans="7:13" x14ac:dyDescent="0.25">
      <c r="G36" s="36"/>
      <c r="I36" s="36"/>
      <c r="J36" s="36"/>
      <c r="K36" s="36"/>
      <c r="L36" s="36"/>
    </row>
    <row r="37" spans="7:13" x14ac:dyDescent="0.25">
      <c r="G37" s="77"/>
      <c r="I37" s="77"/>
      <c r="J37" s="77"/>
      <c r="K37" s="77"/>
      <c r="L37" s="77"/>
    </row>
    <row r="38" spans="7:13" x14ac:dyDescent="0.25">
      <c r="G38" s="14"/>
      <c r="I38" s="14"/>
      <c r="J38" s="77"/>
      <c r="K38" s="77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0.39997558519241921"/>
    <pageSetUpPr fitToPage="1"/>
  </sheetPr>
  <dimension ref="A1:N43"/>
  <sheetViews>
    <sheetView view="pageBreakPreview" zoomScaleSheetLayoutView="100" workbookViewId="0">
      <selection activeCell="L6" sqref="L6"/>
    </sheetView>
  </sheetViews>
  <sheetFormatPr defaultColWidth="9.1796875" defaultRowHeight="12.5" x14ac:dyDescent="0.25"/>
  <cols>
    <col min="1" max="1" width="5.26953125" style="2" customWidth="1"/>
    <col min="2" max="2" width="1.81640625" style="2" customWidth="1"/>
    <col min="3" max="3" width="29" style="2" customWidth="1"/>
    <col min="4" max="4" width="1.81640625" style="2" customWidth="1"/>
    <col min="5" max="5" width="11" style="13" customWidth="1"/>
    <col min="6" max="6" width="1.81640625" style="2" customWidth="1"/>
    <col min="7" max="7" width="12.6328125" style="2" customWidth="1"/>
    <col min="8" max="8" width="1.81640625" style="2" customWidth="1"/>
    <col min="9" max="11" width="11.26953125" style="2" customWidth="1"/>
    <col min="12" max="12" width="1.453125" style="14" customWidth="1"/>
    <col min="13" max="13" width="13.26953125" style="2" customWidth="1"/>
    <col min="14" max="14" width="11.26953125" style="2" customWidth="1"/>
    <col min="15" max="16384" width="9.1796875" style="2"/>
  </cols>
  <sheetData>
    <row r="1" spans="1:14" ht="15" x14ac:dyDescent="0.3">
      <c r="A1" s="12" t="s">
        <v>0</v>
      </c>
      <c r="M1" s="10" t="s">
        <v>208</v>
      </c>
    </row>
    <row r="2" spans="1:14" x14ac:dyDescent="0.25">
      <c r="A2" s="15" t="s">
        <v>209</v>
      </c>
      <c r="M2" s="16" t="str">
        <f>Index!F2</f>
        <v>April 14, 2022</v>
      </c>
    </row>
    <row r="3" spans="1:14" x14ac:dyDescent="0.25">
      <c r="A3" s="15" t="s">
        <v>8</v>
      </c>
    </row>
    <row r="4" spans="1:14" x14ac:dyDescent="0.25">
      <c r="C4" s="2" t="s">
        <v>16</v>
      </c>
    </row>
    <row r="5" spans="1:14" x14ac:dyDescent="0.25">
      <c r="C5" s="2" t="s">
        <v>16</v>
      </c>
      <c r="M5" s="14"/>
      <c r="N5" s="14"/>
    </row>
    <row r="6" spans="1:14" s="13" customFormat="1" x14ac:dyDescent="0.25">
      <c r="G6" s="17"/>
      <c r="I6" s="17"/>
      <c r="J6" s="17"/>
      <c r="K6" s="207"/>
      <c r="L6" s="17"/>
      <c r="M6" s="207"/>
      <c r="N6" s="17"/>
    </row>
    <row r="7" spans="1:14" s="19" customFormat="1" ht="25" x14ac:dyDescent="0.25">
      <c r="A7" s="18" t="s">
        <v>9</v>
      </c>
      <c r="C7" s="18" t="s">
        <v>10</v>
      </c>
      <c r="E7" s="18" t="s">
        <v>11</v>
      </c>
      <c r="G7" s="18" t="str">
        <f>'Schedule 1'!G7</f>
        <v>2018 GRA
Compliance</v>
      </c>
      <c r="I7" s="18" t="str">
        <f>'Schedule 1'!I7</f>
        <v>Actual 2018</v>
      </c>
      <c r="J7" s="18" t="str">
        <f>'Schedule 1'!J7</f>
        <v>Actual 2019</v>
      </c>
      <c r="K7" s="18" t="str">
        <f>'Schedule 1'!K7</f>
        <v>Forecast 2020</v>
      </c>
      <c r="L7" s="20"/>
      <c r="M7" s="18" t="str">
        <f>'Schedule 1'!M7</f>
        <v>2021 GRA
Compliance</v>
      </c>
      <c r="N7" s="20"/>
    </row>
    <row r="8" spans="1:14" x14ac:dyDescent="0.25">
      <c r="N8" s="14"/>
    </row>
    <row r="9" spans="1:14" x14ac:dyDescent="0.25">
      <c r="A9" s="2">
        <v>1</v>
      </c>
      <c r="C9" s="2" t="s">
        <v>210</v>
      </c>
      <c r="E9" s="13" t="s">
        <v>211</v>
      </c>
      <c r="G9" s="22">
        <v>49793.562824010733</v>
      </c>
      <c r="I9" s="22">
        <v>52059.178980371711</v>
      </c>
      <c r="J9" s="22">
        <v>51302.09621829199</v>
      </c>
      <c r="K9" s="22">
        <v>59946.915618843552</v>
      </c>
      <c r="L9" s="23"/>
      <c r="M9" s="22">
        <f>'Schedule 5'!M27</f>
        <v>72878.226922422313</v>
      </c>
      <c r="N9" s="77"/>
    </row>
    <row r="10" spans="1:14" x14ac:dyDescent="0.25">
      <c r="N10" s="14"/>
    </row>
    <row r="11" spans="1:14" x14ac:dyDescent="0.25">
      <c r="A11" s="2">
        <v>2</v>
      </c>
      <c r="C11" s="21" t="s">
        <v>212</v>
      </c>
      <c r="N11" s="14"/>
    </row>
    <row r="12" spans="1:14" x14ac:dyDescent="0.25">
      <c r="A12" s="2">
        <v>3</v>
      </c>
      <c r="C12" s="2" t="s">
        <v>47</v>
      </c>
      <c r="E12" s="13" t="s">
        <v>213</v>
      </c>
      <c r="G12" s="22">
        <v>23714.856181529012</v>
      </c>
      <c r="I12" s="22">
        <v>27794.447446414069</v>
      </c>
      <c r="J12" s="22">
        <v>29784.141591192958</v>
      </c>
      <c r="K12" s="22">
        <v>37675.835183103365</v>
      </c>
      <c r="L12" s="22">
        <v>0</v>
      </c>
      <c r="M12" s="22">
        <v>43211.338227249857</v>
      </c>
      <c r="N12" s="77"/>
    </row>
    <row r="13" spans="1:14" x14ac:dyDescent="0.25">
      <c r="A13" s="2">
        <v>4</v>
      </c>
      <c r="C13" s="2" t="s">
        <v>49</v>
      </c>
      <c r="E13" s="13" t="s">
        <v>50</v>
      </c>
      <c r="G13" s="22">
        <v>708.13965357545919</v>
      </c>
      <c r="I13" s="22">
        <v>670.86845243333323</v>
      </c>
      <c r="J13" s="22">
        <v>672.54982999999982</v>
      </c>
      <c r="K13" s="22">
        <v>739.45727411666655</v>
      </c>
      <c r="L13" s="23"/>
      <c r="M13" s="22">
        <v>749.75450131960019</v>
      </c>
      <c r="N13" s="77"/>
    </row>
    <row r="14" spans="1:14" x14ac:dyDescent="0.25">
      <c r="A14" s="2">
        <v>5</v>
      </c>
      <c r="C14" s="2" t="s">
        <v>214</v>
      </c>
      <c r="G14" s="22">
        <f>-('Schedule 3'!G80+'Schedule 3'!G92)</f>
        <v>3543.0612209999995</v>
      </c>
      <c r="I14" s="22">
        <f>-('Schedule 3'!I80+'Schedule 3'!I92+'Schedule 3'!I74)</f>
        <v>3500.0065709999999</v>
      </c>
      <c r="J14" s="22">
        <f>-('Schedule 3'!J80+'Schedule 3'!J92+'Schedule 3'!J74)</f>
        <v>3581.9678389999999</v>
      </c>
      <c r="K14" s="22">
        <f>-('Schedule 3'!K80+'Schedule 3'!K92+'Schedule 3'!K74)</f>
        <v>3539.6048189999992</v>
      </c>
      <c r="L14" s="23"/>
      <c r="M14" s="22">
        <f>-('Schedule 3'!M80+'Schedule 3'!M92+'Schedule 3'!M74)</f>
        <v>4310.2145489999994</v>
      </c>
      <c r="N14" s="77"/>
    </row>
    <row r="15" spans="1:14" x14ac:dyDescent="0.25">
      <c r="A15" s="2">
        <v>6</v>
      </c>
      <c r="C15" s="2" t="s">
        <v>87</v>
      </c>
      <c r="E15" s="13" t="s">
        <v>215</v>
      </c>
      <c r="G15" s="22">
        <v>478.93700000000001</v>
      </c>
      <c r="I15" s="22">
        <v>478.93700000000001</v>
      </c>
      <c r="J15" s="22">
        <v>478.93700000000001</v>
      </c>
      <c r="K15" s="22">
        <v>478.93700000000001</v>
      </c>
      <c r="L15" s="23"/>
      <c r="M15" s="22">
        <v>615.80918399999985</v>
      </c>
      <c r="N15" s="77"/>
    </row>
    <row r="16" spans="1:14" x14ac:dyDescent="0.25">
      <c r="A16" s="2">
        <v>7</v>
      </c>
      <c r="C16" s="2" t="s">
        <v>199</v>
      </c>
      <c r="E16" s="13" t="s">
        <v>216</v>
      </c>
      <c r="G16" s="22">
        <f>'Schedule 3'!G17</f>
        <v>12195.95357</v>
      </c>
      <c r="I16" s="22">
        <f>'Schedule 3'!I17</f>
        <v>12184.949329999999</v>
      </c>
      <c r="J16" s="22">
        <f>'Schedule 3'!J17</f>
        <v>12676.679799999998</v>
      </c>
      <c r="K16" s="22">
        <f>'Schedule 3'!K17</f>
        <v>12962.793910000002</v>
      </c>
      <c r="L16" s="23"/>
      <c r="M16" s="22">
        <f>'Schedule 3'!M17</f>
        <v>13371.867301977891</v>
      </c>
      <c r="N16" s="77"/>
    </row>
    <row r="17" spans="1:14" ht="25" x14ac:dyDescent="0.25">
      <c r="A17" s="79">
        <v>8</v>
      </c>
      <c r="B17" s="3"/>
      <c r="C17" s="74" t="s">
        <v>200</v>
      </c>
      <c r="D17" s="3"/>
      <c r="E17" s="3" t="s">
        <v>217</v>
      </c>
      <c r="F17" s="3"/>
      <c r="G17" s="125">
        <v>-4393.7347499999996</v>
      </c>
      <c r="H17" s="3"/>
      <c r="I17" s="125">
        <v>-4376.7759999999998</v>
      </c>
      <c r="J17" s="125">
        <v>-5002.0348800000002</v>
      </c>
      <c r="K17" s="125">
        <v>-5291.3511799999997</v>
      </c>
      <c r="L17" s="80"/>
      <c r="M17" s="125">
        <v>-4678.2715019999996</v>
      </c>
      <c r="N17" s="77"/>
    </row>
    <row r="18" spans="1:14" x14ac:dyDescent="0.25">
      <c r="G18" s="26"/>
      <c r="I18" s="26"/>
      <c r="J18" s="26"/>
      <c r="K18" s="26"/>
      <c r="L18" s="23"/>
      <c r="M18" s="26"/>
      <c r="N18" s="77"/>
    </row>
    <row r="19" spans="1:14" s="28" customFormat="1" x14ac:dyDescent="0.25">
      <c r="A19" s="28">
        <v>9</v>
      </c>
      <c r="C19" s="28" t="s">
        <v>32</v>
      </c>
      <c r="E19" s="57"/>
      <c r="G19" s="126">
        <f>SUM(G12:G14)+G16+G17+G15+G18</f>
        <v>36247.212876104466</v>
      </c>
      <c r="I19" s="126">
        <f>SUM(I12:I14)+I16+I17+I15+I18</f>
        <v>40252.432799847396</v>
      </c>
      <c r="J19" s="126">
        <f>SUM(J12:J14)+J16+J17+J15+J18</f>
        <v>42192.241180192956</v>
      </c>
      <c r="K19" s="126">
        <f>SUM(K12:K14)+K16+K17+K15+K18</f>
        <v>50105.277006220029</v>
      </c>
      <c r="L19" s="54"/>
      <c r="M19" s="126">
        <f>SUM(M12:M14)+M16+M17+M15+M18</f>
        <v>57580.712261547334</v>
      </c>
      <c r="N19" s="49"/>
    </row>
    <row r="20" spans="1:14" x14ac:dyDescent="0.25">
      <c r="C20" s="2" t="s">
        <v>16</v>
      </c>
      <c r="N20" s="14"/>
    </row>
    <row r="21" spans="1:14" x14ac:dyDescent="0.25">
      <c r="A21" s="28">
        <f>A19+1</f>
        <v>10</v>
      </c>
      <c r="C21" s="21" t="s">
        <v>218</v>
      </c>
      <c r="G21" s="81">
        <f>SUM(G9-G19)</f>
        <v>13546.349947906267</v>
      </c>
      <c r="I21" s="81">
        <f>SUM(I9-I19)</f>
        <v>11806.746180524315</v>
      </c>
      <c r="J21" s="81">
        <f>SUM(J9-J19)</f>
        <v>9109.8550380990346</v>
      </c>
      <c r="K21" s="81">
        <f>SUM(K9-K19)</f>
        <v>9841.6386126235229</v>
      </c>
      <c r="L21" s="82"/>
      <c r="M21" s="81">
        <f>SUM(M9-M19)</f>
        <v>15297.514660874978</v>
      </c>
      <c r="N21" s="14"/>
    </row>
    <row r="22" spans="1:14" x14ac:dyDescent="0.25">
      <c r="N22" s="14"/>
    </row>
    <row r="23" spans="1:14" x14ac:dyDescent="0.25">
      <c r="A23" s="28">
        <f>A21+1</f>
        <v>11</v>
      </c>
      <c r="C23" s="21" t="s">
        <v>219</v>
      </c>
      <c r="N23" s="14"/>
    </row>
    <row r="24" spans="1:14" x14ac:dyDescent="0.25">
      <c r="A24" s="28">
        <f>A23+1</f>
        <v>12</v>
      </c>
      <c r="C24" s="2" t="s">
        <v>220</v>
      </c>
      <c r="E24" s="13" t="s">
        <v>221</v>
      </c>
      <c r="G24" s="22">
        <v>542.43396758909967</v>
      </c>
      <c r="I24" s="22">
        <v>539.36683000000005</v>
      </c>
      <c r="J24" s="22">
        <v>647.59286999999995</v>
      </c>
      <c r="K24" s="22">
        <v>828.78495542930511</v>
      </c>
      <c r="L24" s="22"/>
      <c r="M24" s="22">
        <v>1194.301113869416</v>
      </c>
      <c r="N24" s="77"/>
    </row>
    <row r="25" spans="1:14" x14ac:dyDescent="0.25">
      <c r="A25" s="28">
        <f t="shared" ref="A25:A26" si="0">A24+1</f>
        <v>13</v>
      </c>
      <c r="C25" s="2" t="s">
        <v>222</v>
      </c>
      <c r="E25" s="13" t="s">
        <v>223</v>
      </c>
      <c r="G25" s="22">
        <v>-514.86460431913849</v>
      </c>
      <c r="I25" s="22">
        <v>-823.86082787073587</v>
      </c>
      <c r="J25" s="22">
        <v>-951.11582225682628</v>
      </c>
      <c r="K25" s="22">
        <v>-472.71339554407064</v>
      </c>
      <c r="L25" s="22"/>
      <c r="M25" s="22">
        <v>-138.5617024665749</v>
      </c>
      <c r="N25" s="14"/>
    </row>
    <row r="26" spans="1:14" x14ac:dyDescent="0.25">
      <c r="A26" s="28">
        <f t="shared" si="0"/>
        <v>14</v>
      </c>
      <c r="C26" s="2" t="s">
        <v>32</v>
      </c>
      <c r="G26" s="27">
        <f t="shared" ref="G26" si="1">SUM(G24+G25)</f>
        <v>27.569363269961173</v>
      </c>
      <c r="I26" s="27">
        <f t="shared" ref="I26" si="2">SUM(I24+I25)</f>
        <v>-284.49399787073583</v>
      </c>
      <c r="J26" s="27">
        <f>SUM(J24+J25)</f>
        <v>-303.52295225682633</v>
      </c>
      <c r="K26" s="27">
        <f>SUM(K24+K25)</f>
        <v>356.07155988523448</v>
      </c>
      <c r="L26" s="23"/>
      <c r="M26" s="27">
        <f>SUM(M24+M25)</f>
        <v>1055.7394114028411</v>
      </c>
      <c r="N26" s="77"/>
    </row>
    <row r="27" spans="1:14" x14ac:dyDescent="0.25">
      <c r="N27" s="14"/>
    </row>
    <row r="28" spans="1:14" x14ac:dyDescent="0.25">
      <c r="A28" s="28">
        <f>A26+1</f>
        <v>15</v>
      </c>
      <c r="C28" s="21" t="s">
        <v>224</v>
      </c>
      <c r="N28" s="14"/>
    </row>
    <row r="29" spans="1:14" x14ac:dyDescent="0.25">
      <c r="A29" s="28">
        <f>A28+1</f>
        <v>16</v>
      </c>
      <c r="C29" s="2" t="s">
        <v>225</v>
      </c>
      <c r="E29" s="13" t="s">
        <v>226</v>
      </c>
      <c r="G29" s="23">
        <v>4431.4970682795647</v>
      </c>
      <c r="I29" s="23">
        <v>5582.8928131961011</v>
      </c>
      <c r="J29" s="23">
        <v>6123.5730626342392</v>
      </c>
      <c r="K29" s="23">
        <v>9663.2897505523488</v>
      </c>
      <c r="L29" s="23"/>
      <c r="M29" s="23">
        <v>5665.6151836164308</v>
      </c>
      <c r="N29" s="77"/>
    </row>
    <row r="30" spans="1:14" x14ac:dyDescent="0.25">
      <c r="A30" s="28">
        <f t="shared" ref="A30" si="3">A29+1</f>
        <v>17</v>
      </c>
      <c r="C30" s="2" t="s">
        <v>32</v>
      </c>
      <c r="G30" s="27">
        <f t="shared" ref="G30" si="4">SUM(G29:G29)</f>
        <v>4431.4970682795647</v>
      </c>
      <c r="I30" s="27">
        <f t="shared" ref="I30" si="5">SUM(I29:I29)</f>
        <v>5582.8928131961011</v>
      </c>
      <c r="J30" s="27">
        <f>SUM(J29:J29)</f>
        <v>6123.5730626342392</v>
      </c>
      <c r="K30" s="27">
        <f>SUM(K29:K29)</f>
        <v>9663.2897505523488</v>
      </c>
      <c r="L30" s="23"/>
      <c r="M30" s="27">
        <f>SUM(M29:M29)</f>
        <v>5665.6151836164308</v>
      </c>
      <c r="N30" s="77"/>
    </row>
    <row r="31" spans="1:14" x14ac:dyDescent="0.25">
      <c r="E31" s="39"/>
      <c r="N31" s="14"/>
    </row>
    <row r="32" spans="1:14" ht="13" thickBot="1" x14ac:dyDescent="0.3">
      <c r="A32" s="28">
        <f>A30+1</f>
        <v>18</v>
      </c>
      <c r="C32" s="21" t="s">
        <v>227</v>
      </c>
      <c r="E32" s="13" t="s">
        <v>228</v>
      </c>
      <c r="G32" s="38">
        <f t="shared" ref="G32" si="6">SUM(G21+G26-G30)</f>
        <v>9142.4222428966623</v>
      </c>
      <c r="I32" s="38">
        <f t="shared" ref="I32" si="7">SUM(I21+I26-I30)</f>
        <v>5939.3593694574784</v>
      </c>
      <c r="J32" s="38">
        <f>SUM(J21+J26-J30)</f>
        <v>2682.7590232079692</v>
      </c>
      <c r="K32" s="38">
        <f>SUM(K21+K26-K30)</f>
        <v>534.42042195640897</v>
      </c>
      <c r="L32" s="36"/>
      <c r="M32" s="38">
        <f>SUM(M21+M26-M30)</f>
        <v>10687.63888866139</v>
      </c>
      <c r="N32" s="77"/>
    </row>
    <row r="33" spans="1:14" x14ac:dyDescent="0.25">
      <c r="A33" s="2" t="s">
        <v>16</v>
      </c>
      <c r="C33" s="2" t="s">
        <v>16</v>
      </c>
      <c r="G33" s="29"/>
      <c r="I33" s="29"/>
      <c r="L33" s="83"/>
      <c r="M33" s="14"/>
      <c r="N33" s="14"/>
    </row>
    <row r="34" spans="1:14" ht="12.75" customHeight="1" x14ac:dyDescent="0.25">
      <c r="A34" s="76"/>
      <c r="C34" s="76" t="s">
        <v>229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14"/>
    </row>
    <row r="35" spans="1:14" ht="12.75" customHeight="1" x14ac:dyDescent="0.25">
      <c r="C35" s="112" t="s">
        <v>230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</row>
    <row r="36" spans="1:14" x14ac:dyDescent="0.25">
      <c r="G36" s="84"/>
      <c r="I36" s="84"/>
      <c r="J36" s="84"/>
      <c r="K36" s="84"/>
      <c r="L36" s="85"/>
    </row>
    <row r="37" spans="1:14" x14ac:dyDescent="0.25">
      <c r="G37" s="28"/>
      <c r="I37" s="28"/>
      <c r="J37" s="28"/>
      <c r="K37" s="28"/>
      <c r="M37" s="28"/>
    </row>
    <row r="38" spans="1:14" x14ac:dyDescent="0.25">
      <c r="G38" s="29"/>
      <c r="I38" s="29"/>
      <c r="J38" s="29"/>
      <c r="K38" s="29"/>
      <c r="L38" s="29"/>
      <c r="M38" s="29"/>
    </row>
    <row r="39" spans="1:14" x14ac:dyDescent="0.25">
      <c r="C39" s="47"/>
      <c r="G39" s="29"/>
      <c r="I39" s="29"/>
      <c r="J39" s="29"/>
      <c r="K39" s="29"/>
      <c r="L39" s="29"/>
      <c r="N39" s="48"/>
    </row>
    <row r="40" spans="1:14" x14ac:dyDescent="0.25">
      <c r="C40" s="47"/>
      <c r="G40" s="29"/>
      <c r="I40" s="29"/>
      <c r="J40" s="29"/>
      <c r="K40" s="29"/>
      <c r="L40" s="29"/>
      <c r="N40" s="48"/>
    </row>
    <row r="41" spans="1:14" x14ac:dyDescent="0.25">
      <c r="G41" s="29"/>
      <c r="I41" s="29"/>
      <c r="J41" s="29"/>
      <c r="K41" s="29"/>
      <c r="L41" s="29"/>
    </row>
    <row r="42" spans="1:14" x14ac:dyDescent="0.25">
      <c r="G42" s="29"/>
      <c r="I42" s="29"/>
      <c r="J42" s="29"/>
      <c r="K42" s="29"/>
      <c r="L42" s="29"/>
    </row>
    <row r="43" spans="1:14" x14ac:dyDescent="0.25">
      <c r="G43" s="29"/>
      <c r="I43" s="29"/>
      <c r="J43" s="29"/>
      <c r="K43" s="29"/>
      <c r="L43" s="29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9F21A082D0544A2CDF47CC8383261" ma:contentTypeVersion="7" ma:contentTypeDescription="Create a new document." ma:contentTypeScope="" ma:versionID="e1f0e745d2198ca932e29aa345dbfe45">
  <xsd:schema xmlns:xsd="http://www.w3.org/2001/XMLSchema" xmlns:xs="http://www.w3.org/2001/XMLSchema" xmlns:p="http://schemas.microsoft.com/office/2006/metadata/properties" xmlns:ns2="ebfaebbf-4320-422c-ac1d-4cb4d6876cbf" xmlns:ns3="0EA14854-9DA5-476D-A48E-C8702B20AF6F" targetNamespace="http://schemas.microsoft.com/office/2006/metadata/properties" ma:root="true" ma:fieldsID="69e2f1f2aafa5f0d13693b250b900197" ns2:_="" ns3:_="">
    <xsd:import namespace="ebfaebbf-4320-422c-ac1d-4cb4d6876cbf"/>
    <xsd:import namespace="0EA14854-9DA5-476D-A48E-C8702B20AF6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cord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4854-9DA5-476D-A48E-C8702B20AF6F" elementFormDefault="qualified">
    <xsd:import namespace="http://schemas.microsoft.com/office/2006/documentManagement/types"/>
    <xsd:import namespace="http://schemas.microsoft.com/office/infopath/2007/PartnerControls"/>
    <xsd:element name="Record_x0020_Date" ma:index="11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0EA14854-9DA5-476D-A48E-C8702B20AF6F" xsi:nil="true"/>
    <SharedWithUsers xmlns="ebfaebbf-4320-422c-ac1d-4cb4d6876cbf">
      <UserInfo>
        <DisplayName>Jason Epp</DisplayName>
        <AccountId>97</AccountId>
        <AccountType/>
      </UserInfo>
      <UserInfo>
        <DisplayName>Christina Nie</DisplayName>
        <AccountId>98</AccountId>
        <AccountType/>
      </UserInfo>
      <UserInfo>
        <DisplayName>Mike Curtis</DisplayName>
        <AccountId>482</AccountId>
        <AccountType/>
      </UserInfo>
    </SharedWithUsers>
    <_dlc_DocIdPersistId xmlns="ebfaebbf-4320-422c-ac1d-4cb4d6876cbf" xsi:nil="true"/>
    <_dlc_DocId xmlns="ebfaebbf-4320-422c-ac1d-4cb4d6876cbf">DE62RQK3PRT2-1338725601-2257</_dlc_DocId>
    <_dlc_DocIdUrl xmlns="ebfaebbf-4320-422c-ac1d-4cb4d6876cbf">
      <Url>https://sharepoint.yec.yk.ca/Projects/LargeProjects/2719/_layouts/15/DocIdRedir.aspx?ID=DE62RQK3PRT2-1338725601-2257</Url>
      <Description>DE62RQK3PRT2-1338725601-2257</Description>
    </_dlc_DocIdUrl>
  </documentManagement>
</p:properties>
</file>

<file path=customXml/itemProps1.xml><?xml version="1.0" encoding="utf-8"?>
<ds:datastoreItem xmlns:ds="http://schemas.openxmlformats.org/officeDocument/2006/customXml" ds:itemID="{5C4AD39D-D769-472E-81F5-06CC4D1F52F3}"/>
</file>

<file path=customXml/itemProps2.xml><?xml version="1.0" encoding="utf-8"?>
<ds:datastoreItem xmlns:ds="http://schemas.openxmlformats.org/officeDocument/2006/customXml" ds:itemID="{73D36801-FD9B-4736-B888-D005D363E397}"/>
</file>

<file path=customXml/itemProps3.xml><?xml version="1.0" encoding="utf-8"?>
<ds:datastoreItem xmlns:ds="http://schemas.openxmlformats.org/officeDocument/2006/customXml" ds:itemID="{D200944E-3F33-49EA-87DA-065B78CD26A4}"/>
</file>

<file path=customXml/itemProps4.xml><?xml version="1.0" encoding="utf-8"?>
<ds:datastoreItem xmlns:ds="http://schemas.openxmlformats.org/officeDocument/2006/customXml" ds:itemID="{500C2035-71B9-48B8-91B7-1D4DC205A7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Index</vt:lpstr>
      <vt:lpstr>Schedule 1</vt:lpstr>
      <vt:lpstr>Schedule 2</vt:lpstr>
      <vt:lpstr>Schedule 2A</vt:lpstr>
      <vt:lpstr>Schedule 3</vt:lpstr>
      <vt:lpstr>Schedule 3A</vt:lpstr>
      <vt:lpstr>Schedule 4</vt:lpstr>
      <vt:lpstr>Schedule 5</vt:lpstr>
      <vt:lpstr>Schedule 6</vt:lpstr>
      <vt:lpstr>Schedule 7</vt:lpstr>
      <vt:lpstr>Schedule 8</vt:lpstr>
      <vt:lpstr>Schedule 9</vt:lpstr>
      <vt:lpstr>Schedule 10</vt:lpstr>
      <vt:lpstr>Schedule 10A</vt:lpstr>
      <vt:lpstr>Schedule 11</vt:lpstr>
      <vt:lpstr>Index!Print_Area</vt:lpstr>
      <vt:lpstr>'Schedule 1'!Print_Area</vt:lpstr>
      <vt:lpstr>'Schedule 10'!Print_Area</vt:lpstr>
      <vt:lpstr>'Schedule 10A'!Print_Area</vt:lpstr>
      <vt:lpstr>'Schedule 11'!Print_Area</vt:lpstr>
      <vt:lpstr>'Schedule 2'!Print_Area</vt:lpstr>
      <vt:lpstr>'Schedule 2A'!Print_Area</vt:lpstr>
      <vt:lpstr>'Schedule 3'!Print_Area</vt:lpstr>
      <vt:lpstr>'Schedule 3A'!Print_Area</vt:lpstr>
      <vt:lpstr>'Schedule 4'!Print_Area</vt:lpstr>
      <vt:lpstr>'Schedule 5'!Print_Area</vt:lpstr>
      <vt:lpstr>'Schedule 6'!Print_Area</vt:lpstr>
      <vt:lpstr>'Schedule 7'!Print_Area</vt:lpstr>
      <vt:lpstr>'Schedule 8'!Print_Area</vt:lpstr>
      <vt:lpstr>'Schedule 9'!Print_Area</vt:lpstr>
      <vt:lpstr>'Schedule 1'!Print_Titles</vt:lpstr>
      <vt:lpstr>'Schedule 3A'!Print_Titles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2022-04-13T14:18:39Z</dcterms:created>
  <dcterms:modified xsi:type="dcterms:W3CDTF">2022-04-13T14:18:51Z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0x0101004169F21A082D0544A2CDF47CC8383261</vt:lpwstr>
  </property>
  <property fmtid="{D5CDD505-2E9C-101B-9397-08002B2CF9AE}" pid="3" name="_dlc_DocIdItemGuid">
    <vt:lpwstr>a673874d-2f20-44ca-ab53-7b6b47954005</vt:lpwstr>
  </property>
</Properties>
</file>