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13_ncr:1_{D8C40801-4CFE-4271-B434-9C18E2887A0F}" xr6:coauthVersionLast="47" xr6:coauthVersionMax="47" xr10:uidLastSave="{00000000-0000-0000-0000-000000000000}"/>
  <bookViews>
    <workbookView xWindow="480" yWindow="760" windowWidth="18720" windowHeight="9870" xr2:uid="{65D3188B-4584-4BF5-AF41-9C52AE671E02}"/>
  </bookViews>
  <sheets>
    <sheet name="Table 1.1" sheetId="1" r:id="rId1"/>
    <sheet name="Table 1.2" sheetId="2" r:id="rId2"/>
    <sheet name="Table 1.3" sheetId="3" r:id="rId3"/>
    <sheet name="Table 1.1-1 -fuel" sheetId="20" r:id="rId4"/>
    <sheet name="Table 1.1-2" sheetId="5" r:id="rId5"/>
    <sheet name="Table 1.1-3" sheetId="6" r:id="rId6"/>
    <sheet name="Table 1.1-3 (a)" sheetId="34" r:id="rId7"/>
    <sheet name="Table 1.1-3 (b)" sheetId="37" r:id="rId8"/>
    <sheet name="Table 1.1-3 (c) LWRF " sheetId="49" r:id="rId9"/>
    <sheet name="Table 1.1-3 (c) i) LWRF balance" sheetId="48" r:id="rId10"/>
    <sheet name="Table 1.1-4" sheetId="7" r:id="rId11"/>
    <sheet name="Table 1.1-4a" sheetId="39" r:id="rId12"/>
    <sheet name="Table 1.1-4a) i)" sheetId="43" r:id="rId13"/>
    <sheet name="Table 1.1-4a) ii)" sheetId="44" r:id="rId14"/>
    <sheet name="Table 1.1-4a) iii)" sheetId="45" r:id="rId15"/>
    <sheet name="Table 1.1-4a) iv)" sheetId="46" r:id="rId16"/>
    <sheet name="Table 1.1-5" sheetId="9" r:id="rId17"/>
    <sheet name="Table 1.1-6" sheetId="10" r:id="rId18"/>
    <sheet name="Table 1.1-7" sheetId="11" r:id="rId19"/>
    <sheet name="Table 9" sheetId="40" r:id="rId20"/>
    <sheet name="Table 10" sheetId="41" r:id="rId21"/>
  </sheets>
  <externalReferences>
    <externalReference r:id="rId22"/>
    <externalReference r:id="rId23"/>
  </externalReferences>
  <definedNames>
    <definedName name="_Key1" hidden="1">#REF!</definedName>
    <definedName name="_Order1" hidden="1">255</definedName>
    <definedName name="_Sort" hidden="1">#REF!</definedName>
    <definedName name="_xlnm.Print_Area" localSheetId="0">'Table 1.1'!$A$1:$I$36</definedName>
    <definedName name="_xlnm.Print_Area" localSheetId="3">'Table 1.1-1 -fuel'!$B$1:$G$37</definedName>
    <definedName name="_xlnm.Print_Area" localSheetId="4">'Table 1.1-2'!$A$1:$H$69</definedName>
    <definedName name="_xlnm.Print_Area" localSheetId="5">'Table 1.1-3'!$A$1:$H$116</definedName>
    <definedName name="_xlnm.Print_Area" localSheetId="6">'Table 1.1-3 (a)'!$A$1:$I$32</definedName>
    <definedName name="_xlnm.Print_Area" localSheetId="7">'Table 1.1-3 (b)'!$A$1:$I$11</definedName>
    <definedName name="_xlnm.Print_Area" localSheetId="9">'Table 1.1-3 (c) i) LWRF balance'!$A$2:$J$33</definedName>
    <definedName name="_xlnm.Print_Area" localSheetId="8">'Table 1.1-3 (c) LWRF '!$A$2:$I$64</definedName>
    <definedName name="_xlnm.Print_Area" localSheetId="10">'Table 1.1-4'!$A$1:$F$34</definedName>
    <definedName name="_xlnm.Print_Area" localSheetId="11">'Table 1.1-4a'!$A$1:$I$39</definedName>
    <definedName name="_xlnm.Print_Area" localSheetId="12">'Table 1.1-4a) i)'!$A$1:$G$68</definedName>
    <definedName name="_xlnm.Print_Area" localSheetId="13">'Table 1.1-4a) ii)'!$A$1:$F$36</definedName>
    <definedName name="_xlnm.Print_Area" localSheetId="14">'Table 1.1-4a) iii)'!$A$1:$F$39</definedName>
    <definedName name="_xlnm.Print_Area" localSheetId="15">'Table 1.1-4a) iv)'!$A$1:$F$39</definedName>
    <definedName name="_xlnm.Print_Area" localSheetId="16">'Table 1.1-5'!$A$1:$T$25</definedName>
    <definedName name="_xlnm.Print_Area" localSheetId="17">'Table 1.1-6'!$A$1:$K$55</definedName>
    <definedName name="_xlnm.Print_Area" localSheetId="18">'Table 1.1-7'!$A$1:$P$52</definedName>
    <definedName name="_xlnm.Print_Area" localSheetId="2">'Table 1.3'!$A$1:$G$34</definedName>
    <definedName name="_xlnm.Print_Area" localSheetId="20">'Table 10'!$A$1:$K$31</definedName>
    <definedName name="_xlnm.Print_Area" localSheetId="19">'Table 9'!$A$1:$K$16</definedName>
    <definedName name="sencount" hidden="1">2</definedName>
    <definedName name="Z_2E51B7C0_6CEE_11D3_AD1A_A5A650036065_.wvu.Cols" hidden="1">'[1]Core(see pg 18)'!#REF!</definedName>
    <definedName name="Z_418DF6FE_13EF_11D2_8C37_00A0C92A9A63_.wvu.PrintArea" hidden="1">#REF!</definedName>
    <definedName name="Z_418DF6FE_13EF_11D2_8C37_00A0C92A9A63_.wvu.PrintTitles" hidden="1">#REF!</definedName>
    <definedName name="Z_418DF6FE_13EF_11D2_8C37_00A0C92A9A63_.wvu.Rows" localSheetId="3" hidden="1">[2]WAF!$A$8:$IV$103,[2]WAF!$A$342:$IV$352,[2]WAF!$A$354:$IV$359,[2]WAF!$A$373:$IV$396,[2]WAF!#REF!,[2]WAF!#REF!,[2]WAF!#REF!</definedName>
    <definedName name="Z_418DF6FE_13EF_11D2_8C37_00A0C92A9A63_.wvu.Rows" localSheetId="5" hidden="1">[2]WAF!$A$8:$IV$103,[2]WAF!$A$342:$IV$352,[2]WAF!$A$354:$IV$359,[2]WAF!$A$373:$IV$396,[2]WAF!#REF!,[2]WAF!#REF!,[2]WAF!#REF!</definedName>
    <definedName name="Z_418DF6FE_13EF_11D2_8C37_00A0C92A9A63_.wvu.Rows" localSheetId="6" hidden="1">[2]WAF!$A$8:$IV$103,[2]WAF!$A$342:$IV$352,[2]WAF!$A$354:$IV$359,[2]WAF!$A$373:$IV$396,[2]WAF!#REF!,[2]WAF!#REF!,[2]WAF!#REF!</definedName>
    <definedName name="Z_418DF6FE_13EF_11D2_8C37_00A0C92A9A63_.wvu.Rows" localSheetId="7" hidden="1">[2]WAF!$A$8:$IV$103,[2]WAF!$A$342:$IV$352,[2]WAF!$A$354:$IV$359,[2]WAF!$A$373:$IV$396,[2]WAF!#REF!,[2]WAF!#REF!,[2]WAF!#REF!</definedName>
    <definedName name="Z_418DF6FE_13EF_11D2_8C37_00A0C92A9A63_.wvu.Rows" localSheetId="9" hidden="1">[2]WAF!$A$8:$IV$103,[2]WAF!$A$342:$IV$352,[2]WAF!$A$354:$IV$359,[2]WAF!$A$373:$IV$396,[2]WAF!#REF!,[2]WAF!#REF!,[2]WAF!#REF!</definedName>
    <definedName name="Z_418DF6FE_13EF_11D2_8C37_00A0C92A9A63_.wvu.Rows" localSheetId="8" hidden="1">[2]WAF!$A$8:$IV$103,[2]WAF!$A$342:$IV$352,[2]WAF!$A$354:$IV$359,[2]WAF!$A$373:$IV$396,[2]WAF!#REF!,[2]WAF!#REF!,[2]WAF!#REF!</definedName>
    <definedName name="Z_418DF6FE_13EF_11D2_8C37_00A0C92A9A63_.wvu.Rows" localSheetId="10" hidden="1">[2]WAF!$A$8:$IV$103,[2]WAF!$A$342:$IV$352,[2]WAF!$A$354:$IV$359,[2]WAF!$A$373:$IV$396,[2]WAF!#REF!,[2]WAF!#REF!,[2]WAF!#REF!</definedName>
    <definedName name="Z_418DF6FE_13EF_11D2_8C37_00A0C92A9A63_.wvu.Rows" localSheetId="17" hidden="1">[2]WAF!$A$8:$IV$103,[2]WAF!$A$342:$IV$352,[2]WAF!$A$354:$IV$359,[2]WAF!$A$373:$IV$396,[2]WAF!#REF!,[2]WAF!#REF!,[2]WAF!#REF!</definedName>
    <definedName name="Z_418DF6FE_13EF_11D2_8C37_00A0C92A9A63_.wvu.Rows" localSheetId="18" hidden="1">[2]WAF!$A$8:$IV$103,[2]WAF!$A$342:$IV$352,[2]WAF!$A$354:$IV$359,[2]WAF!$A$373:$IV$396,[2]WAF!#REF!,[2]WAF!#REF!,[2]WAF!#REF!</definedName>
    <definedName name="Z_418DF6FE_13EF_11D2_8C37_00A0C92A9A63_.wvu.Rows" localSheetId="2" hidden="1">[2]WAF!$A$8:$IV$103,[2]WAF!$A$342:$IV$352,[2]WAF!$A$354:$IV$359,[2]WAF!$A$373:$IV$396,[2]WAF!#REF!,[2]WAF!#REF!,[2]WAF!#REF!</definedName>
    <definedName name="Z_418DF6FE_13EF_11D2_8C37_00A0C92A9A63_.wvu.Rows" hidden="1">[2]WAF!$A$8:$IV$103,[2]WAF!$A$342:$IV$352,[2]WAF!$A$354:$IV$359,[2]WAF!$A$373:$IV$396,[2]WAF!#REF!,[2]WAF!#REF!,[2]WAF!#REF!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9" i="5" l="1"/>
  <c r="G48" i="5" s="1"/>
  <c r="E30" i="20"/>
  <c r="C30" i="20"/>
  <c r="F7" i="3"/>
  <c r="I11" i="48" l="1"/>
  <c r="E53" i="49"/>
  <c r="G47" i="49"/>
  <c r="F47" i="49"/>
  <c r="E47" i="49"/>
  <c r="G39" i="49"/>
  <c r="F38" i="49"/>
  <c r="F34" i="49"/>
  <c r="E34" i="49"/>
  <c r="F32" i="49"/>
  <c r="F53" i="49" s="1"/>
  <c r="E32" i="49"/>
  <c r="F31" i="49"/>
  <c r="F52" i="49" s="1"/>
  <c r="E31" i="49"/>
  <c r="E52" i="49" s="1"/>
  <c r="E27" i="49"/>
  <c r="G26" i="49"/>
  <c r="F26" i="49"/>
  <c r="E26" i="49"/>
  <c r="G32" i="49"/>
  <c r="G31" i="49"/>
  <c r="F22" i="49"/>
  <c r="F30" i="49" s="1"/>
  <c r="E22" i="49"/>
  <c r="E30" i="49" s="1"/>
  <c r="E45" i="49" s="1"/>
  <c r="E49" i="49" s="1"/>
  <c r="G20" i="49"/>
  <c r="F20" i="49"/>
  <c r="E20" i="49"/>
  <c r="F17" i="49"/>
  <c r="E17" i="49"/>
  <c r="G17" i="49"/>
  <c r="E57" i="49" l="1"/>
  <c r="G53" i="49"/>
  <c r="G52" i="49"/>
  <c r="F45" i="49"/>
  <c r="F49" i="49" s="1"/>
  <c r="F57" i="49" s="1"/>
  <c r="F33" i="49"/>
  <c r="E48" i="49"/>
  <c r="E56" i="49"/>
  <c r="E59" i="49" s="1"/>
  <c r="E51" i="49"/>
  <c r="E55" i="49" s="1"/>
  <c r="F51" i="49"/>
  <c r="F55" i="49" s="1"/>
  <c r="E33" i="49"/>
  <c r="E21" i="49"/>
  <c r="E35" i="49" s="1"/>
  <c r="E40" i="49" s="1"/>
  <c r="E42" i="49" s="1"/>
  <c r="F21" i="49"/>
  <c r="F35" i="49" s="1"/>
  <c r="F40" i="49" s="1"/>
  <c r="F48" i="49"/>
  <c r="F56" i="49" s="1"/>
  <c r="F59" i="49" s="1"/>
  <c r="G22" i="49"/>
  <c r="F42" i="49" l="1"/>
  <c r="G51" i="49"/>
  <c r="G30" i="49"/>
  <c r="G21" i="49"/>
  <c r="G35" i="49" s="1"/>
  <c r="G40" i="49" s="1"/>
  <c r="G42" i="49" s="1"/>
  <c r="G55" i="49" l="1"/>
  <c r="G45" i="49"/>
  <c r="G49" i="49" s="1"/>
  <c r="G33" i="49"/>
  <c r="G48" i="49" l="1"/>
  <c r="G56" i="49" s="1"/>
  <c r="G57" i="49"/>
  <c r="G59" i="49" l="1"/>
  <c r="D22" i="46" l="1"/>
  <c r="D21" i="46"/>
  <c r="D17" i="46"/>
  <c r="D16" i="46"/>
  <c r="D11" i="46"/>
  <c r="D12" i="46" s="1"/>
  <c r="D6" i="46"/>
  <c r="D7" i="46" s="1"/>
  <c r="D21" i="45"/>
  <c r="D16" i="45"/>
  <c r="D17" i="45"/>
  <c r="D11" i="45"/>
  <c r="D12" i="45" s="1"/>
  <c r="D6" i="45"/>
  <c r="D7" i="45" s="1"/>
  <c r="F15" i="48" l="1"/>
  <c r="E15" i="48"/>
  <c r="F14" i="48"/>
  <c r="E14" i="48"/>
  <c r="H14" i="48"/>
  <c r="G15" i="48"/>
  <c r="E7" i="48"/>
  <c r="E18" i="48" s="1"/>
  <c r="E20" i="48" s="1"/>
  <c r="E23" i="48" s="1"/>
  <c r="F7" i="48" s="1"/>
  <c r="F18" i="48" s="1"/>
  <c r="F20" i="48" s="1"/>
  <c r="F23" i="48" s="1"/>
  <c r="G14" i="48" l="1"/>
  <c r="H15" i="48"/>
  <c r="F26" i="48"/>
  <c r="G7" i="48"/>
  <c r="G18" i="48" s="1"/>
  <c r="G20" i="48" s="1"/>
  <c r="G23" i="48" s="1"/>
  <c r="G26" i="48" l="1"/>
  <c r="H7" i="48"/>
  <c r="H18" i="48" s="1"/>
  <c r="H20" i="48" s="1"/>
  <c r="H23" i="48" s="1"/>
  <c r="H26" i="48" l="1"/>
  <c r="I7" i="48"/>
  <c r="D34" i="39" l="1"/>
  <c r="E32" i="39"/>
  <c r="E33" i="39" s="1"/>
  <c r="C18" i="46"/>
  <c r="C18" i="45"/>
  <c r="C15" i="44"/>
  <c r="E52" i="43"/>
  <c r="E49" i="43"/>
  <c r="E54" i="43" s="1"/>
  <c r="F49" i="43"/>
  <c r="F54" i="43" s="1"/>
  <c r="F56" i="43" s="1"/>
  <c r="F52" i="43"/>
  <c r="E39" i="43"/>
  <c r="E36" i="43"/>
  <c r="D10" i="44"/>
  <c r="F5" i="43"/>
  <c r="E41" i="43" l="1"/>
  <c r="F36" i="43"/>
  <c r="F41" i="43" s="1"/>
  <c r="F43" i="43" s="1"/>
  <c r="F39" i="43"/>
  <c r="F13" i="43"/>
  <c r="E13" i="43" l="1"/>
  <c r="F15" i="43"/>
  <c r="E27" i="43"/>
  <c r="F27" i="43" l="1"/>
  <c r="F29" i="43" s="1"/>
  <c r="D6" i="44"/>
  <c r="D14" i="44" l="1"/>
  <c r="F60" i="43"/>
  <c r="D22" i="45"/>
  <c r="D19" i="44"/>
  <c r="F62" i="43"/>
  <c r="I14" i="48" l="1"/>
  <c r="I15" i="48"/>
  <c r="I18" i="48" l="1"/>
  <c r="I20" i="48" s="1"/>
  <c r="I23" i="48" s="1"/>
  <c r="I26" i="48" s="1"/>
  <c r="G9" i="39" l="1"/>
  <c r="G10" i="39" s="1"/>
  <c r="G11" i="39" s="1"/>
  <c r="G12" i="39" s="1"/>
  <c r="G13" i="39" s="1"/>
  <c r="G14" i="39" s="1"/>
  <c r="G15" i="39" s="1"/>
  <c r="G16" i="39" s="1"/>
  <c r="G17" i="39" s="1"/>
  <c r="G23" i="39" l="1"/>
  <c r="G24" i="39" s="1"/>
  <c r="G25" i="39" s="1"/>
  <c r="G26" i="39" s="1"/>
  <c r="G19" i="39" l="1"/>
  <c r="J25" i="41" l="1"/>
  <c r="G11" i="40"/>
  <c r="D11" i="40"/>
  <c r="F9" i="41" l="1"/>
  <c r="F25" i="41" s="1"/>
  <c r="G9" i="41"/>
  <c r="G25" i="41" s="1"/>
  <c r="D10" i="41"/>
  <c r="D26" i="41" s="1"/>
  <c r="F23" i="41"/>
  <c r="F7" i="41"/>
  <c r="F10" i="41"/>
  <c r="F26" i="41" s="1"/>
  <c r="G10" i="41"/>
  <c r="G26" i="41" s="1"/>
  <c r="G23" i="41"/>
  <c r="G7" i="41"/>
  <c r="H26" i="41"/>
  <c r="D23" i="41"/>
  <c r="D7" i="41"/>
  <c r="H9" i="41"/>
  <c r="H25" i="41" s="1"/>
  <c r="J10" i="41"/>
  <c r="J26" i="41" s="1"/>
  <c r="H23" i="41"/>
  <c r="H7" i="41"/>
  <c r="F8" i="41"/>
  <c r="J23" i="41"/>
  <c r="J7" i="41"/>
  <c r="D8" i="41"/>
  <c r="D9" i="41"/>
  <c r="D25" i="41" s="1"/>
  <c r="F11" i="40"/>
  <c r="F19" i="41"/>
  <c r="G16" i="41" s="1"/>
  <c r="D19" i="41"/>
  <c r="H11" i="40"/>
  <c r="J11" i="40"/>
  <c r="G19" i="41" l="1"/>
  <c r="H16" i="41" s="1"/>
  <c r="D11" i="41"/>
  <c r="F11" i="41"/>
  <c r="G8" i="41" s="1"/>
  <c r="G11" i="41" s="1"/>
  <c r="H8" i="41" s="1"/>
  <c r="D24" i="41"/>
  <c r="D27" i="41" s="1"/>
  <c r="F24" i="41"/>
  <c r="F27" i="41" s="1"/>
  <c r="H19" i="41" l="1"/>
  <c r="J16" i="41" s="1"/>
  <c r="H11" i="41"/>
  <c r="J8" i="41" s="1"/>
  <c r="J11" i="41" s="1"/>
  <c r="G24" i="41"/>
  <c r="G27" i="41" s="1"/>
  <c r="H24" i="41"/>
  <c r="J19" i="41" l="1"/>
  <c r="J24" i="41"/>
  <c r="J27" i="41" s="1"/>
  <c r="H27" i="41"/>
  <c r="G86" i="6"/>
  <c r="C7" i="39" l="1"/>
  <c r="C8" i="39" s="1"/>
  <c r="C9" i="39" s="1"/>
  <c r="C10" i="39" l="1"/>
  <c r="C11" i="39" l="1"/>
  <c r="C12" i="39" l="1"/>
  <c r="C13" i="39" l="1"/>
  <c r="C14" i="39" l="1"/>
  <c r="C15" i="39" l="1"/>
  <c r="C16" i="39" l="1"/>
  <c r="C17" i="39" l="1"/>
  <c r="C19" i="39" l="1"/>
  <c r="G22" i="1" s="1"/>
  <c r="G7" i="37" l="1"/>
  <c r="G8" i="37" s="1"/>
  <c r="D9" i="37" l="1"/>
  <c r="E9" i="37"/>
  <c r="F7" i="37"/>
  <c r="F8" i="37"/>
  <c r="H8" i="37" s="1"/>
  <c r="C9" i="37"/>
  <c r="F9" i="37" l="1"/>
  <c r="H7" i="37"/>
  <c r="H9" i="37" s="1"/>
  <c r="G15" i="34" l="1"/>
  <c r="G11" i="34"/>
  <c r="G18" i="34"/>
  <c r="G12" i="34"/>
  <c r="G27" i="34"/>
  <c r="G23" i="34"/>
  <c r="G21" i="34"/>
  <c r="G17" i="34"/>
  <c r="G13" i="34"/>
  <c r="G29" i="34"/>
  <c r="G25" i="34"/>
  <c r="G8" i="34"/>
  <c r="G47" i="6" s="1"/>
  <c r="G28" i="34" l="1"/>
  <c r="G24" i="34"/>
  <c r="G19" i="34"/>
  <c r="G20" i="34"/>
  <c r="G61" i="5" l="1"/>
  <c r="G62" i="5"/>
  <c r="G63" i="5"/>
  <c r="G60" i="5"/>
  <c r="G64" i="5"/>
  <c r="G110" i="6" l="1"/>
  <c r="G107" i="6"/>
  <c r="G81" i="6" l="1"/>
  <c r="G98" i="6"/>
  <c r="G40" i="6" l="1"/>
  <c r="G57" i="6" l="1"/>
  <c r="M46" i="11" l="1"/>
  <c r="M45" i="11"/>
  <c r="M44" i="11"/>
  <c r="M42" i="11" l="1"/>
  <c r="M48" i="11" s="1"/>
  <c r="M43" i="11"/>
  <c r="M39" i="11"/>
  <c r="I37" i="11" l="1"/>
  <c r="H37" i="11"/>
  <c r="I36" i="11"/>
  <c r="H36" i="11"/>
  <c r="G36" i="11"/>
  <c r="I35" i="11"/>
  <c r="H35" i="11"/>
  <c r="I34" i="11"/>
  <c r="H34" i="11"/>
  <c r="G34" i="11"/>
  <c r="I33" i="11"/>
  <c r="H33" i="11"/>
  <c r="I32" i="11"/>
  <c r="H32" i="11"/>
  <c r="G32" i="11"/>
  <c r="I31" i="11"/>
  <c r="H31" i="11"/>
  <c r="H30" i="11"/>
  <c r="H46" i="11" s="1"/>
  <c r="G30" i="11"/>
  <c r="G46" i="11" s="1"/>
  <c r="I29" i="11"/>
  <c r="I45" i="11" s="1"/>
  <c r="H29" i="11"/>
  <c r="H45" i="11" s="1"/>
  <c r="I28" i="11"/>
  <c r="I44" i="11" s="1"/>
  <c r="H28" i="11"/>
  <c r="H44" i="11" s="1"/>
  <c r="G28" i="11"/>
  <c r="G44" i="11" s="1"/>
  <c r="I27" i="11"/>
  <c r="I43" i="11" s="1"/>
  <c r="H27" i="11"/>
  <c r="H43" i="11" s="1"/>
  <c r="I26" i="11"/>
  <c r="I42" i="11" s="1"/>
  <c r="H26" i="11"/>
  <c r="H42" i="11" s="1"/>
  <c r="G26" i="11"/>
  <c r="G42" i="11" s="1"/>
  <c r="D44" i="11"/>
  <c r="D43" i="11"/>
  <c r="J44" i="11" l="1"/>
  <c r="D45" i="11"/>
  <c r="D46" i="11"/>
  <c r="J42" i="11"/>
  <c r="J11" i="11"/>
  <c r="G27" i="11"/>
  <c r="G43" i="11" s="1"/>
  <c r="J43" i="11" s="1"/>
  <c r="J15" i="11"/>
  <c r="G31" i="11"/>
  <c r="J31" i="11" s="1"/>
  <c r="J19" i="11"/>
  <c r="G35" i="11"/>
  <c r="J35" i="11" s="1"/>
  <c r="J13" i="11"/>
  <c r="G29" i="11"/>
  <c r="J17" i="11"/>
  <c r="G33" i="11"/>
  <c r="J33" i="11" s="1"/>
  <c r="J21" i="11"/>
  <c r="G37" i="11"/>
  <c r="J37" i="11" s="1"/>
  <c r="J10" i="11"/>
  <c r="J26" i="11"/>
  <c r="J28" i="11"/>
  <c r="J32" i="11"/>
  <c r="J34" i="11"/>
  <c r="J36" i="11"/>
  <c r="D42" i="11"/>
  <c r="J12" i="11"/>
  <c r="J16" i="11"/>
  <c r="J18" i="11"/>
  <c r="J20" i="11"/>
  <c r="J29" i="11" l="1"/>
  <c r="G45" i="11"/>
  <c r="J45" i="11" s="1"/>
  <c r="J27" i="11"/>
  <c r="E46" i="11"/>
  <c r="E45" i="11"/>
  <c r="I23" i="11"/>
  <c r="I30" i="11"/>
  <c r="I46" i="11" s="1"/>
  <c r="J46" i="11" s="1"/>
  <c r="E43" i="11"/>
  <c r="E42" i="11"/>
  <c r="K30" i="11"/>
  <c r="K46" i="11" s="1"/>
  <c r="K31" i="11"/>
  <c r="J14" i="11"/>
  <c r="K36" i="11"/>
  <c r="K37" i="11"/>
  <c r="K29" i="11"/>
  <c r="K45" i="11" s="1"/>
  <c r="K35" i="11"/>
  <c r="K32" i="11"/>
  <c r="K33" i="11"/>
  <c r="K34" i="11"/>
  <c r="K28" i="11"/>
  <c r="K44" i="11" s="1"/>
  <c r="K27" i="11"/>
  <c r="K43" i="11" s="1"/>
  <c r="K26" i="11"/>
  <c r="C67" i="6"/>
  <c r="O45" i="11" l="1"/>
  <c r="O46" i="11"/>
  <c r="E44" i="11"/>
  <c r="E48" i="11" s="1"/>
  <c r="O43" i="11"/>
  <c r="K42" i="11"/>
  <c r="O42" i="11" s="1"/>
  <c r="K48" i="11"/>
  <c r="E28" i="7" s="1"/>
  <c r="J30" i="11"/>
  <c r="I39" i="11"/>
  <c r="O44" i="11" l="1"/>
  <c r="G111" i="6" l="1"/>
  <c r="C40" i="5" l="1"/>
  <c r="G21" i="20" l="1"/>
  <c r="C29" i="20" l="1"/>
  <c r="E29" i="20" s="1"/>
  <c r="G29" i="20" s="1"/>
  <c r="E20" i="20" l="1"/>
  <c r="G20" i="20" s="1"/>
  <c r="E16" i="20"/>
  <c r="G16" i="20" s="1"/>
  <c r="E15" i="20"/>
  <c r="G15" i="20" s="1"/>
  <c r="E7" i="20"/>
  <c r="E31" i="20" l="1"/>
  <c r="G10" i="20" l="1"/>
  <c r="G7" i="20" l="1"/>
  <c r="C8" i="20" l="1"/>
  <c r="E6" i="20"/>
  <c r="C31" i="20"/>
  <c r="G30" i="20"/>
  <c r="C23" i="20"/>
  <c r="C11" i="20"/>
  <c r="E11" i="20"/>
  <c r="E23" i="20"/>
  <c r="G23" i="20" s="1"/>
  <c r="E12" i="20" l="1"/>
  <c r="E17" i="20" s="1"/>
  <c r="G11" i="20"/>
  <c r="G31" i="20"/>
  <c r="G6" i="20"/>
  <c r="G8" i="20" s="1"/>
  <c r="E8" i="20"/>
  <c r="C12" i="20"/>
  <c r="E25" i="20" l="1"/>
  <c r="G12" i="20"/>
  <c r="C17" i="20"/>
  <c r="C25" i="20" s="1"/>
  <c r="G17" i="20" l="1"/>
  <c r="C33" i="20"/>
  <c r="G25" i="20"/>
  <c r="E33" i="20"/>
  <c r="G33" i="20" s="1"/>
  <c r="K39" i="11" l="1"/>
  <c r="H39" i="11"/>
  <c r="G39" i="11"/>
  <c r="E39" i="11"/>
  <c r="D39" i="11"/>
  <c r="K23" i="11"/>
  <c r="H23" i="11"/>
  <c r="G23" i="11"/>
  <c r="E23" i="11"/>
  <c r="D23" i="11"/>
  <c r="O21" i="11"/>
  <c r="O20" i="11"/>
  <c r="O19" i="11"/>
  <c r="O18" i="11"/>
  <c r="O17" i="11"/>
  <c r="N13" i="9"/>
  <c r="O12" i="11"/>
  <c r="O11" i="11"/>
  <c r="O2" i="11"/>
  <c r="O1" i="11"/>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H36" i="10"/>
  <c r="G36" i="10"/>
  <c r="I35" i="10"/>
  <c r="H35" i="10"/>
  <c r="G35" i="10"/>
  <c r="J34" i="10"/>
  <c r="J13" i="10"/>
  <c r="J14" i="10" s="1"/>
  <c r="J15" i="10" s="1"/>
  <c r="J16" i="10" s="1"/>
  <c r="J17" i="10" s="1"/>
  <c r="J18" i="10" s="1"/>
  <c r="J19" i="10" s="1"/>
  <c r="J20" i="10" s="1"/>
  <c r="J21" i="10" s="1"/>
  <c r="J22" i="10" s="1"/>
  <c r="J23" i="10" s="1"/>
  <c r="J24" i="10" s="1"/>
  <c r="J26" i="10" s="1"/>
  <c r="B13" i="10"/>
  <c r="B14" i="10" s="1"/>
  <c r="B15" i="10" s="1"/>
  <c r="B16" i="10" s="1"/>
  <c r="B17" i="10" s="1"/>
  <c r="B18" i="10" s="1"/>
  <c r="B19" i="10" s="1"/>
  <c r="B20" i="10" s="1"/>
  <c r="B21" i="10" s="1"/>
  <c r="B22" i="10" s="1"/>
  <c r="B23" i="10" s="1"/>
  <c r="B24" i="10" s="1"/>
  <c r="B26" i="10" s="1"/>
  <c r="J2" i="10"/>
  <c r="J1" i="10"/>
  <c r="N14" i="9"/>
  <c r="I14" i="9"/>
  <c r="D14" i="9"/>
  <c r="I13" i="9"/>
  <c r="D13" i="9"/>
  <c r="N12" i="9"/>
  <c r="I12" i="9"/>
  <c r="D12" i="9"/>
  <c r="N11" i="9"/>
  <c r="I11" i="9"/>
  <c r="D11" i="9"/>
  <c r="N10" i="9"/>
  <c r="I10" i="9"/>
  <c r="D10" i="9"/>
  <c r="S2" i="9"/>
  <c r="S1" i="9"/>
  <c r="B12" i="7"/>
  <c r="B13" i="7" s="1"/>
  <c r="B16" i="7" s="1"/>
  <c r="B18" i="7" s="1"/>
  <c r="G105" i="6"/>
  <c r="G89" i="6"/>
  <c r="G90" i="6" s="1"/>
  <c r="C92" i="6"/>
  <c r="C95" i="6" s="1"/>
  <c r="C96" i="6" s="1"/>
  <c r="C103" i="6" s="1"/>
  <c r="C115" i="6" s="1"/>
  <c r="G57" i="5"/>
  <c r="C53" i="5"/>
  <c r="C23" i="5"/>
  <c r="C18" i="5"/>
  <c r="B9" i="2"/>
  <c r="G27" i="1"/>
  <c r="G26" i="1"/>
  <c r="G25" i="1"/>
  <c r="G24" i="1"/>
  <c r="G20" i="1"/>
  <c r="G19" i="1"/>
  <c r="C30" i="1"/>
  <c r="G12" i="1"/>
  <c r="G7" i="1"/>
  <c r="F14" i="9" l="1"/>
  <c r="F10" i="9"/>
  <c r="K14" i="9"/>
  <c r="K10" i="9"/>
  <c r="P14" i="9"/>
  <c r="P10" i="9"/>
  <c r="P13" i="9"/>
  <c r="F11" i="9"/>
  <c r="K11" i="9"/>
  <c r="P11" i="9"/>
  <c r="F12" i="9"/>
  <c r="K12" i="9"/>
  <c r="P12" i="9"/>
  <c r="F13" i="9"/>
  <c r="K13" i="9"/>
  <c r="I16" i="9"/>
  <c r="O15" i="11"/>
  <c r="J23" i="11"/>
  <c r="J39" i="11"/>
  <c r="D16" i="9"/>
  <c r="O16" i="11"/>
  <c r="B20" i="7"/>
  <c r="C26" i="5"/>
  <c r="C27" i="5" s="1"/>
  <c r="C33" i="5" s="1"/>
  <c r="C37" i="5" s="1"/>
  <c r="J35" i="10"/>
  <c r="J36" i="10" s="1"/>
  <c r="J37" i="10" s="1"/>
  <c r="J38" i="10" s="1"/>
  <c r="J39" i="10" s="1"/>
  <c r="J40" i="10" s="1"/>
  <c r="J41" i="10" s="1"/>
  <c r="J42" i="10" s="1"/>
  <c r="J43" i="10" s="1"/>
  <c r="J44" i="10" s="1"/>
  <c r="J45" i="10" s="1"/>
  <c r="J46" i="10" s="1"/>
  <c r="J48" i="10" s="1"/>
  <c r="B34" i="10"/>
  <c r="B35" i="10" s="1"/>
  <c r="B36" i="10" s="1"/>
  <c r="B37" i="10" s="1"/>
  <c r="B38" i="10" s="1"/>
  <c r="B39" i="10" s="1"/>
  <c r="B40" i="10" s="1"/>
  <c r="B41" i="10" s="1"/>
  <c r="B42" i="10" s="1"/>
  <c r="B43" i="10" s="1"/>
  <c r="B44" i="10" s="1"/>
  <c r="B45" i="10" s="1"/>
  <c r="B46" i="10" s="1"/>
  <c r="B48" i="10" s="1"/>
  <c r="O13" i="11"/>
  <c r="O14" i="11"/>
  <c r="M23" i="11"/>
  <c r="O10" i="11"/>
  <c r="G69" i="6"/>
  <c r="G94" i="6"/>
  <c r="G8" i="1"/>
  <c r="C15" i="1"/>
  <c r="C32" i="1" s="1"/>
  <c r="E92" i="6"/>
  <c r="G92" i="6" s="1"/>
  <c r="E22" i="7" l="1"/>
  <c r="B22" i="7"/>
  <c r="B24" i="7" s="1"/>
  <c r="B27" i="7" s="1"/>
  <c r="B28" i="7" s="1"/>
  <c r="B30" i="7" s="1"/>
  <c r="B32" i="7" s="1"/>
  <c r="G87" i="6"/>
  <c r="P16" i="9"/>
  <c r="K16" i="9"/>
  <c r="O23" i="11"/>
  <c r="C46" i="5"/>
  <c r="C45" i="5"/>
  <c r="C44" i="5" s="1"/>
  <c r="F16" i="9"/>
  <c r="O37" i="11" l="1"/>
  <c r="O33" i="11" l="1"/>
  <c r="O28" i="11"/>
  <c r="O26" i="11"/>
  <c r="O36" i="11"/>
  <c r="O30" i="11"/>
  <c r="O35" i="11"/>
  <c r="O32" i="11"/>
  <c r="O29" i="11"/>
  <c r="O27" i="11"/>
  <c r="O31" i="11"/>
  <c r="O34" i="11"/>
  <c r="O48" i="11" l="1"/>
  <c r="E27" i="7" s="1"/>
  <c r="E30" i="7" s="1"/>
  <c r="O39" i="11"/>
  <c r="G9" i="1" l="1"/>
  <c r="G21" i="1" l="1"/>
  <c r="B8" i="2" l="1"/>
  <c r="G28" i="1"/>
  <c r="G30" i="1" s="1"/>
  <c r="E30" i="1"/>
  <c r="B13" i="2" l="1"/>
  <c r="E12" i="7"/>
  <c r="G58" i="5" l="1"/>
  <c r="G56" i="5" l="1"/>
  <c r="G56" i="6" l="1"/>
  <c r="G15" i="5"/>
  <c r="G55" i="5" l="1"/>
  <c r="G14" i="5" l="1"/>
  <c r="G49" i="6"/>
  <c r="G21" i="5" l="1"/>
  <c r="G35" i="5" l="1"/>
  <c r="G13" i="5" l="1"/>
  <c r="G44" i="6"/>
  <c r="G46" i="6" s="1"/>
  <c r="G41" i="5" l="1"/>
  <c r="G29" i="5" l="1"/>
  <c r="G9" i="6" l="1"/>
  <c r="G25" i="6" s="1"/>
  <c r="G9" i="5"/>
  <c r="G11" i="5" l="1"/>
  <c r="G24" i="6"/>
  <c r="G20" i="5" l="1"/>
  <c r="E23" i="5"/>
  <c r="G23" i="5" s="1"/>
  <c r="G59" i="5"/>
  <c r="E53" i="5"/>
  <c r="G53" i="5" s="1"/>
  <c r="G25" i="5" l="1"/>
  <c r="G16" i="5" l="1"/>
  <c r="E18" i="5"/>
  <c r="G63" i="6"/>
  <c r="E67" i="6"/>
  <c r="G67" i="6" l="1"/>
  <c r="G95" i="6" s="1"/>
  <c r="G96" i="6" s="1"/>
  <c r="E95" i="6"/>
  <c r="G18" i="5"/>
  <c r="G26" i="5" s="1"/>
  <c r="G27" i="5" s="1"/>
  <c r="E26" i="5"/>
  <c r="E27" i="5" s="1"/>
  <c r="E96" i="6" l="1"/>
  <c r="G13" i="1" l="1"/>
  <c r="E15" i="1"/>
  <c r="G31" i="5" l="1"/>
  <c r="E33" i="5"/>
  <c r="E103" i="6"/>
  <c r="G101" i="6"/>
  <c r="G15" i="1"/>
  <c r="E32" i="1"/>
  <c r="G32" i="1" s="1"/>
  <c r="E11" i="7"/>
  <c r="E13" i="7" s="1"/>
  <c r="E18" i="7" s="1"/>
  <c r="B7" i="2"/>
  <c r="B11" i="2" s="1"/>
  <c r="B15" i="2" s="1"/>
  <c r="F13" i="3" s="1"/>
  <c r="E115" i="6" l="1"/>
  <c r="G115" i="6" s="1"/>
  <c r="G103" i="6"/>
  <c r="G33" i="5"/>
  <c r="E37" i="5"/>
  <c r="G37" i="5" l="1"/>
  <c r="G50" i="5"/>
  <c r="E45" i="5"/>
  <c r="E46" i="5"/>
  <c r="G46" i="5" s="1"/>
  <c r="G45" i="5" l="1"/>
  <c r="E44" i="5"/>
  <c r="G44" i="5" s="1"/>
  <c r="G67" i="5" s="1"/>
  <c r="G42" i="5"/>
  <c r="E40" i="5"/>
  <c r="G40" i="5" l="1"/>
  <c r="D18" i="46" l="1"/>
  <c r="D19" i="46" s="1"/>
  <c r="D23" i="46" s="1"/>
  <c r="D9" i="46"/>
  <c r="D13" i="46" s="1"/>
  <c r="D15" i="44"/>
  <c r="D16" i="44" s="1"/>
  <c r="D20" i="44" s="1"/>
  <c r="D8" i="44"/>
  <c r="D11" i="44" s="1"/>
  <c r="D18" i="45"/>
  <c r="D19" i="45" s="1"/>
  <c r="D23" i="45" s="1"/>
  <c r="D9" i="45"/>
  <c r="D13" i="45" s="1"/>
  <c r="D26" i="45" l="1"/>
  <c r="D29" i="45" s="1"/>
  <c r="D30" i="45" s="1"/>
  <c r="D38" i="45" s="1"/>
  <c r="D23" i="44"/>
  <c r="D26" i="44" s="1"/>
  <c r="D27" i="44" s="1"/>
  <c r="D35" i="44" s="1"/>
  <c r="D26" i="46"/>
  <c r="D29" i="46" s="1"/>
  <c r="D30" i="46" s="1"/>
  <c r="D34" i="44" l="1"/>
  <c r="D37" i="45"/>
  <c r="D39" i="45" s="1"/>
  <c r="D9" i="39" s="1"/>
  <c r="D38" i="46"/>
  <c r="D37" i="46"/>
  <c r="D39" i="46" s="1"/>
  <c r="D16" i="39" s="1"/>
  <c r="D36" i="44"/>
  <c r="D6" i="39" s="1"/>
  <c r="D10" i="39" l="1"/>
  <c r="E9" i="39"/>
  <c r="H9" i="39"/>
  <c r="E6" i="39"/>
  <c r="D7" i="39"/>
  <c r="H6" i="39"/>
  <c r="H16" i="39"/>
  <c r="E16" i="39"/>
  <c r="D17" i="39"/>
  <c r="H10" i="39" l="1"/>
  <c r="D11" i="39"/>
  <c r="E10" i="39"/>
  <c r="H17" i="39"/>
  <c r="E17" i="39"/>
  <c r="H7" i="39"/>
  <c r="D8" i="39"/>
  <c r="E7" i="39"/>
  <c r="E11" i="39" l="1"/>
  <c r="H11" i="39"/>
  <c r="D12" i="39"/>
  <c r="E8" i="39"/>
  <c r="H8" i="39"/>
  <c r="H12" i="39"/>
  <c r="E12" i="39"/>
  <c r="H23" i="39"/>
  <c r="D24" i="39"/>
  <c r="D13" i="39" l="1"/>
  <c r="D14" i="39"/>
  <c r="E13" i="39"/>
  <c r="D25" i="39"/>
  <c r="H24" i="39"/>
  <c r="H13" i="39" l="1"/>
  <c r="H25" i="39"/>
  <c r="D26" i="39"/>
  <c r="H14" i="39"/>
  <c r="D15" i="39"/>
  <c r="E14" i="39"/>
  <c r="H15" i="39" l="1"/>
  <c r="H19" i="39" s="1"/>
  <c r="E15" i="39"/>
  <c r="E19" i="39" s="1"/>
  <c r="D19" i="39"/>
  <c r="G23" i="1" s="1"/>
  <c r="H26" i="39"/>
  <c r="H27" i="39" l="1"/>
  <c r="H29" i="39" s="1"/>
  <c r="H32" i="39" l="1"/>
  <c r="H33" i="39" s="1"/>
  <c r="H34" i="39" s="1"/>
  <c r="F11" i="3" l="1"/>
  <c r="F14" i="3" l="1"/>
  <c r="F19" i="3" s="1"/>
  <c r="F17" i="3"/>
  <c r="F15" i="3"/>
  <c r="F22" i="3" s="1"/>
  <c r="J11" i="9" l="1"/>
  <c r="L11" i="9" s="1"/>
  <c r="E11" i="9"/>
  <c r="G11" i="9" s="1"/>
  <c r="E10" i="9"/>
  <c r="F26" i="3"/>
  <c r="F27" i="3"/>
  <c r="O13" i="9"/>
  <c r="Q13" i="9" s="1"/>
  <c r="E13" i="9"/>
  <c r="G13" i="9" s="1"/>
  <c r="J12" i="9"/>
  <c r="L12" i="9" s="1"/>
  <c r="J14" i="9"/>
  <c r="L14" i="9" s="1"/>
  <c r="E12" i="9"/>
  <c r="G12" i="9" s="1"/>
  <c r="J13" i="9"/>
  <c r="L13" i="9" s="1"/>
  <c r="J10" i="9"/>
  <c r="E14" i="9"/>
  <c r="G14" i="9" s="1"/>
  <c r="O14" i="9"/>
  <c r="Q14" i="9" s="1"/>
  <c r="O12" i="9"/>
  <c r="Q12" i="9" s="1"/>
  <c r="O11" i="9"/>
  <c r="Q11" i="9" s="1"/>
  <c r="O10" i="9"/>
  <c r="S12" i="9" l="1"/>
  <c r="S13" i="9"/>
  <c r="E16" i="9"/>
  <c r="G10" i="9"/>
  <c r="S11" i="9"/>
  <c r="J16" i="9"/>
  <c r="L10" i="9"/>
  <c r="L16" i="9" s="1"/>
  <c r="O16" i="9"/>
  <c r="Q10" i="9"/>
  <c r="Q16" i="9" s="1"/>
  <c r="S14" i="9"/>
  <c r="S10" i="9" l="1"/>
  <c r="G16" i="9"/>
  <c r="S16" i="9" l="1"/>
  <c r="E20" i="7"/>
  <c r="E24" i="7" s="1"/>
  <c r="E32" i="7" s="1"/>
</calcChain>
</file>

<file path=xl/sharedStrings.xml><?xml version="1.0" encoding="utf-8"?>
<sst xmlns="http://schemas.openxmlformats.org/spreadsheetml/2006/main" count="880" uniqueCount="558">
  <si>
    <t>Table 1.1:
Summary of Changes to the Revenue Requirement and Revenues at Existing Rates</t>
  </si>
  <si>
    <t>Original Filing</t>
  </si>
  <si>
    <t>Compliance Filing</t>
  </si>
  <si>
    <t>Difference</t>
  </si>
  <si>
    <t>Revenue Requirement</t>
  </si>
  <si>
    <t>Fuel and Purchased Power</t>
  </si>
  <si>
    <t>Non Fuel O&amp;M -Labour</t>
  </si>
  <si>
    <t>Non Fuel O&amp;M -Other</t>
  </si>
  <si>
    <t>Depreciation and Amortization</t>
  </si>
  <si>
    <t>Please see Table 1.1-2</t>
  </si>
  <si>
    <t>Return on Rate Base</t>
  </si>
  <si>
    <t>A</t>
  </si>
  <si>
    <t>Total Revenue Requirement</t>
  </si>
  <si>
    <t>Revenues at Existing Rates</t>
  </si>
  <si>
    <t>Residential</t>
  </si>
  <si>
    <t>Commercial</t>
  </si>
  <si>
    <t>Industrial</t>
  </si>
  <si>
    <t>Streetlight and Sentinel Light</t>
  </si>
  <si>
    <t>Wholesale</t>
  </si>
  <si>
    <t>Secondary Sales revenues</t>
  </si>
  <si>
    <t>Rider J Revenues</t>
  </si>
  <si>
    <t>Other Revenue</t>
  </si>
  <si>
    <t>B</t>
  </si>
  <si>
    <t>Total revenues at existing rates</t>
  </si>
  <si>
    <t>C=A-B</t>
  </si>
  <si>
    <t>Required GRA rate increase</t>
  </si>
  <si>
    <t>Less: Other Revenues</t>
  </si>
  <si>
    <t>Less: Secondary Sales</t>
  </si>
  <si>
    <t>Revenue Required from Firm Rates</t>
  </si>
  <si>
    <t>Less: Revenues from Firm Sales at Existing Rates (including “Fixed” component of industrial Rider F)</t>
  </si>
  <si>
    <t>Firm Rate Increase Proposed</t>
  </si>
  <si>
    <t>Actual</t>
  </si>
  <si>
    <t>Line #</t>
  </si>
  <si>
    <t>1a</t>
  </si>
  <si>
    <r>
      <t>Consolidated Firm Retail Sales Revenues - Base Rates</t>
    </r>
    <r>
      <rPr>
        <vertAlign val="superscript"/>
        <sz val="10"/>
        <color theme="1"/>
        <rFont val="Arial"/>
        <family val="2"/>
      </rPr>
      <t>1</t>
    </r>
    <r>
      <rPr>
        <sz val="10"/>
        <color theme="1"/>
        <rFont val="Arial"/>
        <family val="2"/>
      </rPr>
      <t xml:space="preserve"> </t>
    </r>
  </si>
  <si>
    <t>$000</t>
  </si>
  <si>
    <t>1b</t>
  </si>
  <si>
    <t xml:space="preserve">Consolidated Firm Industrial Sales Revenues - Base Rates </t>
  </si>
  <si>
    <t>2a</t>
  </si>
  <si>
    <r>
      <t>Consolidated Rider J Revenue at pre-GRA rates</t>
    </r>
    <r>
      <rPr>
        <vertAlign val="superscript"/>
        <sz val="10"/>
        <color theme="1"/>
        <rFont val="Arial"/>
        <family val="2"/>
      </rPr>
      <t>2</t>
    </r>
  </si>
  <si>
    <t>2b</t>
  </si>
  <si>
    <r>
      <t>AEY Rider R Revenues</t>
    </r>
    <r>
      <rPr>
        <vertAlign val="superscript"/>
        <sz val="10"/>
        <color theme="1"/>
        <rFont val="Arial"/>
        <family val="2"/>
      </rPr>
      <t>3</t>
    </r>
  </si>
  <si>
    <t>3=1+2</t>
  </si>
  <si>
    <t>Total Consolidated Firm Sales Revenues at existing rates</t>
  </si>
  <si>
    <t>4=Table 1</t>
  </si>
  <si>
    <t>5a=4/3</t>
  </si>
  <si>
    <t>Required Rate Increase on total Consolidated Revenues</t>
  </si>
  <si>
    <t>%</t>
  </si>
  <si>
    <t>5b=4/(1a+1b)</t>
  </si>
  <si>
    <t>Rider J Increase Required</t>
  </si>
  <si>
    <t>6=3+4</t>
  </si>
  <si>
    <t>Rider J Required</t>
  </si>
  <si>
    <t>Existing Rider J - non-industrial</t>
  </si>
  <si>
    <t>Existing Rider J - industrial</t>
  </si>
  <si>
    <t>Total Rider J with increases - non-industrial</t>
  </si>
  <si>
    <t>Total Rider J with increases - industrial</t>
  </si>
  <si>
    <t>Notes:</t>
  </si>
  <si>
    <t xml:space="preserve">1. Total Consolidated Retail Revenues at existing Base Rates include revenues from YEC and AEY's residential, general service and streetlight sales. </t>
  </si>
  <si>
    <t>3. AEY Rider R Revenues at existing rates include AEY's Rider R at 8.30% for firm retail and industrial base rate sales of YEC and AEY.</t>
  </si>
  <si>
    <t>Adjustments</t>
  </si>
  <si>
    <t>in $000</t>
  </si>
  <si>
    <t>Calculation of Rate Base</t>
  </si>
  <si>
    <t>Property, Plant and Equipment</t>
  </si>
  <si>
    <t>Accumulated Amortization</t>
  </si>
  <si>
    <t>Construction-in-progress</t>
  </si>
  <si>
    <t>Disallowed assets [reflects closed projects]</t>
  </si>
  <si>
    <t xml:space="preserve">Miscellaneous reserves </t>
  </si>
  <si>
    <t>Total Deductions</t>
  </si>
  <si>
    <t>Deferred study costs</t>
  </si>
  <si>
    <t>Less: Studies in Progress</t>
  </si>
  <si>
    <t>Total Additions</t>
  </si>
  <si>
    <t>Previous Year Ending Balance</t>
  </si>
  <si>
    <t>Current Year Ending Balance</t>
  </si>
  <si>
    <t>Mid-year Balance</t>
  </si>
  <si>
    <t>Rate Case</t>
  </si>
  <si>
    <t>Working Capital requirements</t>
  </si>
  <si>
    <t>Gross Mid-year Net Rate Base</t>
  </si>
  <si>
    <t>Net Mid-year Contributions</t>
  </si>
  <si>
    <t>Net Mid-year Net Rate Base</t>
  </si>
  <si>
    <t>Average Cost of Capital</t>
  </si>
  <si>
    <t>Cost of debt</t>
  </si>
  <si>
    <t>ROE</t>
  </si>
  <si>
    <t>Return on rate base</t>
  </si>
  <si>
    <t>Debt</t>
  </si>
  <si>
    <t>Total Return on rate base change</t>
  </si>
  <si>
    <t>Due to change of ROE and Debt cost</t>
  </si>
  <si>
    <t>Due to change in Rate base</t>
  </si>
  <si>
    <t>Net Amortization</t>
  </si>
  <si>
    <t>Fixed Asset Depreciation</t>
  </si>
  <si>
    <t>Customer contribution</t>
  </si>
  <si>
    <t>Change</t>
  </si>
  <si>
    <t>Amortization of fire insurance recoveries</t>
  </si>
  <si>
    <t>Disallowed Depreciation</t>
  </si>
  <si>
    <t>Amortization of deferred charges</t>
  </si>
  <si>
    <t>Feasibility and Relicensing</t>
  </si>
  <si>
    <t>Dam safety</t>
  </si>
  <si>
    <t>Vegetation Management</t>
  </si>
  <si>
    <t>Total Impact to Revenue Requirement</t>
  </si>
  <si>
    <t>Table 1.1 -3. Adjustments to the Ratebase [detailed]</t>
  </si>
  <si>
    <t>Total Additions [reflect above changes]</t>
  </si>
  <si>
    <t>Previous Year Ending Balance [reflect above changes]</t>
  </si>
  <si>
    <t>Current Year Ending Balance [reflect above changes]</t>
  </si>
  <si>
    <t>Mid-year Balance [reflect above changes]</t>
  </si>
  <si>
    <t>Working Capital requirements [reflects changes in spending and revenues]</t>
  </si>
  <si>
    <t>Line No.</t>
  </si>
  <si>
    <t>Reference</t>
  </si>
  <si>
    <t>Table 1.1</t>
  </si>
  <si>
    <t>Revenue Shortfall/(Surplus)</t>
  </si>
  <si>
    <t>L1 - L2</t>
  </si>
  <si>
    <t>Interim Rider J collections</t>
  </si>
  <si>
    <t>L3 - L4</t>
  </si>
  <si>
    <t>Table 1.1-5</t>
  </si>
  <si>
    <t>Transfer of Rider F Adjustments</t>
  </si>
  <si>
    <t>Table 1.1-6</t>
  </si>
  <si>
    <t>Total Net Revenue Shortfall/(Surplus) True-up</t>
  </si>
  <si>
    <t>Consolidated Non-industrial</t>
  </si>
  <si>
    <t>Table 1.1-7</t>
  </si>
  <si>
    <t>Consolidated Industrial</t>
  </si>
  <si>
    <t>Total Consolidated Revenues at Base Rates</t>
  </si>
  <si>
    <t>YEC Retail Revenues</t>
  </si>
  <si>
    <t>YEC Industrial Revenues</t>
  </si>
  <si>
    <t>AEY Retail Revenues</t>
  </si>
  <si>
    <t>Total Difference</t>
  </si>
  <si>
    <t>at Base Rates</t>
  </si>
  <si>
    <t>AEY retail revenues at Base Rates</t>
  </si>
  <si>
    <t>January</t>
  </si>
  <si>
    <t>February</t>
  </si>
  <si>
    <t>March</t>
  </si>
  <si>
    <t>April</t>
  </si>
  <si>
    <t>May</t>
  </si>
  <si>
    <t>June</t>
  </si>
  <si>
    <t>July</t>
  </si>
  <si>
    <t>August</t>
  </si>
  <si>
    <t>September</t>
  </si>
  <si>
    <t>October</t>
  </si>
  <si>
    <t>November</t>
  </si>
  <si>
    <t xml:space="preserve">1. Please see Table 1.1-7 for details. </t>
  </si>
  <si>
    <t>Rider F Adjustments for True-up ($)</t>
  </si>
  <si>
    <t>Month</t>
  </si>
  <si>
    <t>Rider F Surcharge - Industrial</t>
  </si>
  <si>
    <t>Rider F Surcharge - CIS</t>
  </si>
  <si>
    <t>Inter-company Transfer</t>
  </si>
  <si>
    <t>Balance</t>
  </si>
  <si>
    <t>C</t>
  </si>
  <si>
    <t>D</t>
  </si>
  <si>
    <t>E</t>
  </si>
  <si>
    <t>F</t>
  </si>
  <si>
    <t>G</t>
  </si>
  <si>
    <t>YEC Retail Non-Industrial Base Rate Revenue Forecast</t>
  </si>
  <si>
    <t>YEC Industrial Base Rate Revenue Forecast</t>
  </si>
  <si>
    <t>Retail Sales</t>
  </si>
  <si>
    <t>Revenues at Base Rates</t>
  </si>
  <si>
    <t>Minto Sales</t>
  </si>
  <si>
    <t>VG Sales</t>
  </si>
  <si>
    <t>Total Industrial Sales</t>
  </si>
  <si>
    <t>MW.h</t>
  </si>
  <si>
    <t>December</t>
  </si>
  <si>
    <t>Total</t>
  </si>
  <si>
    <t>Table 1.2: 
YEC 2021 GRA Compliance Filing Revenue Required from Rates ($000s)</t>
  </si>
  <si>
    <t>Revenue Requirement (from Table 1.1)</t>
  </si>
  <si>
    <t>Table 1.3:
YEC 2021 GRA Compliance Filing Required Revenue Increase Calculation</t>
  </si>
  <si>
    <t>Retail Revenue increase required in 2021</t>
  </si>
  <si>
    <t>Total Consolidated Firm Sales Revenues with 2021 Increase</t>
  </si>
  <si>
    <t xml:space="preserve">Total Cumulative 2021 Rate Increase </t>
  </si>
  <si>
    <t>8=5b</t>
  </si>
  <si>
    <t>11=8+9</t>
  </si>
  <si>
    <t>12=8+10</t>
  </si>
  <si>
    <t>YEC 2021 GRA</t>
  </si>
  <si>
    <t>Table 1.1-4. Determination of the 2021 and 2022 Revenue Shortfall True-up Rider</t>
  </si>
  <si>
    <t>2021 GRA Compliance Filing Revenue Requirement</t>
  </si>
  <si>
    <t>2021 Revenues at pre-GRA rates</t>
  </si>
  <si>
    <t>Net 2021 Revenue Shortfall/(Surplus) True-up</t>
  </si>
  <si>
    <t>Table 1.1 -6. Yukon Energy Corporation 2021 GRA Compliance Filing</t>
  </si>
  <si>
    <t>Diesel</t>
  </si>
  <si>
    <r>
      <t>Fuel Price Variance [Original]</t>
    </r>
    <r>
      <rPr>
        <b/>
        <vertAlign val="superscript"/>
        <sz val="10"/>
        <rFont val="Arial"/>
        <family val="2"/>
      </rPr>
      <t>1</t>
    </r>
  </si>
  <si>
    <t>FPVA 2021 Opening Balance</t>
  </si>
  <si>
    <t>December 31, 2021 Balance</t>
  </si>
  <si>
    <t>Based on 2017/18 GRA inputs</t>
  </si>
  <si>
    <t>Based on 2021 GRA inputs</t>
  </si>
  <si>
    <t>Total Adjustment</t>
  </si>
  <si>
    <t>Victoria Gold</t>
  </si>
  <si>
    <t>Alexco</t>
  </si>
  <si>
    <t>MWh</t>
  </si>
  <si>
    <r>
      <t>Fuel Price Variance [Revised]</t>
    </r>
    <r>
      <rPr>
        <b/>
        <vertAlign val="superscript"/>
        <sz val="10"/>
        <rFont val="Arial"/>
        <family val="2"/>
      </rPr>
      <t>2</t>
    </r>
  </si>
  <si>
    <r>
      <t>RS 32 SS Adjustment</t>
    </r>
    <r>
      <rPr>
        <b/>
        <vertAlign val="superscript"/>
        <sz val="10"/>
        <rFont val="Arial"/>
        <family val="2"/>
      </rPr>
      <t>3</t>
    </r>
  </si>
  <si>
    <t>1. Based on 2017/18 GRA fuel prices and fuel efficiencies.</t>
  </si>
  <si>
    <t>2. Based on 2021 GRA fuel prices and fuel efficiencies.</t>
  </si>
  <si>
    <t>3. No secondary sale rate impact as no sales forecast for 2021 in the GRA.</t>
  </si>
  <si>
    <t>Diesel Production</t>
  </si>
  <si>
    <t>Main Transmission Facilities</t>
  </si>
  <si>
    <t>Distribution System</t>
  </si>
  <si>
    <t>Depreciation Study Differences</t>
  </si>
  <si>
    <t>Hydro Plant</t>
  </si>
  <si>
    <t>Structures and Improvements</t>
  </si>
  <si>
    <t>Reservoirs, Dams, and Waterways</t>
  </si>
  <si>
    <t>Waterwheels,Turbines &amp; Generation</t>
  </si>
  <si>
    <t>Accessory Electric Equipment</t>
  </si>
  <si>
    <t>Poles and Fixtures</t>
  </si>
  <si>
    <t>Survey Costs</t>
  </si>
  <si>
    <t>Substation Equipment</t>
  </si>
  <si>
    <t>Sub Transmission Lines</t>
  </si>
  <si>
    <t xml:space="preserve">Substation Equipment </t>
  </si>
  <si>
    <t>Building and Other Equipment</t>
  </si>
  <si>
    <t>Building and Improvements</t>
  </si>
  <si>
    <t>Transportation</t>
  </si>
  <si>
    <t>IPPs</t>
  </si>
  <si>
    <t>Total Fuel Cost, $000</t>
  </si>
  <si>
    <t>Total Maintenance, $000</t>
  </si>
  <si>
    <t>LNG Run-Ups</t>
  </si>
  <si>
    <t xml:space="preserve">Diesel Run-Ups </t>
  </si>
  <si>
    <t>Maintennace run-ups (MW.h)</t>
  </si>
  <si>
    <t>LTA Fuel Cost, $000</t>
  </si>
  <si>
    <t>Weighted Average Diesel price</t>
  </si>
  <si>
    <t>LNG Price</t>
  </si>
  <si>
    <t>Fuel Prices, $/kW.h</t>
  </si>
  <si>
    <t>LNG</t>
  </si>
  <si>
    <t>LTA Thermal Generation (MW.h)</t>
  </si>
  <si>
    <t>2021 GRA Original Filing</t>
  </si>
  <si>
    <t>2021 GRA Compliance Filing</t>
  </si>
  <si>
    <t>IPPs (MW.h)</t>
  </si>
  <si>
    <t>Purchased Power Cost, $000</t>
  </si>
  <si>
    <t>Total Fuel and Purchased Power Cost, $000</t>
  </si>
  <si>
    <t>Table 1.1-1:
2021 GRA Fuel Cost Calculation
($000)</t>
  </si>
  <si>
    <t>Gross YEC Load (MW.h)</t>
  </si>
  <si>
    <t>YEC Load net of IPPs (MW.h)</t>
  </si>
  <si>
    <t>Costs for two spare diesel units</t>
  </si>
  <si>
    <t>Reserve for Injuries/Damages</t>
  </si>
  <si>
    <t>Removal cost for three vacant positions [§90]</t>
  </si>
  <si>
    <t>[§114]</t>
  </si>
  <si>
    <t>[§134 and §135]</t>
  </si>
  <si>
    <t>Please see Table 1.1-1 [§66]</t>
  </si>
  <si>
    <t>Notes and Reference to YUB Order 2022-03</t>
  </si>
  <si>
    <t>July 1, 2021 - December 31, 2021 Interim Rider J Collections</t>
  </si>
  <si>
    <t>Mid-Year Rate Base</t>
  </si>
  <si>
    <t>($000s)</t>
  </si>
  <si>
    <t>Contributions</t>
  </si>
  <si>
    <t>Net Cost</t>
  </si>
  <si>
    <t>YUB 2022-03
Compliance Filing</t>
  </si>
  <si>
    <t>2021 GRA 
Application</t>
  </si>
  <si>
    <t>Intangibles</t>
  </si>
  <si>
    <t>Sales, MW.h</t>
  </si>
  <si>
    <t>Jan - May 2022 Revenue Shortfall/(Surplus) True-up</t>
  </si>
  <si>
    <t>2021 and Jan-May 2022 Revenue Shortfall True-up Rider J1 effective June 1, 2022</t>
  </si>
  <si>
    <t>2020 Year-end balance</t>
  </si>
  <si>
    <t>2021 Year-end balance</t>
  </si>
  <si>
    <t>2020 adjustments</t>
  </si>
  <si>
    <t>2022 Forecast</t>
  </si>
  <si>
    <t>2023 Forecast</t>
  </si>
  <si>
    <t>Alexco Sales</t>
  </si>
  <si>
    <t>Line</t>
  </si>
  <si>
    <t>Total 2022</t>
  </si>
  <si>
    <t>Total 2023</t>
  </si>
  <si>
    <t>Table 1.1-7 Yukon Energy Corporation 2021 GRA Compliance Filing: Consolidated Revenues for True-up</t>
  </si>
  <si>
    <t>Total Consolidated Base Rate Revenues</t>
  </si>
  <si>
    <t>Table 1.1-5 Yukon Energy Corporation 2021 GRA Compliance Filing: True-up calculation for Jan - May 2022</t>
  </si>
  <si>
    <t>Calculated Interim Rider J with 19.33%</t>
  </si>
  <si>
    <t>Required Rider J Increase as per Table 1.3</t>
  </si>
  <si>
    <t>June 1, 2022 Rate Implementation</t>
  </si>
  <si>
    <t>Total Jan-May 2022</t>
  </si>
  <si>
    <t>RFID balance change [§134 and §135]</t>
  </si>
  <si>
    <t>Added LWRF [§368]</t>
  </si>
  <si>
    <t>Due to loss of DSM Appeal, $1.593 million DSM disallowed costs in the 2017/18 GRA have been written off [UCG-YEC-2-16-2 (a)]. The cost at $1.593 million and amortization impact at $0.319 million to net change of $1.274 million.</t>
  </si>
  <si>
    <t>WH2 Uprate [§278]</t>
  </si>
  <si>
    <t>WH4 Uprate - Servomotor [§282]</t>
  </si>
  <si>
    <t>Mayo to McQuesten Transmission Line Upgrade [§258]</t>
  </si>
  <si>
    <t>Enterprise Asset Management [§333]</t>
  </si>
  <si>
    <t>Atlin Hydro EPA Preparation [§316, §322]</t>
  </si>
  <si>
    <t>DSM adjustments [§310, §311]</t>
  </si>
  <si>
    <t>DSM 2021</t>
  </si>
  <si>
    <t>DSM 2020</t>
  </si>
  <si>
    <t>2021 ending balance</t>
  </si>
  <si>
    <t>2020 ending balance [please see below]</t>
  </si>
  <si>
    <t>Amortization impact</t>
  </si>
  <si>
    <t>Mayo to McQuesten Transmission Line Upgrade - 2020</t>
  </si>
  <si>
    <t>Mayo to McQuesten Transmission Line Upgrade - 2021</t>
  </si>
  <si>
    <t xml:space="preserve">2. Consolidated Rider J revenues at pre-2021 GRA rates include YEC's Rider J at 22.32% for firm YEC and AEY retail sales and at 18.67% for firm industrial sales based on YUB 2019-08 Order. </t>
  </si>
  <si>
    <t>Amortization impact of 2020 and 2021 changes</t>
  </si>
  <si>
    <t>YUB Order 2022-03 Compliance Filing</t>
  </si>
  <si>
    <t>Substation VGC Group - Gold Mine</t>
  </si>
  <si>
    <t>Table 1.1 -3a. Adjustments to the Fixed Asset Depreciation Expense [detailed]</t>
  </si>
  <si>
    <t>Note</t>
  </si>
  <si>
    <t>Life change from 60 to 85</t>
  </si>
  <si>
    <t>Life change from 45 to 54</t>
  </si>
  <si>
    <t>Life change from 45 to 12</t>
  </si>
  <si>
    <t>Depreciation variance for VG Substation [§195]</t>
  </si>
  <si>
    <t>Life change from 50 to 65; Capital additions update</t>
  </si>
  <si>
    <t>Capital additions update</t>
  </si>
  <si>
    <t>Life change from 50 to 55; Capital additions update</t>
  </si>
  <si>
    <t>Other</t>
  </si>
  <si>
    <t>Table 1.1 -3b. VG Substation Depreciation True-up Calculation [§195]</t>
  </si>
  <si>
    <t>Total Cost</t>
  </si>
  <si>
    <t>2019-2020 Depreciation Variance</t>
  </si>
  <si>
    <t>Remaining Life</t>
  </si>
  <si>
    <t>Depreciation Variance Annual 
True-up</t>
  </si>
  <si>
    <t>D=C-B</t>
  </si>
  <si>
    <t>F=D/E</t>
  </si>
  <si>
    <t>Capital Assets [net of $930,563 YEC cost]</t>
  </si>
  <si>
    <t>2019-2020 Depreciation [Assets 54 Years; Contributions 12 Years]</t>
  </si>
  <si>
    <t>2019-2020 Depreciation [Assets and Contributions 12 Years]</t>
  </si>
  <si>
    <t>Table 1.1 -2. Adjustments to the Ratebase, Return on Ratebase and Amortization Expense [see Table 1.1-3 for details]</t>
  </si>
  <si>
    <t>Disposals [assets replaced by Mayo to McQuesten Transmission Line Upgrade]</t>
  </si>
  <si>
    <t>Other adjustments</t>
  </si>
  <si>
    <t>Capital additions update and Life parameters update - Please see Table 1.1.- 3 a</t>
  </si>
  <si>
    <t>Disallowed assets [net book value]</t>
  </si>
  <si>
    <t>Enterprise Asset Management amortization</t>
  </si>
  <si>
    <t>Included in the Original Application</t>
  </si>
  <si>
    <t>Calculated based on YUB 2022-03 and in-service dates for new assets</t>
  </si>
  <si>
    <t>1. The fixed charges included in the Application are from page 1-8 of the Application and Table 4.3-2 in Appendix 4.3.</t>
  </si>
  <si>
    <t>2020 and 2021 Cost Updates [§316, §323]:</t>
  </si>
  <si>
    <t>WH2 Uprate Engineering study [moved from defferred - please see deffered costs below]</t>
  </si>
  <si>
    <t>WH2 Uprate Eng. Study [moved to PP&amp;E - page 5.4-3, footnote 1 of the Application]</t>
  </si>
  <si>
    <t>Increase in Hearing Reserve [YUB Order 2020-02]</t>
  </si>
  <si>
    <t>DSM cost write-off [$0.399 million 2019 costs and $0.093 million 2018 costs]</t>
  </si>
  <si>
    <t>Insurance</t>
  </si>
  <si>
    <t>Reserve Appropriation (RFID)</t>
  </si>
  <si>
    <t>Note:</t>
  </si>
  <si>
    <t xml:space="preserve">1. As per Board Order 2018-10, the Existing RFID amount reflects annual appropriation of $0.267 million plus amortization of the 2016 balance over a five year period [$0.212 million/year] to total $0.479 million. </t>
  </si>
  <si>
    <t>Opening Balance</t>
  </si>
  <si>
    <t xml:space="preserve">   Annual Appropriation</t>
  </si>
  <si>
    <t xml:space="preserve">   Annual Costs</t>
  </si>
  <si>
    <t>Closing Balance</t>
  </si>
  <si>
    <t>Table 10. Reserve for Injuries and Damages (RFID) Continuity Schedule ($000)</t>
  </si>
  <si>
    <t>Table 9. Insurance costs and Reserve for Injuries and Damages ($000)</t>
  </si>
  <si>
    <t xml:space="preserve">2. The Proposed 2021 RFID amount reflects annual appropriation of $0.411 million (the ten-year average) plus amortization of the 2020 balance over a ten-year period [$0.205 million/year] to total $0.616 million. </t>
  </si>
  <si>
    <t>Variance for Compliance Filing</t>
  </si>
  <si>
    <t>Billed Fixed Charges [Apr-Dec interim]</t>
  </si>
  <si>
    <t>C=B-A</t>
  </si>
  <si>
    <t>E=B-D</t>
  </si>
  <si>
    <t>Please see Table 1.1-4a</t>
  </si>
  <si>
    <t>2021 Actual Sales</t>
  </si>
  <si>
    <t>% share</t>
  </si>
  <si>
    <t>Share of true-up</t>
  </si>
  <si>
    <t>2024 Forecast</t>
  </si>
  <si>
    <t>Total June 1, 2022 to May 31, 2024</t>
  </si>
  <si>
    <t>Consolidated Revenues at Base Rates for June 1, 2022 to May 31, 2024 [24 months]</t>
  </si>
  <si>
    <t>Line No</t>
  </si>
  <si>
    <t>Notes</t>
  </si>
  <si>
    <t>L1a</t>
  </si>
  <si>
    <t>Diesel Fuel Cost per kW.h</t>
  </si>
  <si>
    <t>cents/kW.h</t>
  </si>
  <si>
    <t>L1b</t>
  </si>
  <si>
    <t>LNG Fuel Cost per kW.h</t>
  </si>
  <si>
    <t>L1c</t>
  </si>
  <si>
    <t>GRA YIS firm Load forecast</t>
  </si>
  <si>
    <t>L1d</t>
  </si>
  <si>
    <t>GRA LTA Thermal Generation forecast</t>
  </si>
  <si>
    <t>Calculation of Thermal Cost to Charge (Refund) LWRF</t>
  </si>
  <si>
    <t>Assumptions</t>
  </si>
  <si>
    <t>L2</t>
  </si>
  <si>
    <t>YEC Grid load</t>
  </si>
  <si>
    <t>L3</t>
  </si>
  <si>
    <t>Fish Lake</t>
  </si>
  <si>
    <t>L4=L2+L3</t>
  </si>
  <si>
    <t>Total Grid load</t>
  </si>
  <si>
    <t>Assumed Actual Generation Sources</t>
  </si>
  <si>
    <t>L5</t>
  </si>
  <si>
    <t>YECL Fish Lake</t>
  </si>
  <si>
    <t>L6</t>
  </si>
  <si>
    <t>YEC Hydro</t>
  </si>
  <si>
    <t>assumed actual (L2-L7-L8)</t>
  </si>
  <si>
    <t>L7</t>
  </si>
  <si>
    <t>YEC Thermal</t>
  </si>
  <si>
    <t>L7a</t>
  </si>
  <si>
    <t>YEC Diesel/LNG charged to capital, RFID and maintenance</t>
  </si>
  <si>
    <t>L7a1</t>
  </si>
  <si>
    <t>L7a2</t>
  </si>
  <si>
    <t>L7b=L7-L7a</t>
  </si>
  <si>
    <t>YEC Net Diesel/LNG</t>
  </si>
  <si>
    <t>L7b1</t>
  </si>
  <si>
    <t>L7b2</t>
  </si>
  <si>
    <t>L7b3=L7b1/L7b</t>
  </si>
  <si>
    <t>Diesel % of total net thermal</t>
  </si>
  <si>
    <t>L8</t>
  </si>
  <si>
    <t>L9</t>
  </si>
  <si>
    <t>LTA Expected Generation Sources</t>
  </si>
  <si>
    <t>L10</t>
  </si>
  <si>
    <t>AEY Fish Lake (expected)</t>
  </si>
  <si>
    <t>L11</t>
  </si>
  <si>
    <t>IPPs (expected)</t>
  </si>
  <si>
    <t>L12=L9-L10-L11</t>
  </si>
  <si>
    <t>YEC Grid load net of expected Fish Lake and Wind</t>
  </si>
  <si>
    <t>L13=L12-L1c+L11</t>
  </si>
  <si>
    <t>Load Variance</t>
  </si>
  <si>
    <t>L14</t>
  </si>
  <si>
    <t>LTA Thermal Generation at Actual Load</t>
  </si>
  <si>
    <t>L15=L7b/L14</t>
  </si>
  <si>
    <t xml:space="preserve">Actual Thermal Generation as % of LTA Thermal Generation </t>
  </si>
  <si>
    <t>L16=L14</t>
  </si>
  <si>
    <t>Expected YEC Thermal Generation in Rates</t>
  </si>
  <si>
    <t>L16a</t>
  </si>
  <si>
    <t>Total thermal less LNG below.</t>
  </si>
  <si>
    <t>L16b</t>
  </si>
  <si>
    <t xml:space="preserve">90% of total thermal, subject to not exceeding total thermal less estimated diesel (when L15&gt;100%) or actual diesel (when L15&lt;100%). </t>
  </si>
  <si>
    <t>L17=L7b</t>
  </si>
  <si>
    <t>YEC Net Thermal Generation</t>
  </si>
  <si>
    <t>L17a=L7b1</t>
  </si>
  <si>
    <t>L17b=L7b2</t>
  </si>
  <si>
    <t>L18=L17-L15</t>
  </si>
  <si>
    <t>YEC Thermal Generation to be included in LWRF</t>
  </si>
  <si>
    <t>L18a=L17a-L16a</t>
  </si>
  <si>
    <t>YEC Diesel Generation to be included in LWRF</t>
  </si>
  <si>
    <t>L18b=L15b-L16b</t>
  </si>
  <si>
    <t>YEC LNG Generation to be included in LWRF</t>
  </si>
  <si>
    <t>L19=L1axL18a+L1bxL18b</t>
  </si>
  <si>
    <t>Incremental YEC Thermal Generation Cost to Charge (Refund) LWRF ($000s)</t>
  </si>
  <si>
    <t>Existing Transmission net costs</t>
  </si>
  <si>
    <t>Year End Net Cost*</t>
  </si>
  <si>
    <t>Annual Depreciation*</t>
  </si>
  <si>
    <t>Accumulated Depreciation*</t>
  </si>
  <si>
    <t>4=1-3</t>
  </si>
  <si>
    <t>Year End Net Book Value</t>
  </si>
  <si>
    <t>Rate Base [3 months of 2020 + 9 months of 2021]</t>
  </si>
  <si>
    <t>Total New Transmission Facilities Fixed Costs</t>
  </si>
  <si>
    <t>YEC's McQuesten Substation Costs**</t>
  </si>
  <si>
    <t>Year End Net Cost [net of contributions]</t>
  </si>
  <si>
    <t>Annual Depreciation</t>
  </si>
  <si>
    <t>Accumulated Depreciation</t>
  </si>
  <si>
    <t>9=6-8</t>
  </si>
  <si>
    <t>Transmission Facilities Development***</t>
  </si>
  <si>
    <t>Year End Cost</t>
  </si>
  <si>
    <t>Year End Contributions</t>
  </si>
  <si>
    <t>13=11+12</t>
  </si>
  <si>
    <t>Year End Net Cost</t>
  </si>
  <si>
    <t>16=13-15</t>
  </si>
  <si>
    <t>Rate Base [9 months]</t>
  </si>
  <si>
    <t>SVC/Statcom Costs***</t>
  </si>
  <si>
    <t>20=18+19</t>
  </si>
  <si>
    <t>23=20-22</t>
  </si>
  <si>
    <t>Rate Base [2 months]</t>
  </si>
  <si>
    <t>25=10+17+24</t>
  </si>
  <si>
    <t>Rate Base</t>
  </si>
  <si>
    <t>26=7+14+21</t>
  </si>
  <si>
    <t>Depreciation</t>
  </si>
  <si>
    <t>** VGC Group PPA Section 7.7 (b) notes Fixed Charge will include YEC’s McQuesten Substation Costs. As per section 6 (d) YEC’s McQuesten Substation Costs after VGC Group contributions at $930,563.</t>
  </si>
  <si>
    <t>Existing Transmission Facilities</t>
  </si>
  <si>
    <t>Table 1, Line 5</t>
  </si>
  <si>
    <t>Average Cost of Capital (2021 GRA Compliance Filing)</t>
  </si>
  <si>
    <t>Table 1, Line 2</t>
  </si>
  <si>
    <t>Subtotal existing facilities</t>
  </si>
  <si>
    <t>YEC's McQuesten Substation Costs [net of contributions]</t>
  </si>
  <si>
    <t>Table 1, Line 10</t>
  </si>
  <si>
    <t>Table 1, Line 7</t>
  </si>
  <si>
    <t>Subtotal new facilities</t>
  </si>
  <si>
    <t>Total Transmission Facilities Fixed Cost</t>
  </si>
  <si>
    <t>Fixed Charge at 85% of annual costs</t>
  </si>
  <si>
    <t>Fixed Charge per month</t>
  </si>
  <si>
    <t>Major Industrial Use of Transmission Facilities</t>
  </si>
  <si>
    <t>Monthly Fixed Charges, $/month</t>
  </si>
  <si>
    <t>New Transmission Facilities [net of contributions] - Excluding Statcom</t>
  </si>
  <si>
    <t>Table 1, Line 10 + Line 17</t>
  </si>
  <si>
    <t>Table 1, Line 7 + Line 14</t>
  </si>
  <si>
    <t>New Transmission Facilities [net of contributions]</t>
  </si>
  <si>
    <t>Table 1, Line 25</t>
  </si>
  <si>
    <t>Table 1, Line 26</t>
  </si>
  <si>
    <t>*** Transmission Facilities completed on March 15, 2021; SVC/Statcom on October 28, 2021.</t>
  </si>
  <si>
    <t>Jan-March 2021</t>
  </si>
  <si>
    <t>April-Oct 2021</t>
  </si>
  <si>
    <t>Nov-Dec 2021</t>
  </si>
  <si>
    <t>Table 1.1-4a) i): YEC Transmission Facilities Fixed Costs in Rate Base</t>
  </si>
  <si>
    <t>Table 1.1-4a) ii): Adjusted Transmission Facilities Fixed Charge Calculation for Jan-March 2021</t>
  </si>
  <si>
    <t>Table 1.1-4a) iii): Adjusted Transmission Facilities Fixed Charge Calculation for Apr-Oct 2021</t>
  </si>
  <si>
    <t>Table 1.1-4a) iv): Adjusted Transmission Facilities Fixed Charge Calculation for Nov-Dec 2021</t>
  </si>
  <si>
    <t>Total true-up</t>
  </si>
  <si>
    <t>Activity</t>
  </si>
  <si>
    <r>
      <t>Opening Balance</t>
    </r>
    <r>
      <rPr>
        <b/>
        <vertAlign val="superscript"/>
        <sz val="11"/>
        <color theme="1"/>
        <rFont val="Arial"/>
        <family val="2"/>
      </rPr>
      <t>1</t>
    </r>
  </si>
  <si>
    <r>
      <t>Incremental Diesel Generation Cost to Charge/(Refund)</t>
    </r>
    <r>
      <rPr>
        <vertAlign val="superscript"/>
        <sz val="11"/>
        <rFont val="Arial"/>
        <family val="2"/>
      </rPr>
      <t>2</t>
    </r>
    <r>
      <rPr>
        <sz val="11"/>
        <rFont val="Arial"/>
        <family val="2"/>
      </rPr>
      <t xml:space="preserve"> to LWRF</t>
    </r>
  </si>
  <si>
    <t>C=B</t>
  </si>
  <si>
    <t>Total LWRF operation for YEC</t>
  </si>
  <si>
    <t>YEC pays to LWRF</t>
  </si>
  <si>
    <t>YEC withdraws from LWRF</t>
  </si>
  <si>
    <t>D=A+C</t>
  </si>
  <si>
    <t>LWRF Balance after Annual Operation</t>
  </si>
  <si>
    <r>
      <t>Interest on LWRF Balance</t>
    </r>
    <r>
      <rPr>
        <b/>
        <vertAlign val="superscript"/>
        <sz val="11"/>
        <color theme="1"/>
        <rFont val="Arial"/>
        <family val="2"/>
      </rPr>
      <t>3</t>
    </r>
    <r>
      <rPr>
        <b/>
        <sz val="11"/>
        <color theme="1"/>
        <rFont val="Arial"/>
        <family val="2"/>
      </rPr>
      <t xml:space="preserve"> </t>
    </r>
  </si>
  <si>
    <t>F=D+E</t>
  </si>
  <si>
    <t>LWRF Balance after Interest charge</t>
  </si>
  <si>
    <t>Rider E (Rebate)/Collections [January - December]</t>
  </si>
  <si>
    <t>H=F+G</t>
  </si>
  <si>
    <t>LWRF Ending Balance</t>
  </si>
  <si>
    <t>I</t>
  </si>
  <si>
    <r>
      <t xml:space="preserve">LWRF Cap </t>
    </r>
    <r>
      <rPr>
        <b/>
        <vertAlign val="superscript"/>
        <sz val="11"/>
        <color theme="1"/>
        <rFont val="Arial"/>
        <family val="2"/>
      </rPr>
      <t>4</t>
    </r>
  </si>
  <si>
    <t>`+/-8000</t>
  </si>
  <si>
    <t>`+/-16000</t>
  </si>
  <si>
    <t>J</t>
  </si>
  <si>
    <t>LWRF Rebate/(Collections) Required</t>
  </si>
  <si>
    <t>1. Opening Balance is based on 2016 DCF ending balance as provided in DCF 2016 Annual Filing.</t>
  </si>
  <si>
    <t xml:space="preserve">3. Per the March 11, 1996 letter recording the settlements [provided as Exhibit B-16 in the 2008/2009 GRA] the DCF fund is to attract interest based upon the short/intermediate term bond rates in which the Companies may invest the fund and any negative balances would only attract interest at the lowest short-term borrowing rate available to the Companies through a line of credit. </t>
  </si>
  <si>
    <t xml:space="preserve">4. LWRF cap was increased to +/- $16 million as per YUB Order 2022-03. </t>
  </si>
  <si>
    <t>Table 1.1-3 c) i): LWRF Continuity Schedule</t>
  </si>
  <si>
    <t xml:space="preserve">2. 2021 is based on calculations in Table 1.1-3 c) using GRA Compliance Filing forecasts. </t>
  </si>
  <si>
    <t>2. Calculated fixed charges in the Compliance Filing reflect the following:
* full year impact of McQuesten substation net cost
* March 15, 2021 completion date for the new transmission line
* October 28, 2021 completion date for Statcom</t>
  </si>
  <si>
    <t>* 2021 cost and depreciation for the existing assets reflect retirement of portion of the transmission line as new transmission line replaced about 32 km of 52 km of existing line.</t>
  </si>
  <si>
    <t>Note: The Compliance Filing reflects removal of COVID-19 costs in the amount of $0.073 million [paragraph 134] and  amortizing the resultant balance over a period of 10 years [paragraph 135].</t>
  </si>
  <si>
    <t>Impact of reduced RS 39 fixed charge</t>
  </si>
  <si>
    <t>Rate Base adjusted for 7 months</t>
  </si>
  <si>
    <t>Depreciation adjusted for 7 months</t>
  </si>
  <si>
    <t>Rate Base adjusted for 2 months</t>
  </si>
  <si>
    <t>Depreciation adjusted for 2 months</t>
  </si>
  <si>
    <t>2018 Approved</t>
  </si>
  <si>
    <t>Actual 2018</t>
  </si>
  <si>
    <t>Actual 2019</t>
  </si>
  <si>
    <t>Forecast 2020</t>
  </si>
  <si>
    <t>Proposed 2021</t>
  </si>
  <si>
    <t>GRA Average Fuel cost</t>
  </si>
  <si>
    <t>Note 1</t>
  </si>
  <si>
    <t>Note 2</t>
  </si>
  <si>
    <t>Estimated based on LWRF Term Sheet</t>
  </si>
  <si>
    <t>1. YEC's 2021 GRA assumed Fish Lake generation at 3.628 GWh for 2021 based on information provided by AEY at the time of preparation of the GRA application. This forecast assumed that only one unit would be available in 2021. However, in 2021 actual year both units were in service. Therefore, Fish Lake expected generation for 2021 is based on long-average generation as approved by YUB Order 2014-06.</t>
  </si>
  <si>
    <t>2. IPP generation as updated for YEC's 2021 GRA Compliance Filing for YUB Order 2022-03.</t>
  </si>
  <si>
    <t>Table 1.1-3 c): LWRF calculations for 2021 [based on actuals]</t>
  </si>
  <si>
    <t>Lower fixed charges collected</t>
  </si>
  <si>
    <t>Mayo to McQuesten Transmission Line Upgrade [§258] - cost update</t>
  </si>
  <si>
    <t>Replace P125 WH2 Head Gate [§270] - cost update</t>
  </si>
  <si>
    <t>WH2 Uprate [§277, §278]  - cost update, please also see Disallowed Costs</t>
  </si>
  <si>
    <t>WH4 Uprate - Servomotor [§280, §282]  - cost update, please also see Disallowed Costs</t>
  </si>
  <si>
    <t>Dam Safety Recommendations 2017-18 [§285, §289] - cost update</t>
  </si>
  <si>
    <t>Wareham Gate Refurbishment [§285, §289] - cost update</t>
  </si>
  <si>
    <t>L177 Re Route [§285, §289] - cost update</t>
  </si>
  <si>
    <t>Transmission Line Access [§285, §289] - cost update</t>
  </si>
  <si>
    <t>Mayo Earthworks [§285, §289] - cost update</t>
  </si>
  <si>
    <t>Vehicle Purchases [§285, §289] - cost update</t>
  </si>
  <si>
    <t>Water Improvement Upgrades [§285, §289] - cost update</t>
  </si>
  <si>
    <t>Building Upgrades [§285, §289] - cost update</t>
  </si>
  <si>
    <t>WAF L178 [§265]  - cost update, please also see WIP</t>
  </si>
  <si>
    <t>Protection and Control Program [§285, §289] - cost update</t>
  </si>
  <si>
    <t>New Mobile Office Unit - IT [§285, §289] - cost update</t>
  </si>
  <si>
    <t>WH4 Ventilation [§285, §287] - please also see WIP - cost update</t>
  </si>
  <si>
    <t>FD7 Overhaul [§285, §289] - cost update</t>
  </si>
  <si>
    <t>Compact Digger Truck [§285, §289] - cost update</t>
  </si>
  <si>
    <t>Vehicle Purchases [§289] - moved to WIP</t>
  </si>
  <si>
    <t>Replace P125 WH2 Head Gate [§270]- moved to WIP</t>
  </si>
  <si>
    <t>L177 Re Route [§289]- moved to WIP</t>
  </si>
  <si>
    <t>WAF L178 [§265]- moved to WIP</t>
  </si>
  <si>
    <t>WH4 Ventilation [§285, §287]- moved to WIP</t>
  </si>
  <si>
    <t>Aishihik Relicensing – Three-Year Licence Renewal - cost update</t>
  </si>
  <si>
    <t>Mayo and Aishihik Hydro Climate Change Study - cost update</t>
  </si>
  <si>
    <t>Transmission Access Road Program Study - cost update</t>
  </si>
  <si>
    <t>IPP Standing Offer Program Implementation - cost update</t>
  </si>
  <si>
    <t>Mt. Sumanik Wind Feasibility Study - cost update</t>
  </si>
  <si>
    <t>Dam Safety Review - cost update</t>
  </si>
  <si>
    <t>Building Condition Reports 2021-2024 - cost update</t>
  </si>
  <si>
    <t>Whitehorse Diesel Rental Substation Improvements - cost update</t>
  </si>
  <si>
    <t>Enterprise Asset Management [§331] - cost update</t>
  </si>
  <si>
    <t>Atlin Hydro EPA Preparation Cost [§316, §323] - cost update, please see Studies in Progress</t>
  </si>
  <si>
    <t>Additional fixed charges to be collected for 2021</t>
  </si>
  <si>
    <t>1. The revised long-term average thermal generation for the Compliance Filing was calculated based on Table 2.1-1 in Appendix 2.1 of the Application reflecting updated 2021 generation net of IPPs at 538,724 MWh compared to 536,743 MWh in the Original Application illustrated in Table 1.1-1. The resulting LTA thermal generation for 2021 is 85,930 MWh compared to 84,306 MWh in the Original Application or increase of 1,624 MWh.</t>
  </si>
  <si>
    <t>N-1 Capacity Shortage Thermal Rental Site Electrical Infrastructure [§250] - Faro cost update</t>
  </si>
  <si>
    <t>Deferred Study Costs and Intangibles</t>
  </si>
  <si>
    <t>Less: Studies in Progress [also includes Rate Case]</t>
  </si>
  <si>
    <t>Depreciation [Apr - Dec]</t>
  </si>
  <si>
    <t>Depreciation [Nov - Dec]</t>
  </si>
  <si>
    <t>L5 + L6 + L7</t>
  </si>
  <si>
    <t>L9 + L10</t>
  </si>
  <si>
    <t>L8 / L11</t>
  </si>
  <si>
    <t>Required True-up</t>
  </si>
  <si>
    <t>Table 1.1-4a Yukon Energy Corporation 2021 GRA Compliance Filing: VCG Group and Alexco Fixed Charges</t>
  </si>
  <si>
    <t>3. The fixed charges for Jan-April 2022 are based on YEC's Limited Scope Application filed on April 8, 2022.</t>
  </si>
  <si>
    <t>1. Jan-March 2022 YEC sales are based on preliminary actuals. April-December 2022 sales are based on forecasts prepared for 2022 Business Plan. The forecast industrial sales for 2023 and Jan-May 2023 are assumed at 2022 forecast level [based on information available for YEC at the time of this filing]. AEY revenues are based on information provided by AEY for 2022 and 2023.</t>
  </si>
  <si>
    <t>ERP System Upgrades Project [§335] - cost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</si>
</sst>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quot;$&quot;#,##0"/>
    <numFmt numFmtId="6" formatCode="&quot;$&quot;#,##0;[Red]\-&quot;$&quot;#,##0"/>
    <numFmt numFmtId="44" formatCode="_-&quot;$&quot;* #,##0.00_-;\-&quot;$&quot;* #,##0.00_-;_-&quot;$&quot;* &quot;-&quot;??_-;_-@_-"/>
    <numFmt numFmtId="43" formatCode="_-* #,##0.00_-;\-* #,##0.00_-;_-* &quot;-&quot;??_-;_-@_-"/>
    <numFmt numFmtId="164" formatCode="_-* #,##0_-;\-* #,##0_-;_-* &quot;-&quot;??_-;_-@_-"/>
    <numFmt numFmtId="165" formatCode="0.000"/>
    <numFmt numFmtId="166" formatCode="0.0000%"/>
    <numFmt numFmtId="167" formatCode="_(* #,##0.00_);_(* \(#,##0.00\);_(* &quot;-&quot;??_);_(@_)"/>
    <numFmt numFmtId="168" formatCode="#,##0.0"/>
    <numFmt numFmtId="169" formatCode="_-* #,##0.0_-;\-* #,##0.0_-;_-* &quot;-&quot;??_-;_-@_-"/>
    <numFmt numFmtId="170" formatCode="_(* #,##0_);_(* \(#,##0\);_(* &quot;-&quot;??_);_(@_)"/>
    <numFmt numFmtId="171" formatCode="0.0%"/>
    <numFmt numFmtId="172" formatCode="General_)"/>
    <numFmt numFmtId="173" formatCode="_(&quot;$&quot;* #,##0.00_);_(&quot;$&quot;* \(#,##0.00\);_(&quot;$&quot;* &quot;-&quot;??_);_(@_)"/>
    <numFmt numFmtId="174" formatCode="&quot;$&quot;#,##0"/>
    <numFmt numFmtId="175" formatCode="&quot;$&quot;#,##0.0000"/>
    <numFmt numFmtId="176" formatCode="&quot;$&quot;#,##0.0"/>
    <numFmt numFmtId="177" formatCode="#,##0_ ;\-#,##0\ "/>
    <numFmt numFmtId="178" formatCode="&quot;$&quot;#,##0.00"/>
    <numFmt numFmtId="179" formatCode="_(&quot;$&quot;* #,##0_);_(&quot;$&quot;* \(#,##0\);_(&quot;$&quot;* &quot;-&quot;_);_(@_)"/>
    <numFmt numFmtId="180" formatCode="&quot;$&quot;#,##0_);[Red]\(&quot;$&quot;#,##0\)"/>
    <numFmt numFmtId="181" formatCode="&quot;$&quot;#,##0_);\(&quot;$&quot;#,##0\)"/>
    <numFmt numFmtId="182" formatCode="_-&quot;$&quot;* #,##0_-;\(&quot;$&quot;#,##0\)_-;_-&quot;$&quot;* &quot;-&quot;??_-;_-@_-"/>
    <numFmt numFmtId="183" formatCode="_-&quot;$&quot;* #,##0.000000_-;\-&quot;$&quot;* #,##0.000000_-;_-&quot;$&quot;* &quot;-&quot;??_-;_-@_-"/>
    <numFmt numFmtId="184" formatCode="0.000%"/>
    <numFmt numFmtId="185" formatCode="0.0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indexed="8"/>
      <name val="Arial"/>
      <family val="2"/>
    </font>
    <font>
      <sz val="10"/>
      <color indexed="8"/>
      <name val="Arial"/>
      <family val="2"/>
    </font>
    <font>
      <b/>
      <sz val="10"/>
      <color theme="1"/>
      <name val="Tahoma"/>
      <family val="2"/>
    </font>
    <font>
      <u/>
      <sz val="10"/>
      <color theme="1"/>
      <name val="Arial"/>
      <family val="2"/>
    </font>
    <font>
      <sz val="10"/>
      <color theme="1"/>
      <name val="Tahoma"/>
      <family val="2"/>
    </font>
    <font>
      <sz val="11"/>
      <color theme="1"/>
      <name val="Arial"/>
      <family val="2"/>
    </font>
    <font>
      <vertAlign val="superscript"/>
      <sz val="10"/>
      <color theme="1"/>
      <name val="Arial"/>
      <family val="2"/>
    </font>
    <font>
      <sz val="10"/>
      <name val="Arial"/>
      <family val="2"/>
    </font>
    <font>
      <b/>
      <sz val="14"/>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sz val="10"/>
      <color theme="1"/>
      <name val="Calibri"/>
      <family val="2"/>
      <scheme val="minor"/>
    </font>
    <font>
      <b/>
      <sz val="10"/>
      <color theme="1"/>
      <name val="Calibri"/>
      <family val="2"/>
      <scheme val="minor"/>
    </font>
    <font>
      <b/>
      <sz val="11"/>
      <color theme="1"/>
      <name val="Arial"/>
      <family val="2"/>
    </font>
    <font>
      <b/>
      <sz val="10"/>
      <name val="Arial"/>
      <family val="2"/>
    </font>
    <font>
      <b/>
      <vertAlign val="superscript"/>
      <sz val="10"/>
      <name val="Arial"/>
      <family val="2"/>
    </font>
    <font>
      <sz val="10"/>
      <name val="Helv"/>
    </font>
    <font>
      <sz val="10"/>
      <name val="Courier"/>
      <family val="3"/>
    </font>
    <font>
      <sz val="10"/>
      <name val="MS Sans Serif"/>
      <family val="2"/>
    </font>
    <font>
      <b/>
      <sz val="11"/>
      <name val="Arial"/>
      <family val="2"/>
    </font>
    <font>
      <sz val="10"/>
      <name val="Tahoma"/>
      <family val="2"/>
    </font>
    <font>
      <b/>
      <sz val="10"/>
      <name val="Tahoma"/>
      <family val="2"/>
    </font>
    <font>
      <b/>
      <sz val="10"/>
      <color indexed="8"/>
      <name val="Tahoma"/>
      <family val="2"/>
    </font>
    <font>
      <sz val="10"/>
      <color indexed="8"/>
      <name val="Tahoma"/>
      <family val="2"/>
    </font>
    <font>
      <u/>
      <sz val="11"/>
      <color theme="1"/>
      <name val="Calibri"/>
      <family val="2"/>
      <scheme val="minor"/>
    </font>
    <font>
      <b/>
      <sz val="12"/>
      <color theme="1"/>
      <name val="Tahoma"/>
      <family val="2"/>
    </font>
    <font>
      <i/>
      <sz val="9"/>
      <color theme="1"/>
      <name val="Calibri"/>
      <family val="2"/>
      <scheme val="minor"/>
    </font>
    <font>
      <i/>
      <sz val="8"/>
      <color theme="1"/>
      <name val="Arial"/>
      <family val="2"/>
    </font>
    <font>
      <sz val="8"/>
      <color theme="1"/>
      <name val="Arial"/>
      <family val="2"/>
    </font>
    <font>
      <sz val="14"/>
      <color rgb="FF0000FF"/>
      <name val="Tahoma"/>
      <family val="2"/>
    </font>
    <font>
      <sz val="11"/>
      <color theme="1"/>
      <name val="Calibri"/>
      <family val="2"/>
    </font>
    <font>
      <sz val="8"/>
      <name val="Calibri"/>
      <family val="2"/>
      <scheme val="minor"/>
    </font>
    <font>
      <b/>
      <sz val="12"/>
      <color indexed="8"/>
      <name val="Tahoma"/>
      <family val="2"/>
    </font>
    <font>
      <sz val="12"/>
      <color theme="1"/>
      <name val="Tahoma"/>
      <family val="2"/>
    </font>
    <font>
      <sz val="12"/>
      <color indexed="8"/>
      <name val="Tahoma"/>
      <family val="2"/>
    </font>
    <font>
      <sz val="10"/>
      <color theme="0"/>
      <name val="Tahoma"/>
      <family val="2"/>
    </font>
    <font>
      <sz val="11"/>
      <color rgb="FF000000"/>
      <name val="Calibri"/>
      <family val="2"/>
      <scheme val="minor"/>
    </font>
    <font>
      <sz val="11"/>
      <name val="Arial"/>
      <family val="2"/>
    </font>
    <font>
      <b/>
      <u/>
      <sz val="11"/>
      <name val="Arial"/>
      <family val="2"/>
    </font>
    <font>
      <i/>
      <sz val="10"/>
      <name val="Arial"/>
      <family val="2"/>
    </font>
    <font>
      <i/>
      <sz val="11"/>
      <name val="Arial"/>
      <family val="2"/>
    </font>
    <font>
      <b/>
      <u/>
      <sz val="10"/>
      <color rgb="FF000000"/>
      <name val="Arial"/>
      <family val="2"/>
    </font>
    <font>
      <b/>
      <sz val="10"/>
      <color rgb="FF000000"/>
      <name val="Arial"/>
      <family val="2"/>
    </font>
    <font>
      <b/>
      <u/>
      <sz val="10"/>
      <name val="Arial"/>
      <family val="2"/>
    </font>
    <font>
      <sz val="10"/>
      <color rgb="FF000000"/>
      <name val="Arial"/>
      <family val="2"/>
    </font>
    <font>
      <b/>
      <i/>
      <sz val="10"/>
      <name val="Arial"/>
      <family val="2"/>
    </font>
    <font>
      <b/>
      <vertAlign val="superscript"/>
      <sz val="11"/>
      <color theme="1"/>
      <name val="Arial"/>
      <family val="2"/>
    </font>
    <font>
      <vertAlign val="superscript"/>
      <sz val="11"/>
      <name val="Arial"/>
      <family val="2"/>
    </font>
    <font>
      <b/>
      <u/>
      <sz val="11"/>
      <color theme="1"/>
      <name val="Arial"/>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7" tint="0.39997558519241921"/>
        <bgColor indexed="65"/>
      </patternFill>
    </fill>
  </fills>
  <borders count="15">
    <border>
      <left/>
      <right/>
      <top/>
      <bottom/>
      <diagonal/>
    </border>
    <border>
      <left/>
      <right/>
      <top/>
      <bottom style="double">
        <color auto="1"/>
      </bottom>
      <diagonal/>
    </border>
    <border>
      <left/>
      <right/>
      <top/>
      <bottom style="thin">
        <color indexed="64"/>
      </bottom>
      <diagonal/>
    </border>
    <border>
      <left/>
      <right/>
      <top style="thin">
        <color auto="1"/>
      </top>
      <bottom style="double">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diagonal/>
    </border>
    <border>
      <left/>
      <right/>
      <top/>
      <bottom style="medium">
        <color indexed="64"/>
      </bottom>
      <diagonal/>
    </border>
    <border>
      <left style="thin">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medium">
        <color indexed="6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9" fillId="0" borderId="0"/>
    <xf numFmtId="43" fontId="1"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167"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 fillId="0" borderId="0"/>
    <xf numFmtId="4" fontId="23"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72" fontId="24" fillId="0" borderId="0"/>
    <xf numFmtId="40" fontId="25" fillId="0" borderId="0" applyFont="0" applyFill="0" applyBorder="0" applyAlignment="0" applyProtection="0"/>
    <xf numFmtId="167" fontId="12" fillId="0" borderId="0" applyFont="0" applyFill="0" applyBorder="0" applyAlignment="0" applyProtection="0"/>
    <xf numFmtId="173" fontId="12" fillId="0" borderId="0" applyFont="0" applyFill="0" applyBorder="0" applyAlignment="0" applyProtection="0"/>
    <xf numFmtId="0" fontId="3" fillId="0" borderId="0"/>
    <xf numFmtId="170" fontId="12"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73" fontId="1" fillId="0" borderId="0" applyFont="0" applyFill="0" applyBorder="0" applyAlignment="0" applyProtection="0"/>
    <xf numFmtId="9" fontId="37" fillId="0" borderId="0" applyFont="0" applyFill="0" applyBorder="0" applyAlignment="0" applyProtection="0"/>
    <xf numFmtId="0" fontId="37" fillId="0" borderId="0"/>
    <xf numFmtId="9" fontId="37" fillId="0" borderId="0" applyFont="0" applyFill="0" applyBorder="0" applyAlignment="0" applyProtection="0"/>
    <xf numFmtId="43" fontId="12" fillId="0" borderId="0" applyFont="0" applyFill="0" applyBorder="0" applyAlignment="0" applyProtection="0"/>
    <xf numFmtId="0" fontId="12" fillId="0" borderId="0"/>
    <xf numFmtId="167" fontId="1" fillId="0" borderId="0" applyFont="0" applyFill="0" applyBorder="0" applyAlignment="0" applyProtection="0"/>
    <xf numFmtId="0" fontId="42" fillId="5" borderId="0" applyNumberFormat="0" applyBorder="0" applyAlignment="0" applyProtection="0"/>
    <xf numFmtId="9" fontId="9" fillId="0" borderId="0" applyFont="0" applyFill="0" applyBorder="0" applyAlignment="0" applyProtection="0"/>
    <xf numFmtId="0" fontId="12" fillId="0" borderId="0"/>
    <xf numFmtId="0" fontId="1" fillId="0" borderId="0"/>
    <xf numFmtId="43" fontId="1" fillId="0" borderId="0" applyFont="0" applyFill="0" applyBorder="0" applyAlignment="0" applyProtection="0"/>
  </cellStyleXfs>
  <cellXfs count="434">
    <xf numFmtId="0" fontId="0" fillId="0" borderId="0" xfId="0"/>
    <xf numFmtId="0" fontId="3" fillId="0" borderId="0" xfId="0" applyFont="1" applyAlignment="1">
      <alignment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xf numFmtId="0" fontId="0" fillId="0" borderId="0" xfId="0" applyAlignment="1">
      <alignment vertical="center"/>
    </xf>
    <xf numFmtId="0" fontId="4" fillId="0" borderId="0" xfId="0" applyFont="1" applyAlignment="1">
      <alignment vertical="center"/>
    </xf>
    <xf numFmtId="164" fontId="3" fillId="0" borderId="0" xfId="1" applyNumberFormat="1" applyFont="1" applyAlignment="1">
      <alignment vertical="center"/>
    </xf>
    <xf numFmtId="3" fontId="3" fillId="0" borderId="0" xfId="1" applyNumberFormat="1" applyFont="1" applyAlignment="1">
      <alignment vertical="center"/>
    </xf>
    <xf numFmtId="3" fontId="3" fillId="0" borderId="0" xfId="0" applyNumberFormat="1" applyFont="1" applyAlignment="1">
      <alignment vertical="center"/>
    </xf>
    <xf numFmtId="0" fontId="4" fillId="0" borderId="0" xfId="0" applyFont="1" applyAlignment="1">
      <alignment horizontal="center" vertical="center"/>
    </xf>
    <xf numFmtId="3" fontId="4" fillId="0" borderId="0" xfId="0" applyNumberFormat="1" applyFont="1" applyAlignment="1">
      <alignment vertical="center"/>
    </xf>
    <xf numFmtId="3" fontId="4" fillId="0" borderId="0" xfId="1"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164" fontId="0" fillId="0" borderId="0" xfId="1" applyNumberFormat="1" applyFont="1" applyAlignment="1">
      <alignment vertical="center"/>
    </xf>
    <xf numFmtId="0" fontId="7" fillId="0" borderId="0" xfId="0" applyFont="1" applyAlignment="1">
      <alignment horizontal="center"/>
    </xf>
    <xf numFmtId="0" fontId="3" fillId="0" borderId="0" xfId="0" applyFont="1" applyAlignment="1">
      <alignment horizontal="justify" vertical="top" wrapText="1"/>
    </xf>
    <xf numFmtId="6" fontId="3" fillId="0" borderId="0" xfId="0" applyNumberFormat="1" applyFont="1" applyAlignment="1">
      <alignment horizontal="right" vertical="top" wrapText="1"/>
    </xf>
    <xf numFmtId="6" fontId="3" fillId="0" borderId="2" xfId="0" applyNumberFormat="1" applyFont="1" applyBorder="1" applyAlignment="1">
      <alignment horizontal="right" vertical="top" wrapText="1"/>
    </xf>
    <xf numFmtId="6" fontId="8" fillId="0" borderId="0" xfId="0" applyNumberFormat="1" applyFont="1" applyAlignment="1">
      <alignment horizontal="right" vertical="top" wrapText="1"/>
    </xf>
    <xf numFmtId="6" fontId="8" fillId="0" borderId="0" xfId="0" applyNumberFormat="1" applyFont="1" applyAlignment="1">
      <alignment horizontal="right" wrapText="1"/>
    </xf>
    <xf numFmtId="0" fontId="3" fillId="0" borderId="0" xfId="3" applyFont="1" applyAlignment="1">
      <alignment horizontal="center" vertical="center"/>
    </xf>
    <xf numFmtId="0" fontId="4" fillId="0" borderId="0" xfId="3" applyFont="1" applyAlignment="1">
      <alignment horizontal="center" vertical="center"/>
    </xf>
    <xf numFmtId="164" fontId="3" fillId="0" borderId="0" xfId="4" applyNumberFormat="1" applyFont="1" applyAlignment="1">
      <alignment horizontal="right" vertical="center"/>
    </xf>
    <xf numFmtId="0" fontId="3" fillId="0" borderId="0" xfId="3" applyFont="1" applyAlignment="1">
      <alignment horizontal="left" vertical="center"/>
    </xf>
    <xf numFmtId="0" fontId="3" fillId="0" borderId="0" xfId="3" quotePrefix="1" applyFont="1" applyAlignment="1">
      <alignment horizontal="center" vertical="center"/>
    </xf>
    <xf numFmtId="0" fontId="4" fillId="0" borderId="3" xfId="3" applyFont="1" applyBorder="1" applyAlignment="1">
      <alignment horizontal="left" vertical="center"/>
    </xf>
    <xf numFmtId="0" fontId="3" fillId="0" borderId="3" xfId="3" quotePrefix="1" applyFont="1" applyBorder="1" applyAlignment="1">
      <alignment horizontal="center" vertical="center"/>
    </xf>
    <xf numFmtId="165" fontId="3" fillId="0" borderId="3" xfId="3" applyNumberFormat="1" applyFont="1" applyBorder="1" applyAlignment="1">
      <alignment horizontal="center" vertical="center"/>
    </xf>
    <xf numFmtId="164" fontId="3" fillId="0" borderId="3" xfId="4" applyNumberFormat="1" applyFont="1" applyBorder="1" applyAlignment="1">
      <alignment horizontal="right" vertical="center"/>
    </xf>
    <xf numFmtId="0" fontId="12" fillId="0" borderId="0" xfId="3" applyFont="1" applyAlignment="1">
      <alignment vertical="center" wrapText="1"/>
    </xf>
    <xf numFmtId="10" fontId="3" fillId="0" borderId="0" xfId="5" applyNumberFormat="1" applyFont="1" applyAlignment="1">
      <alignment horizontal="right" vertical="center"/>
    </xf>
    <xf numFmtId="10" fontId="3" fillId="0" borderId="0" xfId="2" applyNumberFormat="1" applyFont="1" applyAlignment="1">
      <alignment horizontal="right" vertical="center"/>
    </xf>
    <xf numFmtId="0" fontId="3" fillId="0" borderId="0" xfId="0" applyFont="1"/>
    <xf numFmtId="10" fontId="3" fillId="0" borderId="0" xfId="0" applyNumberFormat="1" applyFont="1"/>
    <xf numFmtId="0" fontId="13" fillId="0" borderId="0" xfId="7" applyFont="1" applyAlignment="1">
      <alignment horizontal="centerContinuous" vertical="center"/>
    </xf>
    <xf numFmtId="0" fontId="14" fillId="0" borderId="0" xfId="7" applyFont="1" applyAlignment="1">
      <alignment horizontal="centerContinuous" vertical="center"/>
    </xf>
    <xf numFmtId="0" fontId="14" fillId="0" borderId="0" xfId="7" applyFont="1" applyAlignment="1">
      <alignment horizontal="center" vertical="center"/>
    </xf>
    <xf numFmtId="0" fontId="15" fillId="0" borderId="0" xfId="7" applyFont="1" applyAlignment="1">
      <alignment horizontal="center" vertical="center"/>
    </xf>
    <xf numFmtId="164" fontId="14" fillId="0" borderId="0" xfId="7" applyNumberFormat="1" applyFont="1" applyAlignment="1">
      <alignment horizontal="center" vertical="center"/>
    </xf>
    <xf numFmtId="0" fontId="15" fillId="0" borderId="4" xfId="7" applyFont="1" applyBorder="1" applyAlignment="1">
      <alignment horizontal="left" vertical="center" wrapText="1"/>
    </xf>
    <xf numFmtId="3" fontId="15" fillId="0" borderId="4" xfId="8" applyNumberFormat="1" applyFont="1" applyBorder="1" applyAlignment="1">
      <alignment horizontal="right" vertical="center"/>
    </xf>
    <xf numFmtId="164" fontId="14" fillId="0" borderId="0" xfId="8" applyNumberFormat="1" applyFont="1" applyAlignment="1">
      <alignment horizontal="center" vertical="center"/>
    </xf>
    <xf numFmtId="43" fontId="14" fillId="0" borderId="0" xfId="7" applyNumberFormat="1" applyFont="1" applyAlignment="1">
      <alignment horizontal="center" vertical="center"/>
    </xf>
    <xf numFmtId="0" fontId="15" fillId="0" borderId="0" xfId="7" applyFont="1" applyAlignment="1">
      <alignment horizontal="left" vertical="center" wrapText="1"/>
    </xf>
    <xf numFmtId="3" fontId="15" fillId="0" borderId="0" xfId="8" applyNumberFormat="1" applyFont="1" applyAlignment="1">
      <alignment horizontal="right" vertical="center"/>
    </xf>
    <xf numFmtId="0" fontId="15" fillId="0" borderId="0" xfId="7" applyFont="1" applyAlignment="1">
      <alignment horizontal="left" vertical="center" wrapText="1" indent="2"/>
    </xf>
    <xf numFmtId="0" fontId="15" fillId="0" borderId="4" xfId="7" applyFont="1" applyBorder="1" applyAlignment="1">
      <alignment horizontal="left" vertical="center" wrapText="1" indent="3"/>
    </xf>
    <xf numFmtId="0" fontId="14" fillId="0" borderId="0" xfId="7" applyFont="1" applyAlignment="1">
      <alignment horizontal="left" vertical="center" wrapText="1" indent="3"/>
    </xf>
    <xf numFmtId="3" fontId="14" fillId="0" borderId="0" xfId="8" applyNumberFormat="1" applyFont="1" applyAlignment="1">
      <alignment horizontal="right" vertical="center"/>
    </xf>
    <xf numFmtId="3" fontId="16" fillId="0" borderId="0" xfId="8" applyNumberFormat="1" applyFont="1" applyAlignment="1">
      <alignment horizontal="right" vertical="center"/>
    </xf>
    <xf numFmtId="3" fontId="14" fillId="0" borderId="0" xfId="7" applyNumberFormat="1" applyFont="1" applyAlignment="1">
      <alignment horizontal="center" vertical="center"/>
    </xf>
    <xf numFmtId="0" fontId="16" fillId="0" borderId="0" xfId="7" applyFont="1" applyAlignment="1">
      <alignment horizontal="left" vertical="center" wrapText="1" indent="3"/>
    </xf>
    <xf numFmtId="0" fontId="17" fillId="0" borderId="4" xfId="7" applyFont="1" applyBorder="1" applyAlignment="1">
      <alignment horizontal="left" vertical="center" wrapText="1" indent="3"/>
    </xf>
    <xf numFmtId="3" fontId="17" fillId="0" borderId="4" xfId="8" applyNumberFormat="1" applyFont="1" applyBorder="1" applyAlignment="1">
      <alignment horizontal="right" vertical="center"/>
    </xf>
    <xf numFmtId="3" fontId="16" fillId="0" borderId="2" xfId="8" applyNumberFormat="1" applyFont="1" applyBorder="1" applyAlignment="1">
      <alignment horizontal="right" vertical="center"/>
    </xf>
    <xf numFmtId="0" fontId="17" fillId="0" borderId="0" xfId="7" applyFont="1" applyAlignment="1">
      <alignment horizontal="left" vertical="center" wrapText="1" indent="3"/>
    </xf>
    <xf numFmtId="3" fontId="17" fillId="0" borderId="0" xfId="8" applyNumberFormat="1" applyFont="1" applyAlignment="1">
      <alignment horizontal="right" vertical="center"/>
    </xf>
    <xf numFmtId="0" fontId="16" fillId="0" borderId="0" xfId="7" applyFont="1" applyAlignment="1">
      <alignment horizontal="left" vertical="center" wrapText="1" indent="5"/>
    </xf>
    <xf numFmtId="0" fontId="15" fillId="0" borderId="2" xfId="7" applyFont="1" applyBorder="1" applyAlignment="1">
      <alignment horizontal="left" vertical="center"/>
    </xf>
    <xf numFmtId="3" fontId="15" fillId="0" borderId="2" xfId="8" applyNumberFormat="1" applyFont="1" applyBorder="1" applyAlignment="1">
      <alignment horizontal="right" vertical="center"/>
    </xf>
    <xf numFmtId="0" fontId="14" fillId="0" borderId="0" xfId="7" applyFont="1" applyAlignment="1">
      <alignment horizontal="left" vertical="center"/>
    </xf>
    <xf numFmtId="3" fontId="16" fillId="0" borderId="0" xfId="2" applyNumberFormat="1" applyFont="1" applyAlignment="1">
      <alignment horizontal="right" vertical="center"/>
    </xf>
    <xf numFmtId="0" fontId="15" fillId="0" borderId="0" xfId="7" applyFont="1" applyAlignment="1">
      <alignment horizontal="left" vertical="center"/>
    </xf>
    <xf numFmtId="10" fontId="16" fillId="0" borderId="0" xfId="2" applyNumberFormat="1" applyFont="1" applyAlignment="1">
      <alignment horizontal="right" vertical="center"/>
    </xf>
    <xf numFmtId="10" fontId="14" fillId="0" borderId="0" xfId="2" applyNumberFormat="1" applyFont="1" applyAlignment="1">
      <alignment horizontal="right" vertical="center"/>
    </xf>
    <xf numFmtId="0" fontId="16" fillId="0" borderId="0" xfId="7" applyFont="1" applyAlignment="1">
      <alignment horizontal="left" vertical="center" wrapText="1" indent="2"/>
    </xf>
    <xf numFmtId="0" fontId="16" fillId="0" borderId="2" xfId="7" applyFont="1" applyBorder="1" applyAlignment="1">
      <alignment horizontal="left" vertical="center" indent="4"/>
    </xf>
    <xf numFmtId="3" fontId="14" fillId="0" borderId="2" xfId="8" applyNumberFormat="1" applyFont="1" applyBorder="1" applyAlignment="1">
      <alignment horizontal="right" vertical="center"/>
    </xf>
    <xf numFmtId="0" fontId="16" fillId="0" borderId="0" xfId="7" applyFont="1" applyAlignment="1">
      <alignment horizontal="left" vertical="center" indent="2"/>
    </xf>
    <xf numFmtId="0" fontId="16" fillId="0" borderId="0" xfId="7" applyFont="1" applyAlignment="1">
      <alignment horizontal="left" vertical="center" indent="4"/>
    </xf>
    <xf numFmtId="169" fontId="14" fillId="0" borderId="0" xfId="7" applyNumberFormat="1" applyFont="1" applyAlignment="1">
      <alignment horizontal="center" vertical="center"/>
    </xf>
    <xf numFmtId="0" fontId="14" fillId="0" borderId="0" xfId="7" applyFont="1" applyAlignment="1">
      <alignment vertical="center" wrapText="1"/>
    </xf>
    <xf numFmtId="3" fontId="14" fillId="0" borderId="0" xfId="2" applyNumberFormat="1" applyFont="1" applyAlignment="1">
      <alignment horizontal="right" vertical="center"/>
    </xf>
    <xf numFmtId="3" fontId="14" fillId="0" borderId="0" xfId="7" applyNumberFormat="1" applyFont="1" applyAlignment="1">
      <alignment horizontal="right" vertical="center"/>
    </xf>
    <xf numFmtId="0" fontId="18" fillId="0" borderId="0" xfId="7" applyFont="1" applyAlignment="1">
      <alignment horizontal="left" indent="4"/>
    </xf>
    <xf numFmtId="0" fontId="14" fillId="0" borderId="0" xfId="7" applyFont="1" applyAlignment="1">
      <alignment horizontal="left" vertical="center" wrapText="1" indent="2"/>
    </xf>
    <xf numFmtId="0" fontId="19" fillId="0" borderId="0" xfId="7" applyFont="1" applyAlignment="1">
      <alignment horizontal="left" indent="4"/>
    </xf>
    <xf numFmtId="164" fontId="15" fillId="0" borderId="0" xfId="8" applyNumberFormat="1" applyFont="1" applyAlignment="1">
      <alignment horizontal="center" vertical="center"/>
    </xf>
    <xf numFmtId="164" fontId="15" fillId="0" borderId="0" xfId="7" applyNumberFormat="1" applyFont="1" applyAlignment="1">
      <alignment horizontal="center" vertical="center"/>
    </xf>
    <xf numFmtId="0" fontId="14" fillId="0" borderId="0" xfId="7" applyFont="1" applyAlignment="1">
      <alignment horizontal="left" vertical="center" wrapText="1"/>
    </xf>
    <xf numFmtId="0" fontId="16" fillId="0" borderId="0" xfId="7" applyFont="1" applyAlignment="1">
      <alignment horizontal="left" vertical="center" wrapText="1" indent="4"/>
    </xf>
    <xf numFmtId="0" fontId="16" fillId="0" borderId="0" xfId="7" applyFont="1" applyAlignment="1">
      <alignment horizontal="left" vertical="center" wrapText="1" indent="6"/>
    </xf>
    <xf numFmtId="0" fontId="10" fillId="0" borderId="0" xfId="7" applyFont="1"/>
    <xf numFmtId="0" fontId="20" fillId="0" borderId="0" xfId="7" applyFont="1" applyAlignment="1">
      <alignment horizontal="right"/>
    </xf>
    <xf numFmtId="0" fontId="20" fillId="0" borderId="0" xfId="7" applyFont="1" applyAlignment="1">
      <alignment horizontal="centerContinuous"/>
    </xf>
    <xf numFmtId="0" fontId="10" fillId="0" borderId="0" xfId="7" applyFont="1" applyAlignment="1">
      <alignment horizontal="centerContinuous"/>
    </xf>
    <xf numFmtId="0" fontId="20" fillId="0" borderId="5" xfId="7" applyFont="1" applyBorder="1" applyAlignment="1">
      <alignment horizontal="center" vertical="center" wrapText="1"/>
    </xf>
    <xf numFmtId="0" fontId="20" fillId="0" borderId="0" xfId="7" applyFont="1"/>
    <xf numFmtId="0" fontId="20" fillId="0" borderId="0" xfId="7" applyFont="1" applyAlignment="1">
      <alignment horizontal="center"/>
    </xf>
    <xf numFmtId="6" fontId="20" fillId="0" borderId="0" xfId="7" quotePrefix="1" applyNumberFormat="1" applyFont="1" applyAlignment="1">
      <alignment horizontal="center"/>
    </xf>
    <xf numFmtId="0" fontId="20" fillId="0" borderId="0" xfId="7" applyFont="1" applyAlignment="1">
      <alignment horizontal="left"/>
    </xf>
    <xf numFmtId="0" fontId="10" fillId="0" borderId="0" xfId="7" applyFont="1" applyAlignment="1">
      <alignment horizontal="center"/>
    </xf>
    <xf numFmtId="0" fontId="10" fillId="0" borderId="0" xfId="7" applyFont="1" applyAlignment="1">
      <alignment horizontal="left" indent="2"/>
    </xf>
    <xf numFmtId="49" fontId="10" fillId="0" borderId="0" xfId="7" applyNumberFormat="1" applyFont="1" applyAlignment="1">
      <alignment horizontal="center"/>
    </xf>
    <xf numFmtId="168" fontId="10" fillId="0" borderId="0" xfId="7" applyNumberFormat="1" applyFont="1"/>
    <xf numFmtId="168" fontId="10" fillId="0" borderId="2" xfId="7" applyNumberFormat="1" applyFont="1" applyBorder="1"/>
    <xf numFmtId="0" fontId="20" fillId="0" borderId="0" xfId="7" applyFont="1" applyAlignment="1">
      <alignment horizontal="left" indent="2"/>
    </xf>
    <xf numFmtId="49" fontId="20" fillId="0" borderId="0" xfId="7" applyNumberFormat="1" applyFont="1" applyAlignment="1">
      <alignment horizontal="center"/>
    </xf>
    <xf numFmtId="168" fontId="20" fillId="0" borderId="0" xfId="7" applyNumberFormat="1" applyFont="1"/>
    <xf numFmtId="49" fontId="10" fillId="0" borderId="0" xfId="7" applyNumberFormat="1" applyFont="1" applyAlignment="1">
      <alignment horizontal="center" wrapText="1"/>
    </xf>
    <xf numFmtId="10" fontId="20" fillId="0" borderId="0" xfId="2" applyNumberFormat="1" applyFont="1"/>
    <xf numFmtId="0" fontId="12" fillId="0" borderId="0" xfId="9" applyAlignment="1">
      <alignment horizontal="center"/>
    </xf>
    <xf numFmtId="0" fontId="12" fillId="0" borderId="0" xfId="9"/>
    <xf numFmtId="0" fontId="21" fillId="0" borderId="0" xfId="9" applyFont="1" applyAlignment="1">
      <alignment horizontal="centerContinuous"/>
    </xf>
    <xf numFmtId="0" fontId="12" fillId="0" borderId="0" xfId="9" applyAlignment="1">
      <alignment horizontal="centerContinuous"/>
    </xf>
    <xf numFmtId="0" fontId="21" fillId="0" borderId="0" xfId="9" applyFont="1"/>
    <xf numFmtId="0" fontId="21" fillId="0" borderId="0" xfId="9" applyFont="1" applyAlignment="1">
      <alignment horizontal="center" vertical="center" wrapText="1"/>
    </xf>
    <xf numFmtId="0" fontId="21" fillId="0" borderId="6" xfId="9" applyFont="1" applyBorder="1" applyAlignment="1">
      <alignment horizontal="center" vertical="center" wrapText="1"/>
    </xf>
    <xf numFmtId="0" fontId="21" fillId="0" borderId="0" xfId="9" quotePrefix="1" applyFont="1" applyAlignment="1">
      <alignment horizontal="center" vertical="center" wrapText="1"/>
    </xf>
    <xf numFmtId="0" fontId="21" fillId="0" borderId="0" xfId="9" applyFont="1" applyAlignment="1">
      <alignment horizontal="left"/>
    </xf>
    <xf numFmtId="0" fontId="12" fillId="0" borderId="0" xfId="9" applyAlignment="1">
      <alignment horizontal="center" vertical="center" wrapText="1"/>
    </xf>
    <xf numFmtId="169" fontId="3" fillId="0" borderId="0" xfId="10" applyNumberFormat="1" applyFont="1"/>
    <xf numFmtId="43" fontId="3" fillId="0" borderId="0" xfId="10" applyFont="1"/>
    <xf numFmtId="43" fontId="12" fillId="0" borderId="0" xfId="9" applyNumberFormat="1"/>
    <xf numFmtId="0" fontId="0" fillId="0" borderId="0" xfId="9" applyFont="1"/>
    <xf numFmtId="169" fontId="21" fillId="0" borderId="0" xfId="10" applyNumberFormat="1" applyFont="1"/>
    <xf numFmtId="43" fontId="21" fillId="0" borderId="0" xfId="10" applyFont="1"/>
    <xf numFmtId="169" fontId="12" fillId="0" borderId="0" xfId="10" applyNumberFormat="1"/>
    <xf numFmtId="0" fontId="21" fillId="0" borderId="0" xfId="9" applyFont="1" applyAlignment="1">
      <alignment horizontal="center"/>
    </xf>
    <xf numFmtId="0" fontId="21" fillId="0" borderId="2" xfId="9" applyFont="1" applyBorder="1"/>
    <xf numFmtId="169" fontId="21" fillId="0" borderId="2" xfId="10" applyNumberFormat="1" applyFont="1" applyBorder="1"/>
    <xf numFmtId="43" fontId="21" fillId="0" borderId="2" xfId="10" applyFont="1" applyBorder="1"/>
    <xf numFmtId="169" fontId="21" fillId="0" borderId="0" xfId="11" applyNumberFormat="1" applyFont="1"/>
    <xf numFmtId="43" fontId="21" fillId="0" borderId="0" xfId="11" applyFont="1"/>
    <xf numFmtId="0" fontId="12" fillId="0" borderId="0" xfId="9" applyAlignment="1">
      <alignment wrapText="1"/>
    </xf>
    <xf numFmtId="43" fontId="0" fillId="0" borderId="0" xfId="10" applyFont="1"/>
    <xf numFmtId="169" fontId="0" fillId="0" borderId="0" xfId="10" applyNumberFormat="1" applyFont="1"/>
    <xf numFmtId="0" fontId="12" fillId="0" borderId="0" xfId="9" applyAlignment="1">
      <alignment horizontal="left"/>
    </xf>
    <xf numFmtId="10" fontId="0" fillId="0" borderId="0" xfId="2" applyNumberFormat="1" applyFont="1"/>
    <xf numFmtId="0" fontId="3" fillId="0" borderId="0" xfId="7" applyFont="1" applyAlignment="1">
      <alignment horizontal="center" vertical="center"/>
    </xf>
    <xf numFmtId="10" fontId="3" fillId="0" borderId="0" xfId="7" applyNumberFormat="1" applyFont="1" applyAlignment="1">
      <alignment horizontal="center" vertical="center"/>
    </xf>
    <xf numFmtId="43" fontId="0" fillId="0" borderId="0" xfId="11" applyFont="1"/>
    <xf numFmtId="0" fontId="12" fillId="0" borderId="0" xfId="12" applyAlignment="1">
      <alignment horizontal="center" vertical="center"/>
    </xf>
    <xf numFmtId="0" fontId="21" fillId="0" borderId="0" xfId="12" applyFont="1" applyAlignment="1">
      <alignment horizontal="centerContinuous" vertical="center"/>
    </xf>
    <xf numFmtId="0" fontId="21" fillId="0" borderId="0" xfId="12" applyFont="1" applyAlignment="1">
      <alignment horizontal="center" vertical="center"/>
    </xf>
    <xf numFmtId="0" fontId="21" fillId="0" borderId="0" xfId="12" applyFont="1" applyAlignment="1">
      <alignment vertical="center"/>
    </xf>
    <xf numFmtId="0" fontId="21" fillId="0" borderId="0" xfId="12" applyFont="1" applyAlignment="1">
      <alignment horizontal="center" vertical="center" wrapText="1"/>
    </xf>
    <xf numFmtId="0" fontId="21" fillId="0" borderId="0" xfId="12" applyFont="1" applyAlignment="1">
      <alignment horizontal="left" vertical="center"/>
    </xf>
    <xf numFmtId="0" fontId="12" fillId="0" borderId="0" xfId="12" applyAlignment="1">
      <alignment horizontal="left" vertical="center"/>
    </xf>
    <xf numFmtId="3" fontId="12" fillId="0" borderId="0" xfId="12" applyNumberFormat="1" applyAlignment="1">
      <alignment horizontal="right" vertical="center"/>
    </xf>
    <xf numFmtId="17" fontId="12" fillId="0" borderId="0" xfId="12" applyNumberFormat="1" applyAlignment="1">
      <alignment horizontal="left" vertical="center"/>
    </xf>
    <xf numFmtId="39" fontId="12" fillId="0" borderId="0" xfId="12" applyNumberFormat="1" applyAlignment="1">
      <alignment horizontal="center" vertical="center"/>
    </xf>
    <xf numFmtId="0" fontId="12" fillId="0" borderId="0" xfId="12"/>
    <xf numFmtId="3" fontId="12" fillId="0" borderId="0" xfId="12" applyNumberFormat="1" applyAlignment="1">
      <alignment horizontal="center" vertical="center"/>
    </xf>
    <xf numFmtId="17" fontId="21" fillId="0" borderId="0" xfId="12" applyNumberFormat="1" applyFont="1" applyAlignment="1">
      <alignment horizontal="left" vertical="center"/>
    </xf>
    <xf numFmtId="3" fontId="21" fillId="0" borderId="0" xfId="12" applyNumberFormat="1" applyFont="1" applyAlignment="1">
      <alignment horizontal="right" vertical="center"/>
    </xf>
    <xf numFmtId="3" fontId="12" fillId="0" borderId="0" xfId="12" quotePrefix="1" applyNumberFormat="1" applyAlignment="1">
      <alignment horizontal="center" vertical="center"/>
    </xf>
    <xf numFmtId="0" fontId="12" fillId="0" borderId="0" xfId="12" applyAlignment="1">
      <alignment horizontal="right" vertical="center"/>
    </xf>
    <xf numFmtId="15" fontId="12" fillId="0" borderId="0" xfId="12" applyNumberFormat="1" applyAlignment="1">
      <alignment horizontal="right" vertical="center"/>
    </xf>
    <xf numFmtId="0" fontId="21" fillId="0" borderId="4" xfId="9" applyFont="1" applyBorder="1" applyAlignment="1">
      <alignment horizontal="left"/>
    </xf>
    <xf numFmtId="0" fontId="21" fillId="0" borderId="4" xfId="9" applyFont="1" applyBorder="1"/>
    <xf numFmtId="169" fontId="21" fillId="0" borderId="4" xfId="10" applyNumberFormat="1" applyFont="1" applyBorder="1"/>
    <xf numFmtId="43" fontId="21" fillId="0" borderId="4" xfId="10" applyFont="1" applyBorder="1"/>
    <xf numFmtId="0" fontId="3" fillId="0" borderId="11" xfId="0" applyFont="1" applyBorder="1" applyAlignment="1">
      <alignment vertical="center"/>
    </xf>
    <xf numFmtId="164" fontId="3" fillId="0" borderId="11" xfId="1" applyNumberFormat="1" applyFont="1" applyBorder="1" applyAlignment="1">
      <alignment vertical="center"/>
    </xf>
    <xf numFmtId="3" fontId="3" fillId="0" borderId="11" xfId="1" applyNumberFormat="1" applyFont="1" applyBorder="1" applyAlignment="1">
      <alignment vertical="center"/>
    </xf>
    <xf numFmtId="3" fontId="3" fillId="0" borderId="11" xfId="0" applyNumberFormat="1" applyFont="1" applyBorder="1" applyAlignment="1">
      <alignment vertical="center"/>
    </xf>
    <xf numFmtId="3" fontId="4" fillId="0" borderId="11" xfId="0" applyNumberFormat="1" applyFont="1" applyBorder="1" applyAlignment="1">
      <alignment vertical="center"/>
    </xf>
    <xf numFmtId="3" fontId="4" fillId="0" borderId="11" xfId="1" applyNumberFormat="1" applyFont="1" applyBorder="1" applyAlignment="1">
      <alignment vertical="center"/>
    </xf>
    <xf numFmtId="164" fontId="3" fillId="0" borderId="8" xfId="1" applyNumberFormat="1" applyFont="1" applyBorder="1" applyAlignment="1">
      <alignment vertical="center"/>
    </xf>
    <xf numFmtId="0" fontId="21" fillId="0" borderId="0" xfId="12" applyFont="1"/>
    <xf numFmtId="0" fontId="12" fillId="0" borderId="6" xfId="12" applyBorder="1" applyAlignment="1">
      <alignment horizontal="center" vertical="center"/>
    </xf>
    <xf numFmtId="0" fontId="21" fillId="0" borderId="6" xfId="12" applyFont="1" applyBorder="1" applyAlignment="1">
      <alignment horizontal="center" vertical="center"/>
    </xf>
    <xf numFmtId="0" fontId="12" fillId="0" borderId="0" xfId="12" applyBorder="1" applyAlignment="1">
      <alignment horizontal="center" vertical="center"/>
    </xf>
    <xf numFmtId="0" fontId="21" fillId="0" borderId="0" xfId="12" applyFont="1" applyBorder="1" applyAlignment="1">
      <alignment horizontal="center" vertical="center"/>
    </xf>
    <xf numFmtId="0" fontId="21" fillId="0" borderId="0" xfId="12" applyFont="1" applyBorder="1" applyAlignment="1">
      <alignment horizontal="left" vertical="center"/>
    </xf>
    <xf numFmtId="0" fontId="15" fillId="0" borderId="0" xfId="7" applyFont="1" applyAlignment="1">
      <alignment horizontal="center" vertical="center" wrapText="1"/>
    </xf>
    <xf numFmtId="0" fontId="15" fillId="0" borderId="0" xfId="7" applyFont="1" applyAlignment="1">
      <alignment horizontal="center" vertical="center"/>
    </xf>
    <xf numFmtId="0" fontId="21" fillId="0" borderId="6" xfId="12" applyFont="1" applyBorder="1" applyAlignment="1">
      <alignment horizontal="center" vertical="center"/>
    </xf>
    <xf numFmtId="0" fontId="1" fillId="0" borderId="0" xfId="28"/>
    <xf numFmtId="9" fontId="1" fillId="2" borderId="0" xfId="29" applyFill="1"/>
    <xf numFmtId="174" fontId="1" fillId="0" borderId="0" xfId="28" applyNumberFormat="1"/>
    <xf numFmtId="0" fontId="1" fillId="0" borderId="0" xfId="28" applyAlignment="1">
      <alignment horizontal="left" indent="2"/>
    </xf>
    <xf numFmtId="174" fontId="0" fillId="0" borderId="0" xfId="30" applyNumberFormat="1" applyFont="1" applyFill="1"/>
    <xf numFmtId="0" fontId="2" fillId="0" borderId="0" xfId="28" applyFont="1"/>
    <xf numFmtId="174" fontId="2" fillId="0" borderId="0" xfId="28" applyNumberFormat="1" applyFont="1"/>
    <xf numFmtId="174" fontId="2" fillId="0" borderId="14" xfId="28" applyNumberFormat="1" applyFont="1" applyBorder="1"/>
    <xf numFmtId="174" fontId="0" fillId="0" borderId="0" xfId="31" applyNumberFormat="1" applyFont="1" applyFill="1"/>
    <xf numFmtId="174" fontId="0" fillId="0" borderId="0" xfId="31" applyNumberFormat="1" applyFont="1" applyBorder="1"/>
    <xf numFmtId="174" fontId="2" fillId="0" borderId="12" xfId="31" applyNumberFormat="1" applyFont="1" applyFill="1" applyBorder="1"/>
    <xf numFmtId="174" fontId="2" fillId="0" borderId="0" xfId="31" applyNumberFormat="1" applyFont="1" applyBorder="1"/>
    <xf numFmtId="164" fontId="0" fillId="0" borderId="0" xfId="30" applyNumberFormat="1" applyFont="1" applyFill="1"/>
    <xf numFmtId="164" fontId="0" fillId="0" borderId="0" xfId="30" applyNumberFormat="1" applyFont="1" applyBorder="1"/>
    <xf numFmtId="164" fontId="0" fillId="0" borderId="0" xfId="30" applyNumberFormat="1" applyFont="1"/>
    <xf numFmtId="0" fontId="31" fillId="0" borderId="0" xfId="28" applyFont="1"/>
    <xf numFmtId="175" fontId="0" fillId="0" borderId="0" xfId="31" applyNumberFormat="1" applyFont="1" applyFill="1"/>
    <xf numFmtId="175" fontId="0" fillId="0" borderId="0" xfId="31" applyNumberFormat="1" applyFont="1" applyBorder="1"/>
    <xf numFmtId="164" fontId="1" fillId="0" borderId="0" xfId="28" applyNumberFormat="1"/>
    <xf numFmtId="0" fontId="2" fillId="0" borderId="0" xfId="28" applyFont="1" applyAlignment="1">
      <alignment horizontal="center"/>
    </xf>
    <xf numFmtId="0" fontId="2" fillId="0" borderId="2" xfId="28" applyFont="1" applyBorder="1" applyAlignment="1">
      <alignment horizontal="center" vertical="center" wrapText="1"/>
    </xf>
    <xf numFmtId="0" fontId="2" fillId="0" borderId="2" xfId="28" applyFont="1" applyBorder="1" applyAlignment="1">
      <alignment horizontal="center"/>
    </xf>
    <xf numFmtId="15" fontId="1" fillId="0" borderId="0" xfId="28" applyNumberFormat="1"/>
    <xf numFmtId="0" fontId="32" fillId="0" borderId="0" xfId="28" applyFont="1" applyAlignment="1">
      <alignment horizontal="center" wrapText="1"/>
    </xf>
    <xf numFmtId="0" fontId="2" fillId="0" borderId="0" xfId="28" applyFont="1" applyBorder="1" applyAlignment="1">
      <alignment horizontal="center" vertical="center" wrapText="1"/>
    </xf>
    <xf numFmtId="174" fontId="2" fillId="0" borderId="0" xfId="31" applyNumberFormat="1" applyFont="1" applyFill="1" applyBorder="1"/>
    <xf numFmtId="174" fontId="2" fillId="0" borderId="0" xfId="28" applyNumberFormat="1" applyFont="1" applyBorder="1"/>
    <xf numFmtId="176" fontId="1" fillId="0" borderId="0" xfId="28" applyNumberFormat="1"/>
    <xf numFmtId="176" fontId="2" fillId="0" borderId="0" xfId="31" applyNumberFormat="1" applyFont="1" applyFill="1" applyBorder="1"/>
    <xf numFmtId="177" fontId="0" fillId="0" borderId="0" xfId="30" applyNumberFormat="1" applyFont="1" applyBorder="1"/>
    <xf numFmtId="177" fontId="0" fillId="0" borderId="0" xfId="30" applyNumberFormat="1" applyFont="1"/>
    <xf numFmtId="177" fontId="0" fillId="0" borderId="0" xfId="30" applyNumberFormat="1" applyFont="1" applyFill="1"/>
    <xf numFmtId="0" fontId="2" fillId="0" borderId="14" xfId="28" applyFont="1" applyBorder="1"/>
    <xf numFmtId="174" fontId="1" fillId="0" borderId="14" xfId="28" applyNumberFormat="1" applyBorder="1"/>
    <xf numFmtId="176" fontId="2" fillId="0" borderId="14" xfId="28" applyNumberFormat="1" applyFont="1" applyBorder="1"/>
    <xf numFmtId="176" fontId="2" fillId="0" borderId="0" xfId="28" applyNumberFormat="1" applyFont="1"/>
    <xf numFmtId="176" fontId="2" fillId="0" borderId="0" xfId="28" applyNumberFormat="1" applyFont="1" applyBorder="1"/>
    <xf numFmtId="171" fontId="1" fillId="0" borderId="0" xfId="2" applyNumberFormat="1"/>
    <xf numFmtId="175" fontId="1" fillId="0" borderId="0" xfId="28" applyNumberFormat="1"/>
    <xf numFmtId="0" fontId="33" fillId="0" borderId="0" xfId="28" applyFont="1" applyAlignment="1">
      <alignment horizontal="left" indent="2"/>
    </xf>
    <xf numFmtId="177" fontId="33" fillId="0" borderId="0" xfId="30" applyNumberFormat="1" applyFont="1" applyFill="1"/>
    <xf numFmtId="177" fontId="33" fillId="0" borderId="0" xfId="30" applyNumberFormat="1" applyFont="1"/>
    <xf numFmtId="0" fontId="34" fillId="0" borderId="0" xfId="0" applyFont="1" applyAlignment="1">
      <alignment horizontal="left" vertical="center" indent="2"/>
    </xf>
    <xf numFmtId="3" fontId="34" fillId="0" borderId="11" xfId="1" applyNumberFormat="1" applyFont="1" applyBorder="1" applyAlignment="1">
      <alignment vertical="center"/>
    </xf>
    <xf numFmtId="3" fontId="34" fillId="0" borderId="0" xfId="1" applyNumberFormat="1" applyFont="1" applyAlignment="1">
      <alignment vertical="center"/>
    </xf>
    <xf numFmtId="0" fontId="35" fillId="0" borderId="0" xfId="0" applyFont="1" applyAlignment="1">
      <alignment vertical="center"/>
    </xf>
    <xf numFmtId="0" fontId="34" fillId="0" borderId="0" xfId="0" applyFont="1" applyAlignment="1">
      <alignment vertical="center"/>
    </xf>
    <xf numFmtId="164" fontId="34" fillId="0" borderId="0" xfId="0" applyNumberFormat="1" applyFont="1" applyAlignment="1">
      <alignment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10" fontId="0" fillId="0" borderId="0" xfId="2" applyNumberFormat="1" applyFont="1" applyAlignment="1">
      <alignment vertical="center"/>
    </xf>
    <xf numFmtId="0" fontId="0" fillId="0" borderId="0" xfId="0" applyAlignment="1">
      <alignment horizontal="left" vertical="center" indent="1"/>
    </xf>
    <xf numFmtId="0" fontId="9" fillId="4" borderId="0" xfId="7" applyFill="1"/>
    <xf numFmtId="174" fontId="9" fillId="4" borderId="0" xfId="7" applyNumberFormat="1" applyFill="1" applyAlignment="1">
      <alignment vertical="center"/>
    </xf>
    <xf numFmtId="179" fontId="9" fillId="4" borderId="0" xfId="7" applyNumberFormat="1" applyFill="1" applyAlignment="1">
      <alignment vertical="center"/>
    </xf>
    <xf numFmtId="0" fontId="14" fillId="3" borderId="0" xfId="7" applyFont="1" applyFill="1" applyAlignment="1">
      <alignment horizontal="left" vertical="center"/>
    </xf>
    <xf numFmtId="3" fontId="14" fillId="3" borderId="0" xfId="8" applyNumberFormat="1" applyFont="1" applyFill="1" applyAlignment="1">
      <alignment horizontal="right" vertical="center"/>
    </xf>
    <xf numFmtId="0" fontId="14" fillId="3" borderId="0" xfId="7" applyFont="1" applyFill="1" applyAlignment="1">
      <alignment vertical="center" wrapText="1"/>
    </xf>
    <xf numFmtId="3" fontId="14" fillId="3" borderId="0" xfId="7" applyNumberFormat="1" applyFont="1" applyFill="1" applyAlignment="1">
      <alignment horizontal="right" vertical="center" wrapText="1"/>
    </xf>
    <xf numFmtId="0" fontId="14" fillId="0" borderId="0" xfId="7" applyFont="1" applyAlignment="1">
      <alignment horizontal="center" vertical="center"/>
    </xf>
    <xf numFmtId="3" fontId="15" fillId="0" borderId="0" xfId="8" applyNumberFormat="1" applyFont="1" applyBorder="1" applyAlignment="1">
      <alignment horizontal="right" vertical="center"/>
    </xf>
    <xf numFmtId="0" fontId="14" fillId="0" borderId="0" xfId="7" applyFont="1" applyAlignment="1">
      <alignment horizontal="center" vertical="center"/>
    </xf>
    <xf numFmtId="0" fontId="21" fillId="0" borderId="6" xfId="9" applyFont="1" applyBorder="1" applyAlignment="1">
      <alignment horizontal="center" vertical="center" wrapText="1"/>
    </xf>
    <xf numFmtId="0" fontId="14" fillId="0" borderId="0" xfId="7" applyFont="1" applyAlignment="1">
      <alignment horizontal="center" vertical="center"/>
    </xf>
    <xf numFmtId="0" fontId="15" fillId="0" borderId="0" xfId="7" applyFont="1" applyAlignment="1">
      <alignment horizontal="center" vertical="center"/>
    </xf>
    <xf numFmtId="0" fontId="2" fillId="0" borderId="0" xfId="0" applyFont="1"/>
    <xf numFmtId="0" fontId="16" fillId="0" borderId="0" xfId="7" applyFont="1" applyAlignment="1">
      <alignment horizontal="left" vertical="center" wrapText="1" indent="7"/>
    </xf>
    <xf numFmtId="3" fontId="16" fillId="0" borderId="0" xfId="8" applyNumberFormat="1" applyFont="1" applyFill="1" applyAlignment="1">
      <alignment horizontal="right" vertical="center"/>
    </xf>
    <xf numFmtId="0" fontId="16" fillId="0" borderId="0" xfId="7" applyFont="1" applyFill="1" applyAlignment="1">
      <alignment horizontal="left" vertical="center" wrapText="1" indent="3"/>
    </xf>
    <xf numFmtId="0" fontId="4" fillId="0" borderId="0" xfId="3" applyFont="1"/>
    <xf numFmtId="0" fontId="4" fillId="0" borderId="0" xfId="3" applyFont="1" applyAlignment="1">
      <alignment horizontal="left" vertical="center"/>
    </xf>
    <xf numFmtId="10" fontId="3" fillId="0" borderId="0" xfId="2" applyNumberFormat="1" applyFont="1" applyBorder="1" applyAlignment="1">
      <alignment horizontal="right" vertical="center"/>
    </xf>
    <xf numFmtId="166" fontId="3" fillId="0" borderId="0" xfId="3" applyNumberFormat="1" applyFont="1" applyAlignment="1">
      <alignment horizontal="center" vertical="center"/>
    </xf>
    <xf numFmtId="10" fontId="3" fillId="0" borderId="0" xfId="3" applyNumberFormat="1" applyFont="1" applyAlignment="1">
      <alignment horizontal="center" vertical="center"/>
    </xf>
    <xf numFmtId="0" fontId="3" fillId="0" borderId="0" xfId="3" applyFont="1" applyAlignment="1">
      <alignment vertical="center" wrapText="1"/>
    </xf>
    <xf numFmtId="0" fontId="15" fillId="0" borderId="4" xfId="7" applyFont="1" applyBorder="1" applyAlignment="1">
      <alignment horizontal="left" vertical="center" wrapText="1" indent="2"/>
    </xf>
    <xf numFmtId="0" fontId="15" fillId="0" borderId="0" xfId="7" applyFont="1" applyAlignment="1">
      <alignment horizontal="centerContinuous" vertical="center"/>
    </xf>
    <xf numFmtId="168" fontId="10" fillId="0" borderId="2" xfId="7" applyNumberFormat="1" applyFont="1" applyFill="1" applyBorder="1"/>
    <xf numFmtId="168" fontId="10" fillId="0" borderId="0" xfId="7" applyNumberFormat="1" applyFont="1" applyFill="1"/>
    <xf numFmtId="168" fontId="20" fillId="0" borderId="0" xfId="7" applyNumberFormat="1" applyFont="1" applyFill="1"/>
    <xf numFmtId="0" fontId="15" fillId="0" borderId="0" xfId="7" applyFont="1" applyAlignment="1">
      <alignment horizontal="center" vertical="center"/>
    </xf>
    <xf numFmtId="0" fontId="2" fillId="0" borderId="5" xfId="0" applyFont="1" applyBorder="1" applyAlignment="1">
      <alignment horizontal="center" vertical="center" wrapText="1"/>
    </xf>
    <xf numFmtId="0" fontId="1" fillId="0" borderId="0" xfId="0" applyFont="1"/>
    <xf numFmtId="3" fontId="1" fillId="0" borderId="0" xfId="0" applyNumberFormat="1" applyFont="1"/>
    <xf numFmtId="168" fontId="1" fillId="0" borderId="0" xfId="0" applyNumberFormat="1" applyFont="1"/>
    <xf numFmtId="168" fontId="1" fillId="0" borderId="2" xfId="0" applyNumberFormat="1" applyFont="1" applyBorder="1"/>
    <xf numFmtId="0" fontId="12" fillId="0" borderId="0" xfId="9" applyFill="1"/>
    <xf numFmtId="169" fontId="3" fillId="0" borderId="0" xfId="10" applyNumberFormat="1" applyFont="1" applyFill="1"/>
    <xf numFmtId="43" fontId="3" fillId="0" borderId="0" xfId="10" applyFont="1" applyFill="1"/>
    <xf numFmtId="3" fontId="17" fillId="0" borderId="0" xfId="8" applyNumberFormat="1" applyFont="1" applyFill="1" applyAlignment="1">
      <alignment horizontal="right" vertical="center"/>
    </xf>
    <xf numFmtId="0" fontId="0" fillId="0" borderId="0" xfId="0" quotePrefix="1"/>
    <xf numFmtId="174" fontId="0" fillId="0" borderId="0" xfId="0" applyNumberFormat="1"/>
    <xf numFmtId="0" fontId="39" fillId="4" borderId="0" xfId="7" applyFont="1" applyFill="1" applyAlignment="1">
      <alignment horizontal="centerContinuous" vertical="center"/>
    </xf>
    <xf numFmtId="0" fontId="40" fillId="4" borderId="0" xfId="7" applyFont="1" applyFill="1"/>
    <xf numFmtId="180" fontId="30" fillId="4" borderId="0" xfId="7" quotePrefix="1" applyNumberFormat="1" applyFont="1" applyFill="1" applyAlignment="1">
      <alignment horizontal="centerContinuous" vertical="center"/>
    </xf>
    <xf numFmtId="180" fontId="41" fillId="4" borderId="0" xfId="7" quotePrefix="1" applyNumberFormat="1" applyFont="1" applyFill="1" applyAlignment="1">
      <alignment horizontal="center" vertical="center"/>
    </xf>
    <xf numFmtId="180" fontId="41" fillId="4" borderId="0" xfId="7" applyNumberFormat="1" applyFont="1" applyFill="1" applyAlignment="1">
      <alignment horizontal="center" vertical="center"/>
    </xf>
    <xf numFmtId="0" fontId="41" fillId="4" borderId="0" xfId="7" applyFont="1" applyFill="1" applyAlignment="1">
      <alignment horizontal="center" vertical="center"/>
    </xf>
    <xf numFmtId="0" fontId="9" fillId="4" borderId="0" xfId="7" applyFill="1" applyAlignment="1">
      <alignment vertical="center"/>
    </xf>
    <xf numFmtId="0" fontId="28" fillId="4" borderId="0" xfId="7" applyFont="1" applyFill="1" applyAlignment="1">
      <alignment horizontal="center" vertical="center"/>
    </xf>
    <xf numFmtId="0" fontId="28" fillId="4" borderId="2" xfId="7" applyFont="1" applyFill="1" applyBorder="1" applyAlignment="1">
      <alignment horizontal="center" vertical="center" wrapText="1"/>
    </xf>
    <xf numFmtId="0" fontId="28" fillId="4" borderId="0" xfId="7" applyFont="1" applyFill="1" applyAlignment="1">
      <alignment horizontal="center" vertical="center" wrapText="1"/>
    </xf>
    <xf numFmtId="0" fontId="27" fillId="4" borderId="0" xfId="7" applyFont="1" applyFill="1" applyAlignment="1">
      <alignment vertical="center"/>
    </xf>
    <xf numFmtId="179" fontId="27" fillId="4" borderId="0" xfId="39" applyNumberFormat="1" applyFont="1" applyFill="1" applyAlignment="1">
      <alignment vertical="center"/>
    </xf>
    <xf numFmtId="179" fontId="0" fillId="4" borderId="0" xfId="40" applyNumberFormat="1" applyFont="1" applyFill="1" applyAlignment="1">
      <alignment vertical="center"/>
    </xf>
    <xf numFmtId="9" fontId="0" fillId="4" borderId="0" xfId="40" applyFont="1" applyFill="1" applyAlignment="1">
      <alignment vertical="center"/>
    </xf>
    <xf numFmtId="38" fontId="9" fillId="4" borderId="0" xfId="7" applyNumberFormat="1" applyFill="1" applyAlignment="1">
      <alignment vertical="center"/>
    </xf>
    <xf numFmtId="179" fontId="9" fillId="4" borderId="3" xfId="7" applyNumberFormat="1" applyFill="1" applyBorder="1" applyAlignment="1">
      <alignment vertical="center"/>
    </xf>
    <xf numFmtId="5" fontId="27" fillId="4" borderId="0" xfId="39" applyNumberFormat="1" applyFont="1" applyFill="1" applyAlignment="1">
      <alignment vertical="center"/>
    </xf>
    <xf numFmtId="3" fontId="9" fillId="4" borderId="0" xfId="7" applyNumberFormat="1" applyFill="1" applyAlignment="1">
      <alignment vertical="center"/>
    </xf>
    <xf numFmtId="174" fontId="9" fillId="4" borderId="3" xfId="7" applyNumberFormat="1" applyFill="1" applyBorder="1" applyAlignment="1">
      <alignment vertical="center"/>
    </xf>
    <xf numFmtId="180" fontId="29" fillId="4" borderId="0" xfId="7" quotePrefix="1" applyNumberFormat="1" applyFont="1" applyFill="1" applyAlignment="1">
      <alignment horizontal="left" vertical="center"/>
    </xf>
    <xf numFmtId="169" fontId="21" fillId="0" borderId="0" xfId="10" applyNumberFormat="1" applyFont="1" applyFill="1"/>
    <xf numFmtId="0" fontId="21" fillId="0" borderId="0" xfId="9" applyFont="1" applyAlignment="1"/>
    <xf numFmtId="0" fontId="2" fillId="0" borderId="0" xfId="0" applyFont="1" applyBorder="1" applyAlignment="1">
      <alignment horizontal="center" vertical="center" wrapText="1"/>
    </xf>
    <xf numFmtId="0" fontId="0" fillId="0" borderId="2" xfId="0" applyBorder="1"/>
    <xf numFmtId="0" fontId="0" fillId="0" borderId="0" xfId="0" applyAlignment="1">
      <alignment horizontal="right"/>
    </xf>
    <xf numFmtId="0" fontId="0" fillId="0" borderId="0" xfId="0" applyAlignment="1">
      <alignment horizontal="left" indent="1"/>
    </xf>
    <xf numFmtId="0" fontId="0" fillId="0" borderId="0" xfId="0" applyAlignment="1">
      <alignment horizontal="left"/>
    </xf>
    <xf numFmtId="0" fontId="2" fillId="0" borderId="0" xfId="0" applyFont="1" applyAlignment="1">
      <alignment horizontal="center" vertical="center"/>
    </xf>
    <xf numFmtId="3" fontId="43" fillId="0" borderId="0" xfId="0" applyNumberFormat="1" applyFont="1" applyAlignment="1">
      <alignment horizontal="right" vertical="center"/>
    </xf>
    <xf numFmtId="171" fontId="43" fillId="0" borderId="0" xfId="2" applyNumberFormat="1" applyFont="1" applyAlignment="1">
      <alignment horizontal="right" vertical="center"/>
    </xf>
    <xf numFmtId="3" fontId="43" fillId="0" borderId="2" xfId="0" applyNumberFormat="1" applyFont="1" applyBorder="1" applyAlignment="1">
      <alignment horizontal="right" vertical="center"/>
    </xf>
    <xf numFmtId="0" fontId="2" fillId="0" borderId="0" xfId="0" applyFont="1" applyAlignment="1">
      <alignment horizontal="right"/>
    </xf>
    <xf numFmtId="176" fontId="0" fillId="0" borderId="0" xfId="0" applyNumberFormat="1"/>
    <xf numFmtId="176" fontId="2" fillId="0" borderId="0" xfId="0" applyNumberFormat="1" applyFont="1"/>
    <xf numFmtId="176" fontId="0" fillId="0" borderId="2" xfId="0" applyNumberFormat="1" applyBorder="1"/>
    <xf numFmtId="0" fontId="44" fillId="0" borderId="0" xfId="0" applyFont="1"/>
    <xf numFmtId="0" fontId="26" fillId="0" borderId="0" xfId="0" applyFont="1"/>
    <xf numFmtId="0" fontId="12" fillId="0" borderId="0" xfId="0" applyFont="1"/>
    <xf numFmtId="0" fontId="26" fillId="0" borderId="0" xfId="0" applyFont="1" applyAlignment="1">
      <alignment horizontal="center"/>
    </xf>
    <xf numFmtId="0" fontId="44" fillId="0" borderId="0" xfId="0" applyFont="1" applyAlignment="1">
      <alignment horizontal="center"/>
    </xf>
    <xf numFmtId="0" fontId="21" fillId="0" borderId="0" xfId="0" applyFont="1" applyAlignment="1">
      <alignment horizontal="center"/>
    </xf>
    <xf numFmtId="0" fontId="45" fillId="0" borderId="0" xfId="0" applyFont="1"/>
    <xf numFmtId="0" fontId="46" fillId="0" borderId="0" xfId="0" applyFont="1" applyAlignment="1">
      <alignment horizontal="center"/>
    </xf>
    <xf numFmtId="165" fontId="44" fillId="0" borderId="0" xfId="0" applyNumberFormat="1" applyFont="1"/>
    <xf numFmtId="164" fontId="44" fillId="0" borderId="0" xfId="1" applyNumberFormat="1" applyFont="1" applyFill="1"/>
    <xf numFmtId="0" fontId="12" fillId="0" borderId="0" xfId="0" applyFont="1" applyAlignment="1">
      <alignment vertical="center"/>
    </xf>
    <xf numFmtId="0" fontId="46" fillId="0" borderId="0" xfId="0" applyFont="1" applyAlignment="1">
      <alignment horizontal="left"/>
    </xf>
    <xf numFmtId="164" fontId="44" fillId="0" borderId="0" xfId="0" applyNumberFormat="1" applyFont="1"/>
    <xf numFmtId="0" fontId="44" fillId="0" borderId="0" xfId="0" applyFont="1" applyAlignment="1">
      <alignment horizontal="left" indent="2"/>
    </xf>
    <xf numFmtId="164" fontId="44" fillId="0" borderId="0" xfId="1" applyNumberFormat="1" applyFont="1"/>
    <xf numFmtId="0" fontId="46" fillId="0" borderId="0" xfId="41" applyFont="1" applyAlignment="1">
      <alignment horizontal="center"/>
    </xf>
    <xf numFmtId="0" fontId="44" fillId="0" borderId="0" xfId="42" applyFont="1" applyAlignment="1">
      <alignment horizontal="left" indent="2"/>
    </xf>
    <xf numFmtId="164" fontId="44" fillId="0" borderId="0" xfId="43" applyNumberFormat="1" applyFont="1"/>
    <xf numFmtId="0" fontId="47" fillId="0" borderId="0" xfId="42" applyFont="1" applyAlignment="1">
      <alignment horizontal="left" indent="6"/>
    </xf>
    <xf numFmtId="0" fontId="47" fillId="0" borderId="0" xfId="42" applyFont="1" applyAlignment="1">
      <alignment horizontal="left" indent="4"/>
    </xf>
    <xf numFmtId="9" fontId="47" fillId="0" borderId="0" xfId="2" applyFont="1"/>
    <xf numFmtId="177" fontId="44" fillId="0" borderId="2" xfId="1" applyNumberFormat="1" applyFont="1" applyBorder="1"/>
    <xf numFmtId="177" fontId="44" fillId="0" borderId="0" xfId="1" applyNumberFormat="1" applyFont="1"/>
    <xf numFmtId="0" fontId="46" fillId="0" borderId="0" xfId="0" applyFont="1" applyAlignment="1">
      <alignment horizontal="center" vertical="center"/>
    </xf>
    <xf numFmtId="177" fontId="44" fillId="0" borderId="0" xfId="1" applyNumberFormat="1" applyFont="1" applyFill="1" applyAlignment="1">
      <alignment vertical="center"/>
    </xf>
    <xf numFmtId="0" fontId="44" fillId="0" borderId="0" xfId="0" applyFont="1" applyAlignment="1">
      <alignment vertical="center"/>
    </xf>
    <xf numFmtId="0" fontId="12" fillId="0" borderId="0" xfId="0" applyFont="1" applyAlignment="1">
      <alignment wrapText="1"/>
    </xf>
    <xf numFmtId="0" fontId="44" fillId="0" borderId="0" xfId="0" applyFont="1" applyAlignment="1">
      <alignment horizontal="left" vertical="center"/>
    </xf>
    <xf numFmtId="164" fontId="44" fillId="0" borderId="0" xfId="1" applyNumberFormat="1" applyFont="1" applyAlignment="1">
      <alignment vertical="center"/>
    </xf>
    <xf numFmtId="164" fontId="44" fillId="0" borderId="0" xfId="1" applyNumberFormat="1" applyFont="1" applyFill="1" applyAlignment="1">
      <alignment vertical="center"/>
    </xf>
    <xf numFmtId="9" fontId="44" fillId="0" borderId="0" xfId="2" applyFont="1" applyFill="1"/>
    <xf numFmtId="164" fontId="47" fillId="0" borderId="0" xfId="43" applyNumberFormat="1" applyFont="1"/>
    <xf numFmtId="0" fontId="12" fillId="0" borderId="0" xfId="42" applyFont="1" applyAlignment="1">
      <alignment wrapText="1"/>
    </xf>
    <xf numFmtId="0" fontId="12" fillId="0" borderId="0" xfId="0" applyFont="1" applyAlignment="1">
      <alignment horizontal="left" wrapText="1"/>
    </xf>
    <xf numFmtId="181" fontId="44" fillId="0" borderId="0" xfId="19" applyNumberFormat="1" applyFont="1"/>
    <xf numFmtId="0" fontId="48" fillId="0" borderId="0" xfId="12" applyFont="1" applyAlignment="1">
      <alignment horizontal="center" vertical="center"/>
    </xf>
    <xf numFmtId="0" fontId="49" fillId="0" borderId="0" xfId="12" applyFont="1" applyAlignment="1">
      <alignment horizontal="center" vertical="center"/>
    </xf>
    <xf numFmtId="0" fontId="21" fillId="0" borderId="0" xfId="12" applyFont="1" applyAlignment="1">
      <alignment horizontal="center"/>
    </xf>
    <xf numFmtId="0" fontId="50" fillId="0" borderId="0" xfId="12" applyFont="1"/>
    <xf numFmtId="0" fontId="12" fillId="0" borderId="0" xfId="12" applyAlignment="1">
      <alignment horizontal="center"/>
    </xf>
    <xf numFmtId="3" fontId="12" fillId="0" borderId="0" xfId="12" applyNumberFormat="1"/>
    <xf numFmtId="3" fontId="51" fillId="0" borderId="0" xfId="12" applyNumberFormat="1" applyFont="1" applyAlignment="1">
      <alignment horizontal="right" vertical="center"/>
    </xf>
    <xf numFmtId="3" fontId="12" fillId="0" borderId="2" xfId="12" applyNumberFormat="1" applyBorder="1"/>
    <xf numFmtId="3" fontId="49" fillId="0" borderId="0" xfId="12" applyNumberFormat="1" applyFont="1" applyAlignment="1">
      <alignment horizontal="right" vertical="center"/>
    </xf>
    <xf numFmtId="3" fontId="21" fillId="0" borderId="0" xfId="12" applyNumberFormat="1" applyFont="1"/>
    <xf numFmtId="0" fontId="12" fillId="0" borderId="4" xfId="12" applyBorder="1"/>
    <xf numFmtId="3" fontId="21" fillId="0" borderId="4" xfId="12" applyNumberFormat="1" applyFont="1" applyBorder="1"/>
    <xf numFmtId="3" fontId="51" fillId="0" borderId="2" xfId="12" applyNumberFormat="1" applyFont="1" applyBorder="1" applyAlignment="1">
      <alignment horizontal="right" vertical="center"/>
    </xf>
    <xf numFmtId="3" fontId="52" fillId="0" borderId="4" xfId="12" applyNumberFormat="1" applyFont="1" applyBorder="1"/>
    <xf numFmtId="0" fontId="21" fillId="0" borderId="4" xfId="12" applyFont="1" applyBorder="1"/>
    <xf numFmtId="0" fontId="49" fillId="0" borderId="0" xfId="12" applyFont="1" applyAlignment="1">
      <alignment vertical="center"/>
    </xf>
    <xf numFmtId="0" fontId="49" fillId="0" borderId="0" xfId="12" applyFont="1" applyAlignment="1">
      <alignment horizontal="left" vertical="center"/>
    </xf>
    <xf numFmtId="0" fontId="51" fillId="0" borderId="0" xfId="12" applyFont="1" applyAlignment="1">
      <alignment horizontal="left" vertical="center"/>
    </xf>
    <xf numFmtId="174" fontId="51" fillId="0" borderId="0" xfId="12" applyNumberFormat="1" applyFont="1" applyAlignment="1">
      <alignment horizontal="right" vertical="center"/>
    </xf>
    <xf numFmtId="10" fontId="51" fillId="0" borderId="10" xfId="33" applyNumberFormat="1" applyFont="1" applyBorder="1" applyAlignment="1">
      <alignment horizontal="right" vertical="center"/>
    </xf>
    <xf numFmtId="174" fontId="49" fillId="0" borderId="13" xfId="12" applyNumberFormat="1" applyFont="1" applyBorder="1" applyAlignment="1">
      <alignment horizontal="right" vertical="center"/>
    </xf>
    <xf numFmtId="178" fontId="12" fillId="0" borderId="0" xfId="12" applyNumberFormat="1"/>
    <xf numFmtId="174" fontId="49" fillId="0" borderId="0" xfId="12" applyNumberFormat="1" applyFont="1" applyAlignment="1">
      <alignment horizontal="right" vertical="center"/>
    </xf>
    <xf numFmtId="0" fontId="12" fillId="0" borderId="0" xfId="12" applyAlignment="1">
      <alignment horizontal="right"/>
    </xf>
    <xf numFmtId="0" fontId="49" fillId="0" borderId="13" xfId="12" applyFont="1" applyBorder="1" applyAlignment="1">
      <alignment horizontal="left" vertical="center"/>
    </xf>
    <xf numFmtId="0" fontId="12" fillId="0" borderId="13" xfId="12" applyBorder="1"/>
    <xf numFmtId="174" fontId="12" fillId="0" borderId="0" xfId="12" applyNumberFormat="1"/>
    <xf numFmtId="174" fontId="51" fillId="0" borderId="9" xfId="12" applyNumberFormat="1" applyFont="1" applyBorder="1" applyAlignment="1">
      <alignment horizontal="right" vertical="center"/>
    </xf>
    <xf numFmtId="176" fontId="3" fillId="0" borderId="0" xfId="23" applyNumberFormat="1" applyFont="1"/>
    <xf numFmtId="15" fontId="48" fillId="0" borderId="0" xfId="12" applyNumberFormat="1" applyFont="1" applyAlignment="1">
      <alignment horizontal="center" vertical="center"/>
    </xf>
    <xf numFmtId="178" fontId="12" fillId="0" borderId="2" xfId="12" applyNumberFormat="1" applyBorder="1"/>
    <xf numFmtId="178" fontId="3" fillId="0" borderId="0" xfId="23" applyNumberFormat="1" applyFont="1"/>
    <xf numFmtId="176" fontId="51" fillId="0" borderId="9" xfId="12" applyNumberFormat="1" applyFont="1" applyBorder="1" applyAlignment="1">
      <alignment horizontal="right" vertical="center"/>
    </xf>
    <xf numFmtId="176" fontId="51" fillId="0" borderId="9" xfId="12" applyNumberFormat="1" applyFont="1" applyFill="1" applyBorder="1" applyAlignment="1">
      <alignment horizontal="right" vertical="center"/>
    </xf>
    <xf numFmtId="0" fontId="2" fillId="0" borderId="0" xfId="0" applyFont="1" applyAlignment="1">
      <alignment horizontal="left"/>
    </xf>
    <xf numFmtId="0" fontId="10" fillId="0" borderId="0" xfId="0" applyFont="1"/>
    <xf numFmtId="0" fontId="20" fillId="0" borderId="0" xfId="0" applyFont="1" applyAlignment="1">
      <alignment horizontal="centerContinuous"/>
    </xf>
    <xf numFmtId="0" fontId="10" fillId="0" borderId="0" xfId="0" applyFont="1" applyAlignment="1">
      <alignment horizontal="centerContinuous"/>
    </xf>
    <xf numFmtId="0" fontId="10" fillId="0" borderId="0" xfId="0" applyFont="1" applyAlignment="1">
      <alignment horizontal="left" inden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xf>
    <xf numFmtId="0" fontId="20" fillId="4" borderId="0" xfId="0" applyFont="1" applyFill="1"/>
    <xf numFmtId="0" fontId="20" fillId="0" borderId="0" xfId="0" applyFont="1"/>
    <xf numFmtId="181" fontId="20" fillId="0" borderId="0" xfId="0" applyNumberFormat="1" applyFont="1"/>
    <xf numFmtId="181" fontId="20" fillId="4" borderId="0" xfId="0" applyNumberFormat="1" applyFont="1" applyFill="1"/>
    <xf numFmtId="0" fontId="10" fillId="0" borderId="2" xfId="0" applyFont="1" applyBorder="1"/>
    <xf numFmtId="0" fontId="10" fillId="0" borderId="0" xfId="0" applyFont="1" applyAlignment="1">
      <alignment horizontal="center"/>
    </xf>
    <xf numFmtId="37" fontId="44" fillId="0" borderId="0" xfId="0" applyNumberFormat="1" applyFont="1"/>
    <xf numFmtId="181" fontId="10" fillId="0" borderId="0" xfId="0" applyNumberFormat="1" applyFont="1"/>
    <xf numFmtId="0" fontId="10" fillId="0" borderId="2" xfId="0" applyFont="1" applyBorder="1" applyAlignment="1">
      <alignment horizontal="center"/>
    </xf>
    <xf numFmtId="0" fontId="44" fillId="0" borderId="2" xfId="0" applyFont="1" applyBorder="1" applyAlignment="1">
      <alignment horizontal="left" indent="2"/>
    </xf>
    <xf numFmtId="37" fontId="44" fillId="0" borderId="2" xfId="0" applyNumberFormat="1" applyFont="1" applyBorder="1"/>
    <xf numFmtId="181" fontId="26" fillId="0" borderId="0" xfId="19" applyNumberFormat="1" applyFont="1"/>
    <xf numFmtId="181" fontId="26" fillId="0" borderId="0" xfId="19" applyNumberFormat="1" applyFont="1" applyFill="1"/>
    <xf numFmtId="10" fontId="10" fillId="0" borderId="0" xfId="0" applyNumberFormat="1" applyFont="1"/>
    <xf numFmtId="181" fontId="26" fillId="0" borderId="0" xfId="19" applyNumberFormat="1" applyFont="1" applyAlignment="1">
      <alignment horizontal="center"/>
    </xf>
    <xf numFmtId="0" fontId="55" fillId="0" borderId="0" xfId="0" applyFont="1"/>
    <xf numFmtId="0" fontId="10" fillId="0" borderId="0" xfId="0" applyFont="1" applyAlignment="1">
      <alignment horizontal="left" vertical="center" wrapText="1"/>
    </xf>
    <xf numFmtId="182" fontId="10" fillId="0" borderId="0" xfId="19" applyNumberFormat="1" applyFont="1"/>
    <xf numFmtId="183" fontId="10" fillId="0" borderId="0" xfId="0" applyNumberFormat="1" applyFont="1"/>
    <xf numFmtId="165" fontId="10" fillId="0" borderId="0" xfId="0" applyNumberFormat="1" applyFont="1"/>
    <xf numFmtId="164" fontId="44" fillId="0" borderId="2" xfId="1" applyNumberFormat="1" applyFont="1" applyBorder="1"/>
    <xf numFmtId="177" fontId="44" fillId="0" borderId="0" xfId="1" applyNumberFormat="1" applyFont="1" applyAlignment="1">
      <alignment vertical="center"/>
    </xf>
    <xf numFmtId="185" fontId="44" fillId="0" borderId="0" xfId="0" applyNumberFormat="1" applyFont="1"/>
    <xf numFmtId="184" fontId="44" fillId="0" borderId="0" xfId="0" applyNumberFormat="1" applyFont="1"/>
    <xf numFmtId="181" fontId="44" fillId="0" borderId="0" xfId="0" applyNumberFormat="1" applyFont="1"/>
    <xf numFmtId="0" fontId="12" fillId="0" borderId="0" xfId="0" applyFont="1" applyAlignment="1">
      <alignment horizontal="left"/>
    </xf>
    <xf numFmtId="171" fontId="44" fillId="0" borderId="0" xfId="2" applyNumberFormat="1" applyFont="1"/>
    <xf numFmtId="177" fontId="44" fillId="0" borderId="0" xfId="0" applyNumberFormat="1" applyFont="1"/>
    <xf numFmtId="0" fontId="44" fillId="0" borderId="0" xfId="0" quotePrefix="1" applyFont="1"/>
    <xf numFmtId="43" fontId="3" fillId="0" borderId="0" xfId="3" applyNumberFormat="1" applyFont="1" applyAlignment="1">
      <alignment horizontal="center" vertical="center"/>
    </xf>
    <xf numFmtId="0" fontId="28" fillId="4" borderId="0" xfId="7" applyFont="1" applyFill="1" applyAlignment="1">
      <alignment horizontal="center" vertical="center"/>
    </xf>
    <xf numFmtId="0" fontId="4" fillId="0" borderId="1" xfId="0" applyFont="1" applyBorder="1" applyAlignment="1">
      <alignment horizontal="center" vertical="top" wrapText="1"/>
    </xf>
    <xf numFmtId="0" fontId="3" fillId="0" borderId="0" xfId="0" quotePrefix="1" applyFont="1" applyAlignment="1">
      <alignment vertical="center"/>
    </xf>
    <xf numFmtId="0" fontId="7" fillId="0" borderId="0" xfId="0" applyFont="1" applyAlignment="1">
      <alignment horizontal="center"/>
    </xf>
    <xf numFmtId="0" fontId="7" fillId="0" borderId="0" xfId="0" applyFont="1" applyAlignment="1">
      <alignment horizontal="center" wrapText="1"/>
    </xf>
    <xf numFmtId="0" fontId="4" fillId="0" borderId="0" xfId="0" applyFont="1" applyAlignment="1">
      <alignment horizontal="center" wrapText="1"/>
    </xf>
    <xf numFmtId="0" fontId="3" fillId="0" borderId="0" xfId="3" applyFont="1" applyFill="1" applyAlignment="1">
      <alignment horizontal="left" vertical="center" wrapText="1"/>
    </xf>
    <xf numFmtId="0" fontId="32" fillId="0" borderId="0" xfId="28" applyFont="1" applyAlignment="1">
      <alignment horizontal="center" wrapText="1"/>
    </xf>
    <xf numFmtId="0" fontId="1" fillId="0" borderId="0" xfId="28" applyAlignment="1">
      <alignment horizontal="left" wrapText="1"/>
    </xf>
    <xf numFmtId="0" fontId="14" fillId="3" borderId="0" xfId="7" applyFont="1" applyFill="1" applyAlignment="1">
      <alignment horizontal="left" vertical="center" wrapText="1"/>
    </xf>
    <xf numFmtId="0" fontId="15" fillId="0" borderId="0" xfId="7" applyFont="1" applyAlignment="1">
      <alignment horizontal="center" vertical="center" wrapText="1"/>
    </xf>
    <xf numFmtId="0" fontId="15" fillId="0" borderId="0" xfId="7" applyFont="1" applyAlignment="1">
      <alignment horizontal="center" vertical="center"/>
    </xf>
    <xf numFmtId="0" fontId="12" fillId="0" borderId="0" xfId="0" applyFont="1" applyAlignment="1">
      <alignment horizontal="left" vertical="center"/>
    </xf>
    <xf numFmtId="0" fontId="44" fillId="0" borderId="0" xfId="0" applyFont="1" applyAlignment="1">
      <alignment horizontal="left" wrapText="1"/>
    </xf>
    <xf numFmtId="0" fontId="10" fillId="0" borderId="0" xfId="0" applyFont="1" applyAlignment="1">
      <alignment horizontal="left" vertical="center" wrapText="1"/>
    </xf>
    <xf numFmtId="0" fontId="10" fillId="0" borderId="0" xfId="7"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12" fillId="0" borderId="0" xfId="12" applyAlignment="1">
      <alignment horizontal="left" wrapText="1"/>
    </xf>
    <xf numFmtId="0" fontId="46" fillId="0" borderId="0" xfId="12" applyFont="1" applyAlignment="1">
      <alignment horizontal="left" wrapText="1"/>
    </xf>
    <xf numFmtId="0" fontId="3" fillId="0" borderId="0" xfId="7" applyFont="1" applyAlignment="1">
      <alignment horizontal="center" vertical="center"/>
    </xf>
    <xf numFmtId="0" fontId="21" fillId="0" borderId="6"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8" xfId="9" applyFont="1" applyBorder="1" applyAlignment="1">
      <alignment horizontal="center" vertical="center" wrapText="1"/>
    </xf>
    <xf numFmtId="0" fontId="12" fillId="0" borderId="0" xfId="9" applyAlignment="1">
      <alignment horizontal="left" wrapText="1"/>
    </xf>
    <xf numFmtId="0" fontId="21" fillId="0" borderId="7" xfId="12" applyFont="1" applyBorder="1" applyAlignment="1">
      <alignment horizontal="center" vertical="center" wrapText="1"/>
    </xf>
    <xf numFmtId="0" fontId="21" fillId="0" borderId="8" xfId="12" applyFont="1" applyBorder="1" applyAlignment="1">
      <alignment horizontal="center" vertical="center" wrapText="1"/>
    </xf>
    <xf numFmtId="0" fontId="21" fillId="0" borderId="6" xfId="12" applyFont="1" applyBorder="1" applyAlignment="1">
      <alignment horizontal="center" vertical="center" wrapText="1"/>
    </xf>
    <xf numFmtId="0" fontId="21" fillId="0" borderId="6" xfId="12" applyFont="1" applyBorder="1" applyAlignment="1">
      <alignment horizontal="center" vertical="center"/>
    </xf>
    <xf numFmtId="0" fontId="9" fillId="4" borderId="0" xfId="7" applyFill="1" applyAlignment="1">
      <alignment horizontal="left" vertical="center" wrapText="1"/>
    </xf>
  </cellXfs>
  <cellStyles count="44">
    <cellStyle name="60% - Accent4 2" xfId="39" xr:uid="{EEE4884A-0B94-43E0-BBFD-C69A2424174A}"/>
    <cellStyle name="Comma" xfId="1" builtinId="3"/>
    <cellStyle name="Comma 10" xfId="11" xr:uid="{1B52F143-4E71-4CB9-BDD8-BDD11621FF54}"/>
    <cellStyle name="Comma 10 2 2" xfId="30" xr:uid="{A5B95246-744D-4369-B4BC-4C7D0AF709BB}"/>
    <cellStyle name="Comma 10 5" xfId="4" xr:uid="{0E6B5258-C9B3-4D67-84D5-08681B45BD7D}"/>
    <cellStyle name="Comma 11 4" xfId="17" xr:uid="{39DA53B7-0AF2-43AC-BF8B-9AA9FAD46455}"/>
    <cellStyle name="Comma 12" xfId="13" xr:uid="{C626FFE4-0C93-4512-8458-90E95482C234}"/>
    <cellStyle name="Comma 2" xfId="21" xr:uid="{98062954-0752-433B-BC15-04633E0BB135}"/>
    <cellStyle name="Comma 2 2" xfId="22" xr:uid="{96516760-9913-4BF2-9240-4F5ACA807352}"/>
    <cellStyle name="Comma 2 3" xfId="8" xr:uid="{A611CDCC-D75B-4D29-96F2-181B2304F5CB}"/>
    <cellStyle name="Comma 2 4" xfId="26" xr:uid="{37102D26-DFFD-4DD6-AB8D-63BF03B3C2D7}"/>
    <cellStyle name="Comma 2 5" xfId="36" xr:uid="{2A6FBE78-C8E5-476F-9852-0D7804AF6668}"/>
    <cellStyle name="Comma 2 5 2" xfId="38" xr:uid="{379BED24-8C14-4F2D-9BC1-04D431E2697E}"/>
    <cellStyle name="Comma 24" xfId="43" xr:uid="{7202BCAE-D692-4751-A9D1-97166B3C790B}"/>
    <cellStyle name="Comma 3" xfId="6" xr:uid="{DD12A3E6-850C-4795-A497-074F2B703D37}"/>
    <cellStyle name="Comma 4" xfId="25" xr:uid="{5E3EE7C7-B1C1-40A2-B053-EC4A3BA75810}"/>
    <cellStyle name="Comma 8" xfId="10" xr:uid="{DF205CDC-F382-4D45-BFC7-DDA133420742}"/>
    <cellStyle name="Currency" xfId="19" builtinId="4"/>
    <cellStyle name="Currency 2" xfId="23" xr:uid="{C5967FF5-141B-4BEC-B732-7C394EAC7B01}"/>
    <cellStyle name="Currency 3" xfId="32" xr:uid="{8579A09A-45D1-4E6D-AC9A-A5635A9C6404}"/>
    <cellStyle name="Currency 5 2 2 2" xfId="31" xr:uid="{11C4E234-D9BF-4D7D-9488-92B5091361DC}"/>
    <cellStyle name="Normal" xfId="0" builtinId="0"/>
    <cellStyle name="Normal 10 2 2 3" xfId="28" xr:uid="{DA7EA3CD-1FF1-458A-9D9A-5EB5509CCB2B}"/>
    <cellStyle name="Normal 10 3 27" xfId="3" xr:uid="{CC702B1D-1EF2-4CF4-9ECA-5F9F27ECFC74}"/>
    <cellStyle name="Normal 12 28" xfId="16" xr:uid="{C06A01F7-CFC5-4179-B0C9-6E52484F3210}"/>
    <cellStyle name="Normal 2" xfId="7" xr:uid="{B7200816-4AE8-40D4-8976-9E7B2CFFEF5A}"/>
    <cellStyle name="Normal 2 10" xfId="12" xr:uid="{221F46BE-D964-49DA-882E-E85F967F7B58}"/>
    <cellStyle name="Normal 2 2" xfId="27" xr:uid="{E77ED0BB-DE64-48D0-9453-0E16E5A0F586}"/>
    <cellStyle name="Normal 2 2 2" xfId="37" xr:uid="{A1094241-CA7F-4978-8121-8B972C3B08C0}"/>
    <cellStyle name="Normal 2 3" xfId="34" xr:uid="{223A1CFC-068D-4479-96FD-75EAAE7C3258}"/>
    <cellStyle name="Normal 3" xfId="20" xr:uid="{544F3551-1D2C-4DBB-BC73-360AC10C51A1}"/>
    <cellStyle name="Normal 3 2" xfId="24" xr:uid="{C264172E-DAC5-4AB1-BFE0-ACD98CE78087}"/>
    <cellStyle name="Normal 333" xfId="42" xr:uid="{6968E5F2-E878-4D13-A42F-2BCD1E8C9038}"/>
    <cellStyle name="Normal 4" xfId="41" xr:uid="{B5B5990A-53C1-4C55-ABAD-DB649400A57E}"/>
    <cellStyle name="Normal 8" xfId="9" xr:uid="{ABE1BE53-455B-42AA-A783-F9D5A11A9A9C}"/>
    <cellStyle name="Percent" xfId="2" builtinId="5"/>
    <cellStyle name="Percent 10" xfId="15" xr:uid="{90267AE8-E7BB-44F1-AEF3-980B142F2C1C}"/>
    <cellStyle name="Percent 11" xfId="29" xr:uid="{3F4C0E36-F6C7-4BF8-883B-09D550FE199D}"/>
    <cellStyle name="Percent 12 5" xfId="18" xr:uid="{625323EC-A3D1-4D51-81DE-95EC48979B37}"/>
    <cellStyle name="Percent 2" xfId="33" xr:uid="{704FC1CA-C7F8-487B-B498-C2A8E87634D3}"/>
    <cellStyle name="Percent 3" xfId="40" xr:uid="{FE11C3B8-1292-403C-B8CB-4F5980492CBB}"/>
    <cellStyle name="Percent 4" xfId="35" xr:uid="{8D5FD210-B87A-4F54-85F3-9F7DD3EAF100}"/>
    <cellStyle name="Percent 8" xfId="14" xr:uid="{A577EB3C-2B24-45B1-8670-75ECEC541AA1}"/>
    <cellStyle name="Percent 9 22" xfId="5" xr:uid="{AD31E738-A1EF-4BD6-AF07-FD2460BB64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7761" name="Button 1" hidden="1">
              <a:extLst>
                <a:ext uri="{63B3BB69-23CF-44E3-9099-C40C66FF867C}">
                  <a14:compatExt spid="_x0000_s117761"/>
                </a:ext>
                <a:ext uri="{FF2B5EF4-FFF2-40B4-BE49-F238E27FC236}">
                  <a16:creationId xmlns:a16="http://schemas.microsoft.com/office/drawing/2014/main" id="{00000000-0008-0000-1300-000001CC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8785" name="Button 1" hidden="1">
              <a:extLst>
                <a:ext uri="{63B3BB69-23CF-44E3-9099-C40C66FF867C}">
                  <a14:compatExt spid="_x0000_s118785"/>
                </a:ext>
                <a:ext uri="{FF2B5EF4-FFF2-40B4-BE49-F238E27FC236}">
                  <a16:creationId xmlns:a16="http://schemas.microsoft.com/office/drawing/2014/main" id="{00000000-0008-0000-1400-000001D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jirousek\2002\Capital\CSR%203rd%20Quarter\CEAR%20report(3RD%20Quarter)Working%20Cop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Explanations"/>
      <sheetName val="Master Report"/>
      <sheetName val="Pivot Tables"/>
      <sheetName val="Core(see pg 18)"/>
      <sheetName val="FIS"/>
      <sheetName val="FS Studies"/>
      <sheetName val="Rec to BP"/>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0.bin"/><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DABF-3D3F-4665-BB06-E37A1E8E1461}">
  <sheetPr>
    <pageSetUpPr fitToPage="1"/>
  </sheetPr>
  <dimension ref="A1:I52"/>
  <sheetViews>
    <sheetView tabSelected="1" view="pageBreakPreview" topLeftCell="A9" zoomScaleNormal="100" zoomScaleSheetLayoutView="100" workbookViewId="0">
      <selection activeCell="G13" sqref="G13"/>
    </sheetView>
  </sheetViews>
  <sheetFormatPr defaultColWidth="9.08984375" defaultRowHeight="14.5" x14ac:dyDescent="0.35"/>
  <cols>
    <col min="1" max="1" width="6.90625" style="4" customWidth="1"/>
    <col min="2" max="2" width="30.54296875" style="4" customWidth="1"/>
    <col min="3" max="3" width="10.6328125" style="4" customWidth="1"/>
    <col min="4" max="4" width="2.54296875" style="4" customWidth="1"/>
    <col min="5" max="5" width="10.6328125" style="4" customWidth="1"/>
    <col min="6" max="6" width="2" style="4" customWidth="1"/>
    <col min="7" max="7" width="10.6328125" style="4" customWidth="1"/>
    <col min="8" max="8" width="2" style="4" customWidth="1"/>
    <col min="9" max="9" width="33.1796875" style="4" customWidth="1"/>
    <col min="10" max="16384" width="9.08984375" style="4"/>
  </cols>
  <sheetData>
    <row r="1" spans="1:9" ht="26" x14ac:dyDescent="0.35">
      <c r="A1" s="1"/>
      <c r="B1" s="2" t="s">
        <v>0</v>
      </c>
      <c r="C1" s="3"/>
      <c r="D1" s="3"/>
      <c r="E1" s="3"/>
      <c r="F1" s="3"/>
      <c r="G1" s="3"/>
      <c r="H1" s="3"/>
      <c r="I1" s="3"/>
    </row>
    <row r="2" spans="1:9" x14ac:dyDescent="0.35">
      <c r="A2" s="1"/>
      <c r="B2" s="1"/>
      <c r="C2" s="1"/>
      <c r="D2" s="1"/>
      <c r="E2" s="1"/>
      <c r="F2" s="1"/>
      <c r="G2" s="1"/>
      <c r="H2" s="1"/>
      <c r="I2" s="1"/>
    </row>
    <row r="3" spans="1:9" ht="26" x14ac:dyDescent="0.35">
      <c r="A3" s="1"/>
      <c r="B3" s="406" t="s">
        <v>35</v>
      </c>
      <c r="C3" s="219" t="s">
        <v>1</v>
      </c>
      <c r="D3" s="5"/>
      <c r="E3" s="219" t="s">
        <v>2</v>
      </c>
      <c r="F3" s="5"/>
      <c r="G3" s="219" t="s">
        <v>90</v>
      </c>
      <c r="H3" s="5"/>
      <c r="I3" s="218" t="s">
        <v>231</v>
      </c>
    </row>
    <row r="4" spans="1:9" x14ac:dyDescent="0.35">
      <c r="A4" s="1"/>
      <c r="B4" s="1"/>
      <c r="C4" s="154"/>
      <c r="D4" s="1"/>
      <c r="E4" s="154"/>
      <c r="F4" s="1"/>
      <c r="G4" s="154"/>
      <c r="H4" s="1"/>
      <c r="I4" s="1"/>
    </row>
    <row r="5" spans="1:9" x14ac:dyDescent="0.35">
      <c r="A5" s="1"/>
      <c r="B5" s="5" t="s">
        <v>4</v>
      </c>
      <c r="C5" s="155"/>
      <c r="D5" s="6"/>
      <c r="E5" s="155"/>
      <c r="F5" s="6"/>
      <c r="G5" s="155"/>
      <c r="H5" s="1"/>
      <c r="I5" s="1"/>
    </row>
    <row r="6" spans="1:9" ht="6.75" customHeight="1" x14ac:dyDescent="0.35">
      <c r="A6" s="1"/>
      <c r="B6" s="1"/>
      <c r="C6" s="155"/>
      <c r="D6" s="6"/>
      <c r="E6" s="155"/>
      <c r="F6" s="6"/>
      <c r="G6" s="155"/>
      <c r="H6" s="1"/>
      <c r="I6" s="1"/>
    </row>
    <row r="7" spans="1:9" x14ac:dyDescent="0.35">
      <c r="A7" s="1"/>
      <c r="B7" s="1" t="s">
        <v>5</v>
      </c>
      <c r="C7" s="156">
        <v>15897.28747649461</v>
      </c>
      <c r="D7" s="7"/>
      <c r="E7" s="156">
        <v>15882.070192506908</v>
      </c>
      <c r="F7" s="7"/>
      <c r="G7" s="156">
        <f>E7-C7</f>
        <v>-15.217283987702103</v>
      </c>
      <c r="H7" s="1"/>
      <c r="I7" s="216" t="s">
        <v>230</v>
      </c>
    </row>
    <row r="8" spans="1:9" x14ac:dyDescent="0.35">
      <c r="A8" s="1"/>
      <c r="B8" s="1" t="s">
        <v>6</v>
      </c>
      <c r="C8" s="156">
        <v>13310.010586503478</v>
      </c>
      <c r="D8" s="7"/>
      <c r="E8" s="156">
        <v>13016.041129742953</v>
      </c>
      <c r="F8" s="7"/>
      <c r="G8" s="156">
        <f>E8-C8</f>
        <v>-293.96945676052565</v>
      </c>
      <c r="H8" s="1"/>
      <c r="I8" s="216" t="s">
        <v>227</v>
      </c>
    </row>
    <row r="9" spans="1:9" x14ac:dyDescent="0.35">
      <c r="A9" s="1"/>
      <c r="B9" s="1" t="s">
        <v>7</v>
      </c>
      <c r="C9" s="156">
        <v>16120.446156319602</v>
      </c>
      <c r="D9" s="7"/>
      <c r="E9" s="156">
        <v>15558.7903403196</v>
      </c>
      <c r="F9" s="7"/>
      <c r="G9" s="156">
        <f>E9-C9</f>
        <v>-561.65581600000223</v>
      </c>
      <c r="H9" s="1"/>
      <c r="I9" s="216"/>
    </row>
    <row r="10" spans="1:9" x14ac:dyDescent="0.35">
      <c r="A10" s="1"/>
      <c r="B10" s="212" t="s">
        <v>225</v>
      </c>
      <c r="C10" s="213"/>
      <c r="D10" s="214"/>
      <c r="E10" s="213"/>
      <c r="F10" s="214"/>
      <c r="G10" s="213">
        <v>-342</v>
      </c>
      <c r="H10" s="215"/>
      <c r="I10" s="216" t="s">
        <v>228</v>
      </c>
    </row>
    <row r="11" spans="1:9" x14ac:dyDescent="0.35">
      <c r="A11" s="1"/>
      <c r="B11" s="212" t="s">
        <v>226</v>
      </c>
      <c r="C11" s="213"/>
      <c r="D11" s="214"/>
      <c r="E11" s="213"/>
      <c r="F11" s="214"/>
      <c r="G11" s="213">
        <v>-219.65581600000041</v>
      </c>
      <c r="H11" s="215"/>
      <c r="I11" s="216" t="s">
        <v>229</v>
      </c>
    </row>
    <row r="12" spans="1:9" x14ac:dyDescent="0.35">
      <c r="A12" s="1"/>
      <c r="B12" s="1" t="s">
        <v>8</v>
      </c>
      <c r="C12" s="156">
        <v>13125.239382363608</v>
      </c>
      <c r="D12" s="7"/>
      <c r="E12" s="156">
        <v>12765.525865977892</v>
      </c>
      <c r="F12" s="7"/>
      <c r="G12" s="156">
        <f>E12-C12</f>
        <v>-359.7135163857165</v>
      </c>
      <c r="H12" s="1"/>
      <c r="I12" s="216" t="s">
        <v>9</v>
      </c>
    </row>
    <row r="13" spans="1:9" x14ac:dyDescent="0.35">
      <c r="A13" s="1"/>
      <c r="B13" s="1" t="s">
        <v>10</v>
      </c>
      <c r="C13" s="156">
        <v>16682.439872931442</v>
      </c>
      <c r="D13" s="7"/>
      <c r="E13" s="156">
        <v>15655.831130009312</v>
      </c>
      <c r="F13" s="7"/>
      <c r="G13" s="156">
        <f>E13-C13</f>
        <v>-1026.6087429221297</v>
      </c>
      <c r="H13" s="1"/>
      <c r="I13" s="216" t="s">
        <v>9</v>
      </c>
    </row>
    <row r="14" spans="1:9" ht="6.75" customHeight="1" x14ac:dyDescent="0.35">
      <c r="A14" s="1"/>
      <c r="B14" s="1"/>
      <c r="C14" s="157"/>
      <c r="D14" s="8"/>
      <c r="E14" s="157"/>
      <c r="F14" s="7"/>
      <c r="G14" s="156"/>
      <c r="H14" s="1"/>
      <c r="I14" s="216"/>
    </row>
    <row r="15" spans="1:9" x14ac:dyDescent="0.35">
      <c r="A15" s="9" t="s">
        <v>11</v>
      </c>
      <c r="B15" s="5" t="s">
        <v>12</v>
      </c>
      <c r="C15" s="158">
        <f>SUM(C7:C13)</f>
        <v>75135.423474612733</v>
      </c>
      <c r="D15" s="10"/>
      <c r="E15" s="158">
        <f>SUM(E7:E13)</f>
        <v>72878.258658556675</v>
      </c>
      <c r="F15" s="11"/>
      <c r="G15" s="159">
        <f>E15-C15</f>
        <v>-2257.164816056058</v>
      </c>
      <c r="H15" s="1"/>
      <c r="I15" s="216"/>
    </row>
    <row r="16" spans="1:9" x14ac:dyDescent="0.35">
      <c r="A16" s="1"/>
      <c r="B16" s="1"/>
      <c r="C16" s="157"/>
      <c r="D16" s="8"/>
      <c r="E16" s="157"/>
      <c r="F16" s="7"/>
      <c r="G16" s="156"/>
      <c r="H16" s="1"/>
      <c r="I16" s="216"/>
    </row>
    <row r="17" spans="1:9" x14ac:dyDescent="0.35">
      <c r="A17" s="1"/>
      <c r="B17" s="12" t="s">
        <v>13</v>
      </c>
      <c r="C17" s="157"/>
      <c r="D17" s="8"/>
      <c r="E17" s="157"/>
      <c r="F17" s="7"/>
      <c r="G17" s="156"/>
      <c r="H17" s="1"/>
      <c r="I17" s="216"/>
    </row>
    <row r="18" spans="1:9" ht="6.75" customHeight="1" x14ac:dyDescent="0.35">
      <c r="A18" s="1"/>
      <c r="B18" s="1"/>
      <c r="C18" s="157"/>
      <c r="D18" s="8"/>
      <c r="E18" s="157"/>
      <c r="F18" s="7"/>
      <c r="G18" s="156"/>
      <c r="H18" s="1"/>
      <c r="I18" s="216"/>
    </row>
    <row r="19" spans="1:9" x14ac:dyDescent="0.35">
      <c r="A19" s="1"/>
      <c r="B19" s="13" t="s">
        <v>14</v>
      </c>
      <c r="C19" s="156">
        <v>2384.1188693170443</v>
      </c>
      <c r="D19" s="7"/>
      <c r="E19" s="156">
        <v>2384.1188693170443</v>
      </c>
      <c r="F19" s="7"/>
      <c r="G19" s="156">
        <f t="shared" ref="G19:G28" si="0">E19-C19</f>
        <v>0</v>
      </c>
      <c r="H19" s="1"/>
      <c r="I19" s="216"/>
    </row>
    <row r="20" spans="1:9" x14ac:dyDescent="0.35">
      <c r="A20" s="1"/>
      <c r="B20" s="13" t="s">
        <v>15</v>
      </c>
      <c r="C20" s="156">
        <v>5388.0779262706401</v>
      </c>
      <c r="D20" s="7"/>
      <c r="E20" s="156">
        <v>5388.0779262706401</v>
      </c>
      <c r="F20" s="7"/>
      <c r="G20" s="156">
        <f t="shared" si="0"/>
        <v>0</v>
      </c>
      <c r="H20" s="1"/>
      <c r="I20" s="216"/>
    </row>
    <row r="21" spans="1:9" x14ac:dyDescent="0.35">
      <c r="A21" s="1"/>
      <c r="B21" s="13" t="s">
        <v>16</v>
      </c>
      <c r="C21" s="156">
        <v>11535.495389324258</v>
      </c>
      <c r="D21" s="7"/>
      <c r="E21" s="156">
        <v>11480.811251316387</v>
      </c>
      <c r="F21" s="7"/>
      <c r="G21" s="156">
        <f t="shared" si="0"/>
        <v>-54.684138007871297</v>
      </c>
      <c r="H21" s="1"/>
      <c r="I21" s="216" t="s">
        <v>328</v>
      </c>
    </row>
    <row r="22" spans="1:9" x14ac:dyDescent="0.35">
      <c r="A22" s="1"/>
      <c r="B22" s="13"/>
      <c r="C22" s="156"/>
      <c r="D22" s="7"/>
      <c r="E22" s="156"/>
      <c r="F22" s="7"/>
      <c r="G22" s="213">
        <f>'Table 1.1-4a'!G19/1000-'Table 1.1-4a'!C19/1000</f>
        <v>-118.69830000000007</v>
      </c>
      <c r="H22" s="215"/>
      <c r="I22" s="216" t="s">
        <v>509</v>
      </c>
    </row>
    <row r="23" spans="1:9" x14ac:dyDescent="0.35">
      <c r="A23" s="1"/>
      <c r="B23" s="13"/>
      <c r="C23" s="156"/>
      <c r="D23" s="7"/>
      <c r="E23" s="156"/>
      <c r="F23" s="7"/>
      <c r="G23" s="213">
        <f>'Table 1.1-4a'!D19/1000-'Table 1.1-4a'!G19/1000</f>
        <v>64.005944395067161</v>
      </c>
      <c r="H23" s="215"/>
      <c r="I23" s="216" t="s">
        <v>543</v>
      </c>
    </row>
    <row r="24" spans="1:9" x14ac:dyDescent="0.35">
      <c r="A24" s="1"/>
      <c r="B24" s="13" t="s">
        <v>17</v>
      </c>
      <c r="C24" s="156">
        <v>84.446520000000007</v>
      </c>
      <c r="D24" s="7"/>
      <c r="E24" s="156">
        <v>84.446520000000007</v>
      </c>
      <c r="F24" s="7"/>
      <c r="G24" s="156">
        <f t="shared" si="0"/>
        <v>0</v>
      </c>
      <c r="H24" s="1"/>
      <c r="I24" s="216"/>
    </row>
    <row r="25" spans="1:9" x14ac:dyDescent="0.35">
      <c r="A25" s="1"/>
      <c r="B25" s="13" t="s">
        <v>18</v>
      </c>
      <c r="C25" s="156">
        <v>28506.700260000001</v>
      </c>
      <c r="D25" s="7"/>
      <c r="E25" s="156">
        <v>28506.700260000001</v>
      </c>
      <c r="F25" s="7"/>
      <c r="G25" s="156">
        <f t="shared" si="0"/>
        <v>0</v>
      </c>
      <c r="H25" s="1"/>
      <c r="I25" s="216"/>
    </row>
    <row r="26" spans="1:9" x14ac:dyDescent="0.35">
      <c r="A26" s="1"/>
      <c r="B26" s="1" t="s">
        <v>19</v>
      </c>
      <c r="C26" s="156">
        <v>0</v>
      </c>
      <c r="D26" s="7"/>
      <c r="E26" s="156">
        <v>0</v>
      </c>
      <c r="F26" s="7"/>
      <c r="G26" s="156">
        <f t="shared" si="0"/>
        <v>0</v>
      </c>
      <c r="H26" s="1"/>
      <c r="I26" s="216"/>
    </row>
    <row r="27" spans="1:9" x14ac:dyDescent="0.35">
      <c r="A27" s="1"/>
      <c r="B27" s="1" t="s">
        <v>20</v>
      </c>
      <c r="C27" s="156">
        <v>15896.893167655031</v>
      </c>
      <c r="D27" s="7"/>
      <c r="E27" s="156">
        <v>15886.683639088964</v>
      </c>
      <c r="F27" s="7"/>
      <c r="G27" s="156">
        <f t="shared" si="0"/>
        <v>-10.209528566067092</v>
      </c>
      <c r="H27" s="1"/>
      <c r="I27" s="216" t="s">
        <v>492</v>
      </c>
    </row>
    <row r="28" spans="1:9" x14ac:dyDescent="0.35">
      <c r="A28" s="1"/>
      <c r="B28" s="1" t="s">
        <v>21</v>
      </c>
      <c r="C28" s="156">
        <v>368.7</v>
      </c>
      <c r="D28" s="7"/>
      <c r="E28" s="156">
        <v>368.7</v>
      </c>
      <c r="F28" s="7"/>
      <c r="G28" s="156">
        <f t="shared" si="0"/>
        <v>0</v>
      </c>
      <c r="H28" s="1"/>
      <c r="I28" s="217"/>
    </row>
    <row r="29" spans="1:9" ht="9.75" customHeight="1" x14ac:dyDescent="0.35">
      <c r="A29" s="1"/>
      <c r="B29" s="13"/>
      <c r="C29" s="156"/>
      <c r="D29" s="7"/>
      <c r="E29" s="156"/>
      <c r="F29" s="7"/>
      <c r="G29" s="156"/>
      <c r="H29" s="1"/>
      <c r="I29" s="217"/>
    </row>
    <row r="30" spans="1:9" x14ac:dyDescent="0.35">
      <c r="A30" s="9" t="s">
        <v>22</v>
      </c>
      <c r="B30" s="12" t="s">
        <v>23</v>
      </c>
      <c r="C30" s="159">
        <f>SUM(C19:C21)+SUM(C24:C25)+SUM(C26:C28)</f>
        <v>64164.432132566981</v>
      </c>
      <c r="D30" s="11"/>
      <c r="E30" s="159">
        <f>SUM(E19:E21)+SUM(E24:E25)+SUM(E26:E28)</f>
        <v>64099.538465993035</v>
      </c>
      <c r="F30" s="11"/>
      <c r="G30" s="159">
        <f>SUM(G19:G21)+SUM(G24:G25)+SUM(G26:G28)</f>
        <v>-64.89366657393839</v>
      </c>
      <c r="H30" s="1"/>
      <c r="I30" s="216"/>
    </row>
    <row r="31" spans="1:9" x14ac:dyDescent="0.35">
      <c r="A31" s="1"/>
      <c r="B31" s="1"/>
      <c r="C31" s="156"/>
      <c r="D31" s="7"/>
      <c r="E31" s="156"/>
      <c r="F31" s="7"/>
      <c r="G31" s="156"/>
      <c r="H31" s="1"/>
      <c r="I31" s="216"/>
    </row>
    <row r="32" spans="1:9" x14ac:dyDescent="0.35">
      <c r="A32" s="9" t="s">
        <v>24</v>
      </c>
      <c r="B32" s="12" t="s">
        <v>25</v>
      </c>
      <c r="C32" s="159">
        <f>C15-C30</f>
        <v>10970.991342045752</v>
      </c>
      <c r="D32" s="11"/>
      <c r="E32" s="159">
        <f>E15-E30</f>
        <v>8778.72019256364</v>
      </c>
      <c r="F32" s="11"/>
      <c r="G32" s="159">
        <f>E32-C32</f>
        <v>-2192.2711494821124</v>
      </c>
      <c r="H32" s="1"/>
      <c r="I32" s="216"/>
    </row>
    <row r="33" spans="1:9" x14ac:dyDescent="0.35">
      <c r="A33" s="1"/>
      <c r="B33" s="1"/>
      <c r="C33" s="160"/>
      <c r="D33" s="6"/>
      <c r="E33" s="160"/>
      <c r="F33" s="6"/>
      <c r="G33" s="160"/>
      <c r="H33" s="1"/>
      <c r="I33" s="1"/>
    </row>
    <row r="34" spans="1:9" x14ac:dyDescent="0.35">
      <c r="A34" s="1"/>
      <c r="B34" s="13"/>
      <c r="C34" s="6"/>
      <c r="D34" s="6"/>
      <c r="E34" s="6"/>
      <c r="F34" s="6"/>
      <c r="G34" s="6"/>
      <c r="H34" s="1"/>
      <c r="I34" s="1"/>
    </row>
    <row r="35" spans="1:9" x14ac:dyDescent="0.35">
      <c r="A35" s="1"/>
      <c r="C35" s="6"/>
      <c r="D35" s="6"/>
      <c r="E35" s="6"/>
      <c r="F35" s="6"/>
      <c r="G35" s="6"/>
      <c r="H35" s="1"/>
      <c r="I35" s="1"/>
    </row>
    <row r="36" spans="1:9" x14ac:dyDescent="0.35">
      <c r="A36" s="1"/>
      <c r="B36" s="1"/>
      <c r="C36" s="1"/>
      <c r="D36" s="1"/>
      <c r="E36" s="1"/>
      <c r="F36" s="1"/>
      <c r="G36" s="1"/>
      <c r="H36" s="1"/>
      <c r="I36" s="1"/>
    </row>
    <row r="37" spans="1:9" x14ac:dyDescent="0.35">
      <c r="B37" s="1"/>
      <c r="C37" s="14"/>
      <c r="D37" s="14"/>
      <c r="E37" s="14"/>
      <c r="F37" s="14"/>
      <c r="G37" s="14"/>
    </row>
    <row r="38" spans="1:9" x14ac:dyDescent="0.35">
      <c r="B38" s="221"/>
      <c r="C38" s="14"/>
      <c r="D38" s="14"/>
      <c r="E38" s="14"/>
      <c r="F38" s="14"/>
      <c r="G38" s="14"/>
    </row>
    <row r="39" spans="1:9" x14ac:dyDescent="0.35">
      <c r="B39" s="221"/>
      <c r="C39" s="220"/>
      <c r="D39" s="14"/>
      <c r="E39" s="220"/>
      <c r="F39" s="14"/>
      <c r="G39" s="14"/>
    </row>
    <row r="40" spans="1:9" x14ac:dyDescent="0.35">
      <c r="B40" s="221"/>
      <c r="C40" s="14"/>
      <c r="D40" s="14"/>
      <c r="E40" s="14"/>
      <c r="F40" s="14"/>
      <c r="G40" s="14"/>
    </row>
    <row r="41" spans="1:9" x14ac:dyDescent="0.35">
      <c r="B41" s="221"/>
      <c r="C41" s="14"/>
      <c r="D41" s="14"/>
      <c r="E41" s="14"/>
      <c r="F41" s="14"/>
      <c r="G41" s="14"/>
    </row>
    <row r="42" spans="1:9" x14ac:dyDescent="0.35">
      <c r="B42" s="221"/>
      <c r="C42" s="220"/>
      <c r="D42" s="14"/>
      <c r="E42" s="220"/>
      <c r="F42" s="14"/>
      <c r="G42" s="14"/>
    </row>
    <row r="43" spans="1:9" x14ac:dyDescent="0.35">
      <c r="B43" s="221"/>
      <c r="C43" s="14"/>
      <c r="D43" s="14"/>
      <c r="E43" s="14"/>
      <c r="F43" s="14"/>
      <c r="G43" s="14"/>
    </row>
    <row r="44" spans="1:9" x14ac:dyDescent="0.35">
      <c r="C44" s="14"/>
      <c r="D44" s="14"/>
      <c r="E44" s="14"/>
      <c r="F44" s="14"/>
      <c r="G44" s="14"/>
    </row>
    <row r="45" spans="1:9" x14ac:dyDescent="0.35">
      <c r="C45" s="14"/>
      <c r="D45" s="14"/>
      <c r="E45" s="14"/>
      <c r="F45" s="14"/>
      <c r="G45" s="14"/>
    </row>
    <row r="46" spans="1:9" x14ac:dyDescent="0.35">
      <c r="C46" s="14"/>
      <c r="D46" s="14"/>
      <c r="E46" s="14"/>
      <c r="F46" s="14"/>
      <c r="G46" s="14"/>
    </row>
    <row r="47" spans="1:9" x14ac:dyDescent="0.35">
      <c r="C47" s="14"/>
      <c r="D47" s="14"/>
      <c r="E47" s="14"/>
      <c r="F47" s="14"/>
      <c r="G47" s="14"/>
    </row>
    <row r="48" spans="1:9" x14ac:dyDescent="0.35">
      <c r="C48" s="14"/>
      <c r="D48" s="14"/>
      <c r="E48" s="14"/>
      <c r="F48" s="14"/>
      <c r="G48" s="14"/>
    </row>
    <row r="49" spans="3:7" x14ac:dyDescent="0.35">
      <c r="C49" s="14"/>
      <c r="D49" s="14"/>
      <c r="E49" s="14"/>
      <c r="F49" s="14"/>
      <c r="G49" s="14"/>
    </row>
    <row r="50" spans="3:7" x14ac:dyDescent="0.35">
      <c r="C50" s="14"/>
      <c r="D50" s="14"/>
      <c r="E50" s="14"/>
      <c r="F50" s="14"/>
      <c r="G50" s="14"/>
    </row>
    <row r="51" spans="3:7" x14ac:dyDescent="0.35">
      <c r="E51" s="14"/>
    </row>
    <row r="52" spans="3:7" x14ac:dyDescent="0.35">
      <c r="E52" s="14"/>
    </row>
  </sheetData>
  <pageMargins left="0.70866141732283472" right="0.70866141732283472" top="0.74803149606299213" bottom="0.74803149606299213" header="0.31496062992125984" footer="0.31496062992125984"/>
  <pageSetup scale="9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51A2-91D9-43C1-BA03-EC19D3731FC1}">
  <sheetPr>
    <pageSetUpPr fitToPage="1"/>
  </sheetPr>
  <dimension ref="A2:N49"/>
  <sheetViews>
    <sheetView showGridLines="0" view="pageBreakPreview" topLeftCell="A17" zoomScale="85" zoomScaleSheetLayoutView="90" workbookViewId="0">
      <selection activeCell="B13" sqref="B13"/>
    </sheetView>
  </sheetViews>
  <sheetFormatPr defaultColWidth="9.08984375" defaultRowHeight="14" x14ac:dyDescent="0.3"/>
  <cols>
    <col min="1" max="1" width="3.36328125" style="367" customWidth="1"/>
    <col min="2" max="2" width="13.453125" style="367" customWidth="1"/>
    <col min="3" max="3" width="67" style="367" customWidth="1"/>
    <col min="4" max="4" width="2.08984375" style="367" customWidth="1"/>
    <col min="5" max="9" width="13" style="367" customWidth="1"/>
    <col min="10" max="10" width="3.54296875" style="367" customWidth="1"/>
    <col min="11" max="11" width="11.54296875" style="367" bestFit="1" customWidth="1"/>
    <col min="12" max="12" width="13" style="367" bestFit="1" customWidth="1"/>
    <col min="13" max="13" width="9.08984375" style="367"/>
    <col min="14" max="14" width="9.90625" style="367" bestFit="1" customWidth="1"/>
    <col min="15" max="17" width="9.08984375" style="367"/>
    <col min="18" max="18" width="11.36328125" style="367" bestFit="1" customWidth="1"/>
    <col min="19" max="19" width="15.453125" style="367" customWidth="1"/>
    <col min="20" max="20" width="11" style="367" bestFit="1" customWidth="1"/>
    <col min="21" max="16384" width="9.08984375" style="367"/>
  </cols>
  <sheetData>
    <row r="2" spans="2:10" x14ac:dyDescent="0.3">
      <c r="C2" s="368" t="s">
        <v>487</v>
      </c>
      <c r="D2" s="369"/>
      <c r="E2" s="369"/>
      <c r="F2" s="369"/>
      <c r="G2" s="369"/>
      <c r="H2" s="369"/>
      <c r="I2" s="369"/>
    </row>
    <row r="3" spans="2:10" ht="14.5" thickBot="1" x14ac:dyDescent="0.35">
      <c r="C3" s="370"/>
    </row>
    <row r="4" spans="2:10" ht="14.5" thickBot="1" x14ac:dyDescent="0.35">
      <c r="B4" s="371" t="s">
        <v>249</v>
      </c>
      <c r="C4" s="371" t="s">
        <v>463</v>
      </c>
      <c r="E4" s="371">
        <v>2017</v>
      </c>
      <c r="F4" s="371">
        <v>2018</v>
      </c>
      <c r="G4" s="371">
        <v>2019</v>
      </c>
      <c r="H4" s="371">
        <v>2020</v>
      </c>
      <c r="I4" s="371">
        <v>2021</v>
      </c>
    </row>
    <row r="5" spans="2:10" x14ac:dyDescent="0.3">
      <c r="B5" s="372"/>
      <c r="C5" s="372"/>
      <c r="E5" s="372" t="s">
        <v>234</v>
      </c>
      <c r="F5" s="372" t="s">
        <v>234</v>
      </c>
      <c r="G5" s="372" t="s">
        <v>234</v>
      </c>
      <c r="H5" s="372" t="s">
        <v>234</v>
      </c>
      <c r="I5" s="372" t="s">
        <v>234</v>
      </c>
    </row>
    <row r="7" spans="2:10" ht="16" x14ac:dyDescent="0.3">
      <c r="B7" s="373" t="s">
        <v>11</v>
      </c>
      <c r="C7" s="374" t="s">
        <v>464</v>
      </c>
      <c r="D7" s="375"/>
      <c r="E7" s="376">
        <f>9484658.24/1000</f>
        <v>9484.6582400000007</v>
      </c>
      <c r="F7" s="377">
        <f>E23</f>
        <v>6709.4974177070944</v>
      </c>
      <c r="G7" s="377">
        <f>F23</f>
        <v>3378.6736601395733</v>
      </c>
      <c r="H7" s="377">
        <f>G23</f>
        <v>-3900.0741014046744</v>
      </c>
      <c r="I7" s="377">
        <f>H23</f>
        <v>-4272.3523332707591</v>
      </c>
    </row>
    <row r="8" spans="2:10" x14ac:dyDescent="0.3">
      <c r="B8" s="378"/>
      <c r="C8" s="378"/>
      <c r="D8" s="378"/>
      <c r="E8" s="378"/>
      <c r="F8" s="378"/>
      <c r="G8" s="378"/>
      <c r="H8" s="378"/>
      <c r="I8" s="378"/>
    </row>
    <row r="9" spans="2:10" ht="7.5" customHeight="1" x14ac:dyDescent="0.3"/>
    <row r="10" spans="2:10" ht="8.25" customHeight="1" x14ac:dyDescent="0.3">
      <c r="B10" s="379"/>
      <c r="C10" s="297"/>
      <c r="E10" s="380"/>
      <c r="F10" s="380"/>
      <c r="G10" s="380"/>
      <c r="H10" s="380"/>
      <c r="I10" s="380"/>
    </row>
    <row r="11" spans="2:10" ht="16.5" x14ac:dyDescent="0.3">
      <c r="B11" s="379" t="s">
        <v>22</v>
      </c>
      <c r="C11" s="297" t="s">
        <v>465</v>
      </c>
      <c r="E11" s="331">
        <v>0</v>
      </c>
      <c r="F11" s="331">
        <v>533.72320364322513</v>
      </c>
      <c r="G11" s="331">
        <v>6267.6943703455872</v>
      </c>
      <c r="H11" s="331">
        <v>352.03309277442406</v>
      </c>
      <c r="I11" s="331">
        <f>'Table 1.1-3 (c) LWRF '!G59</f>
        <v>-7056.8381082023552</v>
      </c>
    </row>
    <row r="12" spans="2:10" ht="8.25" customHeight="1" x14ac:dyDescent="0.3">
      <c r="B12" s="379"/>
      <c r="C12" s="297"/>
      <c r="E12" s="380"/>
      <c r="F12" s="380"/>
      <c r="G12" s="380"/>
      <c r="H12" s="380"/>
      <c r="I12" s="380"/>
    </row>
    <row r="13" spans="2:10" x14ac:dyDescent="0.3">
      <c r="B13" s="379" t="s">
        <v>466</v>
      </c>
      <c r="C13" s="297" t="s">
        <v>467</v>
      </c>
      <c r="E13" s="380"/>
      <c r="F13" s="380"/>
      <c r="G13" s="380"/>
      <c r="H13" s="380"/>
      <c r="I13" s="380"/>
    </row>
    <row r="14" spans="2:10" x14ac:dyDescent="0.3">
      <c r="B14" s="379"/>
      <c r="C14" s="310" t="s">
        <v>468</v>
      </c>
      <c r="E14" s="331">
        <f t="shared" ref="E14:I14" si="0">IF(E11&lt;0,-E11,0)</f>
        <v>0</v>
      </c>
      <c r="F14" s="331">
        <f t="shared" si="0"/>
        <v>0</v>
      </c>
      <c r="G14" s="331">
        <f t="shared" si="0"/>
        <v>0</v>
      </c>
      <c r="H14" s="331">
        <f t="shared" si="0"/>
        <v>0</v>
      </c>
      <c r="I14" s="331">
        <f t="shared" si="0"/>
        <v>7056.8381082023552</v>
      </c>
    </row>
    <row r="15" spans="2:10" x14ac:dyDescent="0.3">
      <c r="B15" s="379"/>
      <c r="C15" s="310" t="s">
        <v>469</v>
      </c>
      <c r="E15" s="381">
        <f t="shared" ref="E15:I15" si="1">IF(E11&gt;0,-E11,0)</f>
        <v>0</v>
      </c>
      <c r="F15" s="381">
        <f t="shared" si="1"/>
        <v>-533.72320364322513</v>
      </c>
      <c r="G15" s="381">
        <f t="shared" si="1"/>
        <v>-6267.6943703455872</v>
      </c>
      <c r="H15" s="381">
        <f t="shared" si="1"/>
        <v>-352.03309277442406</v>
      </c>
      <c r="I15" s="381">
        <f t="shared" si="1"/>
        <v>0</v>
      </c>
    </row>
    <row r="16" spans="2:10" x14ac:dyDescent="0.3">
      <c r="B16" s="382"/>
      <c r="C16" s="383"/>
      <c r="D16" s="378"/>
      <c r="E16" s="384"/>
      <c r="F16" s="384"/>
      <c r="G16" s="384"/>
      <c r="H16" s="384"/>
      <c r="I16" s="384"/>
      <c r="J16" s="378"/>
    </row>
    <row r="17" spans="1:14" x14ac:dyDescent="0.3">
      <c r="B17" s="379"/>
      <c r="C17" s="310"/>
      <c r="E17" s="380"/>
      <c r="F17" s="380"/>
      <c r="G17" s="380"/>
      <c r="H17" s="380"/>
      <c r="I17" s="380"/>
    </row>
    <row r="18" spans="1:14" x14ac:dyDescent="0.3">
      <c r="B18" s="373" t="s">
        <v>470</v>
      </c>
      <c r="C18" s="375" t="s">
        <v>471</v>
      </c>
      <c r="D18" s="375"/>
      <c r="E18" s="385">
        <f>E7+SUM(E14:E15)</f>
        <v>9484.6582400000007</v>
      </c>
      <c r="F18" s="385">
        <f>F7+SUM(F14:F15)</f>
        <v>6175.7742140638693</v>
      </c>
      <c r="G18" s="385">
        <f>G7+SUM(G14:G15)</f>
        <v>-2889.020710206014</v>
      </c>
      <c r="H18" s="385">
        <f>H7+SUM(H14:H15)</f>
        <v>-4252.1071941790988</v>
      </c>
      <c r="I18" s="385">
        <f>I7+SUM(I14:I15)</f>
        <v>2784.4857749315961</v>
      </c>
    </row>
    <row r="19" spans="1:14" ht="16" x14ac:dyDescent="0.3">
      <c r="B19" s="373" t="s">
        <v>145</v>
      </c>
      <c r="C19" s="375" t="s">
        <v>472</v>
      </c>
      <c r="D19" s="375"/>
      <c r="E19" s="385">
        <v>85.726417707093262</v>
      </c>
      <c r="F19" s="385">
        <v>76.443506075704221</v>
      </c>
      <c r="G19" s="386">
        <v>-7.3173911986605393</v>
      </c>
      <c r="H19" s="386">
        <v>-20.245139091660661</v>
      </c>
      <c r="I19" s="386">
        <v>-2.7591303252765056</v>
      </c>
      <c r="K19" s="387"/>
    </row>
    <row r="20" spans="1:14" x14ac:dyDescent="0.3">
      <c r="B20" s="373" t="s">
        <v>473</v>
      </c>
      <c r="C20" s="375" t="s">
        <v>474</v>
      </c>
      <c r="E20" s="385">
        <f t="shared" ref="E20:I20" si="2">E18+E19</f>
        <v>9570.3846577070944</v>
      </c>
      <c r="F20" s="385">
        <f t="shared" si="2"/>
        <v>6252.2177201395734</v>
      </c>
      <c r="G20" s="385">
        <f t="shared" si="2"/>
        <v>-2896.3381014046745</v>
      </c>
      <c r="H20" s="385">
        <f t="shared" si="2"/>
        <v>-4272.3523332707591</v>
      </c>
      <c r="I20" s="385">
        <f t="shared" si="2"/>
        <v>2781.7266446063195</v>
      </c>
      <c r="N20" s="385"/>
    </row>
    <row r="21" spans="1:14" x14ac:dyDescent="0.3">
      <c r="B21" s="373"/>
      <c r="C21" s="375"/>
      <c r="E21" s="385"/>
      <c r="F21" s="385"/>
      <c r="G21" s="385"/>
      <c r="H21" s="385"/>
      <c r="I21" s="385"/>
      <c r="N21" s="385"/>
    </row>
    <row r="22" spans="1:14" x14ac:dyDescent="0.3">
      <c r="B22" s="373" t="s">
        <v>147</v>
      </c>
      <c r="C22" s="375" t="s">
        <v>475</v>
      </c>
      <c r="E22" s="385">
        <v>-2860.8872399999996</v>
      </c>
      <c r="F22" s="385">
        <v>-2873.5440600000002</v>
      </c>
      <c r="G22" s="385">
        <v>-1003.736</v>
      </c>
      <c r="H22" s="385">
        <v>0</v>
      </c>
      <c r="I22" s="385">
        <v>0</v>
      </c>
      <c r="N22" s="385"/>
    </row>
    <row r="23" spans="1:14" x14ac:dyDescent="0.3">
      <c r="B23" s="373" t="s">
        <v>476</v>
      </c>
      <c r="C23" s="375" t="s">
        <v>477</v>
      </c>
      <c r="E23" s="385">
        <f t="shared" ref="E23:I23" si="3">E20+E22</f>
        <v>6709.4974177070944</v>
      </c>
      <c r="F23" s="385">
        <f t="shared" si="3"/>
        <v>3378.6736601395733</v>
      </c>
      <c r="G23" s="385">
        <f t="shared" si="3"/>
        <v>-3900.0741014046744</v>
      </c>
      <c r="H23" s="385">
        <f t="shared" si="3"/>
        <v>-4272.3523332707591</v>
      </c>
      <c r="I23" s="385">
        <f t="shared" si="3"/>
        <v>2781.7266446063195</v>
      </c>
      <c r="N23" s="385"/>
    </row>
    <row r="24" spans="1:14" x14ac:dyDescent="0.3">
      <c r="B24" s="373"/>
      <c r="C24" s="375"/>
      <c r="E24" s="385"/>
      <c r="F24" s="385"/>
      <c r="G24" s="385"/>
      <c r="H24" s="385"/>
      <c r="I24" s="385"/>
      <c r="N24" s="385"/>
    </row>
    <row r="25" spans="1:14" ht="16" x14ac:dyDescent="0.3">
      <c r="B25" s="373" t="s">
        <v>478</v>
      </c>
      <c r="C25" s="375" t="s">
        <v>479</v>
      </c>
      <c r="E25" s="388"/>
      <c r="F25" s="388" t="s">
        <v>480</v>
      </c>
      <c r="G25" s="388" t="s">
        <v>480</v>
      </c>
      <c r="H25" s="388" t="s">
        <v>480</v>
      </c>
      <c r="I25" s="388" t="s">
        <v>481</v>
      </c>
      <c r="N25" s="385"/>
    </row>
    <row r="26" spans="1:14" x14ac:dyDescent="0.3">
      <c r="B26" s="373" t="s">
        <v>482</v>
      </c>
      <c r="C26" s="375" t="s">
        <v>483</v>
      </c>
      <c r="E26" s="385"/>
      <c r="F26" s="385">
        <f>IF(F23&gt;8000,F23-8000,IF(F23&lt;-8000,F23-(-8000),0))</f>
        <v>0</v>
      </c>
      <c r="G26" s="385">
        <f>IF(G23&gt;8000,G23-8000,IF(G23&lt;-8000,G23-(-8000),0))</f>
        <v>0</v>
      </c>
      <c r="H26" s="385">
        <f>IF(H23&gt;8000,H23-8000,IF(H23&lt;-8000,H23-(-8000),0))</f>
        <v>0</v>
      </c>
      <c r="I26" s="385">
        <f>IF(I23&gt;16000,I23-16000,IF(I23&lt;-16000,I23-(-16000),0))</f>
        <v>0</v>
      </c>
      <c r="N26" s="385"/>
    </row>
    <row r="27" spans="1:14" x14ac:dyDescent="0.3">
      <c r="C27" s="297"/>
      <c r="E27" s="380"/>
      <c r="F27" s="380"/>
      <c r="G27" s="380"/>
      <c r="H27" s="380"/>
      <c r="I27" s="380"/>
    </row>
    <row r="28" spans="1:14" x14ac:dyDescent="0.3">
      <c r="C28" s="367" t="s">
        <v>56</v>
      </c>
      <c r="E28" s="311"/>
      <c r="F28" s="311"/>
      <c r="G28" s="311"/>
      <c r="H28" s="311"/>
      <c r="I28" s="311"/>
    </row>
    <row r="29" spans="1:14" x14ac:dyDescent="0.3">
      <c r="C29" s="367" t="s">
        <v>484</v>
      </c>
    </row>
    <row r="30" spans="1:14" x14ac:dyDescent="0.3">
      <c r="C30" s="367" t="s">
        <v>488</v>
      </c>
    </row>
    <row r="31" spans="1:14" ht="66.75" customHeight="1" x14ac:dyDescent="0.3">
      <c r="A31" s="389"/>
      <c r="B31" s="389"/>
      <c r="C31" s="418" t="s">
        <v>485</v>
      </c>
      <c r="D31" s="418"/>
      <c r="E31" s="418"/>
      <c r="F31" s="418"/>
      <c r="G31" s="390"/>
      <c r="H31" s="390"/>
      <c r="I31" s="390"/>
    </row>
    <row r="32" spans="1:14" x14ac:dyDescent="0.3">
      <c r="C32" s="418" t="s">
        <v>486</v>
      </c>
      <c r="D32" s="418"/>
      <c r="E32" s="418"/>
      <c r="F32" s="418"/>
      <c r="G32" s="390"/>
      <c r="H32" s="390"/>
      <c r="I32" s="390"/>
    </row>
    <row r="33" spans="3:10" x14ac:dyDescent="0.3">
      <c r="C33" s="297"/>
      <c r="J33" s="297"/>
    </row>
    <row r="35" spans="3:10" x14ac:dyDescent="0.3">
      <c r="C35" s="297"/>
    </row>
    <row r="37" spans="3:10" x14ac:dyDescent="0.3">
      <c r="E37" s="373"/>
      <c r="F37" s="373"/>
      <c r="G37" s="373"/>
      <c r="H37" s="373"/>
      <c r="I37" s="373"/>
    </row>
    <row r="38" spans="3:10" x14ac:dyDescent="0.3">
      <c r="E38" s="373"/>
      <c r="F38" s="373"/>
      <c r="G38" s="373"/>
      <c r="H38" s="373"/>
      <c r="I38" s="373"/>
    </row>
    <row r="39" spans="3:10" x14ac:dyDescent="0.3">
      <c r="C39" s="297"/>
      <c r="E39" s="380"/>
      <c r="F39" s="380"/>
      <c r="G39" s="380"/>
      <c r="H39" s="380"/>
      <c r="I39" s="380"/>
    </row>
    <row r="40" spans="3:10" x14ac:dyDescent="0.3">
      <c r="E40" s="391"/>
      <c r="F40" s="391"/>
      <c r="G40" s="391"/>
      <c r="H40" s="391"/>
      <c r="I40" s="391"/>
    </row>
    <row r="41" spans="3:10" x14ac:dyDescent="0.3">
      <c r="E41" s="391"/>
      <c r="F41" s="391"/>
      <c r="G41" s="391"/>
      <c r="H41" s="391"/>
      <c r="I41" s="391"/>
    </row>
    <row r="43" spans="3:10" x14ac:dyDescent="0.3">
      <c r="C43" s="370"/>
      <c r="E43" s="391"/>
      <c r="F43" s="391"/>
      <c r="G43" s="391"/>
      <c r="H43" s="391"/>
      <c r="I43" s="391"/>
    </row>
    <row r="44" spans="3:10" x14ac:dyDescent="0.3">
      <c r="C44" s="370"/>
      <c r="E44" s="391"/>
      <c r="F44" s="391"/>
      <c r="G44" s="391"/>
      <c r="H44" s="391"/>
      <c r="I44" s="391"/>
    </row>
    <row r="45" spans="3:10" x14ac:dyDescent="0.3">
      <c r="C45" s="370"/>
      <c r="E45" s="391"/>
      <c r="F45" s="391"/>
      <c r="G45" s="391"/>
      <c r="H45" s="391"/>
      <c r="I45" s="391"/>
    </row>
    <row r="46" spans="3:10" x14ac:dyDescent="0.3">
      <c r="C46" s="370"/>
      <c r="E46" s="391"/>
      <c r="F46" s="391"/>
      <c r="G46" s="391"/>
      <c r="H46" s="391"/>
      <c r="I46" s="391"/>
    </row>
    <row r="47" spans="3:10" x14ac:dyDescent="0.3">
      <c r="E47" s="391"/>
      <c r="F47" s="391"/>
      <c r="G47" s="391"/>
      <c r="H47" s="391"/>
      <c r="I47" s="391"/>
    </row>
    <row r="48" spans="3:10" x14ac:dyDescent="0.3">
      <c r="E48" s="392"/>
      <c r="F48" s="392"/>
      <c r="G48" s="392"/>
      <c r="H48" s="392"/>
      <c r="I48" s="392"/>
    </row>
    <row r="49" spans="3:9" x14ac:dyDescent="0.3">
      <c r="C49" s="297"/>
      <c r="E49" s="393"/>
      <c r="F49" s="393"/>
      <c r="G49" s="393"/>
      <c r="H49" s="393"/>
      <c r="I49" s="393"/>
    </row>
  </sheetData>
  <mergeCells count="2">
    <mergeCell ref="C31:F31"/>
    <mergeCell ref="C32:F32"/>
  </mergeCells>
  <printOptions horizontalCentered="1"/>
  <pageMargins left="0.70866141732283505" right="0.70866141732283505" top="0.74803149606299202" bottom="0.74803149606299202" header="0.31496062992126" footer="0.31496062992126"/>
  <pageSetup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F1CA-3369-4AFD-A370-92C9C4C579F3}">
  <sheetPr>
    <pageSetUpPr fitToPage="1"/>
  </sheetPr>
  <dimension ref="B1:G35"/>
  <sheetViews>
    <sheetView showGridLines="0" view="pageBreakPreview" topLeftCell="A13" zoomScaleSheetLayoutView="100" workbookViewId="0">
      <selection activeCell="E24" sqref="E24"/>
    </sheetView>
  </sheetViews>
  <sheetFormatPr defaultColWidth="9.08984375" defaultRowHeight="14" x14ac:dyDescent="0.3"/>
  <cols>
    <col min="1" max="1" width="9.08984375" style="83"/>
    <col min="2" max="2" width="11.453125" style="83" customWidth="1"/>
    <col min="3" max="3" width="83" style="83" customWidth="1"/>
    <col min="4" max="4" width="26.6328125" style="83" customWidth="1"/>
    <col min="5" max="5" width="17.08984375" style="83" customWidth="1"/>
    <col min="6" max="6" width="2.6328125" style="83" customWidth="1"/>
    <col min="7" max="16384" width="9.08984375" style="83"/>
  </cols>
  <sheetData>
    <row r="1" spans="2:5" x14ac:dyDescent="0.3">
      <c r="E1" s="84" t="s">
        <v>167</v>
      </c>
    </row>
    <row r="2" spans="2:5" x14ac:dyDescent="0.3">
      <c r="C2" s="85"/>
      <c r="D2" s="85"/>
      <c r="E2" s="84" t="s">
        <v>277</v>
      </c>
    </row>
    <row r="3" spans="2:5" x14ac:dyDescent="0.3">
      <c r="C3" s="85"/>
      <c r="D3" s="85"/>
      <c r="E3" s="85"/>
    </row>
    <row r="4" spans="2:5" x14ac:dyDescent="0.3">
      <c r="C4" s="85"/>
      <c r="D4" s="85"/>
      <c r="E4" s="85"/>
    </row>
    <row r="5" spans="2:5" x14ac:dyDescent="0.3">
      <c r="B5" s="85" t="s">
        <v>168</v>
      </c>
      <c r="C5" s="86"/>
      <c r="D5" s="85"/>
      <c r="E5" s="85"/>
    </row>
    <row r="6" spans="2:5" ht="14.5" thickBot="1" x14ac:dyDescent="0.35">
      <c r="B6" s="85"/>
      <c r="C6" s="86"/>
      <c r="D6" s="85"/>
      <c r="E6" s="85"/>
    </row>
    <row r="7" spans="2:5" ht="42.5" thickBot="1" x14ac:dyDescent="0.35">
      <c r="C7" s="85"/>
      <c r="D7" s="85"/>
      <c r="E7" s="87" t="s">
        <v>257</v>
      </c>
    </row>
    <row r="8" spans="2:5" x14ac:dyDescent="0.3">
      <c r="B8" s="88" t="s">
        <v>104</v>
      </c>
      <c r="C8" s="88"/>
      <c r="D8" s="89" t="s">
        <v>105</v>
      </c>
      <c r="E8" s="90" t="s">
        <v>35</v>
      </c>
    </row>
    <row r="9" spans="2:5" ht="7.5" customHeight="1" x14ac:dyDescent="0.3"/>
    <row r="10" spans="2:5" x14ac:dyDescent="0.3">
      <c r="C10" s="91">
        <v>2021</v>
      </c>
    </row>
    <row r="11" spans="2:5" x14ac:dyDescent="0.3">
      <c r="B11" s="92">
        <v>1</v>
      </c>
      <c r="C11" s="93" t="s">
        <v>169</v>
      </c>
      <c r="D11" s="94" t="s">
        <v>106</v>
      </c>
      <c r="E11" s="95">
        <f>'Table 1.1'!E15</f>
        <v>72878.258658556675</v>
      </c>
    </row>
    <row r="12" spans="2:5" x14ac:dyDescent="0.3">
      <c r="B12" s="92">
        <f>B11+1</f>
        <v>2</v>
      </c>
      <c r="C12" s="93" t="s">
        <v>170</v>
      </c>
      <c r="D12" s="94" t="s">
        <v>106</v>
      </c>
      <c r="E12" s="96">
        <f>'Table 1.1'!E30</f>
        <v>64099.538465993035</v>
      </c>
    </row>
    <row r="13" spans="2:5" x14ac:dyDescent="0.3">
      <c r="B13" s="92">
        <f>B12+1</f>
        <v>3</v>
      </c>
      <c r="C13" s="93" t="s">
        <v>107</v>
      </c>
      <c r="D13" s="94" t="s">
        <v>108</v>
      </c>
      <c r="E13" s="95">
        <f>E11-E12</f>
        <v>8778.72019256364</v>
      </c>
    </row>
    <row r="14" spans="2:5" ht="7.5" customHeight="1" x14ac:dyDescent="0.3">
      <c r="B14" s="92"/>
      <c r="C14" s="93"/>
      <c r="D14" s="94"/>
      <c r="E14" s="95"/>
    </row>
    <row r="15" spans="2:5" x14ac:dyDescent="0.3">
      <c r="B15" s="92"/>
      <c r="C15" s="97" t="s">
        <v>109</v>
      </c>
      <c r="D15" s="94"/>
      <c r="E15" s="95"/>
    </row>
    <row r="16" spans="2:5" x14ac:dyDescent="0.3">
      <c r="B16" s="92">
        <f>B13+1</f>
        <v>4</v>
      </c>
      <c r="C16" s="93" t="s">
        <v>232</v>
      </c>
      <c r="D16" s="94"/>
      <c r="E16" s="247">
        <v>3851.8975657928713</v>
      </c>
    </row>
    <row r="17" spans="2:7" ht="7.5" customHeight="1" x14ac:dyDescent="0.3">
      <c r="B17" s="92"/>
      <c r="D17" s="94"/>
      <c r="E17" s="248"/>
    </row>
    <row r="18" spans="2:7" x14ac:dyDescent="0.3">
      <c r="B18" s="92">
        <f>B16+1</f>
        <v>5</v>
      </c>
      <c r="C18" s="88" t="s">
        <v>171</v>
      </c>
      <c r="D18" s="98" t="s">
        <v>110</v>
      </c>
      <c r="E18" s="249">
        <f>E13-E16</f>
        <v>4926.8226267707687</v>
      </c>
    </row>
    <row r="19" spans="2:7" ht="7.5" customHeight="1" x14ac:dyDescent="0.3">
      <c r="B19" s="92"/>
      <c r="D19" s="94"/>
      <c r="E19" s="248"/>
    </row>
    <row r="20" spans="2:7" x14ac:dyDescent="0.3">
      <c r="B20" s="92">
        <f>B18+1</f>
        <v>6</v>
      </c>
      <c r="C20" s="88" t="s">
        <v>241</v>
      </c>
      <c r="D20" s="98" t="s">
        <v>111</v>
      </c>
      <c r="E20" s="249">
        <f>SUM('Table 1.1-5'!S10:S14)</f>
        <v>-2419.0078944542684</v>
      </c>
    </row>
    <row r="21" spans="2:7" ht="6.75" customHeight="1" x14ac:dyDescent="0.3">
      <c r="B21" s="92"/>
      <c r="C21" s="88"/>
      <c r="D21" s="98"/>
      <c r="E21" s="99"/>
    </row>
    <row r="22" spans="2:7" x14ac:dyDescent="0.3">
      <c r="B22" s="92">
        <f>B20+1</f>
        <v>7</v>
      </c>
      <c r="C22" s="88" t="s">
        <v>112</v>
      </c>
      <c r="D22" s="98" t="s">
        <v>113</v>
      </c>
      <c r="E22" s="99">
        <f>-'Table 1.1-6'!J48/1000</f>
        <v>1326.7551461070473</v>
      </c>
    </row>
    <row r="23" spans="2:7" ht="6.75" customHeight="1" x14ac:dyDescent="0.3">
      <c r="B23" s="92"/>
      <c r="C23" s="88"/>
      <c r="D23" s="98"/>
      <c r="E23" s="99"/>
    </row>
    <row r="24" spans="2:7" x14ac:dyDescent="0.3">
      <c r="B24" s="92">
        <f>B22+1</f>
        <v>8</v>
      </c>
      <c r="C24" s="88" t="s">
        <v>114</v>
      </c>
      <c r="D24" s="98" t="s">
        <v>550</v>
      </c>
      <c r="E24" s="99">
        <f>E18+E20+E22</f>
        <v>3834.5698784235474</v>
      </c>
    </row>
    <row r="25" spans="2:7" ht="7.5" customHeight="1" x14ac:dyDescent="0.3">
      <c r="B25" s="92"/>
      <c r="C25" s="88"/>
      <c r="D25" s="94"/>
      <c r="E25" s="95"/>
    </row>
    <row r="26" spans="2:7" x14ac:dyDescent="0.3">
      <c r="B26" s="92"/>
      <c r="C26" s="88" t="s">
        <v>334</v>
      </c>
      <c r="D26" s="94"/>
      <c r="E26" s="95"/>
    </row>
    <row r="27" spans="2:7" ht="15" customHeight="1" x14ac:dyDescent="0.3">
      <c r="B27" s="92">
        <f>B24+1</f>
        <v>9</v>
      </c>
      <c r="C27" s="93" t="s">
        <v>115</v>
      </c>
      <c r="D27" s="100" t="s">
        <v>116</v>
      </c>
      <c r="E27" s="95">
        <f>'Table 1.1-7'!O48-E28</f>
        <v>125612.39095041361</v>
      </c>
    </row>
    <row r="28" spans="2:7" ht="15" customHeight="1" x14ac:dyDescent="0.3">
      <c r="B28" s="92">
        <f t="shared" ref="B28" si="0">B27+1</f>
        <v>10</v>
      </c>
      <c r="C28" s="93" t="s">
        <v>117</v>
      </c>
      <c r="D28" s="100" t="s">
        <v>116</v>
      </c>
      <c r="E28" s="95">
        <f>'Table 1.1-7'!K48</f>
        <v>24339.800900586608</v>
      </c>
    </row>
    <row r="29" spans="2:7" ht="7.5" customHeight="1" x14ac:dyDescent="0.3">
      <c r="B29" s="92"/>
      <c r="C29" s="93"/>
      <c r="D29" s="94"/>
      <c r="E29" s="95"/>
    </row>
    <row r="30" spans="2:7" x14ac:dyDescent="0.3">
      <c r="B30" s="92">
        <f>B28+1</f>
        <v>11</v>
      </c>
      <c r="C30" s="88" t="s">
        <v>118</v>
      </c>
      <c r="D30" s="98" t="s">
        <v>551</v>
      </c>
      <c r="E30" s="99">
        <f>SUM(E27:E28)</f>
        <v>149952.19185100021</v>
      </c>
    </row>
    <row r="31" spans="2:7" ht="7.5" customHeight="1" x14ac:dyDescent="0.3">
      <c r="B31" s="92"/>
      <c r="C31" s="88"/>
      <c r="D31" s="98"/>
      <c r="E31" s="88"/>
    </row>
    <row r="32" spans="2:7" x14ac:dyDescent="0.3">
      <c r="B32" s="92">
        <f>B30+1</f>
        <v>12</v>
      </c>
      <c r="C32" s="88" t="s">
        <v>242</v>
      </c>
      <c r="D32" s="98" t="s">
        <v>552</v>
      </c>
      <c r="E32" s="101">
        <f>E24/E30</f>
        <v>2.5571949506638506E-2</v>
      </c>
      <c r="G32" s="101"/>
    </row>
    <row r="33" spans="2:7" x14ac:dyDescent="0.3">
      <c r="B33" s="92"/>
      <c r="C33" s="88"/>
      <c r="D33" s="98"/>
      <c r="E33" s="101"/>
      <c r="G33" s="101"/>
    </row>
    <row r="34" spans="2:7" x14ac:dyDescent="0.3">
      <c r="B34" s="92"/>
      <c r="C34" s="93"/>
      <c r="E34" s="95"/>
    </row>
    <row r="35" spans="2:7" ht="29.5" customHeight="1" x14ac:dyDescent="0.3">
      <c r="B35" s="419"/>
      <c r="C35" s="419"/>
      <c r="D35" s="419"/>
      <c r="E35" s="419"/>
    </row>
  </sheetData>
  <mergeCells count="1">
    <mergeCell ref="B35:E35"/>
  </mergeCells>
  <pageMargins left="0.70866141732283472" right="0.70866141732283472" top="0.74803149606299213" bottom="0.74803149606299213" header="0.31496062992125984" footer="0.31496062992125984"/>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14DA6-BF0E-4B2E-824D-823664B54779}">
  <dimension ref="B1:J45"/>
  <sheetViews>
    <sheetView view="pageBreakPreview" zoomScale="90" zoomScaleNormal="100" zoomScaleSheetLayoutView="90" workbookViewId="0">
      <selection activeCell="D5" sqref="D5"/>
    </sheetView>
  </sheetViews>
  <sheetFormatPr defaultRowHeight="14.5" x14ac:dyDescent="0.35"/>
  <cols>
    <col min="2" max="2" width="14.36328125" customWidth="1"/>
    <col min="3" max="4" width="14.7265625" customWidth="1"/>
    <col min="5" max="5" width="12.36328125" customWidth="1"/>
    <col min="6" max="6" width="1.81640625" customWidth="1"/>
    <col min="7" max="8" width="11.90625" customWidth="1"/>
    <col min="9" max="9" width="11.1796875" customWidth="1"/>
    <col min="10" max="10" width="10" bestFit="1" customWidth="1"/>
  </cols>
  <sheetData>
    <row r="1" spans="2:8" x14ac:dyDescent="0.35">
      <c r="B1" s="283" t="s">
        <v>554</v>
      </c>
    </row>
    <row r="2" spans="2:8" ht="15" thickBot="1" x14ac:dyDescent="0.4">
      <c r="B2" s="283"/>
    </row>
    <row r="3" spans="2:8" ht="73" thickBot="1" x14ac:dyDescent="0.4">
      <c r="B3" s="260"/>
      <c r="C3" s="251" t="s">
        <v>305</v>
      </c>
      <c r="D3" s="251" t="s">
        <v>306</v>
      </c>
      <c r="E3" s="251" t="s">
        <v>324</v>
      </c>
      <c r="G3" s="251" t="s">
        <v>325</v>
      </c>
      <c r="H3" s="251" t="s">
        <v>553</v>
      </c>
    </row>
    <row r="4" spans="2:8" x14ac:dyDescent="0.35">
      <c r="B4" s="260"/>
      <c r="C4" s="284" t="s">
        <v>11</v>
      </c>
      <c r="D4" s="284" t="s">
        <v>22</v>
      </c>
      <c r="E4" s="284" t="s">
        <v>326</v>
      </c>
      <c r="G4" s="284" t="s">
        <v>144</v>
      </c>
      <c r="H4" s="284" t="s">
        <v>327</v>
      </c>
    </row>
    <row r="5" spans="2:8" x14ac:dyDescent="0.35">
      <c r="B5" s="366">
        <v>2021</v>
      </c>
    </row>
    <row r="6" spans="2:8" x14ac:dyDescent="0.35">
      <c r="B6" s="80" t="s">
        <v>125</v>
      </c>
      <c r="C6" s="294">
        <v>35734.400000000001</v>
      </c>
      <c r="D6" s="294">
        <f>'Table 1.1-4a) ii)'!D36</f>
        <v>9440.206230645259</v>
      </c>
      <c r="E6" s="294">
        <f t="shared" ref="E6:E17" si="0">D6-C6</f>
        <v>-26294.193769354744</v>
      </c>
      <c r="F6" s="294"/>
      <c r="G6" s="294">
        <v>8402</v>
      </c>
      <c r="H6" s="294">
        <f t="shared" ref="H6:H17" si="1">D6-G6</f>
        <v>1038.206230645259</v>
      </c>
    </row>
    <row r="7" spans="2:8" x14ac:dyDescent="0.35">
      <c r="B7" s="80" t="s">
        <v>126</v>
      </c>
      <c r="C7" s="294">
        <f>C6</f>
        <v>35734.400000000001</v>
      </c>
      <c r="D7" s="294">
        <f>D6</f>
        <v>9440.206230645259</v>
      </c>
      <c r="E7" s="294">
        <f t="shared" si="0"/>
        <v>-26294.193769354744</v>
      </c>
      <c r="F7" s="294"/>
      <c r="G7" s="294">
        <v>8402</v>
      </c>
      <c r="H7" s="294">
        <f t="shared" si="1"/>
        <v>1038.206230645259</v>
      </c>
    </row>
    <row r="8" spans="2:8" x14ac:dyDescent="0.35">
      <c r="B8" s="80" t="s">
        <v>127</v>
      </c>
      <c r="C8" s="294">
        <f>C7</f>
        <v>35734.400000000001</v>
      </c>
      <c r="D8" s="294">
        <f>D7</f>
        <v>9440.206230645259</v>
      </c>
      <c r="E8" s="294">
        <f t="shared" si="0"/>
        <v>-26294.193769354744</v>
      </c>
      <c r="F8" s="294"/>
      <c r="G8" s="294">
        <v>8402</v>
      </c>
      <c r="H8" s="294">
        <f t="shared" si="1"/>
        <v>1038.206230645259</v>
      </c>
    </row>
    <row r="9" spans="2:8" x14ac:dyDescent="0.35">
      <c r="B9" s="80" t="s">
        <v>128</v>
      </c>
      <c r="C9" s="294">
        <f t="shared" ref="C9:C17" si="2">C8</f>
        <v>35734.400000000001</v>
      </c>
      <c r="D9" s="294">
        <f>'Table 1.1-4a) iii)'!D39</f>
        <v>29568.960721656244</v>
      </c>
      <c r="E9" s="294">
        <f t="shared" si="0"/>
        <v>-6165.4392783437579</v>
      </c>
      <c r="F9" s="294"/>
      <c r="G9" s="294">
        <f>11333.9+20322.6</f>
        <v>31656.5</v>
      </c>
      <c r="H9" s="294">
        <f t="shared" si="1"/>
        <v>-2087.5392783437565</v>
      </c>
    </row>
    <row r="10" spans="2:8" x14ac:dyDescent="0.35">
      <c r="B10" s="80" t="s">
        <v>129</v>
      </c>
      <c r="C10" s="294">
        <f t="shared" si="2"/>
        <v>35734.400000000001</v>
      </c>
      <c r="D10" s="294">
        <f t="shared" ref="D10:D15" si="3">D9</f>
        <v>29568.960721656244</v>
      </c>
      <c r="E10" s="294">
        <f t="shared" si="0"/>
        <v>-6165.4392783437579</v>
      </c>
      <c r="F10" s="294"/>
      <c r="G10" s="294">
        <f t="shared" ref="G10:G17" si="4">G9</f>
        <v>31656.5</v>
      </c>
      <c r="H10" s="294">
        <f t="shared" si="1"/>
        <v>-2087.5392783437565</v>
      </c>
    </row>
    <row r="11" spans="2:8" x14ac:dyDescent="0.35">
      <c r="B11" s="80" t="s">
        <v>130</v>
      </c>
      <c r="C11" s="294">
        <f t="shared" si="2"/>
        <v>35734.400000000001</v>
      </c>
      <c r="D11" s="294">
        <f t="shared" si="3"/>
        <v>29568.960721656244</v>
      </c>
      <c r="E11" s="294">
        <f t="shared" si="0"/>
        <v>-6165.4392783437579</v>
      </c>
      <c r="F11" s="294"/>
      <c r="G11" s="294">
        <f t="shared" si="4"/>
        <v>31656.5</v>
      </c>
      <c r="H11" s="294">
        <f t="shared" si="1"/>
        <v>-2087.5392783437565</v>
      </c>
    </row>
    <row r="12" spans="2:8" x14ac:dyDescent="0.35">
      <c r="B12" s="80" t="s">
        <v>131</v>
      </c>
      <c r="C12" s="294">
        <f t="shared" si="2"/>
        <v>35734.400000000001</v>
      </c>
      <c r="D12" s="294">
        <f t="shared" si="3"/>
        <v>29568.960721656244</v>
      </c>
      <c r="E12" s="294">
        <f t="shared" si="0"/>
        <v>-6165.4392783437579</v>
      </c>
      <c r="F12" s="294"/>
      <c r="G12" s="294">
        <f t="shared" si="4"/>
        <v>31656.5</v>
      </c>
      <c r="H12" s="294">
        <f t="shared" si="1"/>
        <v>-2087.5392783437565</v>
      </c>
    </row>
    <row r="13" spans="2:8" x14ac:dyDescent="0.35">
      <c r="B13" s="80" t="s">
        <v>132</v>
      </c>
      <c r="C13" s="294">
        <f t="shared" si="2"/>
        <v>35734.400000000001</v>
      </c>
      <c r="D13" s="294">
        <f t="shared" si="3"/>
        <v>29568.960721656244</v>
      </c>
      <c r="E13" s="294">
        <f t="shared" si="0"/>
        <v>-6165.4392783437579</v>
      </c>
      <c r="F13" s="294"/>
      <c r="G13" s="294">
        <f t="shared" si="4"/>
        <v>31656.5</v>
      </c>
      <c r="H13" s="294">
        <f t="shared" si="1"/>
        <v>-2087.5392783437565</v>
      </c>
    </row>
    <row r="14" spans="2:8" x14ac:dyDescent="0.35">
      <c r="B14" s="80" t="s">
        <v>133</v>
      </c>
      <c r="C14" s="294">
        <f t="shared" si="2"/>
        <v>35734.400000000001</v>
      </c>
      <c r="D14" s="294">
        <f t="shared" si="3"/>
        <v>29568.960721656244</v>
      </c>
      <c r="E14" s="294">
        <f t="shared" si="0"/>
        <v>-6165.4392783437579</v>
      </c>
      <c r="F14" s="294"/>
      <c r="G14" s="294">
        <f t="shared" si="4"/>
        <v>31656.5</v>
      </c>
      <c r="H14" s="294">
        <f t="shared" si="1"/>
        <v>-2087.5392783437565</v>
      </c>
    </row>
    <row r="15" spans="2:8" x14ac:dyDescent="0.35">
      <c r="B15" s="80" t="s">
        <v>134</v>
      </c>
      <c r="C15" s="294">
        <f t="shared" si="2"/>
        <v>35734.400000000001</v>
      </c>
      <c r="D15" s="294">
        <f t="shared" si="3"/>
        <v>29568.960721656244</v>
      </c>
      <c r="E15" s="294">
        <f t="shared" si="0"/>
        <v>-6165.4392783437579</v>
      </c>
      <c r="F15" s="294"/>
      <c r="G15" s="294">
        <f t="shared" si="4"/>
        <v>31656.5</v>
      </c>
      <c r="H15" s="294">
        <f t="shared" si="1"/>
        <v>-2087.5392783437565</v>
      </c>
    </row>
    <row r="16" spans="2:8" x14ac:dyDescent="0.35">
      <c r="B16" s="80" t="s">
        <v>135</v>
      </c>
      <c r="C16" s="294">
        <f t="shared" si="2"/>
        <v>35734.400000000001</v>
      </c>
      <c r="D16" s="294">
        <f>'Table 1.1-4a) iv)'!D39</f>
        <v>69408.55032576884</v>
      </c>
      <c r="E16" s="294">
        <f t="shared" si="0"/>
        <v>33674.150325768838</v>
      </c>
      <c r="F16" s="294"/>
      <c r="G16" s="294">
        <f t="shared" si="4"/>
        <v>31656.5</v>
      </c>
      <c r="H16" s="294">
        <f t="shared" si="1"/>
        <v>37752.05032576884</v>
      </c>
    </row>
    <row r="17" spans="2:10" x14ac:dyDescent="0.35">
      <c r="B17" s="80" t="s">
        <v>156</v>
      </c>
      <c r="C17" s="294">
        <f t="shared" si="2"/>
        <v>35734.400000000001</v>
      </c>
      <c r="D17" s="294">
        <f>D16</f>
        <v>69408.55032576884</v>
      </c>
      <c r="E17" s="294">
        <f t="shared" si="0"/>
        <v>33674.150325768838</v>
      </c>
      <c r="F17" s="294"/>
      <c r="G17" s="294">
        <f t="shared" si="4"/>
        <v>31656.5</v>
      </c>
      <c r="H17" s="294">
        <f t="shared" si="1"/>
        <v>37752.05032576884</v>
      </c>
    </row>
    <row r="18" spans="2:10" x14ac:dyDescent="0.35">
      <c r="C18" s="294"/>
      <c r="D18" s="294"/>
      <c r="E18" s="294"/>
      <c r="F18" s="294"/>
      <c r="G18" s="294"/>
      <c r="H18" s="294"/>
    </row>
    <row r="19" spans="2:10" x14ac:dyDescent="0.35">
      <c r="B19" s="44" t="s">
        <v>157</v>
      </c>
      <c r="C19" s="295">
        <f>SUM(C6:C17)</f>
        <v>428812.8000000001</v>
      </c>
      <c r="D19" s="295">
        <f>SUM(D6:D17)</f>
        <v>374120.44439506717</v>
      </c>
      <c r="E19" s="295">
        <f>SUM(E6:E17)</f>
        <v>-54692.355604932811</v>
      </c>
      <c r="F19" s="294"/>
      <c r="G19" s="295">
        <f>SUM(G6:G17)</f>
        <v>310114.5</v>
      </c>
      <c r="H19" s="295">
        <f>SUM(H6:H17)</f>
        <v>64005.944395067163</v>
      </c>
      <c r="J19" s="294"/>
    </row>
    <row r="20" spans="2:10" x14ac:dyDescent="0.35">
      <c r="B20" s="285"/>
      <c r="C20" s="285"/>
      <c r="D20" s="285"/>
      <c r="E20" s="285"/>
      <c r="F20" s="285"/>
      <c r="G20" s="285"/>
      <c r="H20" s="285"/>
    </row>
    <row r="21" spans="2:10" x14ac:dyDescent="0.35">
      <c r="H21" s="286"/>
    </row>
    <row r="22" spans="2:10" x14ac:dyDescent="0.35">
      <c r="B22" s="366">
        <v>2022</v>
      </c>
    </row>
    <row r="23" spans="2:10" x14ac:dyDescent="0.35">
      <c r="B23" s="80" t="s">
        <v>125</v>
      </c>
      <c r="D23" s="294">
        <v>65857.642554150603</v>
      </c>
      <c r="G23" s="294">
        <f>G17</f>
        <v>31656.5</v>
      </c>
      <c r="H23" s="294">
        <f>D23-G23</f>
        <v>34201.142554150603</v>
      </c>
    </row>
    <row r="24" spans="2:10" x14ac:dyDescent="0.35">
      <c r="B24" s="80" t="s">
        <v>126</v>
      </c>
      <c r="D24" s="294">
        <f>D23</f>
        <v>65857.642554150603</v>
      </c>
      <c r="G24" s="294">
        <f>G23</f>
        <v>31656.5</v>
      </c>
      <c r="H24" s="294">
        <f>D24-G24</f>
        <v>34201.142554150603</v>
      </c>
    </row>
    <row r="25" spans="2:10" x14ac:dyDescent="0.35">
      <c r="B25" s="80" t="s">
        <v>127</v>
      </c>
      <c r="D25" s="294">
        <f>D24</f>
        <v>65857.642554150603</v>
      </c>
      <c r="G25" s="294">
        <f>G24</f>
        <v>31656.5</v>
      </c>
      <c r="H25" s="294">
        <f>D25-G25</f>
        <v>34201.142554150603</v>
      </c>
    </row>
    <row r="26" spans="2:10" x14ac:dyDescent="0.35">
      <c r="B26" s="80" t="s">
        <v>128</v>
      </c>
      <c r="D26" s="294">
        <f>D25</f>
        <v>65857.642554150603</v>
      </c>
      <c r="G26" s="294">
        <f>G25</f>
        <v>31656.5</v>
      </c>
      <c r="H26" s="294">
        <f>D26-G26</f>
        <v>34201.142554150603</v>
      </c>
    </row>
    <row r="27" spans="2:10" x14ac:dyDescent="0.35">
      <c r="B27" s="63" t="s">
        <v>258</v>
      </c>
      <c r="D27" s="294"/>
      <c r="G27" s="294"/>
      <c r="H27" s="295">
        <f>SUM(H23:H26)</f>
        <v>136804.57021660241</v>
      </c>
    </row>
    <row r="28" spans="2:10" x14ac:dyDescent="0.35">
      <c r="B28" s="80"/>
      <c r="D28" s="294"/>
      <c r="G28" s="294"/>
      <c r="H28" s="294"/>
    </row>
    <row r="29" spans="2:10" x14ac:dyDescent="0.35">
      <c r="B29" s="63" t="s">
        <v>462</v>
      </c>
      <c r="D29" s="294"/>
      <c r="G29" s="294"/>
      <c r="H29" s="295">
        <f>H19+H27</f>
        <v>200810.51461166958</v>
      </c>
    </row>
    <row r="30" spans="2:10" x14ac:dyDescent="0.35">
      <c r="B30" s="80"/>
      <c r="H30" s="286"/>
    </row>
    <row r="31" spans="2:10" x14ac:dyDescent="0.35">
      <c r="C31" s="293" t="s">
        <v>329</v>
      </c>
      <c r="D31" s="289" t="s">
        <v>182</v>
      </c>
      <c r="E31" s="289" t="s">
        <v>330</v>
      </c>
      <c r="G31" s="288"/>
      <c r="H31" s="289" t="s">
        <v>331</v>
      </c>
    </row>
    <row r="32" spans="2:10" x14ac:dyDescent="0.35">
      <c r="C32" s="287" t="s">
        <v>180</v>
      </c>
      <c r="D32" s="290">
        <v>36975.54</v>
      </c>
      <c r="E32" s="291">
        <f>D32/SUM(D32:D33)</f>
        <v>0.78669453549424551</v>
      </c>
      <c r="G32" s="288"/>
      <c r="H32" s="294">
        <f>H29*E32</f>
        <v>157976.53451478781</v>
      </c>
    </row>
    <row r="33" spans="2:8" x14ac:dyDescent="0.35">
      <c r="C33" s="287" t="s">
        <v>181</v>
      </c>
      <c r="D33" s="292">
        <v>10025.6</v>
      </c>
      <c r="E33" s="291">
        <f>1-E32</f>
        <v>0.21330546450575449</v>
      </c>
      <c r="H33" s="296">
        <f>H29-H32</f>
        <v>42833.980096881773</v>
      </c>
    </row>
    <row r="34" spans="2:8" x14ac:dyDescent="0.35">
      <c r="C34" s="287" t="s">
        <v>157</v>
      </c>
      <c r="D34" s="290">
        <f>SUM(D32:D33)</f>
        <v>47001.14</v>
      </c>
      <c r="E34" s="290"/>
      <c r="F34" s="291"/>
      <c r="H34" s="294">
        <f>SUM(H32:H33)</f>
        <v>200810.51461166958</v>
      </c>
    </row>
    <row r="35" spans="2:8" x14ac:dyDescent="0.35">
      <c r="C35" s="287"/>
      <c r="D35" s="290"/>
      <c r="E35" s="290"/>
      <c r="F35" s="291"/>
    </row>
    <row r="36" spans="2:8" x14ac:dyDescent="0.35">
      <c r="B36" t="s">
        <v>56</v>
      </c>
      <c r="C36" s="287"/>
      <c r="D36" s="290"/>
      <c r="E36" s="290"/>
      <c r="F36" s="291"/>
    </row>
    <row r="37" spans="2:8" ht="30" customHeight="1" x14ac:dyDescent="0.35">
      <c r="B37" s="420" t="s">
        <v>307</v>
      </c>
      <c r="C37" s="420"/>
      <c r="D37" s="420"/>
      <c r="E37" s="420"/>
      <c r="F37" s="420"/>
      <c r="G37" s="420"/>
      <c r="H37" s="420"/>
    </row>
    <row r="38" spans="2:8" ht="62.5" customHeight="1" x14ac:dyDescent="0.35">
      <c r="B38" s="421" t="s">
        <v>489</v>
      </c>
      <c r="C38" s="421"/>
      <c r="D38" s="421"/>
      <c r="E38" s="421"/>
      <c r="F38" s="421"/>
      <c r="G38" s="421"/>
      <c r="H38" s="421"/>
    </row>
    <row r="39" spans="2:8" ht="28.5" customHeight="1" x14ac:dyDescent="0.35">
      <c r="B39" s="420" t="s">
        <v>555</v>
      </c>
      <c r="C39" s="420"/>
      <c r="D39" s="420"/>
      <c r="E39" s="420"/>
      <c r="F39" s="420"/>
      <c r="G39" s="420"/>
      <c r="H39" s="420"/>
    </row>
    <row r="41" spans="2:8" x14ac:dyDescent="0.35">
      <c r="B41" s="80"/>
      <c r="D41" s="261"/>
      <c r="G41" s="261"/>
      <c r="H41" s="261"/>
    </row>
    <row r="42" spans="2:8" x14ac:dyDescent="0.35">
      <c r="B42" s="80"/>
      <c r="D42" s="261"/>
      <c r="G42" s="261"/>
      <c r="H42" s="261"/>
    </row>
    <row r="43" spans="2:8" x14ac:dyDescent="0.35">
      <c r="B43" s="80"/>
      <c r="D43" s="261"/>
      <c r="G43" s="261"/>
      <c r="H43" s="261"/>
    </row>
    <row r="44" spans="2:8" x14ac:dyDescent="0.35">
      <c r="B44" s="80"/>
      <c r="D44" s="261"/>
      <c r="G44" s="261"/>
      <c r="H44" s="261"/>
    </row>
    <row r="45" spans="2:8" x14ac:dyDescent="0.35">
      <c r="D45" s="261"/>
    </row>
  </sheetData>
  <mergeCells count="3">
    <mergeCell ref="B37:H37"/>
    <mergeCell ref="B38:H38"/>
    <mergeCell ref="B39:H39"/>
  </mergeCells>
  <phoneticPr fontId="38" type="noConversion"/>
  <pageMargins left="0.7" right="0.7" top="0.75" bottom="0.75" header="0.3" footer="0.3"/>
  <pageSetup scale="85"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497B-1364-4943-BB00-2A969A3F6364}">
  <sheetPr>
    <pageSetUpPr fitToPage="1"/>
  </sheetPr>
  <dimension ref="A1:X69"/>
  <sheetViews>
    <sheetView view="pageBreakPreview" topLeftCell="A37" zoomScale="90" zoomScaleNormal="100" zoomScaleSheetLayoutView="90" workbookViewId="0">
      <selection activeCell="E51" sqref="E51"/>
    </sheetView>
  </sheetViews>
  <sheetFormatPr defaultColWidth="8.90625" defaultRowHeight="14.5" x14ac:dyDescent="0.35"/>
  <cols>
    <col min="1" max="1" width="13.90625" style="143" customWidth="1"/>
    <col min="2" max="2" width="4.36328125" style="143" customWidth="1"/>
    <col min="3" max="3" width="2.453125" style="143" customWidth="1"/>
    <col min="4" max="4" width="34.6328125" style="143" customWidth="1"/>
    <col min="5" max="6" width="14.54296875" style="143" customWidth="1"/>
    <col min="7" max="7" width="4.90625" style="143" customWidth="1"/>
    <col min="8" max="8" width="8.1796875" style="143" customWidth="1"/>
    <col min="25" max="16384" width="8.90625" style="143"/>
  </cols>
  <sheetData>
    <row r="1" spans="1:7" x14ac:dyDescent="0.35">
      <c r="B1" s="161" t="s">
        <v>458</v>
      </c>
    </row>
    <row r="4" spans="1:7" x14ac:dyDescent="0.35">
      <c r="G4" s="332"/>
    </row>
    <row r="5" spans="1:7" x14ac:dyDescent="0.35">
      <c r="E5" s="332">
        <v>2020</v>
      </c>
      <c r="F5" s="332">
        <f>E5+1</f>
        <v>2021</v>
      </c>
      <c r="G5" s="333"/>
    </row>
    <row r="6" spans="1:7" x14ac:dyDescent="0.35">
      <c r="E6" s="333"/>
      <c r="F6" s="333"/>
      <c r="G6" s="333"/>
    </row>
    <row r="7" spans="1:7" x14ac:dyDescent="0.35">
      <c r="A7" s="334"/>
      <c r="B7" s="335" t="s">
        <v>405</v>
      </c>
    </row>
    <row r="8" spans="1:7" x14ac:dyDescent="0.35">
      <c r="A8" s="336">
        <v>1</v>
      </c>
      <c r="D8" s="143" t="s">
        <v>406</v>
      </c>
      <c r="E8" s="337">
        <v>2244721</v>
      </c>
      <c r="F8" s="337">
        <v>1155849.1884615382</v>
      </c>
      <c r="G8" s="337"/>
    </row>
    <row r="9" spans="1:7" ht="6.75" customHeight="1" x14ac:dyDescent="0.35">
      <c r="A9" s="336"/>
      <c r="E9" s="337"/>
      <c r="F9" s="337"/>
      <c r="G9" s="337"/>
    </row>
    <row r="10" spans="1:7" x14ac:dyDescent="0.35">
      <c r="A10" s="336">
        <v>2</v>
      </c>
      <c r="D10" s="143" t="s">
        <v>407</v>
      </c>
      <c r="E10" s="337">
        <v>37222</v>
      </c>
      <c r="F10" s="337">
        <v>18069.463915187378</v>
      </c>
      <c r="G10" s="337"/>
    </row>
    <row r="11" spans="1:7" x14ac:dyDescent="0.35">
      <c r="A11" s="336">
        <v>3</v>
      </c>
      <c r="D11" s="143" t="s">
        <v>408</v>
      </c>
      <c r="E11" s="339">
        <v>646100</v>
      </c>
      <c r="F11" s="339">
        <v>288639.84461538459</v>
      </c>
      <c r="G11" s="337"/>
    </row>
    <row r="12" spans="1:7" ht="6.75" customHeight="1" x14ac:dyDescent="0.35">
      <c r="A12" s="336"/>
      <c r="E12" s="337"/>
      <c r="F12" s="337"/>
      <c r="G12" s="337"/>
    </row>
    <row r="13" spans="1:7" x14ac:dyDescent="0.35">
      <c r="A13" s="336" t="s">
        <v>409</v>
      </c>
      <c r="D13" s="143" t="s">
        <v>410</v>
      </c>
      <c r="E13" s="337">
        <f>E8-E11</f>
        <v>1598621</v>
      </c>
      <c r="F13" s="337">
        <f>F8-F11</f>
        <v>867209.34384615358</v>
      </c>
      <c r="G13" s="337"/>
    </row>
    <row r="14" spans="1:7" ht="6" customHeight="1" x14ac:dyDescent="0.35">
      <c r="A14" s="336"/>
      <c r="E14" s="341"/>
      <c r="F14" s="341"/>
      <c r="G14" s="341"/>
    </row>
    <row r="15" spans="1:7" x14ac:dyDescent="0.35">
      <c r="A15" s="336">
        <v>5</v>
      </c>
      <c r="D15" s="342" t="s">
        <v>411</v>
      </c>
      <c r="E15" s="343"/>
      <c r="F15" s="343">
        <f>E13/12*3+F13/12*9</f>
        <v>1050062.2578846151</v>
      </c>
      <c r="G15" s="341"/>
    </row>
    <row r="16" spans="1:7" ht="5.5" customHeight="1" x14ac:dyDescent="0.35">
      <c r="A16" s="336"/>
      <c r="E16" s="341"/>
      <c r="F16" s="341"/>
      <c r="G16" s="341"/>
    </row>
    <row r="17" spans="1:7" ht="5.5" customHeight="1" x14ac:dyDescent="0.35">
      <c r="A17" s="336"/>
      <c r="E17" s="341"/>
      <c r="F17" s="341"/>
      <c r="G17" s="341"/>
    </row>
    <row r="18" spans="1:7" x14ac:dyDescent="0.35">
      <c r="A18" s="336"/>
      <c r="B18" s="335" t="s">
        <v>412</v>
      </c>
      <c r="E18" s="341"/>
      <c r="F18" s="341"/>
      <c r="G18" s="341"/>
    </row>
    <row r="19" spans="1:7" ht="7.75" customHeight="1" x14ac:dyDescent="0.35">
      <c r="A19" s="336"/>
      <c r="E19" s="341"/>
      <c r="F19" s="341"/>
      <c r="G19" s="341"/>
    </row>
    <row r="20" spans="1:7" x14ac:dyDescent="0.35">
      <c r="A20" s="336"/>
      <c r="B20" s="161" t="s">
        <v>413</v>
      </c>
    </row>
    <row r="21" spans="1:7" ht="6" customHeight="1" x14ac:dyDescent="0.35">
      <c r="A21" s="336"/>
      <c r="B21" s="161"/>
    </row>
    <row r="22" spans="1:7" x14ac:dyDescent="0.35">
      <c r="A22" s="336">
        <v>6</v>
      </c>
      <c r="D22" s="143" t="s">
        <v>414</v>
      </c>
      <c r="E22" s="338">
        <v>930563</v>
      </c>
      <c r="F22" s="338">
        <v>930563</v>
      </c>
      <c r="G22" s="338"/>
    </row>
    <row r="23" spans="1:7" ht="4.25" customHeight="1" x14ac:dyDescent="0.35">
      <c r="A23" s="336"/>
      <c r="E23" s="338"/>
      <c r="F23" s="338"/>
      <c r="G23" s="338"/>
    </row>
    <row r="24" spans="1:7" x14ac:dyDescent="0.35">
      <c r="A24" s="336">
        <v>7</v>
      </c>
      <c r="D24" s="143" t="s">
        <v>415</v>
      </c>
      <c r="E24" s="338">
        <v>17232.64814814815</v>
      </c>
      <c r="F24" s="338">
        <v>17232.64814814815</v>
      </c>
      <c r="G24" s="338"/>
    </row>
    <row r="25" spans="1:7" x14ac:dyDescent="0.35">
      <c r="A25" s="336">
        <v>8</v>
      </c>
      <c r="D25" s="143" t="s">
        <v>416</v>
      </c>
      <c r="E25" s="344">
        <v>28422.066260781332</v>
      </c>
      <c r="F25" s="344">
        <v>45654.714408929482</v>
      </c>
      <c r="G25" s="338"/>
    </row>
    <row r="26" spans="1:7" ht="4.25" customHeight="1" x14ac:dyDescent="0.35">
      <c r="A26" s="336"/>
      <c r="E26" s="338"/>
      <c r="F26" s="338"/>
      <c r="G26" s="338"/>
    </row>
    <row r="27" spans="1:7" x14ac:dyDescent="0.35">
      <c r="A27" s="336" t="s">
        <v>417</v>
      </c>
      <c r="D27" s="143" t="s">
        <v>410</v>
      </c>
      <c r="E27" s="338">
        <f>E22-E25</f>
        <v>902140.93373921863</v>
      </c>
      <c r="F27" s="338">
        <f>F22-F25</f>
        <v>884908.28559107054</v>
      </c>
      <c r="G27" s="338"/>
    </row>
    <row r="28" spans="1:7" ht="4.75" customHeight="1" x14ac:dyDescent="0.35">
      <c r="A28" s="336"/>
      <c r="E28" s="340"/>
      <c r="F28" s="340"/>
      <c r="G28" s="340"/>
    </row>
    <row r="29" spans="1:7" x14ac:dyDescent="0.35">
      <c r="A29" s="336">
        <v>10</v>
      </c>
      <c r="D29" s="342" t="s">
        <v>233</v>
      </c>
      <c r="E29" s="343"/>
      <c r="F29" s="343">
        <f>AVERAGE(E27:F27)</f>
        <v>893524.60966514458</v>
      </c>
      <c r="G29" s="341"/>
    </row>
    <row r="30" spans="1:7" ht="4.75" customHeight="1" x14ac:dyDescent="0.35">
      <c r="A30" s="336"/>
      <c r="E30" s="341"/>
      <c r="F30" s="341"/>
      <c r="G30" s="341"/>
    </row>
    <row r="31" spans="1:7" ht="6" customHeight="1" x14ac:dyDescent="0.35">
      <c r="A31" s="336"/>
      <c r="E31" s="340"/>
      <c r="F31" s="340"/>
      <c r="G31" s="340"/>
    </row>
    <row r="32" spans="1:7" x14ac:dyDescent="0.35">
      <c r="A32" s="336"/>
      <c r="B32" s="161" t="s">
        <v>418</v>
      </c>
    </row>
    <row r="33" spans="1:7" x14ac:dyDescent="0.35">
      <c r="A33" s="336">
        <v>11</v>
      </c>
      <c r="B33" s="161"/>
      <c r="D33" s="143" t="s">
        <v>419</v>
      </c>
      <c r="E33" s="338">
        <v>0</v>
      </c>
      <c r="F33" s="338">
        <v>15719005.409999998</v>
      </c>
      <c r="G33" s="338"/>
    </row>
    <row r="34" spans="1:7" x14ac:dyDescent="0.35">
      <c r="A34" s="336">
        <v>12</v>
      </c>
      <c r="B34" s="161"/>
      <c r="D34" s="143" t="s">
        <v>420</v>
      </c>
      <c r="E34" s="344">
        <v>0</v>
      </c>
      <c r="F34" s="344">
        <v>-11441794.601519454</v>
      </c>
      <c r="G34" s="338"/>
    </row>
    <row r="35" spans="1:7" ht="6" customHeight="1" x14ac:dyDescent="0.35">
      <c r="A35" s="336"/>
      <c r="B35" s="161"/>
    </row>
    <row r="36" spans="1:7" x14ac:dyDescent="0.35">
      <c r="A36" s="336" t="s">
        <v>421</v>
      </c>
      <c r="D36" s="143" t="s">
        <v>422</v>
      </c>
      <c r="E36" s="338">
        <f>E33+E34</f>
        <v>0</v>
      </c>
      <c r="F36" s="338">
        <f>F33+F34</f>
        <v>4277210.808480544</v>
      </c>
      <c r="G36" s="338"/>
    </row>
    <row r="37" spans="1:7" ht="4.25" customHeight="1" x14ac:dyDescent="0.35">
      <c r="A37" s="336"/>
      <c r="E37" s="338"/>
      <c r="F37" s="338"/>
      <c r="G37" s="338"/>
    </row>
    <row r="38" spans="1:7" x14ac:dyDescent="0.35">
      <c r="A38" s="336">
        <v>14</v>
      </c>
      <c r="D38" s="143" t="s">
        <v>548</v>
      </c>
      <c r="E38" s="338">
        <v>0</v>
      </c>
      <c r="F38" s="338">
        <v>53445.861873552647</v>
      </c>
      <c r="G38" s="338"/>
    </row>
    <row r="39" spans="1:7" x14ac:dyDescent="0.35">
      <c r="A39" s="336">
        <v>15</v>
      </c>
      <c r="D39" s="143" t="s">
        <v>416</v>
      </c>
      <c r="E39" s="344">
        <f>E38</f>
        <v>0</v>
      </c>
      <c r="F39" s="344">
        <f>F38+E39</f>
        <v>53445.861873552647</v>
      </c>
      <c r="G39" s="338"/>
    </row>
    <row r="40" spans="1:7" ht="4.25" customHeight="1" x14ac:dyDescent="0.35">
      <c r="A40" s="336"/>
      <c r="E40" s="338"/>
      <c r="F40" s="338"/>
      <c r="G40" s="338"/>
    </row>
    <row r="41" spans="1:7" x14ac:dyDescent="0.35">
      <c r="A41" s="336" t="s">
        <v>423</v>
      </c>
      <c r="D41" s="143" t="s">
        <v>410</v>
      </c>
      <c r="E41" s="338">
        <f>E36-E39</f>
        <v>0</v>
      </c>
      <c r="F41" s="338">
        <f>F36-F39</f>
        <v>4223764.9466069918</v>
      </c>
      <c r="G41" s="338"/>
    </row>
    <row r="42" spans="1:7" ht="4.75" customHeight="1" x14ac:dyDescent="0.35">
      <c r="A42" s="336"/>
      <c r="E42" s="340"/>
      <c r="F42" s="340"/>
      <c r="G42" s="340"/>
    </row>
    <row r="43" spans="1:7" x14ac:dyDescent="0.35">
      <c r="A43" s="336">
        <v>17</v>
      </c>
      <c r="D43" s="342" t="s">
        <v>424</v>
      </c>
      <c r="E43" s="345"/>
      <c r="F43" s="343">
        <f>F41/12*9</f>
        <v>3167823.7099552439</v>
      </c>
      <c r="G43" s="341"/>
    </row>
    <row r="44" spans="1:7" ht="6" customHeight="1" x14ac:dyDescent="0.35">
      <c r="A44" s="336"/>
      <c r="E44" s="340"/>
      <c r="F44" s="340"/>
      <c r="G44" s="340"/>
    </row>
    <row r="45" spans="1:7" x14ac:dyDescent="0.35">
      <c r="A45" s="336"/>
      <c r="B45" s="161" t="s">
        <v>425</v>
      </c>
    </row>
    <row r="46" spans="1:7" x14ac:dyDescent="0.35">
      <c r="A46" s="336">
        <v>18</v>
      </c>
      <c r="B46" s="161"/>
      <c r="D46" s="143" t="s">
        <v>419</v>
      </c>
      <c r="E46" s="338">
        <v>0</v>
      </c>
      <c r="F46" s="338">
        <v>13219597.890000001</v>
      </c>
      <c r="G46" s="338"/>
    </row>
    <row r="47" spans="1:7" x14ac:dyDescent="0.35">
      <c r="A47" s="336">
        <v>19</v>
      </c>
      <c r="B47" s="161"/>
      <c r="D47" s="143" t="s">
        <v>420</v>
      </c>
      <c r="E47" s="344">
        <v>0</v>
      </c>
      <c r="F47" s="344">
        <v>-9622486.9084805492</v>
      </c>
      <c r="G47" s="338"/>
    </row>
    <row r="48" spans="1:7" ht="6" customHeight="1" x14ac:dyDescent="0.35">
      <c r="A48" s="336"/>
      <c r="B48" s="161"/>
    </row>
    <row r="49" spans="1:7" x14ac:dyDescent="0.35">
      <c r="A49" s="336" t="s">
        <v>426</v>
      </c>
      <c r="D49" s="143" t="s">
        <v>422</v>
      </c>
      <c r="E49" s="338">
        <f>SUM(E46:E47)</f>
        <v>0</v>
      </c>
      <c r="F49" s="338">
        <f>SUM(F46:F47)</f>
        <v>3597110.9815194514</v>
      </c>
      <c r="G49" s="338"/>
    </row>
    <row r="50" spans="1:7" ht="4.25" customHeight="1" x14ac:dyDescent="0.35">
      <c r="A50" s="336"/>
      <c r="E50" s="338"/>
      <c r="F50" s="338"/>
      <c r="G50" s="338"/>
    </row>
    <row r="51" spans="1:7" x14ac:dyDescent="0.35">
      <c r="A51" s="336">
        <v>21</v>
      </c>
      <c r="D51" s="143" t="s">
        <v>549</v>
      </c>
      <c r="E51" s="338">
        <v>0</v>
      </c>
      <c r="F51" s="338">
        <v>64058.140766784723</v>
      </c>
      <c r="G51" s="338"/>
    </row>
    <row r="52" spans="1:7" x14ac:dyDescent="0.35">
      <c r="A52" s="336">
        <v>22</v>
      </c>
      <c r="D52" s="143" t="s">
        <v>416</v>
      </c>
      <c r="E52" s="344">
        <f>E51</f>
        <v>0</v>
      </c>
      <c r="F52" s="344">
        <f>F51+E52</f>
        <v>64058.140766784723</v>
      </c>
      <c r="G52" s="338"/>
    </row>
    <row r="53" spans="1:7" ht="4.25" customHeight="1" x14ac:dyDescent="0.35">
      <c r="A53" s="336"/>
      <c r="E53" s="338"/>
      <c r="F53" s="338"/>
      <c r="G53" s="338"/>
    </row>
    <row r="54" spans="1:7" x14ac:dyDescent="0.35">
      <c r="A54" s="336" t="s">
        <v>427</v>
      </c>
      <c r="D54" s="143" t="s">
        <v>410</v>
      </c>
      <c r="E54" s="338">
        <f>E49-E52</f>
        <v>0</v>
      </c>
      <c r="F54" s="338">
        <f>F49-F52</f>
        <v>3533052.8407526668</v>
      </c>
      <c r="G54" s="338"/>
    </row>
    <row r="55" spans="1:7" ht="4.75" customHeight="1" x14ac:dyDescent="0.35">
      <c r="A55" s="336"/>
      <c r="E55" s="340"/>
      <c r="F55" s="340"/>
      <c r="G55" s="340"/>
    </row>
    <row r="56" spans="1:7" x14ac:dyDescent="0.35">
      <c r="A56" s="336">
        <v>24</v>
      </c>
      <c r="D56" s="342" t="s">
        <v>428</v>
      </c>
      <c r="E56" s="343"/>
      <c r="F56" s="343">
        <f>F54/12*2</f>
        <v>588842.14012544451</v>
      </c>
      <c r="G56" s="341"/>
    </row>
    <row r="57" spans="1:7" ht="6" customHeight="1" x14ac:dyDescent="0.35">
      <c r="A57" s="336"/>
      <c r="E57" s="340"/>
      <c r="F57" s="340"/>
      <c r="G57" s="340"/>
    </row>
    <row r="58" spans="1:7" x14ac:dyDescent="0.35">
      <c r="A58" s="336"/>
      <c r="B58" s="335" t="s">
        <v>412</v>
      </c>
    </row>
    <row r="59" spans="1:7" x14ac:dyDescent="0.35">
      <c r="A59" s="336"/>
      <c r="B59" s="161"/>
    </row>
    <row r="60" spans="1:7" x14ac:dyDescent="0.35">
      <c r="A60" s="336" t="s">
        <v>429</v>
      </c>
      <c r="B60" s="161"/>
      <c r="D60" s="346" t="s">
        <v>430</v>
      </c>
      <c r="E60" s="343"/>
      <c r="F60" s="343">
        <f>SUM(F29,F43,F56)</f>
        <v>4650190.4597458327</v>
      </c>
      <c r="G60" s="341"/>
    </row>
    <row r="61" spans="1:7" ht="4.75" customHeight="1" x14ac:dyDescent="0.35">
      <c r="A61" s="336"/>
      <c r="B61" s="161"/>
      <c r="D61" s="161"/>
      <c r="E61" s="341"/>
      <c r="F61" s="341"/>
      <c r="G61" s="341"/>
    </row>
    <row r="62" spans="1:7" x14ac:dyDescent="0.35">
      <c r="A62" s="336" t="s">
        <v>431</v>
      </c>
      <c r="B62" s="161"/>
      <c r="D62" s="346" t="s">
        <v>432</v>
      </c>
      <c r="E62" s="343"/>
      <c r="F62" s="343">
        <f>F24+F38+F51</f>
        <v>134736.65078848554</v>
      </c>
      <c r="G62" s="341"/>
    </row>
    <row r="63" spans="1:7" x14ac:dyDescent="0.35">
      <c r="B63" s="161"/>
      <c r="D63" s="161"/>
      <c r="E63" s="341"/>
      <c r="F63" s="341"/>
      <c r="G63" s="341"/>
    </row>
    <row r="64" spans="1:7" x14ac:dyDescent="0.35">
      <c r="A64" s="143" t="s">
        <v>56</v>
      </c>
      <c r="B64" s="161"/>
      <c r="D64" s="161"/>
      <c r="E64" s="341"/>
      <c r="F64" s="341"/>
      <c r="G64" s="341"/>
    </row>
    <row r="65" spans="1:7" ht="29" customHeight="1" x14ac:dyDescent="0.35">
      <c r="A65" s="422" t="s">
        <v>490</v>
      </c>
      <c r="B65" s="422"/>
      <c r="C65" s="422"/>
      <c r="D65" s="422"/>
      <c r="E65" s="422"/>
      <c r="F65" s="422"/>
      <c r="G65" s="341"/>
    </row>
    <row r="66" spans="1:7" ht="27" customHeight="1" x14ac:dyDescent="0.35">
      <c r="A66" s="422" t="s">
        <v>433</v>
      </c>
      <c r="B66" s="422"/>
      <c r="C66" s="422"/>
      <c r="D66" s="422"/>
      <c r="E66" s="422"/>
      <c r="F66" s="422"/>
    </row>
    <row r="67" spans="1:7" x14ac:dyDescent="0.35">
      <c r="A67" s="143" t="s">
        <v>454</v>
      </c>
    </row>
    <row r="68" spans="1:7" x14ac:dyDescent="0.35">
      <c r="B68" s="161"/>
    </row>
    <row r="69" spans="1:7" x14ac:dyDescent="0.35">
      <c r="B69" s="161"/>
    </row>
  </sheetData>
  <mergeCells count="2">
    <mergeCell ref="A65:F65"/>
    <mergeCell ref="A66:F66"/>
  </mergeCells>
  <pageMargins left="0.70866141732283472" right="0.70866141732283472" top="0.74803149606299213" bottom="0.74803149606299213" header="0.31496062992125984" footer="0.31496062992125984"/>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3E4F-4EAE-40A8-BB18-C49C999307E5}">
  <sheetPr>
    <pageSetUpPr fitToPage="1"/>
  </sheetPr>
  <dimension ref="B1:H36"/>
  <sheetViews>
    <sheetView view="pageBreakPreview" topLeftCell="A13" zoomScale="90" zoomScaleNormal="100" zoomScaleSheetLayoutView="90" workbookViewId="0">
      <selection activeCell="A30" sqref="A30"/>
    </sheetView>
  </sheetViews>
  <sheetFormatPr defaultColWidth="8.7265625" defaultRowHeight="12.5" x14ac:dyDescent="0.25"/>
  <cols>
    <col min="1" max="1" width="3.6328125" style="143" customWidth="1"/>
    <col min="2" max="2" width="4.81640625" style="143" customWidth="1"/>
    <col min="3" max="3" width="45.1796875" style="143" customWidth="1"/>
    <col min="4" max="4" width="12.36328125" style="143" customWidth="1"/>
    <col min="5" max="5" width="3" style="143" customWidth="1"/>
    <col min="6" max="6" width="19.54296875" style="143" customWidth="1"/>
    <col min="7" max="7" width="9.90625" style="143" bestFit="1" customWidth="1"/>
    <col min="8" max="8" width="11.6328125" style="143" customWidth="1"/>
    <col min="9" max="16384" width="8.7265625" style="143"/>
  </cols>
  <sheetData>
    <row r="1" spans="2:8" ht="13" x14ac:dyDescent="0.3">
      <c r="B1" s="161" t="s">
        <v>459</v>
      </c>
    </row>
    <row r="3" spans="2:8" ht="13" x14ac:dyDescent="0.25">
      <c r="B3" s="347"/>
      <c r="C3" s="347"/>
      <c r="D3" s="332">
        <v>2021</v>
      </c>
    </row>
    <row r="4" spans="2:8" ht="13" x14ac:dyDescent="0.25">
      <c r="B4" s="348"/>
      <c r="C4" s="348"/>
      <c r="D4" s="332"/>
    </row>
    <row r="5" spans="2:8" ht="13" x14ac:dyDescent="0.25">
      <c r="B5" s="347" t="s">
        <v>434</v>
      </c>
      <c r="C5" s="348"/>
      <c r="D5" s="332"/>
    </row>
    <row r="6" spans="2:8" x14ac:dyDescent="0.25">
      <c r="B6" s="139"/>
      <c r="C6" s="349" t="s">
        <v>430</v>
      </c>
      <c r="D6" s="350">
        <f>'Table 1.1-4a) i)'!F15</f>
        <v>1050062.2578846151</v>
      </c>
      <c r="F6" s="143" t="s">
        <v>435</v>
      </c>
    </row>
    <row r="7" spans="2:8" ht="13" thickBot="1" x14ac:dyDescent="0.3">
      <c r="B7" s="139"/>
      <c r="C7" s="349" t="s">
        <v>436</v>
      </c>
      <c r="D7" s="351">
        <v>5.0407516792358026E-2</v>
      </c>
      <c r="E7" s="337"/>
    </row>
    <row r="8" spans="2:8" x14ac:dyDescent="0.25">
      <c r="B8" s="139"/>
      <c r="C8" s="349" t="s">
        <v>10</v>
      </c>
      <c r="D8" s="350">
        <f>D6*D7</f>
        <v>52931.030897340119</v>
      </c>
    </row>
    <row r="9" spans="2:8" x14ac:dyDescent="0.25">
      <c r="B9" s="139"/>
      <c r="C9" s="139"/>
      <c r="D9" s="148"/>
    </row>
    <row r="10" spans="2:8" ht="13" thickBot="1" x14ac:dyDescent="0.3">
      <c r="B10" s="139"/>
      <c r="C10" s="349" t="s">
        <v>432</v>
      </c>
      <c r="D10" s="350">
        <f>'Table 1.1-4a) i)'!F10</f>
        <v>18069.463915187378</v>
      </c>
      <c r="F10" s="143" t="s">
        <v>437</v>
      </c>
    </row>
    <row r="11" spans="2:8" ht="13.5" thickBot="1" x14ac:dyDescent="0.3">
      <c r="B11" s="139"/>
      <c r="C11" s="348" t="s">
        <v>438</v>
      </c>
      <c r="D11" s="352">
        <f>(D8+D10)</f>
        <v>71000.494812527497</v>
      </c>
      <c r="H11" s="353"/>
    </row>
    <row r="12" spans="2:8" ht="13" x14ac:dyDescent="0.25">
      <c r="B12" s="139"/>
      <c r="C12" s="348"/>
      <c r="D12" s="354"/>
    </row>
    <row r="13" spans="2:8" ht="13" x14ac:dyDescent="0.25">
      <c r="B13" s="347" t="s">
        <v>439</v>
      </c>
      <c r="C13" s="348"/>
      <c r="D13" s="332"/>
    </row>
    <row r="14" spans="2:8" x14ac:dyDescent="0.25">
      <c r="B14" s="139"/>
      <c r="C14" s="349" t="s">
        <v>430</v>
      </c>
      <c r="D14" s="350">
        <f>'Table 1.1-4a) i)'!F29</f>
        <v>893524.60966514458</v>
      </c>
      <c r="F14" s="143" t="s">
        <v>440</v>
      </c>
    </row>
    <row r="15" spans="2:8" ht="13" thickBot="1" x14ac:dyDescent="0.3">
      <c r="B15" s="139"/>
      <c r="C15" s="349" t="str">
        <f>C7</f>
        <v>Average Cost of Capital (2021 GRA Compliance Filing)</v>
      </c>
      <c r="D15" s="351">
        <f>D7</f>
        <v>5.0407516792358026E-2</v>
      </c>
    </row>
    <row r="16" spans="2:8" ht="13" x14ac:dyDescent="0.25">
      <c r="B16" s="139"/>
      <c r="C16" s="349" t="s">
        <v>10</v>
      </c>
      <c r="D16" s="354">
        <f>D14*D15</f>
        <v>45040.356766080928</v>
      </c>
    </row>
    <row r="17" spans="2:7" x14ac:dyDescent="0.25">
      <c r="B17" s="139"/>
      <c r="C17" s="139"/>
      <c r="D17" s="148"/>
    </row>
    <row r="18" spans="2:7" ht="6" customHeight="1" x14ac:dyDescent="0.25">
      <c r="B18" s="139"/>
      <c r="C18" s="139"/>
      <c r="D18" s="148"/>
    </row>
    <row r="19" spans="2:7" ht="13" thickBot="1" x14ac:dyDescent="0.3">
      <c r="B19" s="139"/>
      <c r="C19" s="349" t="s">
        <v>432</v>
      </c>
      <c r="D19" s="350">
        <f>'Table 1.1-4a) i)'!F24</f>
        <v>17232.64814814815</v>
      </c>
      <c r="F19" s="143" t="s">
        <v>441</v>
      </c>
    </row>
    <row r="20" spans="2:7" ht="13.5" thickBot="1" x14ac:dyDescent="0.3">
      <c r="B20" s="139"/>
      <c r="C20" s="348" t="s">
        <v>442</v>
      </c>
      <c r="D20" s="352">
        <f>D16+D19</f>
        <v>62273.004914229081</v>
      </c>
    </row>
    <row r="21" spans="2:7" ht="13" x14ac:dyDescent="0.3">
      <c r="B21" s="355"/>
      <c r="C21" s="423"/>
      <c r="D21" s="423"/>
    </row>
    <row r="22" spans="2:7" ht="13" thickBot="1" x14ac:dyDescent="0.3"/>
    <row r="23" spans="2:7" ht="13.5" thickBot="1" x14ac:dyDescent="0.3">
      <c r="B23" s="356" t="s">
        <v>443</v>
      </c>
      <c r="C23" s="357"/>
      <c r="D23" s="352">
        <f>D11+D20</f>
        <v>133273.49972675659</v>
      </c>
    </row>
    <row r="24" spans="2:7" ht="6" customHeight="1" x14ac:dyDescent="0.25">
      <c r="B24" s="348"/>
      <c r="D24" s="354"/>
    </row>
    <row r="25" spans="2:7" ht="13" thickBot="1" x14ac:dyDescent="0.3">
      <c r="D25" s="358"/>
    </row>
    <row r="26" spans="2:7" ht="13" thickBot="1" x14ac:dyDescent="0.3">
      <c r="C26" s="349" t="s">
        <v>444</v>
      </c>
      <c r="D26" s="359">
        <f>D23*0.85</f>
        <v>113282.4747677431</v>
      </c>
    </row>
    <row r="27" spans="2:7" x14ac:dyDescent="0.25">
      <c r="C27" s="143" t="s">
        <v>445</v>
      </c>
      <c r="D27" s="365">
        <f>D26/12</f>
        <v>9440.206230645259</v>
      </c>
    </row>
    <row r="28" spans="2:7" x14ac:dyDescent="0.25">
      <c r="D28" s="360"/>
      <c r="G28" s="353"/>
    </row>
    <row r="29" spans="2:7" x14ac:dyDescent="0.25">
      <c r="C29" s="143" t="s">
        <v>446</v>
      </c>
      <c r="D29" s="336" t="s">
        <v>240</v>
      </c>
      <c r="G29" s="353"/>
    </row>
    <row r="30" spans="2:7" x14ac:dyDescent="0.25">
      <c r="C30" s="143" t="s">
        <v>180</v>
      </c>
      <c r="D30" s="338">
        <v>43147.401398601403</v>
      </c>
      <c r="G30" s="353"/>
    </row>
    <row r="31" spans="2:7" x14ac:dyDescent="0.25">
      <c r="C31" s="143" t="s">
        <v>181</v>
      </c>
      <c r="D31" s="338">
        <v>9793.7000000000007</v>
      </c>
    </row>
    <row r="33" spans="2:4" ht="13" x14ac:dyDescent="0.25">
      <c r="B33" s="347" t="s">
        <v>447</v>
      </c>
      <c r="D33" s="361" t="s">
        <v>455</v>
      </c>
    </row>
    <row r="34" spans="2:4" x14ac:dyDescent="0.25">
      <c r="C34" s="143" t="s">
        <v>180</v>
      </c>
      <c r="D34" s="353">
        <f>D27*D30/SUM($D$30:$D$31)</f>
        <v>7693.840074320583</v>
      </c>
    </row>
    <row r="35" spans="2:4" x14ac:dyDescent="0.25">
      <c r="C35" s="143" t="s">
        <v>181</v>
      </c>
      <c r="D35" s="362">
        <f>D27*D31/SUM($D$30:$D$31)</f>
        <v>1746.3661563246762</v>
      </c>
    </row>
    <row r="36" spans="2:4" x14ac:dyDescent="0.25">
      <c r="C36" s="143" t="s">
        <v>157</v>
      </c>
      <c r="D36" s="363">
        <f>SUM(D34:D35)</f>
        <v>9440.206230645259</v>
      </c>
    </row>
  </sheetData>
  <mergeCells count="1">
    <mergeCell ref="C21:D21"/>
  </mergeCells>
  <pageMargins left="0.70866141732283472" right="0.70866141732283472"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6EDD-4582-4002-BE7B-0B37EC8A6EAC}">
  <sheetPr>
    <pageSetUpPr fitToPage="1"/>
  </sheetPr>
  <dimension ref="B1:G39"/>
  <sheetViews>
    <sheetView view="pageBreakPreview" topLeftCell="A17" zoomScale="90" zoomScaleNormal="100" zoomScaleSheetLayoutView="90" workbookViewId="0">
      <selection activeCell="F30" sqref="F30"/>
    </sheetView>
  </sheetViews>
  <sheetFormatPr defaultColWidth="8.7265625" defaultRowHeight="12.5" x14ac:dyDescent="0.25"/>
  <cols>
    <col min="1" max="1" width="3.6328125" style="143" customWidth="1"/>
    <col min="2" max="2" width="4.81640625" style="143" customWidth="1"/>
    <col min="3" max="3" width="45.1796875" style="143" customWidth="1"/>
    <col min="4" max="4" width="12.36328125" style="143" customWidth="1"/>
    <col min="5" max="5" width="3" style="143" customWidth="1"/>
    <col min="6" max="6" width="22.26953125" style="143" customWidth="1"/>
    <col min="7" max="7" width="9.90625" style="143" bestFit="1" customWidth="1"/>
    <col min="8" max="16384" width="8.7265625" style="143"/>
  </cols>
  <sheetData>
    <row r="1" spans="2:6" ht="13" x14ac:dyDescent="0.3">
      <c r="B1" s="161" t="s">
        <v>460</v>
      </c>
    </row>
    <row r="3" spans="2:6" ht="13" x14ac:dyDescent="0.25">
      <c r="B3" s="347"/>
      <c r="C3" s="347"/>
      <c r="D3" s="332">
        <v>2021</v>
      </c>
    </row>
    <row r="4" spans="2:6" ht="13" x14ac:dyDescent="0.25">
      <c r="B4" s="348"/>
      <c r="C4" s="348"/>
      <c r="D4" s="332"/>
    </row>
    <row r="5" spans="2:6" ht="13" x14ac:dyDescent="0.25">
      <c r="B5" s="347" t="s">
        <v>434</v>
      </c>
      <c r="C5" s="348"/>
      <c r="D5" s="332"/>
    </row>
    <row r="6" spans="2:6" ht="13" x14ac:dyDescent="0.25">
      <c r="B6" s="347"/>
      <c r="C6" s="349" t="s">
        <v>430</v>
      </c>
      <c r="D6" s="350">
        <f>'Table 1.1-4a) i)'!F15</f>
        <v>1050062.2578846151</v>
      </c>
      <c r="F6" s="143" t="s">
        <v>435</v>
      </c>
    </row>
    <row r="7" spans="2:6" x14ac:dyDescent="0.25">
      <c r="B7" s="139"/>
      <c r="C7" s="349" t="s">
        <v>493</v>
      </c>
      <c r="D7" s="350">
        <f>D6/12*7</f>
        <v>612536.31709935889</v>
      </c>
    </row>
    <row r="8" spans="2:6" ht="13" thickBot="1" x14ac:dyDescent="0.3">
      <c r="B8" s="139"/>
      <c r="C8" s="349" t="s">
        <v>436</v>
      </c>
      <c r="D8" s="351">
        <v>5.0407516792358026E-2</v>
      </c>
      <c r="E8" s="337"/>
    </row>
    <row r="9" spans="2:6" x14ac:dyDescent="0.25">
      <c r="B9" s="139"/>
      <c r="C9" s="349" t="s">
        <v>10</v>
      </c>
      <c r="D9" s="350">
        <f>D7*D8</f>
        <v>30876.434690115075</v>
      </c>
    </row>
    <row r="10" spans="2:6" x14ac:dyDescent="0.25">
      <c r="B10" s="139"/>
      <c r="C10" s="139"/>
      <c r="D10" s="148"/>
    </row>
    <row r="11" spans="2:6" x14ac:dyDescent="0.25">
      <c r="B11" s="139"/>
      <c r="C11" s="349" t="s">
        <v>415</v>
      </c>
      <c r="D11" s="350">
        <f>'Table 1.1-4a) i)'!F10</f>
        <v>18069.463915187378</v>
      </c>
      <c r="F11" s="143" t="s">
        <v>437</v>
      </c>
    </row>
    <row r="12" spans="2:6" ht="13" thickBot="1" x14ac:dyDescent="0.3">
      <c r="B12" s="139"/>
      <c r="C12" s="349" t="s">
        <v>494</v>
      </c>
      <c r="D12" s="350">
        <f>D11/12*7</f>
        <v>10540.520617192638</v>
      </c>
    </row>
    <row r="13" spans="2:6" ht="13.5" thickBot="1" x14ac:dyDescent="0.3">
      <c r="B13" s="139"/>
      <c r="C13" s="348" t="s">
        <v>438</v>
      </c>
      <c r="D13" s="352">
        <f>(D9+D12)</f>
        <v>41416.955307307711</v>
      </c>
    </row>
    <row r="14" spans="2:6" ht="13" x14ac:dyDescent="0.25">
      <c r="B14" s="139"/>
      <c r="C14" s="348"/>
      <c r="D14" s="354"/>
    </row>
    <row r="15" spans="2:6" ht="13" x14ac:dyDescent="0.25">
      <c r="B15" s="347" t="s">
        <v>448</v>
      </c>
      <c r="C15" s="348"/>
      <c r="D15" s="332"/>
    </row>
    <row r="16" spans="2:6" ht="13" x14ac:dyDescent="0.25">
      <c r="B16" s="347"/>
      <c r="C16" s="349" t="s">
        <v>430</v>
      </c>
      <c r="D16" s="350">
        <f>'Table 1.1-4a) i)'!F29+'Table 1.1-4a) i)'!F43</f>
        <v>4061348.3196203886</v>
      </c>
      <c r="F16" s="143" t="s">
        <v>449</v>
      </c>
    </row>
    <row r="17" spans="2:7" x14ac:dyDescent="0.25">
      <c r="B17" s="139"/>
      <c r="C17" s="349" t="s">
        <v>493</v>
      </c>
      <c r="D17" s="350">
        <f>'Table 1.1-4a) i)'!F29/12*7+'Table 1.1-4a) i)'!F43/9*7</f>
        <v>2985085.5744920801</v>
      </c>
    </row>
    <row r="18" spans="2:7" ht="13" thickBot="1" x14ac:dyDescent="0.3">
      <c r="B18" s="139"/>
      <c r="C18" s="349" t="str">
        <f>C8</f>
        <v>Average Cost of Capital (2021 GRA Compliance Filing)</v>
      </c>
      <c r="D18" s="351">
        <f>D8</f>
        <v>5.0407516792358026E-2</v>
      </c>
    </row>
    <row r="19" spans="2:7" ht="13" x14ac:dyDescent="0.25">
      <c r="B19" s="139"/>
      <c r="C19" s="349" t="s">
        <v>10</v>
      </c>
      <c r="D19" s="354">
        <f>D17*D18</f>
        <v>150470.75122283524</v>
      </c>
    </row>
    <row r="20" spans="2:7" x14ac:dyDescent="0.25">
      <c r="B20" s="139"/>
      <c r="C20" s="139"/>
      <c r="D20" s="148"/>
    </row>
    <row r="21" spans="2:7" ht="12.5" customHeight="1" x14ac:dyDescent="0.25">
      <c r="B21" s="139"/>
      <c r="C21" s="349" t="s">
        <v>415</v>
      </c>
      <c r="D21" s="350">
        <f>'Table 1.1-4a) i)'!F24+'Table 1.1-4a) i)'!F38</f>
        <v>70678.5100217008</v>
      </c>
      <c r="F21" s="143" t="s">
        <v>450</v>
      </c>
    </row>
    <row r="22" spans="2:7" ht="13" thickBot="1" x14ac:dyDescent="0.3">
      <c r="B22" s="139"/>
      <c r="C22" s="349" t="s">
        <v>494</v>
      </c>
      <c r="D22" s="350">
        <f>'Table 1.1-4a) i)'!F24/12*7+'Table 1.1-4a) i)'!F38/9*7</f>
        <v>51621.38176584959</v>
      </c>
    </row>
    <row r="23" spans="2:7" ht="13.5" thickBot="1" x14ac:dyDescent="0.3">
      <c r="B23" s="139"/>
      <c r="C23" s="348" t="s">
        <v>442</v>
      </c>
      <c r="D23" s="352">
        <f>D19+D22</f>
        <v>202092.13298868484</v>
      </c>
    </row>
    <row r="24" spans="2:7" ht="13" x14ac:dyDescent="0.3">
      <c r="B24" s="355"/>
      <c r="C24" s="423"/>
      <c r="D24" s="423"/>
    </row>
    <row r="25" spans="2:7" ht="13" thickBot="1" x14ac:dyDescent="0.3"/>
    <row r="26" spans="2:7" ht="13.5" thickBot="1" x14ac:dyDescent="0.3">
      <c r="B26" s="356" t="s">
        <v>443</v>
      </c>
      <c r="C26" s="357"/>
      <c r="D26" s="352">
        <f>D13+D23</f>
        <v>243509.08829599255</v>
      </c>
    </row>
    <row r="27" spans="2:7" ht="6" customHeight="1" x14ac:dyDescent="0.25">
      <c r="B27" s="348"/>
      <c r="D27" s="354"/>
    </row>
    <row r="28" spans="2:7" ht="13" thickBot="1" x14ac:dyDescent="0.3">
      <c r="D28" s="358"/>
    </row>
    <row r="29" spans="2:7" ht="13" thickBot="1" x14ac:dyDescent="0.3">
      <c r="C29" s="349" t="s">
        <v>444</v>
      </c>
      <c r="D29" s="359">
        <f>D26*0.85</f>
        <v>206982.72505159368</v>
      </c>
    </row>
    <row r="30" spans="2:7" x14ac:dyDescent="0.25">
      <c r="C30" s="143" t="s">
        <v>445</v>
      </c>
      <c r="D30" s="364">
        <f>D29/7</f>
        <v>29568.96072165624</v>
      </c>
    </row>
    <row r="31" spans="2:7" x14ac:dyDescent="0.25">
      <c r="D31" s="360"/>
      <c r="G31" s="353"/>
    </row>
    <row r="32" spans="2:7" x14ac:dyDescent="0.25">
      <c r="C32" s="143" t="s">
        <v>446</v>
      </c>
      <c r="D32" s="336" t="s">
        <v>240</v>
      </c>
      <c r="G32" s="353"/>
    </row>
    <row r="33" spans="2:7" x14ac:dyDescent="0.25">
      <c r="C33" s="143" t="s">
        <v>180</v>
      </c>
      <c r="D33" s="338">
        <v>43147.401398601403</v>
      </c>
      <c r="G33" s="353"/>
    </row>
    <row r="34" spans="2:7" x14ac:dyDescent="0.25">
      <c r="C34" s="143" t="s">
        <v>181</v>
      </c>
      <c r="D34" s="338">
        <v>9793.7000000000007</v>
      </c>
    </row>
    <row r="36" spans="2:7" ht="13" x14ac:dyDescent="0.25">
      <c r="B36" s="347" t="s">
        <v>447</v>
      </c>
      <c r="D36" s="361" t="s">
        <v>456</v>
      </c>
    </row>
    <row r="37" spans="2:7" x14ac:dyDescent="0.25">
      <c r="C37" s="143" t="s">
        <v>180</v>
      </c>
      <c r="D37" s="353">
        <f>D30*D33/SUM($D$33:$D$34)</f>
        <v>24098.928497745332</v>
      </c>
    </row>
    <row r="38" spans="2:7" x14ac:dyDescent="0.25">
      <c r="C38" s="143" t="s">
        <v>181</v>
      </c>
      <c r="D38" s="362">
        <f>D30*D34/SUM($D$33:$D$34)</f>
        <v>5470.0322239109128</v>
      </c>
    </row>
    <row r="39" spans="2:7" x14ac:dyDescent="0.25">
      <c r="C39" s="143" t="s">
        <v>157</v>
      </c>
      <c r="D39" s="363">
        <f>SUM(D37:D38)</f>
        <v>29568.960721656244</v>
      </c>
    </row>
  </sheetData>
  <mergeCells count="1">
    <mergeCell ref="C24:D24"/>
  </mergeCells>
  <pageMargins left="0.70866141732283472" right="0.70866141732283472" top="0.74803149606299213" bottom="0.74803149606299213" header="0.31496062992125984" footer="0.31496062992125984"/>
  <pageSetup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68A8-2101-4A23-8DE9-8A6442A8A6D9}">
  <sheetPr>
    <pageSetUpPr fitToPage="1"/>
  </sheetPr>
  <dimension ref="B1:G39"/>
  <sheetViews>
    <sheetView view="pageBreakPreview" topLeftCell="A28" zoomScale="90" zoomScaleNormal="100" zoomScaleSheetLayoutView="90" workbookViewId="0">
      <selection activeCell="D35" sqref="D35"/>
    </sheetView>
  </sheetViews>
  <sheetFormatPr defaultColWidth="8.7265625" defaultRowHeight="12.5" x14ac:dyDescent="0.25"/>
  <cols>
    <col min="1" max="1" width="3.6328125" style="143" customWidth="1"/>
    <col min="2" max="2" width="4.81640625" style="143" customWidth="1"/>
    <col min="3" max="3" width="45.1796875" style="143" customWidth="1"/>
    <col min="4" max="4" width="12.36328125" style="143" customWidth="1"/>
    <col min="5" max="5" width="3" style="143" customWidth="1"/>
    <col min="6" max="6" width="19.54296875" style="143" customWidth="1"/>
    <col min="7" max="7" width="9.90625" style="143" bestFit="1" customWidth="1"/>
    <col min="8" max="16384" width="8.7265625" style="143"/>
  </cols>
  <sheetData>
    <row r="1" spans="2:6" ht="13" x14ac:dyDescent="0.3">
      <c r="B1" s="161" t="s">
        <v>461</v>
      </c>
    </row>
    <row r="3" spans="2:6" ht="13" x14ac:dyDescent="0.25">
      <c r="B3" s="347"/>
      <c r="C3" s="347"/>
      <c r="D3" s="332">
        <v>2021</v>
      </c>
    </row>
    <row r="4" spans="2:6" ht="13" x14ac:dyDescent="0.25">
      <c r="B4" s="348"/>
      <c r="C4" s="348"/>
      <c r="D4" s="332"/>
    </row>
    <row r="5" spans="2:6" ht="13" x14ac:dyDescent="0.25">
      <c r="B5" s="347" t="s">
        <v>434</v>
      </c>
      <c r="C5" s="348"/>
      <c r="D5" s="332"/>
    </row>
    <row r="6" spans="2:6" ht="13" x14ac:dyDescent="0.25">
      <c r="B6" s="347"/>
      <c r="C6" s="349" t="s">
        <v>430</v>
      </c>
      <c r="D6" s="350">
        <f>'Table 1.1-4a) i)'!F15</f>
        <v>1050062.2578846151</v>
      </c>
      <c r="F6" s="143" t="s">
        <v>435</v>
      </c>
    </row>
    <row r="7" spans="2:6" x14ac:dyDescent="0.25">
      <c r="B7" s="139"/>
      <c r="C7" s="349" t="s">
        <v>495</v>
      </c>
      <c r="D7" s="350">
        <f>D6/12*2</f>
        <v>175010.37631410253</v>
      </c>
    </row>
    <row r="8" spans="2:6" ht="13" thickBot="1" x14ac:dyDescent="0.3">
      <c r="B8" s="139"/>
      <c r="C8" s="349" t="s">
        <v>436</v>
      </c>
      <c r="D8" s="351">
        <v>5.0407516792358026E-2</v>
      </c>
      <c r="E8" s="337"/>
    </row>
    <row r="9" spans="2:6" x14ac:dyDescent="0.25">
      <c r="B9" s="139"/>
      <c r="C9" s="349" t="s">
        <v>10</v>
      </c>
      <c r="D9" s="350">
        <f>D7*D8</f>
        <v>8821.8384828900198</v>
      </c>
    </row>
    <row r="10" spans="2:6" x14ac:dyDescent="0.25">
      <c r="B10" s="139"/>
      <c r="C10" s="139"/>
      <c r="D10" s="148"/>
    </row>
    <row r="11" spans="2:6" x14ac:dyDescent="0.25">
      <c r="B11" s="139"/>
      <c r="C11" s="349" t="s">
        <v>415</v>
      </c>
      <c r="D11" s="350">
        <f>'Table 1.1-4a) i)'!F10</f>
        <v>18069.463915187378</v>
      </c>
      <c r="F11" s="143" t="s">
        <v>437</v>
      </c>
    </row>
    <row r="12" spans="2:6" ht="13" thickBot="1" x14ac:dyDescent="0.3">
      <c r="B12" s="139"/>
      <c r="C12" s="349" t="s">
        <v>496</v>
      </c>
      <c r="D12" s="350">
        <f>D11/12*2</f>
        <v>3011.5773191978965</v>
      </c>
    </row>
    <row r="13" spans="2:6" ht="13.5" thickBot="1" x14ac:dyDescent="0.3">
      <c r="B13" s="139"/>
      <c r="C13" s="348" t="s">
        <v>438</v>
      </c>
      <c r="D13" s="352">
        <f>(D9+D12)</f>
        <v>11833.415802087917</v>
      </c>
    </row>
    <row r="14" spans="2:6" ht="13" x14ac:dyDescent="0.25">
      <c r="B14" s="139"/>
      <c r="C14" s="348"/>
      <c r="D14" s="354"/>
    </row>
    <row r="15" spans="2:6" ht="13" x14ac:dyDescent="0.25">
      <c r="B15" s="347" t="s">
        <v>451</v>
      </c>
      <c r="C15" s="348"/>
      <c r="D15" s="332"/>
    </row>
    <row r="16" spans="2:6" ht="13" x14ac:dyDescent="0.25">
      <c r="B16" s="347"/>
      <c r="C16" s="349" t="s">
        <v>430</v>
      </c>
      <c r="D16" s="350">
        <f>'Table 1.1-4a) i)'!F29+'Table 1.1-4a) i)'!F43+'Table 1.1-4a) i)'!F56</f>
        <v>4650190.4597458327</v>
      </c>
      <c r="F16" s="143" t="s">
        <v>452</v>
      </c>
    </row>
    <row r="17" spans="2:7" x14ac:dyDescent="0.25">
      <c r="B17" s="139"/>
      <c r="C17" s="349" t="s">
        <v>495</v>
      </c>
      <c r="D17" s="350">
        <f>'Table 1.1-4a) i)'!F29/12*2+'Table 1.1-4a) i)'!F43/9*2+'Table 1.1-4a) i)'!F56</f>
        <v>1441723.7328374675</v>
      </c>
    </row>
    <row r="18" spans="2:7" ht="13" thickBot="1" x14ac:dyDescent="0.3">
      <c r="B18" s="139"/>
      <c r="C18" s="349" t="str">
        <f>C8</f>
        <v>Average Cost of Capital (2021 GRA Compliance Filing)</v>
      </c>
      <c r="D18" s="351">
        <f>D8</f>
        <v>5.0407516792358026E-2</v>
      </c>
    </row>
    <row r="19" spans="2:7" ht="13" x14ac:dyDescent="0.25">
      <c r="B19" s="139"/>
      <c r="C19" s="349" t="s">
        <v>10</v>
      </c>
      <c r="D19" s="354">
        <f>D17*D18</f>
        <v>72673.713272945737</v>
      </c>
    </row>
    <row r="20" spans="2:7" x14ac:dyDescent="0.25">
      <c r="B20" s="139"/>
      <c r="C20" s="139"/>
      <c r="D20" s="148"/>
    </row>
    <row r="21" spans="2:7" x14ac:dyDescent="0.25">
      <c r="B21" s="139"/>
      <c r="C21" s="349" t="s">
        <v>415</v>
      </c>
      <c r="D21" s="350">
        <f>'Table 1.1-4a) i)'!F24+'Table 1.1-4a) i)'!F38+'Table 1.1-4a) i)'!F51</f>
        <v>134736.65078848554</v>
      </c>
      <c r="F21" s="143" t="s">
        <v>453</v>
      </c>
    </row>
    <row r="22" spans="2:7" ht="13" thickBot="1" x14ac:dyDescent="0.3">
      <c r="B22" s="139"/>
      <c r="C22" s="349" t="s">
        <v>496</v>
      </c>
      <c r="D22" s="350">
        <f>'Table 1.1-4a) i)'!F24/12*2+'Table 1.1-4a) i)'!F38/9*2+'Table 1.1-4a) i)'!F51</f>
        <v>78807.10698559889</v>
      </c>
    </row>
    <row r="23" spans="2:7" ht="13.5" thickBot="1" x14ac:dyDescent="0.3">
      <c r="B23" s="139"/>
      <c r="C23" s="348" t="s">
        <v>442</v>
      </c>
      <c r="D23" s="352">
        <f>D19+D22</f>
        <v>151480.82025854464</v>
      </c>
    </row>
    <row r="24" spans="2:7" ht="13" x14ac:dyDescent="0.3">
      <c r="B24" s="355"/>
      <c r="C24" s="423"/>
      <c r="D24" s="423"/>
    </row>
    <row r="25" spans="2:7" ht="13" thickBot="1" x14ac:dyDescent="0.3"/>
    <row r="26" spans="2:7" ht="13.5" thickBot="1" x14ac:dyDescent="0.3">
      <c r="B26" s="356" t="s">
        <v>443</v>
      </c>
      <c r="C26" s="357"/>
      <c r="D26" s="352">
        <f>D13+D23</f>
        <v>163314.23606063257</v>
      </c>
    </row>
    <row r="27" spans="2:7" ht="6" customHeight="1" x14ac:dyDescent="0.25">
      <c r="B27" s="348"/>
      <c r="D27" s="354"/>
    </row>
    <row r="28" spans="2:7" ht="13" thickBot="1" x14ac:dyDescent="0.3">
      <c r="D28" s="358"/>
    </row>
    <row r="29" spans="2:7" ht="13" thickBot="1" x14ac:dyDescent="0.3">
      <c r="C29" s="349" t="s">
        <v>444</v>
      </c>
      <c r="D29" s="359">
        <f>D26*0.85</f>
        <v>138817.10065153768</v>
      </c>
    </row>
    <row r="30" spans="2:7" x14ac:dyDescent="0.25">
      <c r="C30" s="143" t="s">
        <v>445</v>
      </c>
      <c r="D30" s="364">
        <f>D29/2</f>
        <v>69408.55032576884</v>
      </c>
    </row>
    <row r="31" spans="2:7" x14ac:dyDescent="0.25">
      <c r="D31" s="360"/>
      <c r="G31" s="353"/>
    </row>
    <row r="32" spans="2:7" x14ac:dyDescent="0.25">
      <c r="C32" s="143" t="s">
        <v>446</v>
      </c>
      <c r="D32" s="336" t="s">
        <v>240</v>
      </c>
      <c r="G32" s="353"/>
    </row>
    <row r="33" spans="2:7" x14ac:dyDescent="0.25">
      <c r="C33" s="143" t="s">
        <v>180</v>
      </c>
      <c r="D33" s="338">
        <v>43147.401398601403</v>
      </c>
      <c r="G33" s="353"/>
    </row>
    <row r="34" spans="2:7" x14ac:dyDescent="0.25">
      <c r="C34" s="143" t="s">
        <v>181</v>
      </c>
      <c r="D34" s="338">
        <v>9793.7000000000007</v>
      </c>
    </row>
    <row r="36" spans="2:7" ht="13" x14ac:dyDescent="0.25">
      <c r="B36" s="347" t="s">
        <v>447</v>
      </c>
      <c r="D36" s="361" t="s">
        <v>457</v>
      </c>
    </row>
    <row r="37" spans="2:7" x14ac:dyDescent="0.25">
      <c r="C37" s="143" t="s">
        <v>180</v>
      </c>
      <c r="D37" s="353">
        <f>D30*D33/SUM($D$33:$D$34)</f>
        <v>56568.497864309466</v>
      </c>
    </row>
    <row r="38" spans="2:7" x14ac:dyDescent="0.25">
      <c r="C38" s="143" t="s">
        <v>181</v>
      </c>
      <c r="D38" s="362">
        <f>D30*D34/SUM($D$33:$D$34)</f>
        <v>12840.052461459376</v>
      </c>
    </row>
    <row r="39" spans="2:7" x14ac:dyDescent="0.25">
      <c r="C39" s="143" t="s">
        <v>157</v>
      </c>
      <c r="D39" s="363">
        <f>SUM(D37:D38)</f>
        <v>69408.55032576884</v>
      </c>
    </row>
  </sheetData>
  <mergeCells count="1">
    <mergeCell ref="C24:D24"/>
  </mergeCells>
  <pageMargins left="0.70866141732283472" right="0.70866141732283472" top="0.74803149606299213"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55FF-AFB6-4C7B-B8FC-0FA8E5BF6CA7}">
  <sheetPr>
    <pageSetUpPr fitToPage="1"/>
  </sheetPr>
  <dimension ref="A1:AF196"/>
  <sheetViews>
    <sheetView view="pageBreakPreview" zoomScaleNormal="100" zoomScaleSheetLayoutView="100" workbookViewId="0">
      <selection activeCell="A6" sqref="A6"/>
    </sheetView>
  </sheetViews>
  <sheetFormatPr defaultColWidth="9.08984375" defaultRowHeight="12.5" x14ac:dyDescent="0.25"/>
  <cols>
    <col min="1" max="1" width="6.08984375" style="102" customWidth="1"/>
    <col min="2" max="2" width="19" style="103" customWidth="1"/>
    <col min="3" max="3" width="1.08984375" style="103" customWidth="1"/>
    <col min="4" max="4" width="11.36328125" style="103" customWidth="1"/>
    <col min="5" max="6" width="11" style="103" customWidth="1"/>
    <col min="7" max="7" width="10.54296875" style="103" customWidth="1"/>
    <col min="8" max="8" width="0.90625" style="103" customWidth="1"/>
    <col min="9" max="11" width="11.36328125" style="103" customWidth="1"/>
    <col min="12" max="12" width="10.08984375" style="103" customWidth="1"/>
    <col min="13" max="13" width="0.90625" style="103" customWidth="1"/>
    <col min="14" max="14" width="10.36328125" style="103" customWidth="1"/>
    <col min="15" max="16" width="11.36328125" style="103" customWidth="1"/>
    <col min="17" max="17" width="10.90625" style="103" customWidth="1"/>
    <col min="18" max="18" width="0.6328125" style="103" customWidth="1"/>
    <col min="19" max="19" width="10.08984375" style="103" customWidth="1"/>
    <col min="20" max="20" width="3.6328125" style="103" customWidth="1"/>
    <col min="21" max="25" width="9.08984375" style="103"/>
    <col min="26" max="26" width="10.453125" style="103" bestFit="1" customWidth="1"/>
    <col min="27" max="16384" width="9.08984375" style="103"/>
  </cols>
  <sheetData>
    <row r="1" spans="1:32" ht="14" x14ac:dyDescent="0.3">
      <c r="S1" s="84" t="str">
        <f>'Table 1.1-4'!$E$1</f>
        <v>YEC 2021 GRA</v>
      </c>
    </row>
    <row r="2" spans="1:32" ht="14" x14ac:dyDescent="0.3">
      <c r="B2" s="104"/>
      <c r="C2" s="105"/>
      <c r="D2" s="105"/>
      <c r="E2" s="105"/>
      <c r="F2" s="105"/>
      <c r="G2" s="105"/>
      <c r="H2" s="105"/>
      <c r="I2" s="105"/>
      <c r="J2" s="105"/>
      <c r="K2" s="105"/>
      <c r="L2" s="105"/>
      <c r="M2" s="105"/>
      <c r="N2" s="105"/>
      <c r="O2" s="105"/>
      <c r="P2" s="105"/>
      <c r="Q2" s="105"/>
      <c r="R2" s="105"/>
      <c r="S2" s="84" t="str">
        <f>'Table 1.1-4'!$E$2</f>
        <v>YUB Order 2022-03 Compliance Filing</v>
      </c>
    </row>
    <row r="3" spans="1:32" ht="13" x14ac:dyDescent="0.3">
      <c r="B3" s="104"/>
      <c r="C3" s="105"/>
      <c r="D3" s="105"/>
      <c r="E3" s="105"/>
      <c r="F3" s="105"/>
      <c r="G3" s="105"/>
      <c r="H3" s="105"/>
      <c r="I3" s="105"/>
      <c r="J3" s="105"/>
      <c r="K3" s="105"/>
      <c r="L3" s="105"/>
      <c r="M3" s="105"/>
      <c r="N3" s="105"/>
      <c r="O3" s="105"/>
      <c r="P3" s="105"/>
      <c r="Q3" s="105"/>
      <c r="R3" s="105"/>
      <c r="S3" s="105"/>
    </row>
    <row r="4" spans="1:32" ht="13" x14ac:dyDescent="0.3">
      <c r="B4" s="104" t="s">
        <v>254</v>
      </c>
      <c r="C4" s="105"/>
      <c r="D4" s="105"/>
      <c r="E4" s="105"/>
      <c r="F4" s="105"/>
      <c r="G4" s="105"/>
      <c r="H4" s="105"/>
      <c r="I4" s="105"/>
      <c r="J4" s="105"/>
      <c r="K4" s="105"/>
      <c r="L4" s="105"/>
      <c r="M4" s="105"/>
      <c r="N4" s="105"/>
      <c r="O4" s="105"/>
      <c r="P4" s="105"/>
      <c r="Q4" s="105"/>
      <c r="R4" s="105"/>
      <c r="S4" s="105"/>
    </row>
    <row r="6" spans="1:32" ht="25.5" customHeight="1" x14ac:dyDescent="0.3">
      <c r="B6" s="106"/>
      <c r="C6" s="106"/>
      <c r="D6" s="425" t="s">
        <v>119</v>
      </c>
      <c r="E6" s="425"/>
      <c r="F6" s="425"/>
      <c r="G6" s="425"/>
      <c r="H6" s="106"/>
      <c r="I6" s="425" t="s">
        <v>120</v>
      </c>
      <c r="J6" s="425"/>
      <c r="K6" s="425"/>
      <c r="L6" s="425"/>
      <c r="M6" s="106"/>
      <c r="N6" s="425" t="s">
        <v>121</v>
      </c>
      <c r="O6" s="425"/>
      <c r="P6" s="425"/>
      <c r="Q6" s="425"/>
      <c r="R6" s="107"/>
      <c r="S6" s="426" t="s">
        <v>122</v>
      </c>
    </row>
    <row r="7" spans="1:32" ht="120.65" customHeight="1" x14ac:dyDescent="0.3">
      <c r="B7" s="106"/>
      <c r="C7" s="106"/>
      <c r="D7" s="108" t="s">
        <v>123</v>
      </c>
      <c r="E7" s="108" t="s">
        <v>256</v>
      </c>
      <c r="F7" s="108" t="s">
        <v>255</v>
      </c>
      <c r="G7" s="108" t="s">
        <v>3</v>
      </c>
      <c r="H7" s="106"/>
      <c r="I7" s="108" t="s">
        <v>123</v>
      </c>
      <c r="J7" s="232" t="s">
        <v>256</v>
      </c>
      <c r="K7" s="232" t="s">
        <v>255</v>
      </c>
      <c r="L7" s="232" t="s">
        <v>3</v>
      </c>
      <c r="M7" s="106"/>
      <c r="N7" s="108" t="s">
        <v>124</v>
      </c>
      <c r="O7" s="232" t="s">
        <v>256</v>
      </c>
      <c r="P7" s="232" t="s">
        <v>255</v>
      </c>
      <c r="Q7" s="232" t="s">
        <v>3</v>
      </c>
      <c r="R7" s="107"/>
      <c r="S7" s="427"/>
    </row>
    <row r="8" spans="1:32" ht="13" x14ac:dyDescent="0.3">
      <c r="B8" s="106"/>
      <c r="C8" s="106"/>
      <c r="D8" s="109" t="s">
        <v>35</v>
      </c>
      <c r="E8" s="109" t="s">
        <v>35</v>
      </c>
      <c r="F8" s="109" t="s">
        <v>35</v>
      </c>
      <c r="G8" s="109" t="s">
        <v>35</v>
      </c>
      <c r="H8" s="109"/>
      <c r="I8" s="109" t="s">
        <v>35</v>
      </c>
      <c r="J8" s="109" t="s">
        <v>35</v>
      </c>
      <c r="K8" s="109" t="s">
        <v>35</v>
      </c>
      <c r="L8" s="109" t="s">
        <v>35</v>
      </c>
      <c r="M8" s="106"/>
      <c r="N8" s="109" t="s">
        <v>35</v>
      </c>
      <c r="O8" s="109" t="s">
        <v>35</v>
      </c>
      <c r="P8" s="109" t="s">
        <v>35</v>
      </c>
      <c r="Q8" s="109" t="s">
        <v>35</v>
      </c>
      <c r="R8" s="109"/>
      <c r="S8" s="107"/>
    </row>
    <row r="9" spans="1:32" ht="13" x14ac:dyDescent="0.3">
      <c r="A9" s="103"/>
      <c r="B9" s="110" t="s">
        <v>246</v>
      </c>
      <c r="D9" s="111"/>
    </row>
    <row r="10" spans="1:32" x14ac:dyDescent="0.25">
      <c r="B10" s="103" t="s">
        <v>125</v>
      </c>
      <c r="D10" s="112">
        <f>'Table 1.1-7'!E10</f>
        <v>824.52739407566003</v>
      </c>
      <c r="E10" s="112">
        <f>D10*'Table 1.3'!$F$22</f>
        <v>99.080947944739222</v>
      </c>
      <c r="F10" s="112">
        <f>D10*(10.08%+9.25%)</f>
        <v>159.38114527482509</v>
      </c>
      <c r="G10" s="112">
        <f>E10-F10</f>
        <v>-60.300197330085865</v>
      </c>
      <c r="H10" s="113"/>
      <c r="I10" s="112">
        <f>'Table 1.1-7'!K10</f>
        <v>1023.8245385541505</v>
      </c>
      <c r="J10" s="112">
        <f>I10*'Table 1.3'!$F$22</f>
        <v>123.02987934409612</v>
      </c>
      <c r="K10" s="112">
        <f>I10*(10.08%+9.25%)</f>
        <v>197.90528330251729</v>
      </c>
      <c r="L10" s="112">
        <f>J10-K10</f>
        <v>-74.875403958421174</v>
      </c>
      <c r="M10" s="112"/>
      <c r="N10" s="112">
        <f>'Table 1.1-7'!M10</f>
        <v>5812.036203252108</v>
      </c>
      <c r="O10" s="112">
        <f>N10*'Table 1.3'!$F$22</f>
        <v>698.41470476906898</v>
      </c>
      <c r="P10" s="112">
        <f>N10*(10.08%+9.25%)</f>
        <v>1123.4665980886325</v>
      </c>
      <c r="Q10" s="112">
        <f>O10-P10</f>
        <v>-425.05189331956353</v>
      </c>
      <c r="R10" s="112"/>
      <c r="S10" s="112">
        <f>G10+L10+Q10</f>
        <v>-560.22749460807063</v>
      </c>
      <c r="V10" s="112"/>
      <c r="W10" s="112"/>
      <c r="X10" s="112"/>
      <c r="Y10" s="112"/>
      <c r="Z10" s="112"/>
      <c r="AA10" s="112"/>
      <c r="AB10" s="112"/>
      <c r="AC10" s="112"/>
      <c r="AD10" s="112"/>
      <c r="AE10" s="112"/>
      <c r="AF10" s="114"/>
    </row>
    <row r="11" spans="1:32" x14ac:dyDescent="0.25">
      <c r="B11" s="103" t="s">
        <v>126</v>
      </c>
      <c r="D11" s="112">
        <f>'Table 1.1-7'!E11</f>
        <v>797.1465193357526</v>
      </c>
      <c r="E11" s="112">
        <f>D11*'Table 1.3'!$F$22</f>
        <v>95.790671546066591</v>
      </c>
      <c r="F11" s="112">
        <f t="shared" ref="F11:F14" si="0">D11*(10.08%+9.25%)</f>
        <v>154.08842218760097</v>
      </c>
      <c r="G11" s="112">
        <f t="shared" ref="G11:G14" si="1">E11-F11</f>
        <v>-58.297750641534378</v>
      </c>
      <c r="H11" s="113"/>
      <c r="I11" s="112">
        <f>'Table 1.1-7'!K11</f>
        <v>903.99652975415052</v>
      </c>
      <c r="J11" s="112">
        <f>I11*'Table 1.3'!$F$22</f>
        <v>108.63051215806773</v>
      </c>
      <c r="K11" s="112">
        <f t="shared" ref="K11:K14" si="2">I11*(10.08%+9.25%)</f>
        <v>174.74252920147728</v>
      </c>
      <c r="L11" s="112">
        <f t="shared" ref="L11:L14" si="3">J11-K11</f>
        <v>-66.112017043409551</v>
      </c>
      <c r="M11" s="112"/>
      <c r="N11" s="112">
        <f>'Table 1.1-7'!M11</f>
        <v>5125.0769202493693</v>
      </c>
      <c r="O11" s="112">
        <f>N11*'Table 1.3'!$F$22</f>
        <v>615.86489811812828</v>
      </c>
      <c r="P11" s="112">
        <f t="shared" ref="P11:P14" si="4">N11*(10.08%+9.25%)</f>
        <v>990.67736868420309</v>
      </c>
      <c r="Q11" s="112">
        <f t="shared" ref="Q11:Q14" si="5">O11-P11</f>
        <v>-374.81247056607481</v>
      </c>
      <c r="R11" s="112"/>
      <c r="S11" s="112">
        <f t="shared" ref="S11:S14" si="6">G11+L11+Q11</f>
        <v>-499.22223825101872</v>
      </c>
      <c r="V11" s="112"/>
      <c r="W11" s="112"/>
      <c r="X11" s="112"/>
      <c r="Y11" s="112"/>
      <c r="Z11" s="112"/>
      <c r="AA11" s="112"/>
      <c r="AB11" s="112"/>
      <c r="AC11" s="112"/>
      <c r="AD11" s="112"/>
      <c r="AE11" s="112"/>
      <c r="AF11" s="114"/>
    </row>
    <row r="12" spans="1:32" x14ac:dyDescent="0.25">
      <c r="B12" s="103" t="s">
        <v>127</v>
      </c>
      <c r="D12" s="112">
        <f>'Table 1.1-7'!E12</f>
        <v>769.21730176777567</v>
      </c>
      <c r="E12" s="112">
        <f>D12*'Table 1.3'!$F$22</f>
        <v>92.434502458328438</v>
      </c>
      <c r="F12" s="112">
        <f t="shared" si="0"/>
        <v>148.68970443171105</v>
      </c>
      <c r="G12" s="112">
        <f t="shared" si="1"/>
        <v>-56.255201973382611</v>
      </c>
      <c r="H12" s="113"/>
      <c r="I12" s="112">
        <f>'Table 1.1-7'!K12</f>
        <v>1075.7562021541501</v>
      </c>
      <c r="J12" s="112">
        <f>I12*'Table 1.3'!$F$22</f>
        <v>129.27034933309335</v>
      </c>
      <c r="K12" s="112">
        <f t="shared" si="2"/>
        <v>207.94367387639721</v>
      </c>
      <c r="L12" s="112">
        <f t="shared" si="3"/>
        <v>-78.673324543303863</v>
      </c>
      <c r="M12" s="112"/>
      <c r="N12" s="112">
        <f>'Table 1.1-7'!M12</f>
        <v>5082.6217597645782</v>
      </c>
      <c r="O12" s="112">
        <f>N12*'Table 1.3'!$F$22</f>
        <v>610.7631906718949</v>
      </c>
      <c r="P12" s="112">
        <f t="shared" si="4"/>
        <v>982.47078616249291</v>
      </c>
      <c r="Q12" s="112">
        <f t="shared" si="5"/>
        <v>-371.70759549059801</v>
      </c>
      <c r="R12" s="112"/>
      <c r="S12" s="112">
        <f t="shared" si="6"/>
        <v>-506.63612200728448</v>
      </c>
      <c r="V12" s="112"/>
      <c r="W12" s="112"/>
      <c r="X12" s="112"/>
      <c r="Y12" s="112"/>
      <c r="Z12" s="112"/>
      <c r="AA12" s="112"/>
      <c r="AB12" s="112"/>
      <c r="AC12" s="112"/>
      <c r="AD12" s="112"/>
      <c r="AE12" s="112"/>
      <c r="AF12" s="114"/>
    </row>
    <row r="13" spans="1:32" x14ac:dyDescent="0.25">
      <c r="B13" s="103" t="s">
        <v>128</v>
      </c>
      <c r="D13" s="112">
        <f>'Table 1.1-7'!E13</f>
        <v>652.24431220553254</v>
      </c>
      <c r="E13" s="112">
        <f>D13*'Table 1.3'!$F$22</f>
        <v>78.378214246400773</v>
      </c>
      <c r="F13" s="112">
        <f t="shared" si="0"/>
        <v>126.07882554932944</v>
      </c>
      <c r="G13" s="112">
        <f t="shared" si="1"/>
        <v>-47.700611302928664</v>
      </c>
      <c r="H13" s="113"/>
      <c r="I13" s="112">
        <f>'Table 1.1-7'!K13</f>
        <v>1023.917220588976</v>
      </c>
      <c r="J13" s="112">
        <f>I13*'Table 1.3'!$F$22</f>
        <v>123.04101666219364</v>
      </c>
      <c r="K13" s="112">
        <f t="shared" si="2"/>
        <v>197.92319873984906</v>
      </c>
      <c r="L13" s="112">
        <f t="shared" si="3"/>
        <v>-74.882182077655415</v>
      </c>
      <c r="M13" s="112"/>
      <c r="N13" s="112">
        <f>'Table 1.1-7'!M13</f>
        <v>4417.5189900101768</v>
      </c>
      <c r="O13" s="112">
        <f>N13*'Table 1.3'!$F$22</f>
        <v>530.83981470957883</v>
      </c>
      <c r="P13" s="112">
        <f t="shared" si="4"/>
        <v>853.90642076896722</v>
      </c>
      <c r="Q13" s="112">
        <f t="shared" si="5"/>
        <v>-323.06660605938839</v>
      </c>
      <c r="R13" s="112"/>
      <c r="S13" s="112">
        <f t="shared" si="6"/>
        <v>-445.64939943997246</v>
      </c>
      <c r="V13" s="112"/>
      <c r="W13" s="112"/>
      <c r="X13" s="112"/>
      <c r="Y13" s="112"/>
      <c r="Z13" s="112"/>
      <c r="AA13" s="112"/>
      <c r="AB13" s="112"/>
      <c r="AC13" s="112"/>
      <c r="AD13" s="112"/>
      <c r="AE13" s="112"/>
      <c r="AF13" s="114"/>
    </row>
    <row r="14" spans="1:32" x14ac:dyDescent="0.25">
      <c r="B14" s="103" t="s">
        <v>129</v>
      </c>
      <c r="D14" s="112">
        <f>'Table 1.1-7'!E14</f>
        <v>579.27865649421221</v>
      </c>
      <c r="E14" s="112">
        <f>D14*'Table 1.3'!$F$22</f>
        <v>69.610153430917791</v>
      </c>
      <c r="F14" s="112">
        <f t="shared" si="0"/>
        <v>111.97456430033122</v>
      </c>
      <c r="G14" s="112">
        <f t="shared" si="1"/>
        <v>-42.364410869413433</v>
      </c>
      <c r="H14" s="113"/>
      <c r="I14" s="112">
        <f>'Table 1.1-7'!K14</f>
        <v>989.69733093897582</v>
      </c>
      <c r="J14" s="112">
        <f>I14*'Table 1.3'!$F$22</f>
        <v>118.92891665260287</v>
      </c>
      <c r="K14" s="112">
        <f t="shared" si="2"/>
        <v>191.30849407050403</v>
      </c>
      <c r="L14" s="112">
        <f t="shared" si="3"/>
        <v>-72.37957741790116</v>
      </c>
      <c r="M14" s="112"/>
      <c r="N14" s="112">
        <f>'Table 1.1-7'!M14</f>
        <v>3999.9518689924798</v>
      </c>
      <c r="O14" s="112">
        <f>N14*'Table 1.3'!$F$22</f>
        <v>480.66204441563929</v>
      </c>
      <c r="P14" s="112">
        <f t="shared" si="4"/>
        <v>773.1906962762464</v>
      </c>
      <c r="Q14" s="112">
        <f t="shared" si="5"/>
        <v>-292.52865186060711</v>
      </c>
      <c r="R14" s="112"/>
      <c r="S14" s="112">
        <f t="shared" si="6"/>
        <v>-407.27264014792172</v>
      </c>
      <c r="V14" s="112"/>
      <c r="W14" s="112"/>
      <c r="X14" s="112"/>
      <c r="Y14" s="112"/>
      <c r="Z14" s="112"/>
      <c r="AA14" s="112"/>
      <c r="AB14" s="112"/>
      <c r="AC14" s="112"/>
      <c r="AD14" s="112"/>
      <c r="AE14" s="112"/>
      <c r="AF14" s="114"/>
    </row>
    <row r="15" spans="1:32" ht="14.5" x14ac:dyDescent="0.35">
      <c r="D15" s="112"/>
      <c r="E15" s="112"/>
      <c r="F15" s="112"/>
      <c r="G15" s="112"/>
      <c r="H15" s="113"/>
      <c r="I15" s="112"/>
      <c r="J15" s="112"/>
      <c r="K15" s="112"/>
      <c r="L15" s="112"/>
      <c r="M15" s="112"/>
      <c r="N15" s="112"/>
      <c r="O15" s="112"/>
      <c r="P15" s="112"/>
      <c r="Q15" s="112"/>
      <c r="R15" s="112"/>
      <c r="S15" s="112"/>
      <c r="U15" s="115"/>
      <c r="Z15" s="114"/>
    </row>
    <row r="16" spans="1:32" ht="14.5" x14ac:dyDescent="0.35">
      <c r="A16" s="103"/>
      <c r="B16" s="110" t="s">
        <v>258</v>
      </c>
      <c r="C16" s="106"/>
      <c r="D16" s="116">
        <f>SUM(D10:D14)</f>
        <v>3622.4141838789328</v>
      </c>
      <c r="E16" s="116">
        <f>SUM(E10:E14)</f>
        <v>435.29448962645279</v>
      </c>
      <c r="F16" s="116">
        <f>SUM(F10:F14)</f>
        <v>700.21266174379775</v>
      </c>
      <c r="G16" s="116">
        <f>SUM(G10:G14)</f>
        <v>-264.91817211734497</v>
      </c>
      <c r="H16" s="117"/>
      <c r="I16" s="116">
        <f>SUM(I10:I14)</f>
        <v>5017.1918219904028</v>
      </c>
      <c r="J16" s="116">
        <f>SUM(J10:J14)</f>
        <v>602.90067415005376</v>
      </c>
      <c r="K16" s="116">
        <f>SUM(K10:K14)</f>
        <v>969.82317919074501</v>
      </c>
      <c r="L16" s="116">
        <f>SUM(L10:L14)</f>
        <v>-366.92250504069114</v>
      </c>
      <c r="M16" s="116"/>
      <c r="O16" s="116">
        <f>SUM(O10:O14)</f>
        <v>2936.5446526843102</v>
      </c>
      <c r="P16" s="116">
        <f>SUM(P10:P14)</f>
        <v>4723.7118699805415</v>
      </c>
      <c r="Q16" s="116">
        <f>SUM(Q10:Q14)</f>
        <v>-1787.1672172962321</v>
      </c>
      <c r="R16" s="116"/>
      <c r="S16" s="116">
        <f>SUM(S10:S14)</f>
        <v>-2419.0078944542684</v>
      </c>
      <c r="U16" s="115"/>
      <c r="Z16" s="118"/>
    </row>
    <row r="17" spans="1:26" ht="14.5" x14ac:dyDescent="0.35">
      <c r="A17" s="103"/>
      <c r="B17" s="110"/>
      <c r="C17" s="106"/>
      <c r="D17" s="116"/>
      <c r="E17" s="116"/>
      <c r="F17" s="116"/>
      <c r="G17" s="116"/>
      <c r="H17" s="117"/>
      <c r="I17" s="116"/>
      <c r="J17" s="116"/>
      <c r="K17" s="116"/>
      <c r="L17" s="116"/>
      <c r="M17" s="116"/>
      <c r="O17" s="116"/>
      <c r="P17" s="116"/>
      <c r="Q17" s="116"/>
      <c r="R17" s="116"/>
      <c r="S17" s="116"/>
      <c r="U17" s="115"/>
      <c r="Z17" s="118"/>
    </row>
    <row r="18" spans="1:26" ht="9.75" customHeight="1" x14ac:dyDescent="0.3">
      <c r="A18" s="119"/>
      <c r="B18" s="120"/>
      <c r="C18" s="120"/>
      <c r="D18" s="121"/>
      <c r="E18" s="121"/>
      <c r="F18" s="121"/>
      <c r="G18" s="121"/>
      <c r="H18" s="122"/>
      <c r="I18" s="121"/>
      <c r="J18" s="121"/>
      <c r="K18" s="121"/>
      <c r="L18" s="121"/>
      <c r="M18" s="121"/>
      <c r="N18" s="121"/>
      <c r="O18" s="121"/>
      <c r="P18" s="121"/>
      <c r="Q18" s="121"/>
      <c r="R18" s="121"/>
      <c r="S18" s="121"/>
    </row>
    <row r="19" spans="1:26" ht="4.5" customHeight="1" x14ac:dyDescent="0.25">
      <c r="A19" s="103"/>
    </row>
    <row r="20" spans="1:26" ht="13" x14ac:dyDescent="0.3">
      <c r="B20" s="110"/>
      <c r="D20" s="123"/>
      <c r="E20" s="123"/>
      <c r="F20" s="123"/>
      <c r="G20" s="123"/>
      <c r="H20" s="124"/>
      <c r="I20" s="123"/>
      <c r="J20" s="123"/>
      <c r="K20" s="123"/>
      <c r="L20" s="123"/>
      <c r="M20" s="123"/>
      <c r="N20" s="123"/>
      <c r="O20" s="123"/>
      <c r="P20" s="123"/>
      <c r="Q20" s="123"/>
      <c r="R20" s="123"/>
      <c r="S20" s="123"/>
    </row>
    <row r="21" spans="1:26" ht="13" x14ac:dyDescent="0.3">
      <c r="B21" s="110" t="s">
        <v>56</v>
      </c>
      <c r="D21" s="123"/>
      <c r="E21" s="123"/>
      <c r="F21" s="123"/>
      <c r="G21" s="123"/>
      <c r="H21" s="124"/>
      <c r="I21" s="123"/>
      <c r="J21" s="123"/>
      <c r="K21" s="123"/>
      <c r="L21" s="123"/>
      <c r="M21" s="123"/>
      <c r="N21" s="123"/>
      <c r="O21" s="123"/>
      <c r="P21" s="123"/>
      <c r="Q21" s="123"/>
      <c r="R21" s="123"/>
      <c r="S21" s="123"/>
    </row>
    <row r="22" spans="1:26" x14ac:dyDescent="0.25">
      <c r="B22" s="428" t="s">
        <v>136</v>
      </c>
      <c r="C22" s="428"/>
      <c r="D22" s="428"/>
      <c r="E22" s="428"/>
      <c r="F22" s="428"/>
      <c r="G22" s="428"/>
      <c r="H22" s="428"/>
      <c r="I22" s="428"/>
      <c r="J22" s="428"/>
      <c r="K22" s="428"/>
      <c r="L22" s="428"/>
      <c r="M22" s="428"/>
      <c r="N22" s="428"/>
      <c r="O22" s="428"/>
      <c r="P22" s="428"/>
      <c r="Q22" s="428"/>
      <c r="R22" s="428"/>
      <c r="S22" s="428"/>
    </row>
    <row r="23" spans="1:26" x14ac:dyDescent="0.25">
      <c r="B23" s="125"/>
      <c r="C23" s="125"/>
      <c r="D23" s="125"/>
      <c r="E23" s="125"/>
      <c r="F23" s="125"/>
      <c r="G23" s="125"/>
      <c r="H23" s="125"/>
      <c r="I23" s="125"/>
      <c r="J23" s="125"/>
      <c r="K23" s="125"/>
      <c r="L23" s="125"/>
      <c r="M23" s="125"/>
      <c r="N23" s="125"/>
      <c r="O23" s="125"/>
      <c r="P23" s="125"/>
      <c r="Q23" s="125"/>
      <c r="R23" s="125"/>
      <c r="S23" s="125"/>
    </row>
    <row r="24" spans="1:26" x14ac:dyDescent="0.25">
      <c r="B24" s="125"/>
      <c r="C24" s="125"/>
      <c r="D24" s="125"/>
      <c r="E24" s="125"/>
      <c r="F24" s="125"/>
      <c r="G24" s="125"/>
      <c r="H24" s="125"/>
      <c r="I24" s="125"/>
      <c r="J24" s="125"/>
      <c r="K24" s="125"/>
      <c r="L24" s="125"/>
      <c r="M24" s="125"/>
      <c r="N24" s="125"/>
      <c r="O24" s="125"/>
      <c r="P24" s="125"/>
      <c r="Q24" s="125"/>
      <c r="R24" s="125"/>
      <c r="S24" s="125"/>
    </row>
    <row r="25" spans="1:26" ht="14.5" x14ac:dyDescent="0.35">
      <c r="D25" s="126"/>
      <c r="E25" s="126"/>
      <c r="F25" s="126"/>
      <c r="G25" s="126"/>
      <c r="H25" s="126"/>
      <c r="I25" s="126"/>
      <c r="J25" s="126"/>
      <c r="K25" s="126"/>
      <c r="L25" s="126"/>
      <c r="M25" s="126"/>
      <c r="N25" s="127"/>
      <c r="O25" s="127"/>
      <c r="P25" s="127"/>
      <c r="Q25" s="127"/>
      <c r="R25" s="127"/>
      <c r="S25" s="127"/>
    </row>
    <row r="26" spans="1:26" ht="14.5" x14ac:dyDescent="0.35">
      <c r="A26" s="128"/>
      <c r="D26" s="126"/>
      <c r="E26" s="126"/>
      <c r="F26" s="126"/>
      <c r="G26" s="126"/>
      <c r="H26" s="126"/>
      <c r="I26" s="126"/>
      <c r="J26" s="126"/>
      <c r="K26" s="126"/>
      <c r="L26" s="126"/>
      <c r="M26" s="126"/>
      <c r="N26" s="126"/>
      <c r="O26" s="126"/>
      <c r="P26" s="126"/>
      <c r="Q26" s="126"/>
      <c r="R26" s="126"/>
      <c r="S26" s="126"/>
    </row>
    <row r="27" spans="1:26" ht="14.5" x14ac:dyDescent="0.35">
      <c r="A27" s="128"/>
      <c r="D27" s="126"/>
      <c r="E27" s="126"/>
      <c r="F27" s="126"/>
      <c r="G27" s="126"/>
      <c r="H27" s="126"/>
      <c r="I27" s="126"/>
      <c r="J27" s="126"/>
      <c r="K27" s="126"/>
      <c r="L27" s="126"/>
      <c r="M27" s="126"/>
      <c r="N27" s="129"/>
      <c r="O27" s="129"/>
      <c r="P27" s="129"/>
      <c r="Q27" s="126"/>
      <c r="R27" s="126"/>
      <c r="S27" s="126"/>
    </row>
    <row r="28" spans="1:26" ht="14.5" x14ac:dyDescent="0.35">
      <c r="D28" s="126"/>
      <c r="E28" s="126"/>
      <c r="F28" s="126"/>
      <c r="G28" s="126"/>
      <c r="H28" s="126"/>
      <c r="I28" s="126"/>
      <c r="J28" s="126"/>
      <c r="K28" s="126"/>
      <c r="L28" s="126"/>
      <c r="M28" s="126"/>
      <c r="N28" s="126"/>
      <c r="O28" s="126"/>
      <c r="P28" s="126"/>
      <c r="Q28" s="126"/>
      <c r="R28" s="126"/>
      <c r="S28" s="126"/>
    </row>
    <row r="29" spans="1:26" ht="14.5" x14ac:dyDescent="0.35">
      <c r="D29" s="130"/>
      <c r="E29" s="130"/>
      <c r="F29" s="130"/>
      <c r="G29" s="130"/>
      <c r="H29" s="130"/>
      <c r="I29" s="424"/>
      <c r="J29" s="424"/>
      <c r="K29" s="424"/>
      <c r="L29" s="424"/>
      <c r="M29" s="126"/>
      <c r="N29" s="126"/>
      <c r="O29" s="126"/>
      <c r="P29" s="126"/>
      <c r="Q29" s="126"/>
      <c r="R29" s="126"/>
      <c r="S29" s="126"/>
    </row>
    <row r="30" spans="1:26" ht="14.5" x14ac:dyDescent="0.35">
      <c r="D30" s="130"/>
      <c r="E30" s="130"/>
      <c r="F30" s="130"/>
      <c r="G30" s="130"/>
      <c r="H30" s="130"/>
      <c r="I30" s="130"/>
      <c r="J30" s="130"/>
      <c r="K30" s="130"/>
      <c r="L30" s="130"/>
      <c r="M30" s="126"/>
      <c r="N30" s="126"/>
      <c r="O30" s="126"/>
      <c r="P30" s="126"/>
      <c r="Q30" s="126"/>
      <c r="R30" s="126"/>
      <c r="S30" s="126"/>
    </row>
    <row r="31" spans="1:26" ht="14.5" x14ac:dyDescent="0.35">
      <c r="D31" s="130"/>
      <c r="E31" s="130"/>
      <c r="F31" s="130"/>
      <c r="G31" s="131"/>
      <c r="H31" s="130"/>
      <c r="I31" s="131"/>
      <c r="J31" s="131"/>
      <c r="K31" s="131"/>
      <c r="L31" s="131"/>
      <c r="M31" s="126"/>
      <c r="N31" s="126"/>
      <c r="O31" s="126"/>
      <c r="P31" s="126"/>
      <c r="Q31" s="126"/>
      <c r="R31" s="126"/>
      <c r="S31" s="126"/>
    </row>
    <row r="32" spans="1:26" ht="14.5" x14ac:dyDescent="0.35">
      <c r="D32" s="130"/>
      <c r="E32" s="130"/>
      <c r="F32" s="130"/>
      <c r="G32" s="131"/>
      <c r="H32" s="130"/>
      <c r="I32" s="131"/>
      <c r="J32" s="131"/>
      <c r="K32" s="131"/>
      <c r="L32" s="131"/>
      <c r="M32" s="126"/>
      <c r="N32" s="126"/>
      <c r="O32" s="126"/>
      <c r="P32" s="126"/>
      <c r="Q32" s="126"/>
      <c r="R32" s="126"/>
      <c r="S32" s="126"/>
    </row>
    <row r="33" spans="4:19" ht="14.5" x14ac:dyDescent="0.35">
      <c r="D33" s="130"/>
      <c r="E33" s="130"/>
      <c r="F33" s="130"/>
      <c r="G33" s="131"/>
      <c r="H33" s="130"/>
      <c r="I33" s="131"/>
      <c r="J33" s="131"/>
      <c r="K33" s="131"/>
      <c r="L33" s="131"/>
      <c r="M33" s="126"/>
      <c r="N33" s="131"/>
      <c r="O33" s="131"/>
      <c r="P33" s="131"/>
      <c r="Q33" s="126"/>
      <c r="R33" s="126"/>
      <c r="S33" s="126"/>
    </row>
    <row r="34" spans="4:19" ht="14.5" x14ac:dyDescent="0.35">
      <c r="D34" s="130"/>
      <c r="E34" s="130"/>
      <c r="F34" s="130"/>
      <c r="G34" s="131"/>
      <c r="H34" s="130"/>
      <c r="I34" s="131"/>
      <c r="J34" s="131"/>
      <c r="K34" s="131"/>
      <c r="L34" s="131"/>
      <c r="M34" s="126"/>
      <c r="N34" s="126"/>
      <c r="O34" s="126"/>
      <c r="P34" s="126"/>
      <c r="Q34" s="126"/>
      <c r="R34" s="126"/>
      <c r="S34" s="126"/>
    </row>
    <row r="82" spans="1:19" ht="14.5" x14ac:dyDescent="0.35">
      <c r="D82" s="132"/>
      <c r="E82" s="132"/>
      <c r="F82" s="132"/>
      <c r="G82" s="132"/>
      <c r="H82" s="132"/>
      <c r="I82" s="132"/>
      <c r="J82" s="132"/>
      <c r="K82" s="132"/>
      <c r="L82" s="132"/>
      <c r="M82" s="132"/>
      <c r="N82" s="132"/>
      <c r="O82" s="132"/>
      <c r="P82" s="132"/>
      <c r="Q82" s="132"/>
      <c r="R82" s="132"/>
      <c r="S82" s="132"/>
    </row>
    <row r="83" spans="1:19" ht="14.5" x14ac:dyDescent="0.35">
      <c r="D83" s="132"/>
      <c r="E83" s="132"/>
      <c r="F83" s="132"/>
      <c r="G83" s="132"/>
      <c r="H83" s="132"/>
      <c r="I83" s="132"/>
      <c r="J83" s="132"/>
      <c r="K83" s="132"/>
      <c r="L83" s="132"/>
      <c r="M83" s="132"/>
      <c r="N83" s="132"/>
      <c r="O83" s="132"/>
      <c r="P83" s="132"/>
      <c r="Q83" s="132"/>
      <c r="R83" s="132"/>
      <c r="S83" s="132"/>
    </row>
    <row r="84" spans="1:19" ht="14.5" x14ac:dyDescent="0.35">
      <c r="D84" s="132"/>
      <c r="E84" s="132"/>
      <c r="F84" s="132"/>
      <c r="G84" s="132"/>
      <c r="H84" s="132"/>
      <c r="I84" s="132"/>
      <c r="J84" s="132"/>
      <c r="K84" s="132"/>
      <c r="L84" s="132"/>
      <c r="M84" s="132"/>
      <c r="N84" s="132"/>
      <c r="O84" s="132"/>
      <c r="P84" s="132"/>
      <c r="Q84" s="132"/>
      <c r="R84" s="132"/>
      <c r="S84" s="132"/>
    </row>
    <row r="85" spans="1:19" ht="14.5" x14ac:dyDescent="0.35">
      <c r="D85" s="132"/>
      <c r="E85" s="132"/>
      <c r="F85" s="132"/>
      <c r="G85" s="132"/>
      <c r="H85" s="132"/>
      <c r="I85" s="132"/>
      <c r="J85" s="132"/>
      <c r="K85" s="132"/>
      <c r="L85" s="132"/>
      <c r="M85" s="132"/>
      <c r="N85" s="132"/>
      <c r="O85" s="132"/>
      <c r="P85" s="132"/>
      <c r="Q85" s="132"/>
      <c r="R85" s="132"/>
      <c r="S85" s="132"/>
    </row>
    <row r="86" spans="1:19" ht="14.5" x14ac:dyDescent="0.35">
      <c r="D86" s="132"/>
      <c r="E86" s="132"/>
      <c r="F86" s="132"/>
      <c r="G86" s="132"/>
      <c r="H86" s="132"/>
      <c r="I86" s="132"/>
      <c r="J86" s="132"/>
      <c r="K86" s="132"/>
      <c r="L86" s="132"/>
      <c r="M86" s="132"/>
      <c r="N86" s="132"/>
      <c r="O86" s="132"/>
      <c r="P86" s="132"/>
      <c r="Q86" s="132"/>
      <c r="R86" s="132"/>
      <c r="S86" s="132"/>
    </row>
    <row r="87" spans="1:19" ht="14.5" x14ac:dyDescent="0.35">
      <c r="D87" s="132"/>
      <c r="E87" s="132"/>
      <c r="F87" s="132"/>
      <c r="G87" s="132"/>
      <c r="H87" s="132"/>
      <c r="I87" s="132"/>
      <c r="J87" s="132"/>
      <c r="K87" s="132"/>
      <c r="L87" s="132"/>
      <c r="M87" s="132"/>
      <c r="N87" s="132"/>
      <c r="O87" s="132"/>
      <c r="P87" s="132"/>
      <c r="Q87" s="132"/>
      <c r="R87" s="132"/>
      <c r="S87" s="132"/>
    </row>
    <row r="88" spans="1:19" ht="14.5" x14ac:dyDescent="0.35">
      <c r="D88" s="132"/>
      <c r="E88" s="132"/>
      <c r="F88" s="132"/>
      <c r="G88" s="132"/>
      <c r="H88" s="132"/>
      <c r="I88" s="132"/>
      <c r="J88" s="132"/>
      <c r="K88" s="132"/>
      <c r="L88" s="132"/>
      <c r="M88" s="132"/>
      <c r="N88" s="132"/>
      <c r="O88" s="132"/>
      <c r="P88" s="132"/>
      <c r="Q88" s="132"/>
      <c r="R88" s="132"/>
      <c r="S88" s="132"/>
    </row>
    <row r="89" spans="1:19" ht="13" x14ac:dyDescent="0.3">
      <c r="A89" s="119"/>
      <c r="B89" s="110"/>
      <c r="C89" s="106"/>
      <c r="D89" s="124"/>
      <c r="E89" s="124"/>
      <c r="F89" s="124"/>
      <c r="G89" s="124"/>
      <c r="H89" s="124"/>
      <c r="I89" s="124"/>
      <c r="J89" s="124"/>
      <c r="K89" s="124"/>
      <c r="L89" s="124"/>
      <c r="M89" s="124"/>
      <c r="Q89" s="124"/>
      <c r="R89" s="124"/>
      <c r="S89" s="124"/>
    </row>
    <row r="90" spans="1:19" ht="14.5" x14ac:dyDescent="0.35">
      <c r="B90" s="119"/>
      <c r="D90" s="132"/>
      <c r="E90" s="132"/>
      <c r="F90" s="132"/>
      <c r="G90" s="132"/>
      <c r="H90" s="132"/>
      <c r="I90" s="132"/>
      <c r="J90" s="132"/>
      <c r="K90" s="132"/>
      <c r="L90" s="132"/>
      <c r="M90" s="132"/>
      <c r="N90" s="132"/>
      <c r="O90" s="132"/>
      <c r="P90" s="132"/>
      <c r="Q90" s="132"/>
      <c r="R90" s="132"/>
      <c r="S90" s="132"/>
    </row>
    <row r="91" spans="1:19" ht="13" x14ac:dyDescent="0.3">
      <c r="B91" s="110"/>
      <c r="D91" s="124"/>
      <c r="E91" s="124"/>
      <c r="F91" s="124"/>
      <c r="G91" s="124"/>
      <c r="H91" s="124"/>
      <c r="I91" s="124"/>
      <c r="J91" s="124"/>
      <c r="K91" s="124"/>
      <c r="L91" s="124"/>
      <c r="M91" s="124"/>
      <c r="N91" s="124"/>
      <c r="O91" s="124"/>
      <c r="P91" s="124"/>
      <c r="Q91" s="124"/>
      <c r="R91" s="124"/>
      <c r="S91" s="124"/>
    </row>
    <row r="92" spans="1:19" ht="14.5" x14ac:dyDescent="0.35">
      <c r="D92" s="126"/>
      <c r="E92" s="126"/>
      <c r="F92" s="126"/>
      <c r="G92" s="126"/>
      <c r="H92" s="126"/>
      <c r="I92" s="126"/>
      <c r="J92" s="126"/>
      <c r="K92" s="126"/>
      <c r="L92" s="126"/>
      <c r="M92" s="126"/>
      <c r="N92" s="126"/>
      <c r="O92" s="126"/>
      <c r="P92" s="126"/>
      <c r="Q92" s="126"/>
      <c r="R92" s="126"/>
      <c r="S92" s="126"/>
    </row>
    <row r="93" spans="1:19" ht="14.5" x14ac:dyDescent="0.35">
      <c r="D93" s="126"/>
      <c r="E93" s="126"/>
      <c r="F93" s="126"/>
      <c r="G93" s="126"/>
      <c r="H93" s="126"/>
      <c r="I93" s="126"/>
      <c r="J93" s="126"/>
      <c r="K93" s="126"/>
      <c r="L93" s="126"/>
      <c r="M93" s="126"/>
      <c r="N93" s="126"/>
      <c r="O93" s="126"/>
      <c r="P93" s="126"/>
      <c r="Q93" s="126"/>
      <c r="R93" s="126"/>
      <c r="S93" s="126"/>
    </row>
    <row r="94" spans="1:19" ht="14.5" x14ac:dyDescent="0.35">
      <c r="D94" s="126"/>
      <c r="E94" s="126"/>
      <c r="F94" s="126"/>
      <c r="G94" s="126"/>
      <c r="H94" s="126"/>
      <c r="I94" s="126"/>
      <c r="J94" s="126"/>
      <c r="K94" s="126"/>
      <c r="L94" s="126"/>
      <c r="M94" s="126"/>
      <c r="N94" s="126"/>
      <c r="O94" s="126"/>
      <c r="P94" s="126"/>
      <c r="Q94" s="126"/>
      <c r="R94" s="126"/>
      <c r="S94" s="126"/>
    </row>
    <row r="95" spans="1:19" ht="14.5" x14ac:dyDescent="0.35">
      <c r="D95" s="126"/>
      <c r="E95" s="126"/>
      <c r="F95" s="126"/>
      <c r="G95" s="126"/>
      <c r="H95" s="126"/>
      <c r="I95" s="126"/>
      <c r="J95" s="126"/>
      <c r="K95" s="126"/>
      <c r="L95" s="126"/>
      <c r="M95" s="126"/>
      <c r="N95" s="126"/>
      <c r="O95" s="126"/>
      <c r="P95" s="126"/>
      <c r="Q95" s="126"/>
      <c r="R95" s="126"/>
      <c r="S95" s="126"/>
    </row>
    <row r="96" spans="1:19" ht="14.5" x14ac:dyDescent="0.35">
      <c r="D96" s="126"/>
      <c r="E96" s="126"/>
      <c r="F96" s="126"/>
      <c r="G96" s="126"/>
      <c r="H96" s="126"/>
      <c r="I96" s="126"/>
      <c r="J96" s="126"/>
      <c r="K96" s="126"/>
      <c r="L96" s="126"/>
      <c r="M96" s="126"/>
      <c r="N96" s="126"/>
      <c r="O96" s="126"/>
      <c r="P96" s="126"/>
      <c r="Q96" s="126"/>
      <c r="R96" s="126"/>
      <c r="S96" s="126"/>
    </row>
    <row r="97" spans="4:19" ht="14.5" x14ac:dyDescent="0.35">
      <c r="D97" s="126"/>
      <c r="E97" s="126"/>
      <c r="F97" s="126"/>
      <c r="G97" s="126"/>
      <c r="H97" s="126"/>
      <c r="I97" s="126"/>
      <c r="J97" s="126"/>
      <c r="K97" s="126"/>
      <c r="L97" s="126"/>
      <c r="M97" s="126"/>
      <c r="N97" s="126"/>
      <c r="O97" s="126"/>
      <c r="P97" s="126"/>
      <c r="Q97" s="126"/>
      <c r="R97" s="126"/>
      <c r="S97" s="126"/>
    </row>
    <row r="98" spans="4:19" ht="14.5" x14ac:dyDescent="0.35">
      <c r="D98" s="126"/>
      <c r="E98" s="126"/>
      <c r="F98" s="126"/>
      <c r="G98" s="126"/>
      <c r="H98" s="126"/>
      <c r="I98" s="126"/>
      <c r="J98" s="126"/>
      <c r="K98" s="126"/>
      <c r="L98" s="126"/>
      <c r="M98" s="126"/>
      <c r="N98" s="126"/>
      <c r="O98" s="126"/>
      <c r="P98" s="126"/>
      <c r="Q98" s="126"/>
      <c r="R98" s="126"/>
      <c r="S98" s="126"/>
    </row>
    <row r="99" spans="4:19" ht="14.5" x14ac:dyDescent="0.35">
      <c r="D99" s="126"/>
      <c r="E99" s="126"/>
      <c r="F99" s="126"/>
      <c r="G99" s="126"/>
      <c r="H99" s="126"/>
      <c r="I99" s="126"/>
      <c r="J99" s="126"/>
      <c r="K99" s="126"/>
      <c r="L99" s="126"/>
      <c r="M99" s="126"/>
      <c r="N99" s="126"/>
      <c r="O99" s="126"/>
      <c r="P99" s="126"/>
      <c r="Q99" s="126"/>
      <c r="R99" s="126"/>
      <c r="S99" s="126"/>
    </row>
    <row r="100" spans="4:19" ht="14.5" x14ac:dyDescent="0.35">
      <c r="D100" s="126"/>
      <c r="E100" s="126"/>
      <c r="F100" s="126"/>
      <c r="G100" s="126"/>
      <c r="H100" s="126"/>
      <c r="I100" s="126"/>
      <c r="J100" s="126"/>
      <c r="K100" s="126"/>
      <c r="L100" s="126"/>
      <c r="M100" s="126"/>
      <c r="N100" s="126"/>
      <c r="O100" s="126"/>
      <c r="P100" s="126"/>
      <c r="Q100" s="126"/>
      <c r="R100" s="126"/>
      <c r="S100" s="126"/>
    </row>
    <row r="101" spans="4:19" ht="14.5" x14ac:dyDescent="0.35">
      <c r="D101" s="126"/>
      <c r="E101" s="126"/>
      <c r="F101" s="126"/>
      <c r="G101" s="126"/>
      <c r="H101" s="126"/>
      <c r="I101" s="126"/>
      <c r="J101" s="126"/>
      <c r="K101" s="126"/>
      <c r="L101" s="126"/>
      <c r="M101" s="126"/>
      <c r="N101" s="126"/>
      <c r="O101" s="126"/>
      <c r="P101" s="126"/>
      <c r="Q101" s="126"/>
      <c r="R101" s="126"/>
      <c r="S101" s="126"/>
    </row>
    <row r="102" spans="4:19" ht="14.5" x14ac:dyDescent="0.35">
      <c r="D102" s="126"/>
      <c r="E102" s="126"/>
      <c r="F102" s="126"/>
      <c r="G102" s="126"/>
      <c r="H102" s="126"/>
      <c r="I102" s="126"/>
      <c r="J102" s="126"/>
      <c r="K102" s="126"/>
      <c r="L102" s="126"/>
      <c r="M102" s="126"/>
      <c r="N102" s="126"/>
      <c r="O102" s="126"/>
      <c r="P102" s="126"/>
      <c r="Q102" s="126"/>
      <c r="R102" s="126"/>
      <c r="S102" s="126"/>
    </row>
    <row r="103" spans="4:19" ht="14.5" x14ac:dyDescent="0.35">
      <c r="D103" s="126"/>
      <c r="E103" s="126"/>
      <c r="F103" s="126"/>
      <c r="G103" s="126"/>
      <c r="H103" s="126"/>
      <c r="I103" s="126"/>
      <c r="J103" s="126"/>
      <c r="K103" s="126"/>
      <c r="L103" s="126"/>
      <c r="M103" s="126"/>
      <c r="N103" s="126"/>
      <c r="O103" s="126"/>
      <c r="P103" s="126"/>
      <c r="Q103" s="126"/>
      <c r="R103" s="126"/>
      <c r="S103" s="126"/>
    </row>
    <row r="104" spans="4:19" ht="14.5" x14ac:dyDescent="0.35">
      <c r="D104" s="126"/>
      <c r="E104" s="126"/>
      <c r="F104" s="126"/>
      <c r="G104" s="126"/>
      <c r="H104" s="126"/>
      <c r="I104" s="126"/>
      <c r="J104" s="126"/>
      <c r="K104" s="126"/>
      <c r="L104" s="126"/>
      <c r="M104" s="126"/>
      <c r="N104" s="126"/>
      <c r="O104" s="126"/>
      <c r="P104" s="126"/>
      <c r="Q104" s="126"/>
      <c r="R104" s="126"/>
      <c r="S104" s="126"/>
    </row>
    <row r="105" spans="4:19" ht="14.5" x14ac:dyDescent="0.35">
      <c r="D105" s="126"/>
      <c r="E105" s="126"/>
      <c r="F105" s="126"/>
      <c r="G105" s="126"/>
      <c r="H105" s="126"/>
      <c r="I105" s="126"/>
      <c r="J105" s="126"/>
      <c r="K105" s="126"/>
      <c r="L105" s="126"/>
      <c r="M105" s="126"/>
      <c r="N105" s="126"/>
      <c r="O105" s="126"/>
      <c r="P105" s="126"/>
      <c r="Q105" s="126"/>
      <c r="R105" s="126"/>
      <c r="S105" s="126"/>
    </row>
    <row r="106" spans="4:19" ht="14.5" x14ac:dyDescent="0.35">
      <c r="D106" s="126"/>
      <c r="E106" s="126"/>
      <c r="F106" s="126"/>
      <c r="G106" s="126"/>
      <c r="H106" s="126"/>
      <c r="I106" s="126"/>
      <c r="J106" s="126"/>
      <c r="K106" s="126"/>
      <c r="L106" s="126"/>
      <c r="M106" s="126"/>
      <c r="N106" s="126"/>
      <c r="O106" s="126"/>
      <c r="P106" s="126"/>
      <c r="Q106" s="126"/>
      <c r="R106" s="126"/>
      <c r="S106" s="126"/>
    </row>
    <row r="107" spans="4:19" ht="14.5" x14ac:dyDescent="0.35">
      <c r="D107" s="126"/>
      <c r="E107" s="126"/>
      <c r="F107" s="126"/>
      <c r="G107" s="126"/>
      <c r="H107" s="126"/>
      <c r="I107" s="126"/>
      <c r="J107" s="126"/>
      <c r="K107" s="126"/>
      <c r="L107" s="126"/>
      <c r="M107" s="126"/>
      <c r="N107" s="126"/>
      <c r="O107" s="126"/>
      <c r="P107" s="126"/>
      <c r="Q107" s="126"/>
      <c r="R107" s="126"/>
      <c r="S107" s="126"/>
    </row>
    <row r="108" spans="4:19" ht="14.5" x14ac:dyDescent="0.35">
      <c r="D108" s="126"/>
      <c r="E108" s="126"/>
      <c r="F108" s="126"/>
      <c r="G108" s="126"/>
      <c r="H108" s="126"/>
      <c r="I108" s="126"/>
      <c r="J108" s="126"/>
      <c r="K108" s="126"/>
      <c r="L108" s="126"/>
      <c r="M108" s="126"/>
      <c r="N108" s="126"/>
      <c r="O108" s="126"/>
      <c r="P108" s="126"/>
      <c r="Q108" s="126"/>
      <c r="R108" s="126"/>
      <c r="S108" s="126"/>
    </row>
    <row r="109" spans="4:19" ht="14.5" x14ac:dyDescent="0.35">
      <c r="D109" s="126"/>
      <c r="E109" s="126"/>
      <c r="F109" s="126"/>
      <c r="G109" s="126"/>
      <c r="H109" s="126"/>
      <c r="I109" s="126"/>
      <c r="J109" s="126"/>
      <c r="K109" s="126"/>
      <c r="L109" s="126"/>
      <c r="M109" s="126"/>
      <c r="N109" s="126"/>
      <c r="O109" s="126"/>
      <c r="P109" s="126"/>
      <c r="Q109" s="126"/>
      <c r="R109" s="126"/>
      <c r="S109" s="126"/>
    </row>
    <row r="110" spans="4:19" ht="14.5" x14ac:dyDescent="0.35">
      <c r="D110" s="126"/>
      <c r="E110" s="126"/>
      <c r="F110" s="126"/>
      <c r="G110" s="126"/>
      <c r="H110" s="126"/>
      <c r="I110" s="126"/>
      <c r="J110" s="126"/>
      <c r="K110" s="126"/>
      <c r="L110" s="126"/>
      <c r="M110" s="126"/>
      <c r="N110" s="126"/>
      <c r="O110" s="126"/>
      <c r="P110" s="126"/>
      <c r="Q110" s="126"/>
      <c r="R110" s="126"/>
      <c r="S110" s="126"/>
    </row>
    <row r="111" spans="4:19" ht="14.5" x14ac:dyDescent="0.35">
      <c r="D111" s="126"/>
      <c r="E111" s="126"/>
      <c r="F111" s="126"/>
      <c r="G111" s="126"/>
      <c r="H111" s="126"/>
      <c r="I111" s="126"/>
      <c r="J111" s="126"/>
      <c r="K111" s="126"/>
      <c r="L111" s="126"/>
      <c r="M111" s="126"/>
      <c r="N111" s="126"/>
      <c r="O111" s="126"/>
      <c r="P111" s="126"/>
      <c r="Q111" s="126"/>
      <c r="R111" s="126"/>
      <c r="S111" s="126"/>
    </row>
    <row r="112" spans="4:19" ht="14.5" x14ac:dyDescent="0.35">
      <c r="D112" s="126"/>
      <c r="E112" s="126"/>
      <c r="F112" s="126"/>
      <c r="G112" s="126"/>
      <c r="H112" s="126"/>
      <c r="I112" s="126"/>
      <c r="J112" s="126"/>
      <c r="K112" s="126"/>
      <c r="L112" s="126"/>
      <c r="M112" s="126"/>
      <c r="N112" s="126"/>
      <c r="O112" s="126"/>
      <c r="P112" s="126"/>
      <c r="Q112" s="126"/>
      <c r="R112" s="126"/>
      <c r="S112" s="126"/>
    </row>
    <row r="113" spans="4:19" ht="14.5" x14ac:dyDescent="0.35">
      <c r="D113" s="126"/>
      <c r="E113" s="126"/>
      <c r="F113" s="126"/>
      <c r="G113" s="126"/>
      <c r="H113" s="126"/>
      <c r="I113" s="126"/>
      <c r="J113" s="126"/>
      <c r="K113" s="126"/>
      <c r="L113" s="126"/>
      <c r="M113" s="126"/>
      <c r="N113" s="126"/>
      <c r="O113" s="126"/>
      <c r="P113" s="126"/>
      <c r="Q113" s="126"/>
      <c r="R113" s="126"/>
      <c r="S113" s="126"/>
    </row>
    <row r="114" spans="4:19" ht="14.5" x14ac:dyDescent="0.35">
      <c r="D114" s="126"/>
      <c r="E114" s="126"/>
      <c r="F114" s="126"/>
      <c r="G114" s="126"/>
      <c r="H114" s="126"/>
      <c r="I114" s="126"/>
      <c r="J114" s="126"/>
      <c r="K114" s="126"/>
      <c r="L114" s="126"/>
      <c r="M114" s="126"/>
      <c r="N114" s="126"/>
      <c r="O114" s="126"/>
      <c r="P114" s="126"/>
      <c r="Q114" s="126"/>
      <c r="R114" s="126"/>
      <c r="S114" s="126"/>
    </row>
    <row r="115" spans="4:19" ht="14.5" x14ac:dyDescent="0.35">
      <c r="D115" s="126"/>
      <c r="E115" s="126"/>
      <c r="F115" s="126"/>
      <c r="G115" s="126"/>
      <c r="H115" s="126"/>
      <c r="I115" s="126"/>
      <c r="J115" s="126"/>
      <c r="K115" s="126"/>
      <c r="L115" s="126"/>
      <c r="M115" s="126"/>
      <c r="N115" s="126"/>
      <c r="O115" s="126"/>
      <c r="P115" s="126"/>
      <c r="Q115" s="126"/>
      <c r="R115" s="126"/>
      <c r="S115" s="126"/>
    </row>
    <row r="116" spans="4:19" ht="14.5" x14ac:dyDescent="0.35">
      <c r="D116" s="126"/>
      <c r="E116" s="126"/>
      <c r="F116" s="126"/>
      <c r="G116" s="126"/>
      <c r="H116" s="126"/>
      <c r="I116" s="126"/>
      <c r="J116" s="126"/>
      <c r="K116" s="126"/>
      <c r="L116" s="126"/>
      <c r="M116" s="126"/>
      <c r="N116" s="126"/>
      <c r="O116" s="126"/>
      <c r="P116" s="126"/>
      <c r="Q116" s="126"/>
      <c r="R116" s="126"/>
      <c r="S116" s="126"/>
    </row>
    <row r="117" spans="4:19" ht="14.5" x14ac:dyDescent="0.35">
      <c r="D117" s="126"/>
      <c r="E117" s="126"/>
      <c r="F117" s="126"/>
      <c r="G117" s="126"/>
      <c r="H117" s="126"/>
      <c r="I117" s="126"/>
      <c r="J117" s="126"/>
      <c r="K117" s="126"/>
      <c r="L117" s="126"/>
      <c r="M117" s="126"/>
      <c r="N117" s="126"/>
      <c r="O117" s="126"/>
      <c r="P117" s="126"/>
      <c r="Q117" s="126"/>
      <c r="R117" s="126"/>
      <c r="S117" s="126"/>
    </row>
    <row r="118" spans="4:19" ht="14.5" x14ac:dyDescent="0.35">
      <c r="D118" s="126"/>
      <c r="E118" s="126"/>
      <c r="F118" s="126"/>
      <c r="G118" s="126"/>
      <c r="H118" s="126"/>
      <c r="I118" s="126"/>
      <c r="J118" s="126"/>
      <c r="K118" s="126"/>
      <c r="L118" s="126"/>
      <c r="M118" s="126"/>
      <c r="N118" s="126"/>
      <c r="O118" s="126"/>
      <c r="P118" s="126"/>
      <c r="Q118" s="126"/>
      <c r="R118" s="126"/>
      <c r="S118" s="126"/>
    </row>
    <row r="119" spans="4:19" ht="14.5" x14ac:dyDescent="0.35">
      <c r="D119" s="126"/>
      <c r="E119" s="126"/>
      <c r="F119" s="126"/>
      <c r="G119" s="126"/>
      <c r="H119" s="126"/>
      <c r="I119" s="126"/>
      <c r="J119" s="126"/>
      <c r="K119" s="126"/>
      <c r="L119" s="126"/>
      <c r="M119" s="126"/>
      <c r="N119" s="126"/>
      <c r="O119" s="126"/>
      <c r="P119" s="126"/>
      <c r="Q119" s="126"/>
      <c r="R119" s="126"/>
      <c r="S119" s="126"/>
    </row>
    <row r="120" spans="4:19" ht="14.5" x14ac:dyDescent="0.35">
      <c r="D120" s="126"/>
      <c r="E120" s="126"/>
      <c r="F120" s="126"/>
      <c r="G120" s="126"/>
      <c r="H120" s="126"/>
      <c r="I120" s="126"/>
      <c r="J120" s="126"/>
      <c r="K120" s="126"/>
      <c r="L120" s="126"/>
      <c r="M120" s="126"/>
      <c r="N120" s="126"/>
      <c r="O120" s="126"/>
      <c r="P120" s="126"/>
      <c r="Q120" s="126"/>
      <c r="R120" s="126"/>
      <c r="S120" s="126"/>
    </row>
    <row r="121" spans="4:19" ht="14.5" x14ac:dyDescent="0.35">
      <c r="D121" s="126"/>
      <c r="E121" s="126"/>
      <c r="F121" s="126"/>
      <c r="G121" s="126"/>
      <c r="H121" s="126"/>
      <c r="I121" s="126"/>
      <c r="J121" s="126"/>
      <c r="K121" s="126"/>
      <c r="L121" s="126"/>
      <c r="M121" s="126"/>
      <c r="N121" s="126"/>
      <c r="O121" s="126"/>
      <c r="P121" s="126"/>
      <c r="Q121" s="126"/>
      <c r="R121" s="126"/>
      <c r="S121" s="126"/>
    </row>
    <row r="122" spans="4:19" ht="14.5" x14ac:dyDescent="0.35">
      <c r="D122" s="126"/>
      <c r="E122" s="126"/>
      <c r="F122" s="126"/>
      <c r="G122" s="126"/>
      <c r="H122" s="126"/>
      <c r="I122" s="126"/>
      <c r="J122" s="126"/>
      <c r="K122" s="126"/>
      <c r="L122" s="126"/>
      <c r="M122" s="126"/>
      <c r="N122" s="126"/>
      <c r="O122" s="126"/>
      <c r="P122" s="126"/>
      <c r="Q122" s="126"/>
      <c r="R122" s="126"/>
      <c r="S122" s="126"/>
    </row>
    <row r="123" spans="4:19" ht="14.5" x14ac:dyDescent="0.35">
      <c r="D123" s="126"/>
      <c r="E123" s="126"/>
      <c r="F123" s="126"/>
      <c r="G123" s="126"/>
      <c r="H123" s="126"/>
      <c r="I123" s="126"/>
      <c r="J123" s="126"/>
      <c r="K123" s="126"/>
      <c r="L123" s="126"/>
      <c r="M123" s="126"/>
      <c r="N123" s="126"/>
      <c r="O123" s="126"/>
      <c r="P123" s="126"/>
      <c r="Q123" s="126"/>
      <c r="R123" s="126"/>
      <c r="S123" s="126"/>
    </row>
    <row r="124" spans="4:19" ht="14.5" x14ac:dyDescent="0.35">
      <c r="D124" s="126"/>
      <c r="E124" s="126"/>
      <c r="F124" s="126"/>
      <c r="G124" s="126"/>
      <c r="H124" s="126"/>
      <c r="I124" s="126"/>
      <c r="J124" s="126"/>
      <c r="K124" s="126"/>
      <c r="L124" s="126"/>
      <c r="M124" s="126"/>
      <c r="N124" s="126"/>
      <c r="O124" s="126"/>
      <c r="P124" s="126"/>
      <c r="Q124" s="126"/>
      <c r="R124" s="126"/>
      <c r="S124" s="126"/>
    </row>
    <row r="125" spans="4:19" ht="14.5" x14ac:dyDescent="0.35">
      <c r="D125" s="126"/>
      <c r="E125" s="126"/>
      <c r="F125" s="126"/>
      <c r="G125" s="126"/>
      <c r="H125" s="126"/>
      <c r="I125" s="126"/>
      <c r="J125" s="126"/>
      <c r="K125" s="126"/>
      <c r="L125" s="126"/>
      <c r="M125" s="126"/>
      <c r="N125" s="126"/>
      <c r="O125" s="126"/>
      <c r="P125" s="126"/>
      <c r="Q125" s="126"/>
      <c r="R125" s="126"/>
      <c r="S125" s="126"/>
    </row>
    <row r="126" spans="4:19" ht="14.5" x14ac:dyDescent="0.35">
      <c r="D126" s="126"/>
      <c r="E126" s="126"/>
      <c r="F126" s="126"/>
      <c r="G126" s="126"/>
      <c r="H126" s="126"/>
      <c r="I126" s="126"/>
      <c r="J126" s="126"/>
      <c r="K126" s="126"/>
      <c r="L126" s="126"/>
      <c r="M126" s="126"/>
      <c r="N126" s="126"/>
      <c r="O126" s="126"/>
      <c r="P126" s="126"/>
      <c r="Q126" s="126"/>
      <c r="R126" s="126"/>
      <c r="S126" s="126"/>
    </row>
    <row r="127" spans="4:19" ht="14.5" x14ac:dyDescent="0.35">
      <c r="D127" s="126"/>
      <c r="E127" s="126"/>
      <c r="F127" s="126"/>
      <c r="G127" s="126"/>
      <c r="H127" s="126"/>
      <c r="I127" s="126"/>
      <c r="J127" s="126"/>
      <c r="K127" s="126"/>
      <c r="L127" s="126"/>
      <c r="M127" s="126"/>
      <c r="N127" s="126"/>
      <c r="O127" s="126"/>
      <c r="P127" s="126"/>
      <c r="Q127" s="126"/>
      <c r="R127" s="126"/>
      <c r="S127" s="126"/>
    </row>
    <row r="128" spans="4:19" ht="14.5" x14ac:dyDescent="0.35">
      <c r="D128" s="126"/>
      <c r="E128" s="126"/>
      <c r="F128" s="126"/>
      <c r="G128" s="126"/>
      <c r="H128" s="126"/>
      <c r="I128" s="126"/>
      <c r="J128" s="126"/>
      <c r="K128" s="126"/>
      <c r="L128" s="126"/>
      <c r="M128" s="126"/>
      <c r="N128" s="126"/>
      <c r="O128" s="126"/>
      <c r="P128" s="126"/>
      <c r="Q128" s="126"/>
      <c r="R128" s="126"/>
      <c r="S128" s="126"/>
    </row>
    <row r="129" spans="4:19" ht="14.5" x14ac:dyDescent="0.35">
      <c r="D129" s="126"/>
      <c r="E129" s="126"/>
      <c r="F129" s="126"/>
      <c r="G129" s="126"/>
      <c r="H129" s="126"/>
      <c r="I129" s="126"/>
      <c r="J129" s="126"/>
      <c r="K129" s="126"/>
      <c r="L129" s="126"/>
      <c r="M129" s="126"/>
      <c r="N129" s="126"/>
      <c r="O129" s="126"/>
      <c r="P129" s="126"/>
      <c r="Q129" s="126"/>
      <c r="R129" s="126"/>
      <c r="S129" s="126"/>
    </row>
    <row r="130" spans="4:19" ht="14.5" x14ac:dyDescent="0.35">
      <c r="D130" s="126"/>
      <c r="E130" s="126"/>
      <c r="F130" s="126"/>
      <c r="G130" s="126"/>
      <c r="H130" s="126"/>
      <c r="I130" s="126"/>
      <c r="J130" s="126"/>
      <c r="K130" s="126"/>
      <c r="L130" s="126"/>
      <c r="M130" s="126"/>
      <c r="N130" s="126"/>
      <c r="O130" s="126"/>
      <c r="P130" s="126"/>
      <c r="Q130" s="126"/>
      <c r="R130" s="126"/>
      <c r="S130" s="126"/>
    </row>
    <row r="131" spans="4:19" ht="14.5" x14ac:dyDescent="0.35">
      <c r="D131" s="126"/>
      <c r="E131" s="126"/>
      <c r="F131" s="126"/>
      <c r="G131" s="126"/>
      <c r="H131" s="126"/>
      <c r="I131" s="126"/>
      <c r="J131" s="126"/>
      <c r="K131" s="126"/>
      <c r="L131" s="126"/>
      <c r="M131" s="126"/>
      <c r="N131" s="126"/>
      <c r="O131" s="126"/>
      <c r="P131" s="126"/>
      <c r="Q131" s="126"/>
      <c r="R131" s="126"/>
      <c r="S131" s="126"/>
    </row>
    <row r="132" spans="4:19" ht="14.5" x14ac:dyDescent="0.35">
      <c r="D132" s="126"/>
      <c r="E132" s="126"/>
      <c r="F132" s="126"/>
      <c r="G132" s="126"/>
      <c r="H132" s="126"/>
      <c r="I132" s="126"/>
      <c r="J132" s="126"/>
      <c r="K132" s="126"/>
      <c r="L132" s="126"/>
      <c r="M132" s="126"/>
      <c r="N132" s="126"/>
      <c r="O132" s="126"/>
      <c r="P132" s="126"/>
      <c r="Q132" s="126"/>
      <c r="R132" s="126"/>
      <c r="S132" s="126"/>
    </row>
    <row r="133" spans="4:19" ht="14.5" x14ac:dyDescent="0.35">
      <c r="D133" s="126"/>
      <c r="E133" s="126"/>
      <c r="F133" s="126"/>
      <c r="G133" s="126"/>
      <c r="H133" s="126"/>
      <c r="I133" s="126"/>
      <c r="J133" s="126"/>
      <c r="K133" s="126"/>
      <c r="L133" s="126"/>
      <c r="M133" s="126"/>
      <c r="N133" s="126"/>
      <c r="O133" s="126"/>
      <c r="P133" s="126"/>
      <c r="Q133" s="126"/>
      <c r="R133" s="126"/>
      <c r="S133" s="126"/>
    </row>
    <row r="134" spans="4:19" ht="14.5" x14ac:dyDescent="0.35">
      <c r="D134" s="126"/>
      <c r="E134" s="126"/>
      <c r="F134" s="126"/>
      <c r="G134" s="126"/>
      <c r="H134" s="126"/>
      <c r="I134" s="126"/>
      <c r="J134" s="126"/>
      <c r="K134" s="126"/>
      <c r="L134" s="126"/>
      <c r="M134" s="126"/>
      <c r="N134" s="126"/>
      <c r="O134" s="126"/>
      <c r="P134" s="126"/>
      <c r="Q134" s="126"/>
      <c r="R134" s="126"/>
      <c r="S134" s="126"/>
    </row>
    <row r="135" spans="4:19" ht="14.5" x14ac:dyDescent="0.35">
      <c r="D135" s="126"/>
      <c r="E135" s="126"/>
      <c r="F135" s="126"/>
      <c r="G135" s="126"/>
      <c r="H135" s="126"/>
      <c r="I135" s="126"/>
      <c r="J135" s="126"/>
      <c r="K135" s="126"/>
      <c r="L135" s="126"/>
      <c r="M135" s="126"/>
      <c r="N135" s="126"/>
      <c r="O135" s="126"/>
      <c r="P135" s="126"/>
      <c r="Q135" s="126"/>
      <c r="R135" s="126"/>
      <c r="S135" s="126"/>
    </row>
    <row r="136" spans="4:19" ht="14.5" x14ac:dyDescent="0.35">
      <c r="D136" s="126"/>
      <c r="E136" s="126"/>
      <c r="F136" s="126"/>
      <c r="G136" s="126"/>
      <c r="H136" s="126"/>
      <c r="I136" s="126"/>
      <c r="J136" s="126"/>
      <c r="K136" s="126"/>
      <c r="L136" s="126"/>
      <c r="M136" s="126"/>
      <c r="N136" s="126"/>
      <c r="O136" s="126"/>
      <c r="P136" s="126"/>
      <c r="Q136" s="126"/>
      <c r="R136" s="126"/>
      <c r="S136" s="126"/>
    </row>
    <row r="137" spans="4:19" ht="14.5" x14ac:dyDescent="0.35">
      <c r="D137" s="126"/>
      <c r="E137" s="126"/>
      <c r="F137" s="126"/>
      <c r="G137" s="126"/>
      <c r="H137" s="126"/>
      <c r="I137" s="126"/>
      <c r="J137" s="126"/>
      <c r="K137" s="126"/>
      <c r="L137" s="126"/>
      <c r="M137" s="126"/>
      <c r="N137" s="126"/>
      <c r="O137" s="126"/>
      <c r="P137" s="126"/>
      <c r="Q137" s="126"/>
      <c r="R137" s="126"/>
      <c r="S137" s="126"/>
    </row>
    <row r="138" spans="4:19" ht="14.5" x14ac:dyDescent="0.35">
      <c r="D138" s="126"/>
      <c r="E138" s="126"/>
      <c r="F138" s="126"/>
      <c r="G138" s="126"/>
      <c r="H138" s="126"/>
      <c r="I138" s="126"/>
      <c r="J138" s="126"/>
      <c r="K138" s="126"/>
      <c r="L138" s="126"/>
      <c r="M138" s="126"/>
      <c r="N138" s="126"/>
      <c r="O138" s="126"/>
      <c r="P138" s="126"/>
      <c r="Q138" s="126"/>
      <c r="R138" s="126"/>
      <c r="S138" s="126"/>
    </row>
    <row r="139" spans="4:19" ht="14.5" x14ac:dyDescent="0.35">
      <c r="D139" s="126"/>
      <c r="E139" s="126"/>
      <c r="F139" s="126"/>
      <c r="G139" s="126"/>
      <c r="H139" s="126"/>
      <c r="I139" s="126"/>
      <c r="J139" s="126"/>
      <c r="K139" s="126"/>
      <c r="L139" s="126"/>
      <c r="M139" s="126"/>
      <c r="N139" s="126"/>
      <c r="O139" s="126"/>
      <c r="P139" s="126"/>
      <c r="Q139" s="126"/>
      <c r="R139" s="126"/>
      <c r="S139" s="126"/>
    </row>
    <row r="140" spans="4:19" ht="14.5" x14ac:dyDescent="0.35">
      <c r="D140" s="126"/>
      <c r="E140" s="126"/>
      <c r="F140" s="126"/>
      <c r="G140" s="126"/>
      <c r="H140" s="126"/>
      <c r="I140" s="126"/>
      <c r="J140" s="126"/>
      <c r="K140" s="126"/>
      <c r="L140" s="126"/>
      <c r="M140" s="126"/>
      <c r="N140" s="126"/>
      <c r="O140" s="126"/>
      <c r="P140" s="126"/>
      <c r="Q140" s="126"/>
      <c r="R140" s="126"/>
      <c r="S140" s="126"/>
    </row>
    <row r="141" spans="4:19" ht="14.5" x14ac:dyDescent="0.35">
      <c r="D141" s="126"/>
      <c r="E141" s="126"/>
      <c r="F141" s="126"/>
      <c r="G141" s="126"/>
      <c r="H141" s="126"/>
      <c r="I141" s="126"/>
      <c r="J141" s="126"/>
      <c r="K141" s="126"/>
      <c r="L141" s="126"/>
      <c r="M141" s="126"/>
      <c r="N141" s="126"/>
      <c r="O141" s="126"/>
      <c r="P141" s="126"/>
      <c r="Q141" s="126"/>
      <c r="R141" s="126"/>
      <c r="S141" s="126"/>
    </row>
    <row r="142" spans="4:19" ht="14.5" x14ac:dyDescent="0.35">
      <c r="D142" s="126"/>
      <c r="E142" s="126"/>
      <c r="F142" s="126"/>
      <c r="G142" s="126"/>
      <c r="H142" s="126"/>
      <c r="I142" s="126"/>
      <c r="J142" s="126"/>
      <c r="K142" s="126"/>
      <c r="L142" s="126"/>
      <c r="M142" s="126"/>
      <c r="N142" s="126"/>
      <c r="O142" s="126"/>
      <c r="P142" s="126"/>
      <c r="Q142" s="126"/>
      <c r="R142" s="126"/>
      <c r="S142" s="126"/>
    </row>
    <row r="143" spans="4:19" ht="14.5" x14ac:dyDescent="0.35">
      <c r="D143" s="126"/>
      <c r="E143" s="126"/>
      <c r="F143" s="126"/>
      <c r="G143" s="126"/>
      <c r="H143" s="126"/>
      <c r="I143" s="126"/>
      <c r="J143" s="126"/>
      <c r="K143" s="126"/>
      <c r="L143" s="126"/>
      <c r="M143" s="126"/>
      <c r="N143" s="126"/>
      <c r="O143" s="126"/>
      <c r="P143" s="126"/>
      <c r="Q143" s="126"/>
      <c r="R143" s="126"/>
      <c r="S143" s="126"/>
    </row>
    <row r="144" spans="4:19" ht="14.5" x14ac:dyDescent="0.35">
      <c r="D144" s="126"/>
      <c r="E144" s="126"/>
      <c r="F144" s="126"/>
      <c r="G144" s="126"/>
      <c r="H144" s="126"/>
      <c r="I144" s="126"/>
      <c r="J144" s="126"/>
      <c r="K144" s="126"/>
      <c r="L144" s="126"/>
      <c r="M144" s="126"/>
      <c r="N144" s="126"/>
      <c r="O144" s="126"/>
      <c r="P144" s="126"/>
      <c r="Q144" s="126"/>
      <c r="R144" s="126"/>
      <c r="S144" s="126"/>
    </row>
    <row r="145" spans="4:19" ht="14.5" x14ac:dyDescent="0.35">
      <c r="D145" s="126"/>
      <c r="E145" s="126"/>
      <c r="F145" s="126"/>
      <c r="G145" s="126"/>
      <c r="H145" s="126"/>
      <c r="I145" s="126"/>
      <c r="J145" s="126"/>
      <c r="K145" s="126"/>
      <c r="L145" s="126"/>
      <c r="M145" s="126"/>
      <c r="N145" s="126"/>
      <c r="O145" s="126"/>
      <c r="P145" s="126"/>
      <c r="Q145" s="126"/>
      <c r="R145" s="126"/>
      <c r="S145" s="126"/>
    </row>
    <row r="146" spans="4:19" ht="14.5" x14ac:dyDescent="0.35">
      <c r="D146" s="126"/>
      <c r="E146" s="126"/>
      <c r="F146" s="126"/>
      <c r="G146" s="126"/>
      <c r="H146" s="126"/>
      <c r="I146" s="126"/>
      <c r="J146" s="126"/>
      <c r="K146" s="126"/>
      <c r="L146" s="126"/>
      <c r="M146" s="126"/>
      <c r="N146" s="126"/>
      <c r="O146" s="126"/>
      <c r="P146" s="126"/>
      <c r="Q146" s="126"/>
      <c r="R146" s="126"/>
      <c r="S146" s="126"/>
    </row>
    <row r="147" spans="4:19" ht="14.5" x14ac:dyDescent="0.35">
      <c r="D147" s="126"/>
      <c r="E147" s="126"/>
      <c r="F147" s="126"/>
      <c r="G147" s="126"/>
      <c r="H147" s="126"/>
      <c r="I147" s="126"/>
      <c r="J147" s="126"/>
      <c r="K147" s="126"/>
      <c r="L147" s="126"/>
      <c r="M147" s="126"/>
      <c r="N147" s="126"/>
      <c r="O147" s="126"/>
      <c r="P147" s="126"/>
      <c r="Q147" s="126"/>
      <c r="R147" s="126"/>
      <c r="S147" s="126"/>
    </row>
    <row r="148" spans="4:19" ht="14.5" x14ac:dyDescent="0.35">
      <c r="D148" s="126"/>
      <c r="E148" s="126"/>
      <c r="F148" s="126"/>
      <c r="G148" s="126"/>
      <c r="H148" s="126"/>
      <c r="I148" s="126"/>
      <c r="J148" s="126"/>
      <c r="K148" s="126"/>
      <c r="L148" s="126"/>
      <c r="M148" s="126"/>
      <c r="N148" s="126"/>
      <c r="O148" s="126"/>
      <c r="P148" s="126"/>
      <c r="Q148" s="126"/>
      <c r="R148" s="126"/>
      <c r="S148" s="126"/>
    </row>
    <row r="149" spans="4:19" ht="14.5" x14ac:dyDescent="0.35">
      <c r="D149" s="126"/>
      <c r="E149" s="126"/>
      <c r="F149" s="126"/>
      <c r="G149" s="126"/>
      <c r="H149" s="126"/>
      <c r="I149" s="126"/>
      <c r="J149" s="126"/>
      <c r="K149" s="126"/>
      <c r="L149" s="126"/>
      <c r="M149" s="126"/>
      <c r="N149" s="126"/>
      <c r="O149" s="126"/>
      <c r="P149" s="126"/>
      <c r="Q149" s="126"/>
      <c r="R149" s="126"/>
      <c r="S149" s="126"/>
    </row>
    <row r="150" spans="4:19" ht="14.5" x14ac:dyDescent="0.35">
      <c r="D150" s="126"/>
      <c r="E150" s="126"/>
      <c r="F150" s="126"/>
      <c r="G150" s="126"/>
      <c r="H150" s="126"/>
      <c r="I150" s="126"/>
      <c r="J150" s="126"/>
      <c r="K150" s="126"/>
      <c r="L150" s="126"/>
      <c r="M150" s="126"/>
      <c r="N150" s="126"/>
      <c r="O150" s="126"/>
      <c r="P150" s="126"/>
      <c r="Q150" s="126"/>
      <c r="R150" s="126"/>
      <c r="S150" s="126"/>
    </row>
    <row r="151" spans="4:19" ht="14.5" x14ac:dyDescent="0.35">
      <c r="D151" s="126"/>
      <c r="E151" s="126"/>
      <c r="F151" s="126"/>
      <c r="G151" s="126"/>
      <c r="H151" s="126"/>
      <c r="I151" s="126"/>
      <c r="J151" s="126"/>
      <c r="K151" s="126"/>
      <c r="L151" s="126"/>
      <c r="M151" s="126"/>
      <c r="N151" s="126"/>
      <c r="O151" s="126"/>
      <c r="P151" s="126"/>
      <c r="Q151" s="126"/>
      <c r="R151" s="126"/>
      <c r="S151" s="126"/>
    </row>
    <row r="152" spans="4:19" ht="14.5" x14ac:dyDescent="0.35">
      <c r="D152" s="126"/>
      <c r="E152" s="126"/>
      <c r="F152" s="126"/>
      <c r="G152" s="126"/>
      <c r="H152" s="126"/>
      <c r="I152" s="126"/>
      <c r="J152" s="126"/>
      <c r="K152" s="126"/>
      <c r="L152" s="126"/>
      <c r="M152" s="126"/>
      <c r="N152" s="126"/>
      <c r="O152" s="126"/>
      <c r="P152" s="126"/>
      <c r="Q152" s="126"/>
      <c r="R152" s="126"/>
      <c r="S152" s="126"/>
    </row>
    <row r="153" spans="4:19" ht="14.5" x14ac:dyDescent="0.35">
      <c r="D153" s="126"/>
      <c r="E153" s="126"/>
      <c r="F153" s="126"/>
      <c r="G153" s="126"/>
      <c r="H153" s="126"/>
      <c r="I153" s="126"/>
      <c r="J153" s="126"/>
      <c r="K153" s="126"/>
      <c r="L153" s="126"/>
      <c r="M153" s="126"/>
      <c r="N153" s="126"/>
      <c r="O153" s="126"/>
      <c r="P153" s="126"/>
      <c r="Q153" s="126"/>
      <c r="R153" s="126"/>
      <c r="S153" s="126"/>
    </row>
    <row r="154" spans="4:19" ht="14.5" x14ac:dyDescent="0.35">
      <c r="D154" s="126"/>
      <c r="E154" s="126"/>
      <c r="F154" s="126"/>
      <c r="G154" s="126"/>
      <c r="H154" s="126"/>
      <c r="I154" s="126"/>
      <c r="J154" s="126"/>
      <c r="K154" s="126"/>
      <c r="L154" s="126"/>
      <c r="M154" s="126"/>
      <c r="N154" s="126"/>
      <c r="O154" s="126"/>
      <c r="P154" s="126"/>
      <c r="Q154" s="126"/>
      <c r="R154" s="126"/>
      <c r="S154" s="126"/>
    </row>
    <row r="155" spans="4:19" ht="14.5" x14ac:dyDescent="0.35">
      <c r="D155" s="126"/>
      <c r="E155" s="126"/>
      <c r="F155" s="126"/>
      <c r="G155" s="126"/>
      <c r="H155" s="126"/>
      <c r="I155" s="126"/>
      <c r="J155" s="126"/>
      <c r="K155" s="126"/>
      <c r="L155" s="126"/>
      <c r="M155" s="126"/>
      <c r="N155" s="126"/>
      <c r="O155" s="126"/>
      <c r="P155" s="126"/>
      <c r="Q155" s="126"/>
      <c r="R155" s="126"/>
      <c r="S155" s="126"/>
    </row>
    <row r="156" spans="4:19" ht="14.5" x14ac:dyDescent="0.35">
      <c r="D156" s="126"/>
      <c r="E156" s="126"/>
      <c r="F156" s="126"/>
      <c r="G156" s="126"/>
      <c r="H156" s="126"/>
      <c r="I156" s="126"/>
      <c r="J156" s="126"/>
      <c r="K156" s="126"/>
      <c r="L156" s="126"/>
      <c r="M156" s="126"/>
      <c r="N156" s="126"/>
      <c r="O156" s="126"/>
      <c r="P156" s="126"/>
      <c r="Q156" s="126"/>
      <c r="R156" s="126"/>
      <c r="S156" s="126"/>
    </row>
    <row r="157" spans="4:19" ht="14.5" x14ac:dyDescent="0.35">
      <c r="D157" s="126"/>
      <c r="E157" s="126"/>
      <c r="F157" s="126"/>
      <c r="G157" s="126"/>
      <c r="H157" s="126"/>
      <c r="I157" s="126"/>
      <c r="J157" s="126"/>
      <c r="K157" s="126"/>
      <c r="L157" s="126"/>
      <c r="M157" s="126"/>
      <c r="N157" s="126"/>
      <c r="O157" s="126"/>
      <c r="P157" s="126"/>
      <c r="Q157" s="126"/>
      <c r="R157" s="126"/>
      <c r="S157" s="126"/>
    </row>
    <row r="158" spans="4:19" ht="14.5" x14ac:dyDescent="0.35">
      <c r="D158" s="126"/>
      <c r="E158" s="126"/>
      <c r="F158" s="126"/>
      <c r="G158" s="126"/>
      <c r="H158" s="126"/>
      <c r="I158" s="126"/>
      <c r="J158" s="126"/>
      <c r="K158" s="126"/>
      <c r="L158" s="126"/>
      <c r="M158" s="126"/>
      <c r="N158" s="126"/>
      <c r="O158" s="126"/>
      <c r="P158" s="126"/>
      <c r="Q158" s="126"/>
      <c r="R158" s="126"/>
      <c r="S158" s="126"/>
    </row>
    <row r="159" spans="4:19" ht="14.5" x14ac:dyDescent="0.35">
      <c r="D159" s="126"/>
      <c r="E159" s="126"/>
      <c r="F159" s="126"/>
      <c r="G159" s="126"/>
      <c r="H159" s="126"/>
      <c r="I159" s="126"/>
      <c r="J159" s="126"/>
      <c r="K159" s="126"/>
      <c r="L159" s="126"/>
      <c r="M159" s="126"/>
      <c r="N159" s="126"/>
      <c r="O159" s="126"/>
      <c r="P159" s="126"/>
      <c r="Q159" s="126"/>
      <c r="R159" s="126"/>
      <c r="S159" s="126"/>
    </row>
    <row r="160" spans="4:19" ht="14.5" x14ac:dyDescent="0.35">
      <c r="D160" s="126"/>
      <c r="E160" s="126"/>
      <c r="F160" s="126"/>
      <c r="G160" s="126"/>
      <c r="H160" s="126"/>
      <c r="I160" s="126"/>
      <c r="J160" s="126"/>
      <c r="K160" s="126"/>
      <c r="L160" s="126"/>
      <c r="M160" s="126"/>
      <c r="N160" s="126"/>
      <c r="O160" s="126"/>
      <c r="P160" s="126"/>
      <c r="Q160" s="126"/>
      <c r="R160" s="126"/>
      <c r="S160" s="126"/>
    </row>
    <row r="161" spans="4:19" ht="14.5" x14ac:dyDescent="0.35">
      <c r="D161" s="126"/>
      <c r="E161" s="126"/>
      <c r="F161" s="126"/>
      <c r="G161" s="126"/>
      <c r="H161" s="126"/>
      <c r="I161" s="126"/>
      <c r="J161" s="126"/>
      <c r="K161" s="126"/>
      <c r="L161" s="126"/>
      <c r="M161" s="126"/>
      <c r="N161" s="126"/>
      <c r="O161" s="126"/>
      <c r="P161" s="126"/>
      <c r="Q161" s="126"/>
      <c r="R161" s="126"/>
      <c r="S161" s="126"/>
    </row>
    <row r="162" spans="4:19" ht="14.5" x14ac:dyDescent="0.35">
      <c r="D162" s="126"/>
      <c r="E162" s="126"/>
      <c r="F162" s="126"/>
      <c r="G162" s="126"/>
      <c r="H162" s="126"/>
      <c r="I162" s="126"/>
      <c r="J162" s="126"/>
      <c r="K162" s="126"/>
      <c r="L162" s="126"/>
      <c r="M162" s="126"/>
      <c r="N162" s="126"/>
      <c r="O162" s="126"/>
      <c r="P162" s="126"/>
      <c r="Q162" s="126"/>
      <c r="R162" s="126"/>
      <c r="S162" s="126"/>
    </row>
    <row r="163" spans="4:19" ht="14.5" x14ac:dyDescent="0.35">
      <c r="D163" s="126"/>
      <c r="E163" s="126"/>
      <c r="F163" s="126"/>
      <c r="G163" s="126"/>
      <c r="H163" s="126"/>
      <c r="I163" s="126"/>
      <c r="J163" s="126"/>
      <c r="K163" s="126"/>
      <c r="L163" s="126"/>
      <c r="M163" s="126"/>
      <c r="N163" s="126"/>
      <c r="O163" s="126"/>
      <c r="P163" s="126"/>
      <c r="Q163" s="126"/>
      <c r="R163" s="126"/>
      <c r="S163" s="126"/>
    </row>
    <row r="164" spans="4:19" ht="14.5" x14ac:dyDescent="0.35">
      <c r="D164" s="126"/>
      <c r="E164" s="126"/>
      <c r="F164" s="126"/>
      <c r="G164" s="126"/>
      <c r="H164" s="126"/>
      <c r="I164" s="126"/>
      <c r="J164" s="126"/>
      <c r="K164" s="126"/>
      <c r="L164" s="126"/>
      <c r="M164" s="126"/>
      <c r="N164" s="126"/>
      <c r="O164" s="126"/>
      <c r="P164" s="126"/>
      <c r="Q164" s="126"/>
      <c r="R164" s="126"/>
      <c r="S164" s="126"/>
    </row>
    <row r="165" spans="4:19" ht="14.5" x14ac:dyDescent="0.35">
      <c r="D165" s="126"/>
      <c r="E165" s="126"/>
      <c r="F165" s="126"/>
      <c r="G165" s="126"/>
      <c r="H165" s="126"/>
      <c r="I165" s="126"/>
      <c r="J165" s="126"/>
      <c r="K165" s="126"/>
      <c r="L165" s="126"/>
      <c r="M165" s="126"/>
      <c r="N165" s="126"/>
      <c r="O165" s="126"/>
      <c r="P165" s="126"/>
      <c r="Q165" s="126"/>
      <c r="R165" s="126"/>
      <c r="S165" s="126"/>
    </row>
    <row r="166" spans="4:19" ht="14.5" x14ac:dyDescent="0.35">
      <c r="D166" s="126"/>
      <c r="E166" s="126"/>
      <c r="F166" s="126"/>
      <c r="G166" s="126"/>
      <c r="H166" s="126"/>
      <c r="I166" s="126"/>
      <c r="J166" s="126"/>
      <c r="K166" s="126"/>
      <c r="L166" s="126"/>
      <c r="M166" s="126"/>
      <c r="N166" s="126"/>
      <c r="O166" s="126"/>
      <c r="P166" s="126"/>
      <c r="Q166" s="126"/>
      <c r="R166" s="126"/>
      <c r="S166" s="126"/>
    </row>
    <row r="167" spans="4:19" ht="14.5" x14ac:dyDescent="0.35">
      <c r="D167" s="126"/>
      <c r="E167" s="126"/>
      <c r="F167" s="126"/>
      <c r="G167" s="126"/>
      <c r="H167" s="126"/>
      <c r="I167" s="126"/>
      <c r="J167" s="126"/>
      <c r="K167" s="126"/>
      <c r="L167" s="126"/>
      <c r="M167" s="126"/>
      <c r="N167" s="126"/>
      <c r="O167" s="126"/>
      <c r="P167" s="126"/>
      <c r="Q167" s="126"/>
      <c r="R167" s="126"/>
      <c r="S167" s="126"/>
    </row>
    <row r="168" spans="4:19" ht="14.5" x14ac:dyDescent="0.35">
      <c r="D168" s="126"/>
      <c r="E168" s="126"/>
      <c r="F168" s="126"/>
      <c r="G168" s="126"/>
      <c r="H168" s="126"/>
      <c r="I168" s="126"/>
      <c r="J168" s="126"/>
      <c r="K168" s="126"/>
      <c r="L168" s="126"/>
      <c r="M168" s="126"/>
      <c r="N168" s="126"/>
      <c r="O168" s="126"/>
      <c r="P168" s="126"/>
      <c r="Q168" s="126"/>
      <c r="R168" s="126"/>
      <c r="S168" s="126"/>
    </row>
    <row r="169" spans="4:19" ht="14.5" x14ac:dyDescent="0.35">
      <c r="D169" s="126"/>
      <c r="E169" s="126"/>
      <c r="F169" s="126"/>
      <c r="G169" s="126"/>
      <c r="H169" s="126"/>
      <c r="I169" s="126"/>
      <c r="J169" s="126"/>
      <c r="K169" s="126"/>
      <c r="L169" s="126"/>
      <c r="M169" s="126"/>
      <c r="N169" s="126"/>
      <c r="O169" s="126"/>
      <c r="P169" s="126"/>
      <c r="Q169" s="126"/>
      <c r="R169" s="126"/>
      <c r="S169" s="126"/>
    </row>
    <row r="170" spans="4:19" ht="14.5" x14ac:dyDescent="0.35">
      <c r="D170" s="126"/>
      <c r="E170" s="126"/>
      <c r="F170" s="126"/>
      <c r="G170" s="126"/>
      <c r="H170" s="126"/>
      <c r="I170" s="126"/>
      <c r="J170" s="126"/>
      <c r="K170" s="126"/>
      <c r="L170" s="126"/>
      <c r="M170" s="126"/>
      <c r="N170" s="126"/>
      <c r="O170" s="126"/>
      <c r="P170" s="126"/>
      <c r="Q170" s="126"/>
      <c r="R170" s="126"/>
      <c r="S170" s="126"/>
    </row>
    <row r="171" spans="4:19" ht="14.5" x14ac:dyDescent="0.35">
      <c r="D171" s="126"/>
      <c r="E171" s="126"/>
      <c r="F171" s="126"/>
      <c r="G171" s="126"/>
      <c r="H171" s="126"/>
      <c r="I171" s="126"/>
      <c r="J171" s="126"/>
      <c r="K171" s="126"/>
      <c r="L171" s="126"/>
      <c r="M171" s="126"/>
      <c r="N171" s="126"/>
      <c r="O171" s="126"/>
      <c r="P171" s="126"/>
      <c r="Q171" s="126"/>
      <c r="R171" s="126"/>
      <c r="S171" s="126"/>
    </row>
    <row r="172" spans="4:19" ht="14.5" x14ac:dyDescent="0.35">
      <c r="D172" s="126"/>
      <c r="E172" s="126"/>
      <c r="F172" s="126"/>
      <c r="G172" s="126"/>
      <c r="H172" s="126"/>
      <c r="I172" s="126"/>
      <c r="J172" s="126"/>
      <c r="K172" s="126"/>
      <c r="L172" s="126"/>
      <c r="M172" s="126"/>
      <c r="N172" s="126"/>
      <c r="O172" s="126"/>
      <c r="P172" s="126"/>
      <c r="Q172" s="126"/>
      <c r="R172" s="126"/>
      <c r="S172" s="126"/>
    </row>
    <row r="173" spans="4:19" ht="14.5" x14ac:dyDescent="0.35">
      <c r="D173" s="126"/>
      <c r="E173" s="126"/>
      <c r="F173" s="126"/>
      <c r="G173" s="126"/>
      <c r="H173" s="126"/>
      <c r="I173" s="126"/>
      <c r="J173" s="126"/>
      <c r="K173" s="126"/>
      <c r="L173" s="126"/>
      <c r="M173" s="126"/>
      <c r="N173" s="126"/>
      <c r="O173" s="126"/>
      <c r="P173" s="126"/>
      <c r="Q173" s="126"/>
      <c r="R173" s="126"/>
      <c r="S173" s="126"/>
    </row>
    <row r="174" spans="4:19" ht="14.5" x14ac:dyDescent="0.35">
      <c r="D174" s="126"/>
      <c r="E174" s="126"/>
      <c r="F174" s="126"/>
      <c r="G174" s="126"/>
      <c r="H174" s="126"/>
      <c r="I174" s="126"/>
      <c r="J174" s="126"/>
      <c r="K174" s="126"/>
      <c r="L174" s="126"/>
      <c r="M174" s="126"/>
      <c r="N174" s="126"/>
      <c r="O174" s="126"/>
      <c r="P174" s="126"/>
      <c r="Q174" s="126"/>
      <c r="R174" s="126"/>
      <c r="S174" s="126"/>
    </row>
    <row r="175" spans="4:19" ht="14.5" x14ac:dyDescent="0.35">
      <c r="D175" s="126"/>
      <c r="E175" s="126"/>
      <c r="F175" s="126"/>
      <c r="G175" s="126"/>
      <c r="H175" s="126"/>
      <c r="I175" s="126"/>
      <c r="J175" s="126"/>
      <c r="K175" s="126"/>
      <c r="L175" s="126"/>
      <c r="M175" s="126"/>
      <c r="N175" s="126"/>
      <c r="O175" s="126"/>
      <c r="P175" s="126"/>
      <c r="Q175" s="126"/>
      <c r="R175" s="126"/>
      <c r="S175" s="126"/>
    </row>
    <row r="176" spans="4:19" ht="14.5" x14ac:dyDescent="0.35">
      <c r="D176" s="126"/>
      <c r="E176" s="126"/>
      <c r="F176" s="126"/>
      <c r="G176" s="126"/>
      <c r="H176" s="126"/>
      <c r="I176" s="126"/>
      <c r="J176" s="126"/>
      <c r="K176" s="126"/>
      <c r="L176" s="126"/>
      <c r="M176" s="126"/>
      <c r="N176" s="126"/>
      <c r="O176" s="126"/>
      <c r="P176" s="126"/>
      <c r="Q176" s="126"/>
      <c r="R176" s="126"/>
      <c r="S176" s="126"/>
    </row>
    <row r="177" spans="4:19" ht="14.5" x14ac:dyDescent="0.35">
      <c r="D177" s="126"/>
      <c r="E177" s="126"/>
      <c r="F177" s="126"/>
      <c r="G177" s="126"/>
      <c r="H177" s="126"/>
      <c r="I177" s="126"/>
      <c r="J177" s="126"/>
      <c r="K177" s="126"/>
      <c r="L177" s="126"/>
      <c r="M177" s="126"/>
      <c r="N177" s="126"/>
      <c r="O177" s="126"/>
      <c r="P177" s="126"/>
      <c r="Q177" s="126"/>
      <c r="R177" s="126"/>
      <c r="S177" s="126"/>
    </row>
    <row r="178" spans="4:19" ht="14.5" x14ac:dyDescent="0.35">
      <c r="D178" s="126"/>
      <c r="E178" s="126"/>
      <c r="F178" s="126"/>
      <c r="G178" s="126"/>
      <c r="H178" s="126"/>
      <c r="I178" s="126"/>
      <c r="J178" s="126"/>
      <c r="K178" s="126"/>
      <c r="L178" s="126"/>
      <c r="M178" s="126"/>
      <c r="N178" s="126"/>
      <c r="O178" s="126"/>
      <c r="P178" s="126"/>
      <c r="Q178" s="126"/>
      <c r="R178" s="126"/>
      <c r="S178" s="126"/>
    </row>
    <row r="179" spans="4:19" ht="14.5" x14ac:dyDescent="0.35">
      <c r="D179" s="126"/>
      <c r="E179" s="126"/>
      <c r="F179" s="126"/>
      <c r="G179" s="126"/>
      <c r="H179" s="126"/>
      <c r="I179" s="126"/>
      <c r="J179" s="126"/>
      <c r="K179" s="126"/>
      <c r="L179" s="126"/>
      <c r="M179" s="126"/>
      <c r="N179" s="126"/>
      <c r="O179" s="126"/>
      <c r="P179" s="126"/>
      <c r="Q179" s="126"/>
      <c r="R179" s="126"/>
      <c r="S179" s="126"/>
    </row>
    <row r="180" spans="4:19" ht="14.5" x14ac:dyDescent="0.35">
      <c r="D180" s="126"/>
      <c r="E180" s="126"/>
      <c r="F180" s="126"/>
      <c r="G180" s="126"/>
      <c r="H180" s="126"/>
      <c r="I180" s="126"/>
      <c r="J180" s="126"/>
      <c r="K180" s="126"/>
      <c r="L180" s="126"/>
      <c r="M180" s="126"/>
      <c r="N180" s="126"/>
      <c r="O180" s="126"/>
      <c r="P180" s="126"/>
      <c r="Q180" s="126"/>
      <c r="R180" s="126"/>
      <c r="S180" s="126"/>
    </row>
    <row r="181" spans="4:19" ht="14.5" x14ac:dyDescent="0.35">
      <c r="D181" s="126"/>
      <c r="E181" s="126"/>
      <c r="F181" s="126"/>
      <c r="G181" s="126"/>
      <c r="H181" s="126"/>
      <c r="I181" s="126"/>
      <c r="J181" s="126"/>
      <c r="K181" s="126"/>
      <c r="L181" s="126"/>
      <c r="M181" s="126"/>
      <c r="N181" s="126"/>
      <c r="O181" s="126"/>
      <c r="P181" s="126"/>
      <c r="Q181" s="126"/>
      <c r="R181" s="126"/>
      <c r="S181" s="126"/>
    </row>
    <row r="182" spans="4:19" ht="14.5" x14ac:dyDescent="0.35">
      <c r="D182" s="126"/>
      <c r="E182" s="126"/>
      <c r="F182" s="126"/>
      <c r="G182" s="126"/>
      <c r="H182" s="126"/>
      <c r="I182" s="126"/>
      <c r="J182" s="126"/>
      <c r="K182" s="126"/>
      <c r="L182" s="126"/>
      <c r="M182" s="126"/>
      <c r="N182" s="126"/>
      <c r="O182" s="126"/>
      <c r="P182" s="126"/>
      <c r="Q182" s="126"/>
      <c r="R182" s="126"/>
      <c r="S182" s="126"/>
    </row>
    <row r="183" spans="4:19" ht="14.5" x14ac:dyDescent="0.35">
      <c r="D183" s="126"/>
      <c r="E183" s="126"/>
      <c r="F183" s="126"/>
      <c r="G183" s="126"/>
      <c r="H183" s="126"/>
      <c r="I183" s="126"/>
      <c r="J183" s="126"/>
      <c r="K183" s="126"/>
      <c r="L183" s="126"/>
      <c r="M183" s="126"/>
      <c r="N183" s="126"/>
      <c r="O183" s="126"/>
      <c r="P183" s="126"/>
      <c r="Q183" s="126"/>
      <c r="R183" s="126"/>
      <c r="S183" s="126"/>
    </row>
    <row r="184" spans="4:19" ht="14.5" x14ac:dyDescent="0.35">
      <c r="D184" s="126"/>
      <c r="E184" s="126"/>
      <c r="F184" s="126"/>
      <c r="G184" s="126"/>
      <c r="H184" s="126"/>
      <c r="I184" s="126"/>
      <c r="J184" s="126"/>
      <c r="K184" s="126"/>
      <c r="L184" s="126"/>
      <c r="M184" s="126"/>
      <c r="N184" s="126"/>
      <c r="O184" s="126"/>
      <c r="P184" s="126"/>
      <c r="Q184" s="126"/>
      <c r="R184" s="126"/>
      <c r="S184" s="126"/>
    </row>
    <row r="185" spans="4:19" ht="14.5" x14ac:dyDescent="0.35">
      <c r="D185" s="126"/>
      <c r="E185" s="126"/>
      <c r="F185" s="126"/>
      <c r="G185" s="126"/>
      <c r="H185" s="126"/>
      <c r="I185" s="126"/>
      <c r="J185" s="126"/>
      <c r="K185" s="126"/>
      <c r="L185" s="126"/>
      <c r="M185" s="126"/>
      <c r="N185" s="126"/>
      <c r="O185" s="126"/>
      <c r="P185" s="126"/>
      <c r="Q185" s="126"/>
      <c r="R185" s="126"/>
      <c r="S185" s="126"/>
    </row>
    <row r="186" spans="4:19" ht="14.5" x14ac:dyDescent="0.35">
      <c r="D186" s="126"/>
      <c r="E186" s="126"/>
      <c r="F186" s="126"/>
      <c r="G186" s="126"/>
      <c r="H186" s="126"/>
      <c r="I186" s="126"/>
      <c r="J186" s="126"/>
      <c r="K186" s="126"/>
      <c r="L186" s="126"/>
      <c r="M186" s="126"/>
      <c r="N186" s="126"/>
      <c r="O186" s="126"/>
      <c r="P186" s="126"/>
      <c r="Q186" s="126"/>
      <c r="R186" s="126"/>
      <c r="S186" s="126"/>
    </row>
    <row r="187" spans="4:19" ht="14.5" x14ac:dyDescent="0.35">
      <c r="D187" s="126"/>
      <c r="E187" s="126"/>
      <c r="F187" s="126"/>
      <c r="G187" s="126"/>
      <c r="H187" s="126"/>
      <c r="I187" s="126"/>
      <c r="J187" s="126"/>
      <c r="K187" s="126"/>
      <c r="L187" s="126"/>
      <c r="M187" s="126"/>
      <c r="N187" s="126"/>
      <c r="O187" s="126"/>
      <c r="P187" s="126"/>
      <c r="Q187" s="126"/>
      <c r="R187" s="126"/>
      <c r="S187" s="126"/>
    </row>
    <row r="188" spans="4:19" ht="14.5" x14ac:dyDescent="0.35">
      <c r="D188" s="126"/>
      <c r="E188" s="126"/>
      <c r="F188" s="126"/>
      <c r="G188" s="126"/>
      <c r="H188" s="126"/>
      <c r="I188" s="126"/>
      <c r="J188" s="126"/>
      <c r="K188" s="126"/>
      <c r="L188" s="126"/>
      <c r="M188" s="126"/>
      <c r="N188" s="126"/>
      <c r="O188" s="126"/>
      <c r="P188" s="126"/>
      <c r="Q188" s="126"/>
      <c r="R188" s="126"/>
      <c r="S188" s="126"/>
    </row>
    <row r="189" spans="4:19" ht="14.5" x14ac:dyDescent="0.35">
      <c r="D189" s="126"/>
      <c r="E189" s="126"/>
      <c r="F189" s="126"/>
      <c r="G189" s="126"/>
      <c r="H189" s="126"/>
      <c r="I189" s="126"/>
      <c r="J189" s="126"/>
      <c r="K189" s="126"/>
      <c r="L189" s="126"/>
      <c r="M189" s="126"/>
      <c r="N189" s="126"/>
      <c r="O189" s="126"/>
      <c r="P189" s="126"/>
      <c r="Q189" s="126"/>
      <c r="R189" s="126"/>
      <c r="S189" s="126"/>
    </row>
    <row r="190" spans="4:19" ht="14.5" x14ac:dyDescent="0.35">
      <c r="D190" s="126"/>
      <c r="E190" s="126"/>
      <c r="F190" s="126"/>
      <c r="G190" s="126"/>
      <c r="H190" s="126"/>
      <c r="I190" s="126"/>
      <c r="J190" s="126"/>
      <c r="K190" s="126"/>
      <c r="L190" s="126"/>
      <c r="M190" s="126"/>
      <c r="N190" s="126"/>
      <c r="O190" s="126"/>
      <c r="P190" s="126"/>
      <c r="Q190" s="126"/>
      <c r="R190" s="126"/>
      <c r="S190" s="126"/>
    </row>
    <row r="191" spans="4:19" ht="14.5" x14ac:dyDescent="0.35">
      <c r="D191" s="126"/>
      <c r="E191" s="126"/>
      <c r="F191" s="126"/>
      <c r="G191" s="126"/>
      <c r="H191" s="126"/>
      <c r="I191" s="126"/>
      <c r="J191" s="126"/>
      <c r="K191" s="126"/>
      <c r="L191" s="126"/>
      <c r="M191" s="126"/>
      <c r="N191" s="126"/>
      <c r="O191" s="126"/>
      <c r="P191" s="126"/>
      <c r="Q191" s="126"/>
      <c r="R191" s="126"/>
      <c r="S191" s="126"/>
    </row>
    <row r="192" spans="4:19" ht="14.5" x14ac:dyDescent="0.35">
      <c r="D192" s="126"/>
      <c r="E192" s="126"/>
      <c r="F192" s="126"/>
      <c r="G192" s="126"/>
      <c r="H192" s="126"/>
      <c r="I192" s="126"/>
      <c r="J192" s="126"/>
      <c r="K192" s="126"/>
      <c r="L192" s="126"/>
      <c r="M192" s="126"/>
      <c r="N192" s="126"/>
      <c r="O192" s="126"/>
      <c r="P192" s="126"/>
      <c r="Q192" s="126"/>
      <c r="R192" s="126"/>
      <c r="S192" s="126"/>
    </row>
    <row r="193" spans="4:19" ht="14.5" x14ac:dyDescent="0.35">
      <c r="D193" s="126"/>
      <c r="E193" s="126"/>
      <c r="F193" s="126"/>
      <c r="G193" s="126"/>
      <c r="H193" s="126"/>
      <c r="I193" s="126"/>
      <c r="J193" s="126"/>
      <c r="K193" s="126"/>
      <c r="L193" s="126"/>
      <c r="M193" s="126"/>
      <c r="N193" s="126"/>
      <c r="O193" s="126"/>
      <c r="P193" s="126"/>
      <c r="Q193" s="126"/>
      <c r="R193" s="126"/>
      <c r="S193" s="126"/>
    </row>
    <row r="194" spans="4:19" ht="14.5" x14ac:dyDescent="0.35">
      <c r="D194" s="126"/>
      <c r="E194" s="126"/>
      <c r="F194" s="126"/>
      <c r="G194" s="126"/>
      <c r="H194" s="126"/>
      <c r="I194" s="126"/>
      <c r="J194" s="126"/>
      <c r="K194" s="126"/>
      <c r="L194" s="126"/>
      <c r="M194" s="126"/>
      <c r="N194" s="126"/>
      <c r="O194" s="126"/>
      <c r="P194" s="126"/>
      <c r="Q194" s="126"/>
      <c r="R194" s="126"/>
      <c r="S194" s="126"/>
    </row>
    <row r="195" spans="4:19" ht="14.5" x14ac:dyDescent="0.35">
      <c r="D195" s="126"/>
      <c r="E195" s="126"/>
      <c r="F195" s="126"/>
      <c r="G195" s="126"/>
      <c r="H195" s="126"/>
      <c r="I195" s="126"/>
      <c r="J195" s="126"/>
      <c r="K195" s="126"/>
      <c r="L195" s="126"/>
      <c r="M195" s="126"/>
      <c r="N195" s="126"/>
      <c r="O195" s="126"/>
      <c r="P195" s="126"/>
      <c r="Q195" s="126"/>
      <c r="R195" s="126"/>
      <c r="S195" s="126"/>
    </row>
    <row r="196" spans="4:19" ht="14.5" x14ac:dyDescent="0.35">
      <c r="D196" s="126"/>
      <c r="E196" s="126"/>
      <c r="F196" s="126"/>
      <c r="G196" s="126"/>
      <c r="H196" s="126"/>
      <c r="I196" s="126"/>
      <c r="J196" s="126"/>
      <c r="K196" s="126"/>
      <c r="L196" s="126"/>
      <c r="M196" s="126"/>
      <c r="N196" s="126"/>
      <c r="O196" s="126"/>
      <c r="P196" s="126"/>
      <c r="Q196" s="126"/>
      <c r="R196" s="126"/>
      <c r="S196" s="126"/>
    </row>
  </sheetData>
  <mergeCells count="6">
    <mergeCell ref="I29:L29"/>
    <mergeCell ref="D6:G6"/>
    <mergeCell ref="I6:L6"/>
    <mergeCell ref="N6:Q6"/>
    <mergeCell ref="S6:S7"/>
    <mergeCell ref="B22:S22"/>
  </mergeCells>
  <pageMargins left="0.70866141732283472" right="0.70866141732283472" top="0.74803149606299213" bottom="0.74803149606299213" header="0.31496062992125984" footer="0.31496062992125984"/>
  <pageSetup scale="70" orientation="landscape" r:id="rId1"/>
  <rowBreaks count="1" manualBreakCount="1">
    <brk id="25"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BFDC-BD77-40CC-821A-665DADA01522}">
  <sheetPr>
    <pageSetUpPr fitToPage="1"/>
  </sheetPr>
  <dimension ref="B1:M69"/>
  <sheetViews>
    <sheetView view="pageBreakPreview" zoomScale="84" zoomScaleNormal="100" zoomScaleSheetLayoutView="80" workbookViewId="0">
      <selection activeCell="A24" sqref="A24"/>
    </sheetView>
  </sheetViews>
  <sheetFormatPr defaultColWidth="9.08984375" defaultRowHeight="12.5" x14ac:dyDescent="0.35"/>
  <cols>
    <col min="1" max="2" width="9.08984375" style="133"/>
    <col min="3" max="3" width="14.36328125" style="133" customWidth="1"/>
    <col min="4" max="5" width="13" style="133" customWidth="1"/>
    <col min="6" max="6" width="14.54296875" style="133" customWidth="1"/>
    <col min="7" max="10" width="11.6328125" style="133" customWidth="1"/>
    <col min="11" max="11" width="1.54296875" style="133" customWidth="1"/>
    <col min="12" max="12" width="13" style="133" customWidth="1"/>
    <col min="13" max="16384" width="9.08984375" style="133"/>
  </cols>
  <sheetData>
    <row r="1" spans="2:12" ht="14" x14ac:dyDescent="0.3">
      <c r="J1" s="84" t="str">
        <f>'Table 1.1-4'!$E$1</f>
        <v>YEC 2021 GRA</v>
      </c>
    </row>
    <row r="2" spans="2:12" ht="14" x14ac:dyDescent="0.3">
      <c r="J2" s="84" t="str">
        <f>'Table 1.1-4'!$E$2</f>
        <v>YUB Order 2022-03 Compliance Filing</v>
      </c>
    </row>
    <row r="4" spans="2:12" ht="13" x14ac:dyDescent="0.35">
      <c r="B4" s="134" t="s">
        <v>172</v>
      </c>
      <c r="C4" s="134"/>
      <c r="D4" s="134"/>
      <c r="E4" s="134"/>
      <c r="F4" s="134"/>
      <c r="G4" s="134"/>
      <c r="H4" s="134"/>
      <c r="I4" s="134"/>
      <c r="J4" s="134"/>
      <c r="K4" s="136"/>
      <c r="L4" s="134"/>
    </row>
    <row r="5" spans="2:12" ht="13" x14ac:dyDescent="0.35">
      <c r="B5" s="134" t="s">
        <v>137</v>
      </c>
      <c r="C5" s="134"/>
      <c r="D5" s="134"/>
      <c r="E5" s="134"/>
      <c r="F5" s="134"/>
      <c r="G5" s="134"/>
      <c r="H5" s="134"/>
      <c r="I5" s="134"/>
      <c r="J5" s="134"/>
      <c r="K5" s="136"/>
      <c r="L5" s="134"/>
    </row>
    <row r="6" spans="2:12" ht="13" x14ac:dyDescent="0.35">
      <c r="B6" s="134"/>
      <c r="C6" s="134"/>
      <c r="D6" s="134"/>
      <c r="E6" s="134"/>
      <c r="F6" s="134"/>
      <c r="G6" s="134"/>
      <c r="H6" s="134"/>
      <c r="I6" s="134"/>
      <c r="J6" s="134"/>
      <c r="K6" s="134"/>
      <c r="L6" s="134"/>
    </row>
    <row r="7" spans="2:12" ht="31.5" customHeight="1" x14ac:dyDescent="0.35">
      <c r="B7" s="432" t="s">
        <v>104</v>
      </c>
      <c r="C7" s="432" t="s">
        <v>138</v>
      </c>
      <c r="D7" s="429" t="s">
        <v>174</v>
      </c>
      <c r="E7" s="429" t="s">
        <v>183</v>
      </c>
      <c r="F7" s="431" t="s">
        <v>184</v>
      </c>
      <c r="G7" s="431" t="s">
        <v>139</v>
      </c>
      <c r="H7" s="431" t="s">
        <v>140</v>
      </c>
      <c r="I7" s="431" t="s">
        <v>141</v>
      </c>
      <c r="J7" s="431" t="s">
        <v>142</v>
      </c>
    </row>
    <row r="8" spans="2:12" ht="25" customHeight="1" x14ac:dyDescent="0.35">
      <c r="B8" s="432"/>
      <c r="C8" s="432"/>
      <c r="D8" s="430"/>
      <c r="E8" s="430"/>
      <c r="F8" s="431"/>
      <c r="G8" s="431"/>
      <c r="H8" s="431"/>
      <c r="I8" s="431"/>
      <c r="J8" s="431"/>
      <c r="L8" s="137"/>
    </row>
    <row r="9" spans="2:12" ht="13" x14ac:dyDescent="0.35">
      <c r="B9" s="162"/>
      <c r="C9" s="162"/>
      <c r="D9" s="163" t="s">
        <v>11</v>
      </c>
      <c r="E9" s="163" t="s">
        <v>22</v>
      </c>
      <c r="F9" s="163" t="s">
        <v>143</v>
      </c>
      <c r="G9" s="163" t="s">
        <v>144</v>
      </c>
      <c r="H9" s="163" t="s">
        <v>145</v>
      </c>
      <c r="I9" s="163" t="s">
        <v>146</v>
      </c>
      <c r="J9" s="163" t="s">
        <v>147</v>
      </c>
      <c r="K9" s="135"/>
      <c r="L9" s="135"/>
    </row>
    <row r="10" spans="2:12" ht="13" x14ac:dyDescent="0.35">
      <c r="B10" s="138" t="s">
        <v>177</v>
      </c>
      <c r="D10" s="135"/>
      <c r="E10" s="135"/>
      <c r="F10" s="135"/>
      <c r="G10" s="135"/>
      <c r="H10" s="135"/>
      <c r="I10" s="135"/>
      <c r="J10" s="135"/>
      <c r="K10" s="135"/>
      <c r="L10" s="135"/>
    </row>
    <row r="11" spans="2:12" ht="5.25" customHeight="1" x14ac:dyDescent="0.35">
      <c r="B11" s="138"/>
      <c r="D11" s="135"/>
      <c r="E11" s="135"/>
      <c r="F11" s="135"/>
      <c r="G11" s="135"/>
      <c r="H11" s="135"/>
      <c r="I11" s="135"/>
      <c r="J11" s="135"/>
      <c r="K11" s="135"/>
      <c r="L11" s="135"/>
    </row>
    <row r="12" spans="2:12" ht="13" x14ac:dyDescent="0.35">
      <c r="B12" s="133">
        <v>1</v>
      </c>
      <c r="C12" s="139" t="s">
        <v>175</v>
      </c>
      <c r="D12" s="135"/>
      <c r="E12" s="135"/>
      <c r="F12" s="135"/>
      <c r="G12" s="135"/>
      <c r="H12" s="135"/>
      <c r="I12" s="135"/>
      <c r="J12" s="140">
        <v>-2276392.238478669</v>
      </c>
      <c r="K12" s="135"/>
      <c r="L12" s="135"/>
    </row>
    <row r="13" spans="2:12" ht="13" x14ac:dyDescent="0.35">
      <c r="B13" s="133">
        <f t="shared" ref="B13:B23" si="0">B12+1</f>
        <v>2</v>
      </c>
      <c r="C13" s="141">
        <v>44197</v>
      </c>
      <c r="D13" s="140">
        <v>-155406.98000000001</v>
      </c>
      <c r="E13" s="140"/>
      <c r="F13" s="140">
        <v>0</v>
      </c>
      <c r="G13" s="140">
        <v>85201.62</v>
      </c>
      <c r="H13" s="140">
        <v>84361.75</v>
      </c>
      <c r="I13" s="140">
        <v>349742.57765438844</v>
      </c>
      <c r="J13" s="140">
        <f t="shared" ref="J13:J24" si="1">SUM(D13:I13)+J12</f>
        <v>-1912493.2708242806</v>
      </c>
      <c r="K13" s="135"/>
      <c r="L13" s="135"/>
    </row>
    <row r="14" spans="2:12" ht="13" x14ac:dyDescent="0.35">
      <c r="B14" s="133">
        <f t="shared" si="0"/>
        <v>3</v>
      </c>
      <c r="C14" s="141">
        <v>44228</v>
      </c>
      <c r="D14" s="140">
        <v>-254050.82</v>
      </c>
      <c r="E14" s="140"/>
      <c r="F14" s="140">
        <v>0</v>
      </c>
      <c r="G14" s="140">
        <v>85292.93</v>
      </c>
      <c r="H14" s="140">
        <v>56605.19</v>
      </c>
      <c r="I14" s="140">
        <v>326044.18688495376</v>
      </c>
      <c r="J14" s="140">
        <f t="shared" si="1"/>
        <v>-1698601.7839393269</v>
      </c>
      <c r="K14" s="135"/>
      <c r="L14" s="135"/>
    </row>
    <row r="15" spans="2:12" ht="13" x14ac:dyDescent="0.35">
      <c r="B15" s="133">
        <f t="shared" si="0"/>
        <v>4</v>
      </c>
      <c r="C15" s="141">
        <v>44256</v>
      </c>
      <c r="D15" s="140">
        <v>-5405.58</v>
      </c>
      <c r="E15" s="140"/>
      <c r="F15" s="140">
        <v>0</v>
      </c>
      <c r="G15" s="140">
        <v>99169.919999999998</v>
      </c>
      <c r="H15" s="140">
        <v>63596.11</v>
      </c>
      <c r="I15" s="140">
        <v>268830.94134845922</v>
      </c>
      <c r="J15" s="140">
        <f t="shared" si="1"/>
        <v>-1272410.3925908676</v>
      </c>
      <c r="K15" s="135"/>
      <c r="L15" s="135"/>
    </row>
    <row r="16" spans="2:12" ht="13" x14ac:dyDescent="0.35">
      <c r="B16" s="133">
        <f t="shared" si="0"/>
        <v>5</v>
      </c>
      <c r="C16" s="141">
        <v>44287</v>
      </c>
      <c r="D16" s="140">
        <v>-7205.51</v>
      </c>
      <c r="E16" s="140"/>
      <c r="F16" s="140">
        <v>0</v>
      </c>
      <c r="G16" s="140">
        <v>104724.11</v>
      </c>
      <c r="H16" s="140">
        <v>58382.36</v>
      </c>
      <c r="I16" s="140">
        <v>271280.66124572989</v>
      </c>
      <c r="J16" s="140">
        <f t="shared" si="1"/>
        <v>-845228.77134513762</v>
      </c>
      <c r="K16" s="135"/>
      <c r="L16" s="135"/>
    </row>
    <row r="17" spans="2:13" ht="13" x14ac:dyDescent="0.35">
      <c r="B17" s="133">
        <f t="shared" si="0"/>
        <v>6</v>
      </c>
      <c r="C17" s="141">
        <v>44317</v>
      </c>
      <c r="D17" s="140">
        <v>-29147.919999999998</v>
      </c>
      <c r="E17" s="140"/>
      <c r="F17" s="140">
        <v>0</v>
      </c>
      <c r="G17" s="140">
        <v>94311.37</v>
      </c>
      <c r="H17" s="140">
        <v>43025.17</v>
      </c>
      <c r="I17" s="140">
        <v>149712.13550573913</v>
      </c>
      <c r="J17" s="140">
        <f t="shared" si="1"/>
        <v>-587328.01583939849</v>
      </c>
      <c r="K17" s="135"/>
      <c r="L17" s="135"/>
    </row>
    <row r="18" spans="2:13" ht="13" x14ac:dyDescent="0.35">
      <c r="B18" s="133">
        <f t="shared" si="0"/>
        <v>7</v>
      </c>
      <c r="C18" s="141">
        <v>44348</v>
      </c>
      <c r="D18" s="140">
        <v>302.79000000000002</v>
      </c>
      <c r="E18" s="140"/>
      <c r="F18" s="140">
        <v>0</v>
      </c>
      <c r="G18" s="140">
        <v>111874.7</v>
      </c>
      <c r="H18" s="140">
        <v>44574.8</v>
      </c>
      <c r="I18" s="140">
        <v>106736.09303015054</v>
      </c>
      <c r="J18" s="140">
        <f t="shared" si="1"/>
        <v>-323839.63280924794</v>
      </c>
      <c r="K18" s="135"/>
      <c r="L18" s="135"/>
    </row>
    <row r="19" spans="2:13" ht="13" x14ac:dyDescent="0.35">
      <c r="B19" s="133">
        <f t="shared" si="0"/>
        <v>8</v>
      </c>
      <c r="C19" s="141">
        <v>44378</v>
      </c>
      <c r="D19" s="140">
        <v>385.46</v>
      </c>
      <c r="E19" s="140"/>
      <c r="F19" s="140">
        <v>0</v>
      </c>
      <c r="G19" s="140">
        <v>0</v>
      </c>
      <c r="H19" s="140">
        <v>38085.35</v>
      </c>
      <c r="I19" s="140">
        <v>64741.670949949679</v>
      </c>
      <c r="J19" s="140">
        <f t="shared" si="1"/>
        <v>-220627.15185929826</v>
      </c>
      <c r="K19" s="135"/>
      <c r="L19" s="135"/>
    </row>
    <row r="20" spans="2:13" ht="13" x14ac:dyDescent="0.35">
      <c r="B20" s="133">
        <f t="shared" si="0"/>
        <v>9</v>
      </c>
      <c r="C20" s="141">
        <v>44409</v>
      </c>
      <c r="D20" s="140">
        <v>-8955.18</v>
      </c>
      <c r="E20" s="140"/>
      <c r="F20" s="140">
        <v>0</v>
      </c>
      <c r="G20" s="140">
        <v>0</v>
      </c>
      <c r="H20" s="140">
        <v>483.91</v>
      </c>
      <c r="I20" s="140">
        <v>-333.50330301672005</v>
      </c>
      <c r="J20" s="140">
        <f t="shared" si="1"/>
        <v>-229431.92516231499</v>
      </c>
      <c r="K20" s="135"/>
      <c r="L20" s="135"/>
    </row>
    <row r="21" spans="2:13" ht="13" x14ac:dyDescent="0.35">
      <c r="B21" s="133">
        <f t="shared" si="0"/>
        <v>10</v>
      </c>
      <c r="C21" s="141">
        <v>44440</v>
      </c>
      <c r="D21" s="140">
        <v>14203.1</v>
      </c>
      <c r="E21" s="140"/>
      <c r="F21" s="140">
        <v>0</v>
      </c>
      <c r="G21" s="140">
        <v>0</v>
      </c>
      <c r="H21" s="140">
        <v>-5.2</v>
      </c>
      <c r="I21" s="140">
        <v>103.86766550161772</v>
      </c>
      <c r="J21" s="140">
        <f t="shared" si="1"/>
        <v>-215130.15749681336</v>
      </c>
      <c r="K21" s="135"/>
      <c r="L21" s="135"/>
    </row>
    <row r="22" spans="2:13" ht="13" x14ac:dyDescent="0.35">
      <c r="B22" s="133">
        <f t="shared" si="0"/>
        <v>11</v>
      </c>
      <c r="C22" s="141">
        <v>44470</v>
      </c>
      <c r="D22" s="140">
        <v>-51827.91</v>
      </c>
      <c r="E22" s="140"/>
      <c r="F22" s="140">
        <v>0</v>
      </c>
      <c r="G22" s="140">
        <v>0</v>
      </c>
      <c r="H22" s="140">
        <v>-4.3</v>
      </c>
      <c r="I22" s="140">
        <v>-39.759070653997114</v>
      </c>
      <c r="J22" s="140">
        <f t="shared" si="1"/>
        <v>-267002.12656746735</v>
      </c>
      <c r="K22" s="135"/>
      <c r="L22" s="135"/>
    </row>
    <row r="23" spans="2:13" ht="13" x14ac:dyDescent="0.35">
      <c r="B23" s="133">
        <f t="shared" si="0"/>
        <v>12</v>
      </c>
      <c r="C23" s="141">
        <v>44501</v>
      </c>
      <c r="D23" s="140">
        <v>-328916.15999999997</v>
      </c>
      <c r="E23" s="140"/>
      <c r="F23" s="140">
        <v>0</v>
      </c>
      <c r="G23" s="140">
        <v>0</v>
      </c>
      <c r="H23" s="140">
        <v>44.04</v>
      </c>
      <c r="I23" s="140">
        <v>-18.862415215706243</v>
      </c>
      <c r="J23" s="140">
        <f t="shared" si="1"/>
        <v>-595893.10898268304</v>
      </c>
      <c r="K23" s="135"/>
      <c r="L23" s="135"/>
    </row>
    <row r="24" spans="2:13" ht="13" x14ac:dyDescent="0.35">
      <c r="B24" s="133">
        <f>B23+1</f>
        <v>13</v>
      </c>
      <c r="C24" s="141">
        <v>44531</v>
      </c>
      <c r="D24" s="140">
        <v>-647484.87</v>
      </c>
      <c r="E24" s="140"/>
      <c r="F24" s="140">
        <v>0</v>
      </c>
      <c r="G24" s="140">
        <v>0</v>
      </c>
      <c r="H24" s="140">
        <v>-1.56</v>
      </c>
      <c r="I24" s="140">
        <v>-20.706637478562776</v>
      </c>
      <c r="J24" s="140">
        <f t="shared" si="1"/>
        <v>-1243400.2456201618</v>
      </c>
      <c r="K24" s="135"/>
      <c r="L24" s="135"/>
    </row>
    <row r="25" spans="2:13" ht="6.75" customHeight="1" x14ac:dyDescent="0.35">
      <c r="C25" s="141"/>
      <c r="D25" s="140"/>
      <c r="E25" s="140"/>
      <c r="F25" s="140"/>
      <c r="G25" s="140"/>
      <c r="H25" s="140"/>
      <c r="I25" s="140"/>
      <c r="K25" s="140"/>
      <c r="L25" s="140"/>
      <c r="M25" s="140"/>
    </row>
    <row r="26" spans="2:13" ht="13" x14ac:dyDescent="0.35">
      <c r="B26" s="133">
        <f>B24+1</f>
        <v>14</v>
      </c>
      <c r="C26" s="145" t="s">
        <v>176</v>
      </c>
      <c r="D26" s="146"/>
      <c r="E26" s="146"/>
      <c r="F26" s="146"/>
      <c r="G26" s="146"/>
      <c r="H26" s="146"/>
      <c r="I26" s="146"/>
      <c r="J26" s="140">
        <f>J24</f>
        <v>-1243400.2456201618</v>
      </c>
      <c r="K26" s="146"/>
      <c r="L26" s="146"/>
    </row>
    <row r="27" spans="2:13" x14ac:dyDescent="0.35">
      <c r="C27" s="141"/>
      <c r="D27" s="140"/>
      <c r="E27" s="140"/>
      <c r="F27" s="140"/>
      <c r="G27" s="140"/>
      <c r="H27" s="140"/>
      <c r="I27" s="140"/>
      <c r="J27" s="140"/>
      <c r="K27" s="140"/>
      <c r="L27" s="140"/>
    </row>
    <row r="28" spans="2:13" ht="13" customHeight="1" x14ac:dyDescent="0.35">
      <c r="B28" s="432" t="s">
        <v>104</v>
      </c>
      <c r="C28" s="432" t="s">
        <v>138</v>
      </c>
      <c r="D28" s="429" t="s">
        <v>174</v>
      </c>
      <c r="E28" s="429" t="s">
        <v>183</v>
      </c>
      <c r="F28" s="431" t="s">
        <v>184</v>
      </c>
      <c r="G28" s="431" t="s">
        <v>139</v>
      </c>
      <c r="H28" s="431" t="s">
        <v>140</v>
      </c>
      <c r="I28" s="431" t="s">
        <v>141</v>
      </c>
      <c r="J28" s="431" t="s">
        <v>142</v>
      </c>
      <c r="K28" s="140"/>
      <c r="L28" s="140"/>
    </row>
    <row r="29" spans="2:13" ht="58.5" customHeight="1" x14ac:dyDescent="0.35">
      <c r="B29" s="432"/>
      <c r="C29" s="432"/>
      <c r="D29" s="430"/>
      <c r="E29" s="430"/>
      <c r="F29" s="431"/>
      <c r="G29" s="431"/>
      <c r="H29" s="431"/>
      <c r="I29" s="431"/>
      <c r="J29" s="431"/>
    </row>
    <row r="30" spans="2:13" ht="13" x14ac:dyDescent="0.35">
      <c r="B30" s="162"/>
      <c r="C30" s="162"/>
      <c r="D30" s="169" t="s">
        <v>11</v>
      </c>
      <c r="E30" s="169" t="s">
        <v>22</v>
      </c>
      <c r="F30" s="169" t="s">
        <v>143</v>
      </c>
      <c r="G30" s="169" t="s">
        <v>144</v>
      </c>
      <c r="H30" s="169" t="s">
        <v>145</v>
      </c>
      <c r="I30" s="169" t="s">
        <v>146</v>
      </c>
      <c r="J30" s="169" t="s">
        <v>147</v>
      </c>
    </row>
    <row r="31" spans="2:13" ht="13" x14ac:dyDescent="0.35">
      <c r="B31" s="164"/>
      <c r="C31" s="164"/>
      <c r="D31" s="165"/>
      <c r="E31" s="165"/>
      <c r="F31" s="165"/>
      <c r="G31" s="165"/>
      <c r="H31" s="165"/>
      <c r="I31" s="165"/>
      <c r="J31" s="165"/>
    </row>
    <row r="32" spans="2:13" ht="13" x14ac:dyDescent="0.35">
      <c r="B32" s="138" t="s">
        <v>178</v>
      </c>
    </row>
    <row r="33" spans="2:13" ht="5.25" customHeight="1" x14ac:dyDescent="0.35">
      <c r="B33" s="138"/>
    </row>
    <row r="34" spans="2:13" ht="13" x14ac:dyDescent="0.35">
      <c r="B34" s="133">
        <f>B26+1</f>
        <v>15</v>
      </c>
      <c r="C34" s="139" t="s">
        <v>175</v>
      </c>
      <c r="D34" s="135"/>
      <c r="E34" s="135"/>
      <c r="F34" s="135"/>
      <c r="G34" s="135"/>
      <c r="H34" s="135"/>
      <c r="I34" s="135"/>
      <c r="J34" s="140">
        <f>J12</f>
        <v>-2276392.238478669</v>
      </c>
    </row>
    <row r="35" spans="2:13" x14ac:dyDescent="0.35">
      <c r="B35" s="133">
        <f t="shared" ref="B35:B46" si="2">B34+1</f>
        <v>16</v>
      </c>
      <c r="C35" s="141">
        <v>44197</v>
      </c>
      <c r="D35" s="140"/>
      <c r="E35" s="140">
        <v>-90229.680000000008</v>
      </c>
      <c r="F35" s="140">
        <v>0</v>
      </c>
      <c r="G35" s="140">
        <f t="shared" ref="G35:I46" si="3">G13</f>
        <v>85201.62</v>
      </c>
      <c r="H35" s="140">
        <f t="shared" si="3"/>
        <v>84361.75</v>
      </c>
      <c r="I35" s="140">
        <f t="shared" si="3"/>
        <v>349742.57765438844</v>
      </c>
      <c r="J35" s="140">
        <f t="shared" ref="J35:J46" si="4">SUM(D35:I35)+J34</f>
        <v>-1847315.9708242805</v>
      </c>
      <c r="M35" s="142"/>
    </row>
    <row r="36" spans="2:13" x14ac:dyDescent="0.35">
      <c r="B36" s="133">
        <f t="shared" si="2"/>
        <v>17</v>
      </c>
      <c r="C36" s="141">
        <v>44228</v>
      </c>
      <c r="D36" s="140"/>
      <c r="E36" s="140">
        <v>-326252.34120796248</v>
      </c>
      <c r="F36" s="140">
        <v>0</v>
      </c>
      <c r="G36" s="140">
        <f t="shared" si="3"/>
        <v>85292.93</v>
      </c>
      <c r="H36" s="140">
        <f t="shared" si="3"/>
        <v>56605.19</v>
      </c>
      <c r="I36" s="140">
        <f t="shared" si="3"/>
        <v>326044.18688495376</v>
      </c>
      <c r="J36" s="140">
        <f t="shared" si="4"/>
        <v>-1705626.0051472893</v>
      </c>
    </row>
    <row r="37" spans="2:13" x14ac:dyDescent="0.35">
      <c r="B37" s="133">
        <f t="shared" si="2"/>
        <v>18</v>
      </c>
      <c r="C37" s="141">
        <v>44256</v>
      </c>
      <c r="D37" s="140"/>
      <c r="E37" s="140">
        <v>-23378.236336590719</v>
      </c>
      <c r="F37" s="140">
        <v>0</v>
      </c>
      <c r="G37" s="140">
        <f t="shared" si="3"/>
        <v>99169.919999999998</v>
      </c>
      <c r="H37" s="140">
        <f t="shared" si="3"/>
        <v>63596.11</v>
      </c>
      <c r="I37" s="140">
        <f t="shared" si="3"/>
        <v>268830.94134845922</v>
      </c>
      <c r="J37" s="140">
        <f t="shared" si="4"/>
        <v>-1297407.2701354208</v>
      </c>
    </row>
    <row r="38" spans="2:13" x14ac:dyDescent="0.35">
      <c r="B38" s="133">
        <f t="shared" si="2"/>
        <v>19</v>
      </c>
      <c r="C38" s="141">
        <v>44287</v>
      </c>
      <c r="D38" s="140"/>
      <c r="E38" s="140">
        <v>-44097.709814038128</v>
      </c>
      <c r="F38" s="140">
        <v>0</v>
      </c>
      <c r="G38" s="140">
        <f t="shared" si="3"/>
        <v>104724.11</v>
      </c>
      <c r="H38" s="140">
        <f t="shared" si="3"/>
        <v>58382.36</v>
      </c>
      <c r="I38" s="140">
        <f t="shared" si="3"/>
        <v>271280.66124572989</v>
      </c>
      <c r="J38" s="140">
        <f t="shared" si="4"/>
        <v>-907117.84870372911</v>
      </c>
    </row>
    <row r="39" spans="2:13" x14ac:dyDescent="0.35">
      <c r="B39" s="133">
        <f t="shared" si="2"/>
        <v>20</v>
      </c>
      <c r="C39" s="141">
        <v>44317</v>
      </c>
      <c r="D39" s="140"/>
      <c r="E39" s="140">
        <v>-7663.9193091869274</v>
      </c>
      <c r="F39" s="140">
        <v>0</v>
      </c>
      <c r="G39" s="140">
        <f t="shared" si="3"/>
        <v>94311.37</v>
      </c>
      <c r="H39" s="140">
        <f t="shared" si="3"/>
        <v>43025.17</v>
      </c>
      <c r="I39" s="140">
        <f t="shared" si="3"/>
        <v>149712.13550573913</v>
      </c>
      <c r="J39" s="140">
        <f t="shared" si="4"/>
        <v>-627733.09250717692</v>
      </c>
    </row>
    <row r="40" spans="2:13" x14ac:dyDescent="0.35">
      <c r="B40" s="133">
        <f t="shared" si="2"/>
        <v>21</v>
      </c>
      <c r="C40" s="141">
        <v>44348</v>
      </c>
      <c r="D40" s="140"/>
      <c r="E40" s="140">
        <v>-979.47349374401415</v>
      </c>
      <c r="F40" s="140">
        <v>0</v>
      </c>
      <c r="G40" s="140">
        <f t="shared" si="3"/>
        <v>111874.7</v>
      </c>
      <c r="H40" s="140">
        <f t="shared" si="3"/>
        <v>44574.8</v>
      </c>
      <c r="I40" s="140">
        <f t="shared" si="3"/>
        <v>106736.09303015054</v>
      </c>
      <c r="J40" s="140">
        <f t="shared" si="4"/>
        <v>-365526.97297077038</v>
      </c>
    </row>
    <row r="41" spans="2:13" x14ac:dyDescent="0.35">
      <c r="B41" s="133">
        <f t="shared" si="2"/>
        <v>22</v>
      </c>
      <c r="C41" s="141">
        <v>44378</v>
      </c>
      <c r="D41" s="140"/>
      <c r="E41" s="140">
        <v>-7568.0947277246796</v>
      </c>
      <c r="F41" s="140">
        <v>0</v>
      </c>
      <c r="G41" s="140">
        <f t="shared" si="3"/>
        <v>0</v>
      </c>
      <c r="H41" s="140">
        <f t="shared" si="3"/>
        <v>38085.35</v>
      </c>
      <c r="I41" s="140">
        <f t="shared" si="3"/>
        <v>64741.670949949679</v>
      </c>
      <c r="J41" s="140">
        <f t="shared" si="4"/>
        <v>-270268.04674854537</v>
      </c>
    </row>
    <row r="42" spans="2:13" x14ac:dyDescent="0.35">
      <c r="B42" s="133">
        <f t="shared" si="2"/>
        <v>23</v>
      </c>
      <c r="C42" s="141">
        <v>44409</v>
      </c>
      <c r="D42" s="140"/>
      <c r="E42" s="140">
        <v>-33406.837398510492</v>
      </c>
      <c r="F42" s="140">
        <v>0</v>
      </c>
      <c r="G42" s="140">
        <f t="shared" si="3"/>
        <v>0</v>
      </c>
      <c r="H42" s="140">
        <f t="shared" si="3"/>
        <v>483.91</v>
      </c>
      <c r="I42" s="140">
        <f t="shared" si="3"/>
        <v>-333.50330301672005</v>
      </c>
      <c r="J42" s="140">
        <f t="shared" si="4"/>
        <v>-303524.47745007259</v>
      </c>
    </row>
    <row r="43" spans="2:13" x14ac:dyDescent="0.35">
      <c r="B43" s="133">
        <f t="shared" si="2"/>
        <v>24</v>
      </c>
      <c r="C43" s="141">
        <v>44440</v>
      </c>
      <c r="D43" s="140"/>
      <c r="E43" s="140">
        <v>21534.690354652179</v>
      </c>
      <c r="F43" s="140">
        <v>0</v>
      </c>
      <c r="G43" s="140">
        <f t="shared" si="3"/>
        <v>0</v>
      </c>
      <c r="H43" s="140">
        <f t="shared" si="3"/>
        <v>-5.2</v>
      </c>
      <c r="I43" s="140">
        <f t="shared" si="3"/>
        <v>103.86766550161772</v>
      </c>
      <c r="J43" s="140">
        <f t="shared" si="4"/>
        <v>-281891.11942991882</v>
      </c>
    </row>
    <row r="44" spans="2:13" x14ac:dyDescent="0.35">
      <c r="B44" s="133">
        <f t="shared" si="2"/>
        <v>25</v>
      </c>
      <c r="C44" s="141">
        <v>44470</v>
      </c>
      <c r="D44" s="140"/>
      <c r="E44" s="140">
        <v>-58381.950053629502</v>
      </c>
      <c r="F44" s="140">
        <v>0</v>
      </c>
      <c r="G44" s="140">
        <f t="shared" si="3"/>
        <v>0</v>
      </c>
      <c r="H44" s="140">
        <f t="shared" si="3"/>
        <v>-4.3</v>
      </c>
      <c r="I44" s="140">
        <f t="shared" si="3"/>
        <v>-39.759070653997114</v>
      </c>
      <c r="J44" s="140">
        <f t="shared" si="4"/>
        <v>-340317.12855420233</v>
      </c>
    </row>
    <row r="45" spans="2:13" x14ac:dyDescent="0.35">
      <c r="B45" s="133">
        <f t="shared" si="2"/>
        <v>26</v>
      </c>
      <c r="C45" s="141">
        <v>44501</v>
      </c>
      <c r="D45" s="140"/>
      <c r="E45" s="140">
        <v>-267789.95232826425</v>
      </c>
      <c r="F45" s="140">
        <v>0</v>
      </c>
      <c r="G45" s="140">
        <f t="shared" si="3"/>
        <v>0</v>
      </c>
      <c r="H45" s="140">
        <f t="shared" si="3"/>
        <v>44.04</v>
      </c>
      <c r="I45" s="140">
        <f t="shared" si="3"/>
        <v>-18.862415215706243</v>
      </c>
      <c r="J45" s="140">
        <f t="shared" si="4"/>
        <v>-608081.90329768229</v>
      </c>
    </row>
    <row r="46" spans="2:13" x14ac:dyDescent="0.35">
      <c r="B46" s="133">
        <f t="shared" si="2"/>
        <v>27</v>
      </c>
      <c r="C46" s="141">
        <v>44531</v>
      </c>
      <c r="D46" s="140"/>
      <c r="E46" s="140">
        <v>-718650.97617188643</v>
      </c>
      <c r="F46" s="140">
        <v>0</v>
      </c>
      <c r="G46" s="140">
        <f t="shared" si="3"/>
        <v>0</v>
      </c>
      <c r="H46" s="140">
        <f t="shared" si="3"/>
        <v>-1.56</v>
      </c>
      <c r="I46" s="140">
        <f t="shared" si="3"/>
        <v>-20.706637478562776</v>
      </c>
      <c r="J46" s="140">
        <f t="shared" si="4"/>
        <v>-1326755.1461070473</v>
      </c>
    </row>
    <row r="47" spans="2:13" ht="6" customHeight="1" x14ac:dyDescent="0.35">
      <c r="B47" s="138"/>
    </row>
    <row r="48" spans="2:13" ht="13" x14ac:dyDescent="0.35">
      <c r="B48" s="133">
        <f>B46+1</f>
        <v>28</v>
      </c>
      <c r="C48" s="145" t="s">
        <v>179</v>
      </c>
      <c r="D48" s="146"/>
      <c r="E48" s="146"/>
      <c r="F48" s="146"/>
      <c r="G48" s="146"/>
      <c r="H48" s="146"/>
      <c r="J48" s="140">
        <f>J46</f>
        <v>-1326755.1461070473</v>
      </c>
      <c r="L48" s="144"/>
      <c r="M48" s="144"/>
    </row>
    <row r="49" spans="2:10" ht="6" customHeight="1" x14ac:dyDescent="0.35">
      <c r="B49" s="138"/>
    </row>
    <row r="50" spans="2:10" ht="13" customHeight="1" x14ac:dyDescent="0.35"/>
    <row r="51" spans="2:10" ht="13" x14ac:dyDescent="0.35">
      <c r="C51" s="166" t="s">
        <v>56</v>
      </c>
    </row>
    <row r="52" spans="2:10" x14ac:dyDescent="0.35">
      <c r="C52" s="139" t="s">
        <v>185</v>
      </c>
    </row>
    <row r="53" spans="2:10" ht="14.25" customHeight="1" x14ac:dyDescent="0.35">
      <c r="C53" s="139" t="s">
        <v>186</v>
      </c>
    </row>
    <row r="54" spans="2:10" x14ac:dyDescent="0.35">
      <c r="C54" s="139" t="s">
        <v>187</v>
      </c>
    </row>
    <row r="59" spans="2:10" ht="13" x14ac:dyDescent="0.35">
      <c r="J59" s="137"/>
    </row>
    <row r="60" spans="2:10" x14ac:dyDescent="0.35">
      <c r="J60" s="147"/>
    </row>
    <row r="61" spans="2:10" x14ac:dyDescent="0.35">
      <c r="H61" s="148"/>
      <c r="J61" s="140"/>
    </row>
    <row r="62" spans="2:10" x14ac:dyDescent="0.35">
      <c r="H62" s="148"/>
      <c r="J62" s="140"/>
    </row>
    <row r="63" spans="2:10" x14ac:dyDescent="0.35">
      <c r="H63" s="148"/>
      <c r="J63" s="140"/>
    </row>
    <row r="64" spans="2:10" x14ac:dyDescent="0.35">
      <c r="H64" s="148"/>
      <c r="J64" s="140"/>
    </row>
    <row r="65" spans="8:10" x14ac:dyDescent="0.35">
      <c r="H65" s="148"/>
      <c r="J65" s="140"/>
    </row>
    <row r="66" spans="8:10" x14ac:dyDescent="0.35">
      <c r="H66" s="148"/>
    </row>
    <row r="67" spans="8:10" x14ac:dyDescent="0.35">
      <c r="H67" s="148"/>
      <c r="J67" s="140"/>
    </row>
    <row r="68" spans="8:10" x14ac:dyDescent="0.35">
      <c r="H68" s="148"/>
      <c r="J68" s="140"/>
    </row>
    <row r="69" spans="8:10" x14ac:dyDescent="0.35">
      <c r="H69" s="149"/>
      <c r="J69" s="140"/>
    </row>
  </sheetData>
  <mergeCells count="18">
    <mergeCell ref="B7:B8"/>
    <mergeCell ref="C7:C8"/>
    <mergeCell ref="B28:B29"/>
    <mergeCell ref="C28:C29"/>
    <mergeCell ref="D7:D8"/>
    <mergeCell ref="D28:D29"/>
    <mergeCell ref="J28:J29"/>
    <mergeCell ref="F7:F8"/>
    <mergeCell ref="G7:G8"/>
    <mergeCell ref="H7:H8"/>
    <mergeCell ref="I7:I8"/>
    <mergeCell ref="J7:J8"/>
    <mergeCell ref="E7:E8"/>
    <mergeCell ref="F28:F29"/>
    <mergeCell ref="G28:G29"/>
    <mergeCell ref="H28:H29"/>
    <mergeCell ref="I28:I29"/>
    <mergeCell ref="E28:E29"/>
  </mergeCells>
  <pageMargins left="0.70866141732283472" right="0.70866141732283472" top="0.74803149606299213" bottom="0.74803149606299213" header="0.31496062992125984" footer="0.31496062992125984"/>
  <pageSetup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5BBA4-C21B-4378-9BD7-865284DD7214}">
  <sheetPr>
    <pageSetUpPr fitToPage="1"/>
  </sheetPr>
  <dimension ref="A1:O174"/>
  <sheetViews>
    <sheetView view="pageBreakPreview" topLeftCell="A37" zoomScaleNormal="100" zoomScaleSheetLayoutView="100" workbookViewId="0">
      <selection activeCell="B52" sqref="B52:O52"/>
    </sheetView>
  </sheetViews>
  <sheetFormatPr defaultColWidth="9.08984375" defaultRowHeight="12.5" x14ac:dyDescent="0.25"/>
  <cols>
    <col min="1" max="1" width="6.08984375" style="102" customWidth="1"/>
    <col min="2" max="2" width="28.54296875" style="103" customWidth="1"/>
    <col min="3" max="3" width="1.36328125" style="103" customWidth="1"/>
    <col min="4" max="4" width="11.36328125" style="103" customWidth="1"/>
    <col min="5" max="5" width="10.54296875" style="103" customWidth="1"/>
    <col min="6" max="6" width="1.36328125" style="103" customWidth="1"/>
    <col min="7" max="10" width="11.36328125" style="103" customWidth="1"/>
    <col min="11" max="11" width="10.08984375" style="103" customWidth="1"/>
    <col min="12" max="12" width="1.36328125" style="103" customWidth="1"/>
    <col min="13" max="13" width="11.36328125" style="103" customWidth="1"/>
    <col min="14" max="14" width="1.36328125" style="103" customWidth="1"/>
    <col min="15" max="15" width="12.90625" style="103" customWidth="1"/>
    <col min="16" max="16" width="3.6328125" style="103" customWidth="1"/>
    <col min="17" max="16384" width="9.08984375" style="103"/>
  </cols>
  <sheetData>
    <row r="1" spans="1:15" ht="14" x14ac:dyDescent="0.3">
      <c r="O1" s="84" t="str">
        <f>'Table 1.1-4'!$E$1</f>
        <v>YEC 2021 GRA</v>
      </c>
    </row>
    <row r="2" spans="1:15" ht="14" x14ac:dyDescent="0.3">
      <c r="O2" s="84" t="str">
        <f>'Table 1.1-4'!$E$2</f>
        <v>YUB Order 2022-03 Compliance Filing</v>
      </c>
    </row>
    <row r="3" spans="1:15" ht="13" x14ac:dyDescent="0.3">
      <c r="B3" s="104"/>
      <c r="C3" s="105"/>
      <c r="D3" s="105"/>
      <c r="E3" s="105"/>
      <c r="F3" s="105"/>
      <c r="G3" s="105"/>
      <c r="H3" s="105"/>
      <c r="I3" s="105"/>
      <c r="J3" s="105"/>
      <c r="K3" s="105"/>
      <c r="L3" s="105"/>
      <c r="M3" s="105"/>
      <c r="N3" s="105"/>
      <c r="O3" s="105"/>
    </row>
    <row r="4" spans="1:15" ht="13" x14ac:dyDescent="0.3">
      <c r="B4" s="104" t="s">
        <v>252</v>
      </c>
      <c r="C4" s="105"/>
      <c r="D4" s="105"/>
      <c r="E4" s="105"/>
      <c r="F4" s="105"/>
      <c r="G4" s="105"/>
      <c r="H4" s="105"/>
      <c r="I4" s="105"/>
      <c r="J4" s="105"/>
      <c r="K4" s="105"/>
      <c r="L4" s="105"/>
      <c r="M4" s="105"/>
      <c r="N4" s="105"/>
      <c r="O4" s="105"/>
    </row>
    <row r="6" spans="1:15" ht="45.75" customHeight="1" x14ac:dyDescent="0.3">
      <c r="B6" s="106"/>
      <c r="C6" s="106"/>
      <c r="D6" s="425" t="s">
        <v>148</v>
      </c>
      <c r="E6" s="425"/>
      <c r="F6" s="106"/>
      <c r="G6" s="425" t="s">
        <v>149</v>
      </c>
      <c r="H6" s="425"/>
      <c r="I6" s="425"/>
      <c r="J6" s="425"/>
      <c r="K6" s="425"/>
      <c r="L6" s="106"/>
      <c r="M6" s="426" t="s">
        <v>124</v>
      </c>
      <c r="N6" s="107"/>
      <c r="O6" s="426" t="s">
        <v>253</v>
      </c>
    </row>
    <row r="7" spans="1:15" ht="50" customHeight="1" x14ac:dyDescent="0.3">
      <c r="B7" s="106"/>
      <c r="C7" s="106"/>
      <c r="D7" s="108" t="s">
        <v>150</v>
      </c>
      <c r="E7" s="108" t="s">
        <v>151</v>
      </c>
      <c r="F7" s="106"/>
      <c r="G7" s="108" t="s">
        <v>152</v>
      </c>
      <c r="H7" s="108" t="s">
        <v>153</v>
      </c>
      <c r="I7" s="232" t="s">
        <v>248</v>
      </c>
      <c r="J7" s="108" t="s">
        <v>154</v>
      </c>
      <c r="K7" s="108" t="s">
        <v>151</v>
      </c>
      <c r="L7" s="106"/>
      <c r="M7" s="427"/>
      <c r="N7" s="107"/>
      <c r="O7" s="427"/>
    </row>
    <row r="8" spans="1:15" ht="13" x14ac:dyDescent="0.3">
      <c r="B8" s="106"/>
      <c r="C8" s="106"/>
      <c r="D8" s="109" t="s">
        <v>155</v>
      </c>
      <c r="E8" s="109" t="s">
        <v>35</v>
      </c>
      <c r="F8" s="109"/>
      <c r="G8" s="109" t="s">
        <v>155</v>
      </c>
      <c r="H8" s="109" t="s">
        <v>155</v>
      </c>
      <c r="I8" s="109" t="s">
        <v>155</v>
      </c>
      <c r="J8" s="109" t="s">
        <v>155</v>
      </c>
      <c r="K8" s="109" t="s">
        <v>35</v>
      </c>
      <c r="L8" s="106"/>
      <c r="M8" s="109" t="s">
        <v>35</v>
      </c>
      <c r="N8" s="109"/>
      <c r="O8" s="109" t="s">
        <v>35</v>
      </c>
    </row>
    <row r="9" spans="1:15" ht="13" x14ac:dyDescent="0.3">
      <c r="A9" s="103"/>
      <c r="B9" s="110" t="s">
        <v>246</v>
      </c>
      <c r="D9" s="111"/>
    </row>
    <row r="10" spans="1:15" x14ac:dyDescent="0.25">
      <c r="B10" s="103" t="s">
        <v>125</v>
      </c>
      <c r="D10" s="112">
        <v>5195.9350000000004</v>
      </c>
      <c r="E10" s="112">
        <v>824.52739407566003</v>
      </c>
      <c r="F10" s="113"/>
      <c r="G10" s="112">
        <v>4174.8</v>
      </c>
      <c r="H10" s="112">
        <v>2739.1</v>
      </c>
      <c r="I10" s="112">
        <v>1099.3</v>
      </c>
      <c r="J10" s="112">
        <f>SUM(G10:I10)</f>
        <v>8013.2</v>
      </c>
      <c r="K10" s="112">
        <v>1023.8245385541505</v>
      </c>
      <c r="L10" s="112"/>
      <c r="M10" s="112">
        <v>5812.036203252108</v>
      </c>
      <c r="N10" s="112"/>
      <c r="O10" s="112">
        <f t="shared" ref="O10:O21" si="0">E10+K10+M10</f>
        <v>7660.3881358819181</v>
      </c>
    </row>
    <row r="11" spans="1:15" x14ac:dyDescent="0.25">
      <c r="B11" s="103" t="s">
        <v>126</v>
      </c>
      <c r="D11" s="112">
        <v>5028.9099500000002</v>
      </c>
      <c r="E11" s="112">
        <v>797.1465193357526</v>
      </c>
      <c r="F11" s="113"/>
      <c r="G11" s="112">
        <v>3763.2</v>
      </c>
      <c r="H11" s="112">
        <v>1767.92</v>
      </c>
      <c r="I11" s="112">
        <v>1029.4000000000001</v>
      </c>
      <c r="J11" s="112">
        <f t="shared" ref="J11:J21" si="1">SUM(G11:I11)</f>
        <v>6560.52</v>
      </c>
      <c r="K11" s="112">
        <v>903.99652975415052</v>
      </c>
      <c r="L11" s="112"/>
      <c r="M11" s="112">
        <v>5125.0769202493693</v>
      </c>
      <c r="N11" s="112"/>
      <c r="O11" s="112">
        <f t="shared" si="0"/>
        <v>6826.2199693392722</v>
      </c>
    </row>
    <row r="12" spans="1:15" x14ac:dyDescent="0.25">
      <c r="B12" s="103" t="s">
        <v>127</v>
      </c>
      <c r="D12" s="112">
        <v>4793.4070300000003</v>
      </c>
      <c r="E12" s="112">
        <v>769.21730176777567</v>
      </c>
      <c r="F12" s="113"/>
      <c r="G12" s="112">
        <v>4326</v>
      </c>
      <c r="H12" s="112">
        <v>3062.3599999999969</v>
      </c>
      <c r="I12" s="112">
        <v>1243.8</v>
      </c>
      <c r="J12" s="112">
        <f t="shared" si="1"/>
        <v>8632.1599999999962</v>
      </c>
      <c r="K12" s="112">
        <v>1075.7562021541501</v>
      </c>
      <c r="L12" s="112"/>
      <c r="M12" s="112">
        <v>5082.6217597645782</v>
      </c>
      <c r="N12" s="112"/>
      <c r="O12" s="112">
        <f t="shared" si="0"/>
        <v>6927.595263686504</v>
      </c>
    </row>
    <row r="13" spans="1:15" x14ac:dyDescent="0.25">
      <c r="B13" s="103" t="s">
        <v>128</v>
      </c>
      <c r="D13" s="112">
        <v>4082.9996106940484</v>
      </c>
      <c r="E13" s="112">
        <v>652.24431220553254</v>
      </c>
      <c r="F13" s="113"/>
      <c r="G13" s="112">
        <v>3946.846</v>
      </c>
      <c r="H13" s="112">
        <v>3680.1608391608397</v>
      </c>
      <c r="I13" s="112">
        <v>820.1</v>
      </c>
      <c r="J13" s="112">
        <f t="shared" si="1"/>
        <v>8447.1068391608405</v>
      </c>
      <c r="K13" s="112">
        <v>1023.917220588976</v>
      </c>
      <c r="L13" s="112"/>
      <c r="M13" s="112">
        <v>4417.5189900101768</v>
      </c>
      <c r="N13" s="112"/>
      <c r="O13" s="112">
        <f t="shared" si="0"/>
        <v>6093.6805228046851</v>
      </c>
    </row>
    <row r="14" spans="1:15" x14ac:dyDescent="0.25">
      <c r="B14" s="103" t="s">
        <v>129</v>
      </c>
      <c r="D14" s="112">
        <v>3593.3119479894035</v>
      </c>
      <c r="E14" s="112">
        <v>579.27865649421221</v>
      </c>
      <c r="F14" s="113"/>
      <c r="G14" s="112">
        <v>3741.6309999999999</v>
      </c>
      <c r="H14" s="112">
        <v>3698.1608391608397</v>
      </c>
      <c r="I14" s="112">
        <v>720.7</v>
      </c>
      <c r="J14" s="112">
        <f t="shared" si="1"/>
        <v>8160.4918391608398</v>
      </c>
      <c r="K14" s="112">
        <v>989.69733093897582</v>
      </c>
      <c r="L14" s="112"/>
      <c r="M14" s="112">
        <v>3999.9518689924798</v>
      </c>
      <c r="N14" s="112"/>
      <c r="O14" s="112">
        <f t="shared" si="0"/>
        <v>5568.9278564256674</v>
      </c>
    </row>
    <row r="15" spans="1:15" x14ac:dyDescent="0.25">
      <c r="B15" s="103" t="s">
        <v>130</v>
      </c>
      <c r="D15" s="112">
        <v>3617.1653151991013</v>
      </c>
      <c r="E15" s="112">
        <v>587.28243037465552</v>
      </c>
      <c r="F15" s="113"/>
      <c r="G15" s="112">
        <v>3918.2730000000001</v>
      </c>
      <c r="H15" s="112">
        <v>3932.1608391608397</v>
      </c>
      <c r="I15" s="112">
        <v>832.9</v>
      </c>
      <c r="J15" s="112">
        <f t="shared" si="1"/>
        <v>8683.3338391608395</v>
      </c>
      <c r="K15" s="112">
        <v>1033.8591011589758</v>
      </c>
      <c r="L15" s="112"/>
      <c r="M15" s="112">
        <v>3717.403709495487</v>
      </c>
      <c r="N15" s="112"/>
      <c r="O15" s="112">
        <f t="shared" si="0"/>
        <v>5338.5452410291182</v>
      </c>
    </row>
    <row r="16" spans="1:15" x14ac:dyDescent="0.25">
      <c r="B16" s="103" t="s">
        <v>131</v>
      </c>
      <c r="D16" s="112">
        <v>3327.5548390552717</v>
      </c>
      <c r="E16" s="112">
        <v>540.07454314776703</v>
      </c>
      <c r="F16" s="113"/>
      <c r="G16" s="112">
        <v>3908.616</v>
      </c>
      <c r="H16" s="112">
        <v>3950.1608391608397</v>
      </c>
      <c r="I16" s="112">
        <v>856.2</v>
      </c>
      <c r="J16" s="112">
        <f t="shared" si="1"/>
        <v>8714.9768391608395</v>
      </c>
      <c r="K16" s="112">
        <v>1035.1117822889757</v>
      </c>
      <c r="L16" s="112"/>
      <c r="M16" s="112">
        <v>3654.1631728151719</v>
      </c>
      <c r="N16" s="112"/>
      <c r="O16" s="112">
        <f t="shared" si="0"/>
        <v>5229.3494982519151</v>
      </c>
    </row>
    <row r="17" spans="1:15" x14ac:dyDescent="0.25">
      <c r="B17" s="103" t="s">
        <v>132</v>
      </c>
      <c r="D17" s="112">
        <v>3061.4457269164709</v>
      </c>
      <c r="E17" s="112">
        <v>497.20816506637783</v>
      </c>
      <c r="F17" s="113"/>
      <c r="G17" s="112">
        <v>3559.2440000000001</v>
      </c>
      <c r="H17" s="112">
        <v>3968.1608391608393</v>
      </c>
      <c r="I17" s="112">
        <v>884.2</v>
      </c>
      <c r="J17" s="112">
        <f t="shared" si="1"/>
        <v>8411.6048391608401</v>
      </c>
      <c r="K17" s="112">
        <v>1001.4153697689759</v>
      </c>
      <c r="L17" s="112"/>
      <c r="M17" s="112">
        <v>3752.194106110579</v>
      </c>
      <c r="N17" s="112"/>
      <c r="O17" s="112">
        <f t="shared" si="0"/>
        <v>5250.8176409459329</v>
      </c>
    </row>
    <row r="18" spans="1:15" x14ac:dyDescent="0.25">
      <c r="B18" s="103" t="s">
        <v>133</v>
      </c>
      <c r="D18" s="112">
        <v>3514.414381367832</v>
      </c>
      <c r="E18" s="112">
        <v>571.41181715133746</v>
      </c>
      <c r="F18" s="113"/>
      <c r="G18" s="112">
        <v>3610.942</v>
      </c>
      <c r="H18" s="112">
        <v>3986.1608391608402</v>
      </c>
      <c r="I18" s="112">
        <v>764.4</v>
      </c>
      <c r="J18" s="112">
        <f t="shared" si="1"/>
        <v>8361.5028391608394</v>
      </c>
      <c r="K18" s="112">
        <v>1007.5267729489758</v>
      </c>
      <c r="L18" s="112"/>
      <c r="M18" s="112">
        <v>4056.6941079730464</v>
      </c>
      <c r="N18" s="112"/>
      <c r="O18" s="112">
        <f t="shared" si="0"/>
        <v>5635.6326980733593</v>
      </c>
    </row>
    <row r="19" spans="1:15" x14ac:dyDescent="0.25">
      <c r="B19" s="103" t="s">
        <v>134</v>
      </c>
      <c r="D19" s="112">
        <v>3239.5284813503931</v>
      </c>
      <c r="E19" s="112">
        <v>521.73714794596185</v>
      </c>
      <c r="F19" s="113"/>
      <c r="G19" s="112">
        <v>4006.9549999999999</v>
      </c>
      <c r="H19" s="112">
        <v>4004.1608391608397</v>
      </c>
      <c r="I19" s="112">
        <v>1011.1</v>
      </c>
      <c r="J19" s="112">
        <f t="shared" si="1"/>
        <v>9022.2158391608391</v>
      </c>
      <c r="K19" s="112">
        <v>1069.4077577789758</v>
      </c>
      <c r="L19" s="112"/>
      <c r="M19" s="112">
        <v>4528.1677721142414</v>
      </c>
      <c r="N19" s="112"/>
      <c r="O19" s="112">
        <f t="shared" si="0"/>
        <v>6119.3126778391788</v>
      </c>
    </row>
    <row r="20" spans="1:15" x14ac:dyDescent="0.25">
      <c r="B20" s="103" t="s">
        <v>135</v>
      </c>
      <c r="D20" s="112">
        <v>3738.0464237833412</v>
      </c>
      <c r="E20" s="112">
        <v>597.82200273846559</v>
      </c>
      <c r="F20" s="113"/>
      <c r="G20" s="112">
        <v>3959.712</v>
      </c>
      <c r="H20" s="112">
        <v>4022.1608391608397</v>
      </c>
      <c r="I20" s="112">
        <v>1011.1</v>
      </c>
      <c r="J20" s="112">
        <f t="shared" si="1"/>
        <v>8992.9728391608405</v>
      </c>
      <c r="K20" s="112">
        <v>1066.9832206489759</v>
      </c>
      <c r="L20" s="112"/>
      <c r="M20" s="112">
        <v>5101.4512093860267</v>
      </c>
      <c r="N20" s="112"/>
      <c r="O20" s="112">
        <f t="shared" si="0"/>
        <v>6766.2564327734681</v>
      </c>
    </row>
    <row r="21" spans="1:15" x14ac:dyDescent="0.25">
      <c r="B21" s="103" t="s">
        <v>156</v>
      </c>
      <c r="D21" s="112">
        <v>3614.6885994017207</v>
      </c>
      <c r="E21" s="112">
        <v>573.12106982207899</v>
      </c>
      <c r="F21" s="113"/>
      <c r="G21" s="112">
        <v>4006.9549999999999</v>
      </c>
      <c r="H21" s="112">
        <v>2424.0965034965034</v>
      </c>
      <c r="I21" s="112">
        <v>1011.1</v>
      </c>
      <c r="J21" s="112">
        <f t="shared" si="1"/>
        <v>7442.1515034965032</v>
      </c>
      <c r="K21" s="112">
        <v>938.40462370904572</v>
      </c>
      <c r="L21" s="112"/>
      <c r="M21" s="112">
        <v>5689.3054853494659</v>
      </c>
      <c r="N21" s="112"/>
      <c r="O21" s="112">
        <f t="shared" si="0"/>
        <v>7200.8311788805904</v>
      </c>
    </row>
    <row r="22" spans="1:15" ht="6.75" customHeight="1" x14ac:dyDescent="0.25">
      <c r="D22" s="112"/>
      <c r="E22" s="112"/>
      <c r="F22" s="113"/>
      <c r="G22" s="112"/>
      <c r="H22" s="112"/>
      <c r="I22" s="112"/>
      <c r="J22" s="112"/>
      <c r="K22" s="112"/>
      <c r="L22" s="112"/>
      <c r="M22" s="112"/>
      <c r="N22" s="112"/>
      <c r="O22" s="112"/>
    </row>
    <row r="23" spans="1:15" ht="13" x14ac:dyDescent="0.3">
      <c r="A23" s="103"/>
      <c r="B23" s="110" t="s">
        <v>250</v>
      </c>
      <c r="C23" s="106"/>
      <c r="D23" s="116">
        <f>SUM(D10:D21)</f>
        <v>46807.407305757595</v>
      </c>
      <c r="E23" s="116">
        <f>SUM(E10:E21)</f>
        <v>7511.0713601255775</v>
      </c>
      <c r="F23" s="117"/>
      <c r="G23" s="116">
        <f>SUM(G10:G21)</f>
        <v>46923.174000000006</v>
      </c>
      <c r="H23" s="116">
        <f>SUM(H10:H21)</f>
        <v>41234.763216783213</v>
      </c>
      <c r="I23" s="116">
        <f>SUM(I10:I21)</f>
        <v>11284.300000000001</v>
      </c>
      <c r="J23" s="116">
        <f>SUM(J10:J21)</f>
        <v>99442.237216783207</v>
      </c>
      <c r="K23" s="116">
        <f>SUM(K10:K21)</f>
        <v>12169.900450293304</v>
      </c>
      <c r="L23" s="116"/>
      <c r="M23" s="116">
        <f>SUM(M10:M21)</f>
        <v>54936.58530551273</v>
      </c>
      <c r="N23" s="116"/>
      <c r="O23" s="116">
        <f>SUM(O10:O21)</f>
        <v>74617.557115931617</v>
      </c>
    </row>
    <row r="24" spans="1:15" ht="13" x14ac:dyDescent="0.3">
      <c r="A24" s="103"/>
      <c r="B24" s="110"/>
      <c r="C24" s="106"/>
      <c r="D24" s="116"/>
      <c r="E24" s="116"/>
      <c r="F24" s="117"/>
      <c r="G24" s="116"/>
      <c r="H24" s="116"/>
      <c r="I24" s="116"/>
      <c r="J24" s="116"/>
      <c r="K24" s="116"/>
      <c r="L24" s="116"/>
      <c r="M24" s="116"/>
      <c r="N24" s="116"/>
      <c r="O24" s="116"/>
    </row>
    <row r="25" spans="1:15" ht="13" x14ac:dyDescent="0.3">
      <c r="A25" s="103"/>
      <c r="B25" s="110" t="s">
        <v>247</v>
      </c>
    </row>
    <row r="26" spans="1:15" x14ac:dyDescent="0.25">
      <c r="A26" s="103"/>
      <c r="B26" s="103" t="s">
        <v>125</v>
      </c>
      <c r="D26" s="112">
        <v>4530.7338164486073</v>
      </c>
      <c r="E26" s="112">
        <v>716.55057583537075</v>
      </c>
      <c r="F26" s="113"/>
      <c r="G26" s="257">
        <f>G10</f>
        <v>4174.8</v>
      </c>
      <c r="H26" s="257">
        <f>H10</f>
        <v>2739.1</v>
      </c>
      <c r="I26" s="257">
        <f>I10</f>
        <v>1099.3</v>
      </c>
      <c r="J26" s="112">
        <f>SUM(G26:I26)</f>
        <v>8013.2</v>
      </c>
      <c r="K26" s="112">
        <f>K10</f>
        <v>1023.8245385541505</v>
      </c>
      <c r="L26" s="112"/>
      <c r="M26" s="112">
        <v>5823.2136609587988</v>
      </c>
      <c r="N26" s="112"/>
      <c r="O26" s="112">
        <f t="shared" ref="O26:O37" si="2">E26+K26+M26</f>
        <v>7563.5887753483203</v>
      </c>
    </row>
    <row r="27" spans="1:15" x14ac:dyDescent="0.25">
      <c r="A27" s="103"/>
      <c r="B27" s="103" t="s">
        <v>126</v>
      </c>
      <c r="D27" s="112">
        <v>4260.6550115942582</v>
      </c>
      <c r="E27" s="112">
        <v>669.47827222574153</v>
      </c>
      <c r="F27" s="113"/>
      <c r="G27" s="257">
        <f t="shared" ref="G27:H37" si="3">G11</f>
        <v>3763.2</v>
      </c>
      <c r="H27" s="257">
        <f t="shared" si="3"/>
        <v>1767.92</v>
      </c>
      <c r="I27" s="257">
        <f t="shared" ref="I27" si="4">I11</f>
        <v>1029.4000000000001</v>
      </c>
      <c r="J27" s="112">
        <f t="shared" ref="J27:J37" si="5">SUM(G27:I27)</f>
        <v>6560.52</v>
      </c>
      <c r="K27" s="112">
        <f t="shared" ref="K27:K37" si="6">K11</f>
        <v>903.99652975415052</v>
      </c>
      <c r="L27" s="112"/>
      <c r="M27" s="112">
        <v>5209.0085533658048</v>
      </c>
      <c r="N27" s="112"/>
      <c r="O27" s="112">
        <f t="shared" si="2"/>
        <v>6782.4833553456974</v>
      </c>
    </row>
    <row r="28" spans="1:15" x14ac:dyDescent="0.25">
      <c r="A28" s="103"/>
      <c r="B28" s="103" t="s">
        <v>127</v>
      </c>
      <c r="D28" s="112">
        <v>4271.079340269026</v>
      </c>
      <c r="E28" s="112">
        <v>675.20104412602097</v>
      </c>
      <c r="F28" s="113"/>
      <c r="G28" s="257">
        <f t="shared" si="3"/>
        <v>4326</v>
      </c>
      <c r="H28" s="257">
        <f t="shared" si="3"/>
        <v>3062.3599999999969</v>
      </c>
      <c r="I28" s="257">
        <f t="shared" ref="I28" si="7">I12</f>
        <v>1243.8</v>
      </c>
      <c r="J28" s="112">
        <f t="shared" si="5"/>
        <v>8632.1599999999962</v>
      </c>
      <c r="K28" s="112">
        <f t="shared" si="6"/>
        <v>1075.7562021541501</v>
      </c>
      <c r="L28" s="112"/>
      <c r="M28" s="112">
        <v>5119.326150099615</v>
      </c>
      <c r="N28" s="112"/>
      <c r="O28" s="112">
        <f t="shared" si="2"/>
        <v>6870.2833963797857</v>
      </c>
    </row>
    <row r="29" spans="1:15" x14ac:dyDescent="0.25">
      <c r="A29" s="103"/>
      <c r="B29" s="103" t="s">
        <v>128</v>
      </c>
      <c r="D29" s="112">
        <v>4273.1987332429508</v>
      </c>
      <c r="E29" s="112">
        <v>682.71475393511207</v>
      </c>
      <c r="F29" s="113"/>
      <c r="G29" s="257">
        <f t="shared" si="3"/>
        <v>3946.846</v>
      </c>
      <c r="H29" s="257">
        <f t="shared" si="3"/>
        <v>3680.1608391608397</v>
      </c>
      <c r="I29" s="257">
        <f t="shared" ref="I29" si="8">I13</f>
        <v>820.1</v>
      </c>
      <c r="J29" s="112">
        <f t="shared" si="5"/>
        <v>8447.1068391608405</v>
      </c>
      <c r="K29" s="112">
        <f t="shared" si="6"/>
        <v>1023.917220588976</v>
      </c>
      <c r="L29" s="112"/>
      <c r="M29" s="112">
        <v>4480.2271749786805</v>
      </c>
      <c r="N29" s="112"/>
      <c r="O29" s="112">
        <f t="shared" si="2"/>
        <v>6186.8591495027686</v>
      </c>
    </row>
    <row r="30" spans="1:15" x14ac:dyDescent="0.25">
      <c r="A30" s="103"/>
      <c r="B30" s="103" t="s">
        <v>129</v>
      </c>
      <c r="D30" s="112">
        <v>3540.5826496283926</v>
      </c>
      <c r="E30" s="112">
        <v>569.63312696965227</v>
      </c>
      <c r="F30" s="113"/>
      <c r="G30" s="257">
        <f t="shared" si="3"/>
        <v>3741.6309999999999</v>
      </c>
      <c r="H30" s="257">
        <f t="shared" si="3"/>
        <v>3698.1608391608397</v>
      </c>
      <c r="I30" s="257">
        <f t="shared" ref="I30" si="9">I14</f>
        <v>720.7</v>
      </c>
      <c r="J30" s="112">
        <f t="shared" si="5"/>
        <v>8160.4918391608398</v>
      </c>
      <c r="K30" s="112">
        <f t="shared" si="6"/>
        <v>989.69733093897582</v>
      </c>
      <c r="L30" s="112"/>
      <c r="M30" s="112">
        <v>4064.9691917266036</v>
      </c>
      <c r="N30" s="112"/>
      <c r="O30" s="112">
        <f t="shared" si="2"/>
        <v>5624.2996496352316</v>
      </c>
    </row>
    <row r="31" spans="1:15" x14ac:dyDescent="0.25">
      <c r="A31" s="103"/>
      <c r="B31" s="103" t="s">
        <v>130</v>
      </c>
      <c r="D31" s="112">
        <v>3110.0580445408168</v>
      </c>
      <c r="E31" s="112">
        <v>502.07047822341019</v>
      </c>
      <c r="F31" s="113"/>
      <c r="G31" s="257">
        <f t="shared" si="3"/>
        <v>3918.2730000000001</v>
      </c>
      <c r="H31" s="257">
        <f t="shared" si="3"/>
        <v>3932.1608391608397</v>
      </c>
      <c r="I31" s="257">
        <f t="shared" ref="I31" si="10">I15</f>
        <v>832.9</v>
      </c>
      <c r="J31" s="112">
        <f t="shared" si="5"/>
        <v>8683.3338391608395</v>
      </c>
      <c r="K31" s="112">
        <f t="shared" si="6"/>
        <v>1033.8591011589758</v>
      </c>
      <c r="L31" s="112"/>
      <c r="M31" s="112">
        <v>3788.8060268845511</v>
      </c>
      <c r="N31" s="112"/>
      <c r="O31" s="112">
        <f t="shared" si="2"/>
        <v>5324.7356062669369</v>
      </c>
    </row>
    <row r="32" spans="1:15" x14ac:dyDescent="0.25">
      <c r="A32" s="103"/>
      <c r="B32" s="256" t="s">
        <v>131</v>
      </c>
      <c r="C32" s="256"/>
      <c r="D32" s="257">
        <v>3974.942002202888</v>
      </c>
      <c r="E32" s="257">
        <v>647.35807823159223</v>
      </c>
      <c r="F32" s="258"/>
      <c r="G32" s="257">
        <f t="shared" si="3"/>
        <v>3908.616</v>
      </c>
      <c r="H32" s="257">
        <f t="shared" si="3"/>
        <v>3950.1608391608397</v>
      </c>
      <c r="I32" s="257">
        <f t="shared" ref="I32" si="11">I16</f>
        <v>856.2</v>
      </c>
      <c r="J32" s="257">
        <f t="shared" si="5"/>
        <v>8714.9768391608395</v>
      </c>
      <c r="K32" s="112">
        <f t="shared" si="6"/>
        <v>1035.1117822889757</v>
      </c>
      <c r="L32" s="257"/>
      <c r="M32" s="257">
        <v>3706.3679245183357</v>
      </c>
      <c r="N32" s="257"/>
      <c r="O32" s="257">
        <f t="shared" si="2"/>
        <v>5388.8377850389043</v>
      </c>
    </row>
    <row r="33" spans="1:15" x14ac:dyDescent="0.25">
      <c r="A33" s="103"/>
      <c r="B33" s="256" t="s">
        <v>132</v>
      </c>
      <c r="C33" s="256"/>
      <c r="D33" s="257">
        <v>3854.831837643741</v>
      </c>
      <c r="E33" s="257">
        <v>628.8943429102676</v>
      </c>
      <c r="F33" s="258"/>
      <c r="G33" s="257">
        <f t="shared" si="3"/>
        <v>3559.2440000000001</v>
      </c>
      <c r="H33" s="257">
        <f t="shared" si="3"/>
        <v>3968.1608391608393</v>
      </c>
      <c r="I33" s="257">
        <f t="shared" ref="I33" si="12">I17</f>
        <v>884.2</v>
      </c>
      <c r="J33" s="257">
        <f t="shared" si="5"/>
        <v>8411.6048391608401</v>
      </c>
      <c r="K33" s="112">
        <f t="shared" si="6"/>
        <v>1001.4153697689759</v>
      </c>
      <c r="L33" s="257"/>
      <c r="M33" s="257">
        <v>3803.631512893814</v>
      </c>
      <c r="N33" s="257"/>
      <c r="O33" s="257">
        <f t="shared" si="2"/>
        <v>5433.9412255730576</v>
      </c>
    </row>
    <row r="34" spans="1:15" x14ac:dyDescent="0.25">
      <c r="A34" s="103"/>
      <c r="B34" s="256" t="s">
        <v>133</v>
      </c>
      <c r="C34" s="256"/>
      <c r="D34" s="257">
        <v>3974.292269281525</v>
      </c>
      <c r="E34" s="257">
        <v>647.44670467587082</v>
      </c>
      <c r="F34" s="258"/>
      <c r="G34" s="257">
        <f t="shared" si="3"/>
        <v>3610.942</v>
      </c>
      <c r="H34" s="257">
        <f t="shared" si="3"/>
        <v>3986.1608391608402</v>
      </c>
      <c r="I34" s="257">
        <f t="shared" ref="I34" si="13">I18</f>
        <v>764.4</v>
      </c>
      <c r="J34" s="257">
        <f t="shared" si="5"/>
        <v>8361.5028391608394</v>
      </c>
      <c r="K34" s="112">
        <f t="shared" si="6"/>
        <v>1007.5267729489758</v>
      </c>
      <c r="L34" s="257"/>
      <c r="M34" s="257">
        <v>4126.9106410243594</v>
      </c>
      <c r="N34" s="257"/>
      <c r="O34" s="257">
        <f t="shared" si="2"/>
        <v>5781.8841186492064</v>
      </c>
    </row>
    <row r="35" spans="1:15" x14ac:dyDescent="0.25">
      <c r="A35" s="103"/>
      <c r="B35" s="256" t="s">
        <v>134</v>
      </c>
      <c r="C35" s="256"/>
      <c r="D35" s="257">
        <v>3471.4089665955512</v>
      </c>
      <c r="E35" s="257">
        <v>559.59739184782813</v>
      </c>
      <c r="F35" s="258"/>
      <c r="G35" s="257">
        <f t="shared" si="3"/>
        <v>4006.9549999999999</v>
      </c>
      <c r="H35" s="257">
        <f t="shared" si="3"/>
        <v>4004.1608391608397</v>
      </c>
      <c r="I35" s="257">
        <f t="shared" ref="I35" si="14">I19</f>
        <v>1011.1</v>
      </c>
      <c r="J35" s="257">
        <f t="shared" si="5"/>
        <v>9022.2158391608391</v>
      </c>
      <c r="K35" s="112">
        <f t="shared" si="6"/>
        <v>1069.4077577789758</v>
      </c>
      <c r="L35" s="257"/>
      <c r="M35" s="257">
        <v>4591.2309025612949</v>
      </c>
      <c r="N35" s="257"/>
      <c r="O35" s="257">
        <f t="shared" si="2"/>
        <v>6220.2360521880983</v>
      </c>
    </row>
    <row r="36" spans="1:15" x14ac:dyDescent="0.25">
      <c r="A36" s="103"/>
      <c r="B36" s="256" t="s">
        <v>135</v>
      </c>
      <c r="C36" s="256"/>
      <c r="D36" s="257">
        <v>3772.3916055078989</v>
      </c>
      <c r="E36" s="257">
        <v>602.44712334308872</v>
      </c>
      <c r="F36" s="258"/>
      <c r="G36" s="257">
        <f t="shared" si="3"/>
        <v>3959.712</v>
      </c>
      <c r="H36" s="257">
        <f t="shared" si="3"/>
        <v>4022.1608391608397</v>
      </c>
      <c r="I36" s="257">
        <f t="shared" ref="I36" si="15">I20</f>
        <v>1011.1</v>
      </c>
      <c r="J36" s="257">
        <f t="shared" si="5"/>
        <v>8992.9728391608405</v>
      </c>
      <c r="K36" s="112">
        <f t="shared" si="6"/>
        <v>1066.9832206489759</v>
      </c>
      <c r="L36" s="257"/>
      <c r="M36" s="257">
        <v>5186.0216220280754</v>
      </c>
      <c r="N36" s="257"/>
      <c r="O36" s="257">
        <f t="shared" si="2"/>
        <v>6855.4519660201404</v>
      </c>
    </row>
    <row r="37" spans="1:15" x14ac:dyDescent="0.25">
      <c r="A37" s="103"/>
      <c r="B37" s="256" t="s">
        <v>156</v>
      </c>
      <c r="C37" s="256"/>
      <c r="D37" s="257">
        <v>3991.6161228258238</v>
      </c>
      <c r="E37" s="257">
        <v>634.67199050112777</v>
      </c>
      <c r="F37" s="258"/>
      <c r="G37" s="257">
        <f t="shared" si="3"/>
        <v>4006.9549999999999</v>
      </c>
      <c r="H37" s="257">
        <f t="shared" si="3"/>
        <v>2424.0965034965034</v>
      </c>
      <c r="I37" s="257">
        <f t="shared" ref="I37" si="16">I21</f>
        <v>1011.1</v>
      </c>
      <c r="J37" s="257">
        <f t="shared" si="5"/>
        <v>7442.1515034965032</v>
      </c>
      <c r="K37" s="112">
        <f t="shared" si="6"/>
        <v>938.40462370904572</v>
      </c>
      <c r="L37" s="257"/>
      <c r="M37" s="257">
        <v>5776.2816474530337</v>
      </c>
      <c r="N37" s="257"/>
      <c r="O37" s="257">
        <f t="shared" si="2"/>
        <v>7349.3582616632066</v>
      </c>
    </row>
    <row r="38" spans="1:15" ht="6.75" customHeight="1" x14ac:dyDescent="0.25">
      <c r="A38" s="103"/>
      <c r="D38" s="112"/>
      <c r="E38" s="112"/>
      <c r="F38" s="113"/>
      <c r="G38" s="257"/>
      <c r="H38" s="257"/>
      <c r="I38" s="257"/>
      <c r="J38" s="112"/>
      <c r="K38" s="112"/>
      <c r="L38" s="112"/>
      <c r="M38" s="112"/>
      <c r="N38" s="112"/>
      <c r="O38" s="112"/>
    </row>
    <row r="39" spans="1:15" ht="13" x14ac:dyDescent="0.3">
      <c r="A39" s="103"/>
      <c r="B39" s="110" t="s">
        <v>251</v>
      </c>
      <c r="C39" s="106"/>
      <c r="D39" s="116">
        <f>SUM(D26:D37)</f>
        <v>47025.790399781479</v>
      </c>
      <c r="E39" s="116">
        <f>SUM(E26:E37)</f>
        <v>7536.063882825084</v>
      </c>
      <c r="F39" s="117"/>
      <c r="G39" s="282">
        <f>SUM(G26:G37)</f>
        <v>46923.174000000006</v>
      </c>
      <c r="H39" s="282">
        <f>SUM(H26:H37)</f>
        <v>41234.763216783213</v>
      </c>
      <c r="I39" s="282">
        <f>SUM(I26:I37)</f>
        <v>11284.300000000001</v>
      </c>
      <c r="J39" s="116">
        <f>SUM(J26:J37)</f>
        <v>99442.237216783207</v>
      </c>
      <c r="K39" s="116">
        <f>SUM(K26:K37)</f>
        <v>12169.900450293304</v>
      </c>
      <c r="L39" s="116"/>
      <c r="M39" s="116">
        <f>SUM(M26:M37)</f>
        <v>55675.995008492973</v>
      </c>
      <c r="N39" s="116"/>
      <c r="O39" s="116">
        <f>SUM(O26:O37)</f>
        <v>75381.959341611349</v>
      </c>
    </row>
    <row r="40" spans="1:15" x14ac:dyDescent="0.25">
      <c r="A40" s="103"/>
      <c r="D40" s="112"/>
      <c r="E40" s="112"/>
      <c r="F40" s="113"/>
      <c r="G40" s="112"/>
      <c r="H40" s="112"/>
      <c r="I40" s="112"/>
      <c r="J40" s="112"/>
      <c r="K40" s="112"/>
      <c r="L40" s="112"/>
      <c r="M40" s="112"/>
      <c r="N40" s="112"/>
      <c r="O40" s="112"/>
    </row>
    <row r="41" spans="1:15" ht="13" x14ac:dyDescent="0.3">
      <c r="A41" s="103"/>
      <c r="B41" s="110" t="s">
        <v>332</v>
      </c>
    </row>
    <row r="42" spans="1:15" x14ac:dyDescent="0.25">
      <c r="A42" s="103"/>
      <c r="B42" s="103" t="s">
        <v>125</v>
      </c>
      <c r="D42" s="112">
        <f>D26*D26/D10</f>
        <v>3950.6939396876523</v>
      </c>
      <c r="E42" s="112">
        <f>E26*E26/E10</f>
        <v>622.71397095981365</v>
      </c>
      <c r="F42" s="113"/>
      <c r="G42" s="257">
        <f>G26</f>
        <v>4174.8</v>
      </c>
      <c r="H42" s="257">
        <f>H26</f>
        <v>2739.1</v>
      </c>
      <c r="I42" s="257">
        <f>I26</f>
        <v>1099.3</v>
      </c>
      <c r="J42" s="112">
        <f>SUM(G42:I42)</f>
        <v>8013.2</v>
      </c>
      <c r="K42" s="112">
        <f>K26</f>
        <v>1023.8245385541505</v>
      </c>
      <c r="L42" s="112"/>
      <c r="M42" s="112">
        <f>M26*M26/M10</f>
        <v>5834.4126146707467</v>
      </c>
      <c r="N42" s="112"/>
      <c r="O42" s="112">
        <f t="shared" ref="O42:O46" si="17">E42+K42+M42</f>
        <v>7480.9511241847104</v>
      </c>
    </row>
    <row r="43" spans="1:15" x14ac:dyDescent="0.25">
      <c r="A43" s="103"/>
      <c r="B43" s="103" t="s">
        <v>126</v>
      </c>
      <c r="D43" s="112">
        <f t="shared" ref="D43:E46" si="18">D27*D27/D11</f>
        <v>3609.7646027293185</v>
      </c>
      <c r="E43" s="112">
        <f t="shared" si="18"/>
        <v>562.25693283568717</v>
      </c>
      <c r="F43" s="113"/>
      <c r="G43" s="257">
        <f t="shared" ref="G43:I46" si="19">G27</f>
        <v>3763.2</v>
      </c>
      <c r="H43" s="257">
        <f t="shared" si="19"/>
        <v>1767.92</v>
      </c>
      <c r="I43" s="257">
        <f t="shared" si="19"/>
        <v>1029.4000000000001</v>
      </c>
      <c r="J43" s="112">
        <f t="shared" ref="J43:J46" si="20">SUM(G43:I43)</f>
        <v>6560.52</v>
      </c>
      <c r="K43" s="112">
        <f t="shared" ref="K43:K46" si="21">K27</f>
        <v>903.99652975415052</v>
      </c>
      <c r="L43" s="112"/>
      <c r="M43" s="112">
        <f t="shared" ref="M43" si="22">M27*M27/M11</f>
        <v>5294.3147061523277</v>
      </c>
      <c r="N43" s="112"/>
      <c r="O43" s="112">
        <f t="shared" si="17"/>
        <v>6760.5681687421657</v>
      </c>
    </row>
    <row r="44" spans="1:15" x14ac:dyDescent="0.25">
      <c r="A44" s="103"/>
      <c r="B44" s="103" t="s">
        <v>127</v>
      </c>
      <c r="D44" s="112">
        <f t="shared" si="18"/>
        <v>3805.6686229028414</v>
      </c>
      <c r="E44" s="112">
        <f t="shared" si="18"/>
        <v>592.67576137607819</v>
      </c>
      <c r="F44" s="113"/>
      <c r="G44" s="257">
        <f t="shared" ref="G44:H44" si="23">G28</f>
        <v>4326</v>
      </c>
      <c r="H44" s="257">
        <f t="shared" si="23"/>
        <v>3062.3599999999969</v>
      </c>
      <c r="I44" s="257">
        <f t="shared" si="19"/>
        <v>1243.8</v>
      </c>
      <c r="J44" s="112">
        <f t="shared" si="20"/>
        <v>8632.1599999999962</v>
      </c>
      <c r="K44" s="112">
        <f t="shared" si="21"/>
        <v>1075.7562021541501</v>
      </c>
      <c r="L44" s="112"/>
      <c r="M44" s="112">
        <f t="shared" ref="M44" si="24">M28*M28/M12</f>
        <v>5156.2956029031066</v>
      </c>
      <c r="N44" s="112"/>
      <c r="O44" s="112">
        <f t="shared" si="17"/>
        <v>6824.7275664333347</v>
      </c>
    </row>
    <row r="45" spans="1:15" x14ac:dyDescent="0.25">
      <c r="A45" s="103"/>
      <c r="B45" s="103" t="s">
        <v>128</v>
      </c>
      <c r="D45" s="112">
        <f t="shared" si="18"/>
        <v>4472.2579365333804</v>
      </c>
      <c r="E45" s="112">
        <f t="shared" si="18"/>
        <v>714.60866199750819</v>
      </c>
      <c r="F45" s="113"/>
      <c r="G45" s="257">
        <f t="shared" ref="G45:H45" si="25">G29</f>
        <v>3946.846</v>
      </c>
      <c r="H45" s="257">
        <f t="shared" si="25"/>
        <v>3680.1608391608397</v>
      </c>
      <c r="I45" s="257">
        <f t="shared" si="19"/>
        <v>820.1</v>
      </c>
      <c r="J45" s="112">
        <f t="shared" si="20"/>
        <v>8447.1068391608405</v>
      </c>
      <c r="K45" s="112">
        <f t="shared" si="21"/>
        <v>1023.917220588976</v>
      </c>
      <c r="L45" s="112"/>
      <c r="M45" s="112">
        <f t="shared" ref="M45" si="26">M29*M29/M13</f>
        <v>4543.8255239670643</v>
      </c>
      <c r="N45" s="112"/>
      <c r="O45" s="112">
        <f t="shared" si="17"/>
        <v>6282.3514065535483</v>
      </c>
    </row>
    <row r="46" spans="1:15" x14ac:dyDescent="0.25">
      <c r="A46" s="103"/>
      <c r="B46" s="103" t="s">
        <v>129</v>
      </c>
      <c r="D46" s="112">
        <f t="shared" si="18"/>
        <v>3488.6271162357139</v>
      </c>
      <c r="E46" s="112">
        <f t="shared" si="18"/>
        <v>560.14820450141337</v>
      </c>
      <c r="F46" s="113"/>
      <c r="G46" s="257">
        <f t="shared" ref="G46:H46" si="27">G30</f>
        <v>3741.6309999999999</v>
      </c>
      <c r="H46" s="257">
        <f t="shared" si="27"/>
        <v>3698.1608391608397</v>
      </c>
      <c r="I46" s="257">
        <f t="shared" si="19"/>
        <v>720.7</v>
      </c>
      <c r="J46" s="112">
        <f t="shared" si="20"/>
        <v>8160.4918391608398</v>
      </c>
      <c r="K46" s="112">
        <f t="shared" si="21"/>
        <v>989.69733093897582</v>
      </c>
      <c r="L46" s="112"/>
      <c r="M46" s="112">
        <f t="shared" ref="M46" si="28">M30*M30/M14</f>
        <v>4131.0433402411281</v>
      </c>
      <c r="N46" s="112"/>
      <c r="O46" s="112">
        <f t="shared" si="17"/>
        <v>5680.8888756815177</v>
      </c>
    </row>
    <row r="47" spans="1:15" ht="13" x14ac:dyDescent="0.3">
      <c r="A47" s="103"/>
      <c r="B47" s="110"/>
      <c r="C47" s="106"/>
      <c r="D47" s="116"/>
      <c r="E47" s="116"/>
      <c r="F47" s="117"/>
      <c r="G47" s="116"/>
      <c r="H47" s="116"/>
      <c r="I47" s="116"/>
      <c r="J47" s="116"/>
      <c r="K47" s="116"/>
      <c r="L47" s="116"/>
      <c r="M47" s="116"/>
      <c r="N47" s="116"/>
      <c r="O47" s="116"/>
    </row>
    <row r="48" spans="1:15" ht="13" x14ac:dyDescent="0.3">
      <c r="A48" s="103"/>
      <c r="B48" s="150" t="s">
        <v>333</v>
      </c>
      <c r="C48" s="151"/>
      <c r="D48" s="152"/>
      <c r="E48" s="152">
        <f>SUM(E15:E21,E26:E37,E42:E46)</f>
        <v>14477.124590742227</v>
      </c>
      <c r="F48" s="153"/>
      <c r="G48" s="152"/>
      <c r="H48" s="152"/>
      <c r="I48" s="152"/>
      <c r="J48" s="152"/>
      <c r="K48" s="152">
        <f>SUM(K15:K21,K26:K37,K42:K46)</f>
        <v>24339.800900586608</v>
      </c>
      <c r="L48" s="152"/>
      <c r="M48" s="152">
        <f>SUM(M15:M21,M26:M37,M42:M46)</f>
        <v>111135.26635967137</v>
      </c>
      <c r="N48" s="152"/>
      <c r="O48" s="152">
        <f>SUM(O15:O21,O26:O37,O42:O46)</f>
        <v>149952.19185100021</v>
      </c>
    </row>
    <row r="49" spans="1:15" ht="6.65" customHeight="1" x14ac:dyDescent="0.3">
      <c r="A49" s="103"/>
      <c r="B49" s="110"/>
      <c r="C49" s="106"/>
      <c r="D49" s="116"/>
      <c r="E49" s="116"/>
      <c r="F49" s="117"/>
      <c r="G49" s="116"/>
      <c r="H49" s="116"/>
      <c r="I49" s="116"/>
      <c r="J49" s="116"/>
      <c r="K49" s="116"/>
      <c r="L49" s="116"/>
      <c r="M49" s="116"/>
      <c r="N49" s="116"/>
      <c r="O49" s="116"/>
    </row>
    <row r="51" spans="1:15" x14ac:dyDescent="0.25">
      <c r="B51" s="103" t="s">
        <v>315</v>
      </c>
    </row>
    <row r="52" spans="1:15" ht="46.5" customHeight="1" x14ac:dyDescent="0.25">
      <c r="B52" s="428" t="s">
        <v>556</v>
      </c>
      <c r="C52" s="428"/>
      <c r="D52" s="428"/>
      <c r="E52" s="428"/>
      <c r="F52" s="428"/>
      <c r="G52" s="428"/>
      <c r="H52" s="428"/>
      <c r="I52" s="428"/>
      <c r="J52" s="428"/>
      <c r="K52" s="428"/>
      <c r="L52" s="428"/>
      <c r="M52" s="428"/>
      <c r="N52" s="428"/>
      <c r="O52" s="428"/>
    </row>
    <row r="60" spans="1:15" ht="14.5" x14ac:dyDescent="0.35">
      <c r="D60" s="132"/>
      <c r="E60" s="132"/>
      <c r="F60" s="132"/>
      <c r="G60" s="132"/>
      <c r="H60" s="132"/>
      <c r="I60" s="132"/>
      <c r="J60" s="132"/>
      <c r="K60" s="132"/>
      <c r="L60" s="132"/>
      <c r="M60" s="132"/>
      <c r="N60" s="132"/>
      <c r="O60" s="132"/>
    </row>
    <row r="61" spans="1:15" ht="14.5" x14ac:dyDescent="0.35">
      <c r="D61" s="132"/>
      <c r="E61" s="132"/>
      <c r="F61" s="132"/>
      <c r="G61" s="132"/>
      <c r="H61" s="132"/>
      <c r="I61" s="132"/>
      <c r="J61" s="132"/>
      <c r="K61" s="132"/>
      <c r="L61" s="132"/>
      <c r="M61" s="132"/>
      <c r="N61" s="132"/>
      <c r="O61" s="132"/>
    </row>
    <row r="62" spans="1:15" ht="14.5" x14ac:dyDescent="0.35">
      <c r="D62" s="132"/>
      <c r="E62" s="132"/>
      <c r="F62" s="132"/>
      <c r="G62" s="132"/>
      <c r="H62" s="132"/>
      <c r="I62" s="132"/>
      <c r="J62" s="132"/>
      <c r="K62" s="132"/>
      <c r="L62" s="132"/>
      <c r="M62" s="132"/>
      <c r="N62" s="132"/>
      <c r="O62" s="132"/>
    </row>
    <row r="63" spans="1:15" ht="14.5" x14ac:dyDescent="0.35">
      <c r="D63" s="132"/>
      <c r="E63" s="132"/>
      <c r="F63" s="132"/>
      <c r="G63" s="132"/>
      <c r="H63" s="132"/>
      <c r="I63" s="132"/>
      <c r="J63" s="132"/>
      <c r="K63" s="132"/>
      <c r="L63" s="132"/>
      <c r="M63" s="132"/>
      <c r="N63" s="132"/>
      <c r="O63" s="132"/>
    </row>
    <row r="64" spans="1:15" ht="14.5" x14ac:dyDescent="0.35">
      <c r="D64" s="132"/>
      <c r="E64" s="132"/>
      <c r="F64" s="132"/>
      <c r="G64" s="132"/>
      <c r="H64" s="132"/>
      <c r="I64" s="132"/>
      <c r="J64" s="132"/>
      <c r="K64" s="132"/>
      <c r="L64" s="132"/>
      <c r="M64" s="132"/>
      <c r="N64" s="132"/>
      <c r="O64" s="132"/>
    </row>
    <row r="65" spans="1:15" ht="14.5" x14ac:dyDescent="0.35">
      <c r="D65" s="132"/>
      <c r="E65" s="132"/>
      <c r="F65" s="132"/>
      <c r="G65" s="132"/>
      <c r="H65" s="132"/>
      <c r="I65" s="132"/>
      <c r="J65" s="132"/>
      <c r="K65" s="132"/>
      <c r="L65" s="132"/>
      <c r="M65" s="132"/>
      <c r="N65" s="132"/>
      <c r="O65" s="132"/>
    </row>
    <row r="66" spans="1:15" ht="14.5" x14ac:dyDescent="0.35">
      <c r="D66" s="132"/>
      <c r="E66" s="132"/>
      <c r="F66" s="132"/>
      <c r="G66" s="132"/>
      <c r="H66" s="132"/>
      <c r="I66" s="132"/>
      <c r="J66" s="132"/>
      <c r="K66" s="132"/>
      <c r="L66" s="132"/>
      <c r="M66" s="132"/>
      <c r="N66" s="132"/>
      <c r="O66" s="132"/>
    </row>
    <row r="67" spans="1:15" ht="13" x14ac:dyDescent="0.3">
      <c r="A67" s="119"/>
      <c r="B67" s="110"/>
      <c r="C67" s="106"/>
      <c r="D67" s="124"/>
      <c r="E67" s="124"/>
      <c r="F67" s="124"/>
      <c r="G67" s="124"/>
      <c r="H67" s="124"/>
      <c r="I67" s="124"/>
      <c r="J67" s="124"/>
      <c r="K67" s="124"/>
      <c r="L67" s="124"/>
      <c r="N67" s="124"/>
      <c r="O67" s="124"/>
    </row>
    <row r="68" spans="1:15" ht="14.5" x14ac:dyDescent="0.35">
      <c r="B68" s="119"/>
      <c r="D68" s="132"/>
      <c r="E68" s="132"/>
      <c r="F68" s="132"/>
      <c r="G68" s="132"/>
      <c r="H68" s="132"/>
      <c r="I68" s="132"/>
      <c r="J68" s="132"/>
      <c r="K68" s="132"/>
      <c r="L68" s="132"/>
      <c r="M68" s="132"/>
      <c r="N68" s="132"/>
      <c r="O68" s="132"/>
    </row>
    <row r="69" spans="1:15" ht="13" x14ac:dyDescent="0.3">
      <c r="B69" s="110"/>
      <c r="D69" s="124"/>
      <c r="E69" s="124"/>
      <c r="F69" s="124"/>
      <c r="G69" s="124"/>
      <c r="H69" s="124"/>
      <c r="I69" s="124"/>
      <c r="J69" s="124"/>
      <c r="K69" s="124"/>
      <c r="L69" s="124"/>
      <c r="M69" s="124"/>
      <c r="N69" s="124"/>
      <c r="O69" s="124"/>
    </row>
    <row r="70" spans="1:15" ht="14.5" x14ac:dyDescent="0.35">
      <c r="D70" s="126"/>
      <c r="E70" s="126"/>
      <c r="F70" s="126"/>
      <c r="G70" s="126"/>
      <c r="H70" s="126"/>
      <c r="I70" s="126"/>
      <c r="J70" s="126"/>
      <c r="K70" s="126"/>
      <c r="L70" s="126"/>
      <c r="M70" s="126"/>
      <c r="N70" s="126"/>
      <c r="O70" s="126"/>
    </row>
    <row r="71" spans="1:15" ht="14.5" x14ac:dyDescent="0.35">
      <c r="D71" s="126"/>
      <c r="E71" s="126"/>
      <c r="F71" s="126"/>
      <c r="G71" s="126"/>
      <c r="H71" s="126"/>
      <c r="I71" s="126"/>
      <c r="J71" s="126"/>
      <c r="K71" s="126"/>
      <c r="L71" s="126"/>
      <c r="M71" s="126"/>
      <c r="N71" s="126"/>
      <c r="O71" s="126"/>
    </row>
    <row r="72" spans="1:15" ht="14.5" x14ac:dyDescent="0.35">
      <c r="D72" s="126"/>
      <c r="E72" s="126"/>
      <c r="F72" s="126"/>
      <c r="G72" s="126"/>
      <c r="H72" s="126"/>
      <c r="I72" s="126"/>
      <c r="J72" s="126"/>
      <c r="K72" s="126"/>
      <c r="L72" s="126"/>
      <c r="M72" s="126"/>
      <c r="N72" s="126"/>
      <c r="O72" s="126"/>
    </row>
    <row r="73" spans="1:15" ht="14.5" x14ac:dyDescent="0.35">
      <c r="D73" s="126"/>
      <c r="E73" s="126"/>
      <c r="F73" s="126"/>
      <c r="G73" s="126"/>
      <c r="H73" s="126"/>
      <c r="I73" s="126"/>
      <c r="J73" s="126"/>
      <c r="K73" s="126"/>
      <c r="L73" s="126"/>
      <c r="M73" s="126"/>
      <c r="N73" s="126"/>
      <c r="O73" s="126"/>
    </row>
    <row r="74" spans="1:15" ht="14.5" x14ac:dyDescent="0.35">
      <c r="D74" s="126"/>
      <c r="E74" s="126"/>
      <c r="F74" s="126"/>
      <c r="G74" s="126"/>
      <c r="H74" s="126"/>
      <c r="I74" s="126"/>
      <c r="J74" s="126"/>
      <c r="K74" s="126"/>
      <c r="L74" s="126"/>
      <c r="M74" s="126"/>
      <c r="N74" s="126"/>
      <c r="O74" s="126"/>
    </row>
    <row r="75" spans="1:15" ht="14.5" x14ac:dyDescent="0.35">
      <c r="D75" s="126"/>
      <c r="E75" s="126"/>
      <c r="F75" s="126"/>
      <c r="G75" s="126"/>
      <c r="H75" s="126"/>
      <c r="I75" s="126"/>
      <c r="J75" s="126"/>
      <c r="K75" s="126"/>
      <c r="L75" s="126"/>
      <c r="M75" s="126"/>
      <c r="N75" s="126"/>
      <c r="O75" s="126"/>
    </row>
    <row r="76" spans="1:15" ht="14.5" x14ac:dyDescent="0.35">
      <c r="D76" s="126"/>
      <c r="E76" s="126"/>
      <c r="F76" s="126"/>
      <c r="G76" s="126"/>
      <c r="H76" s="126"/>
      <c r="I76" s="126"/>
      <c r="J76" s="126"/>
      <c r="K76" s="126"/>
      <c r="L76" s="126"/>
      <c r="M76" s="126"/>
      <c r="N76" s="126"/>
      <c r="O76" s="126"/>
    </row>
    <row r="77" spans="1:15" ht="14.5" x14ac:dyDescent="0.35">
      <c r="D77" s="126"/>
      <c r="E77" s="126"/>
      <c r="F77" s="126"/>
      <c r="G77" s="126"/>
      <c r="H77" s="126"/>
      <c r="I77" s="126"/>
      <c r="J77" s="126"/>
      <c r="K77" s="126"/>
      <c r="L77" s="126"/>
      <c r="M77" s="126"/>
      <c r="N77" s="126"/>
      <c r="O77" s="126"/>
    </row>
    <row r="78" spans="1:15" ht="14.5" x14ac:dyDescent="0.35">
      <c r="D78" s="126"/>
      <c r="E78" s="126"/>
      <c r="F78" s="126"/>
      <c r="G78" s="126"/>
      <c r="H78" s="126"/>
      <c r="I78" s="126"/>
      <c r="J78" s="126"/>
      <c r="K78" s="126"/>
      <c r="L78" s="126"/>
      <c r="M78" s="126"/>
      <c r="N78" s="126"/>
      <c r="O78" s="126"/>
    </row>
    <row r="79" spans="1:15" ht="14.5" x14ac:dyDescent="0.35">
      <c r="D79" s="126"/>
      <c r="E79" s="126"/>
      <c r="F79" s="126"/>
      <c r="G79" s="126"/>
      <c r="H79" s="126"/>
      <c r="I79" s="126"/>
      <c r="J79" s="126"/>
      <c r="K79" s="126"/>
      <c r="L79" s="126"/>
      <c r="M79" s="126"/>
      <c r="N79" s="126"/>
      <c r="O79" s="126"/>
    </row>
    <row r="80" spans="1:15" ht="14.5" x14ac:dyDescent="0.35">
      <c r="D80" s="126"/>
      <c r="E80" s="126"/>
      <c r="F80" s="126"/>
      <c r="G80" s="126"/>
      <c r="H80" s="126"/>
      <c r="I80" s="126"/>
      <c r="J80" s="126"/>
      <c r="K80" s="126"/>
      <c r="L80" s="126"/>
      <c r="M80" s="126"/>
      <c r="N80" s="126"/>
      <c r="O80" s="126"/>
    </row>
    <row r="81" spans="4:15" ht="14.5" x14ac:dyDescent="0.35">
      <c r="D81" s="126"/>
      <c r="E81" s="126"/>
      <c r="F81" s="126"/>
      <c r="G81" s="126"/>
      <c r="H81" s="126"/>
      <c r="I81" s="126"/>
      <c r="J81" s="126"/>
      <c r="K81" s="126"/>
      <c r="L81" s="126"/>
      <c r="M81" s="126"/>
      <c r="N81" s="126"/>
      <c r="O81" s="126"/>
    </row>
    <row r="82" spans="4:15" ht="14.5" x14ac:dyDescent="0.35">
      <c r="D82" s="126"/>
      <c r="E82" s="126"/>
      <c r="F82" s="126"/>
      <c r="G82" s="126"/>
      <c r="H82" s="126"/>
      <c r="I82" s="126"/>
      <c r="J82" s="126"/>
      <c r="K82" s="126"/>
      <c r="L82" s="126"/>
      <c r="M82" s="126"/>
      <c r="N82" s="126"/>
      <c r="O82" s="126"/>
    </row>
    <row r="83" spans="4:15" ht="14.5" x14ac:dyDescent="0.35">
      <c r="D83" s="126"/>
      <c r="E83" s="126"/>
      <c r="F83" s="126"/>
      <c r="G83" s="126"/>
      <c r="H83" s="126"/>
      <c r="I83" s="126"/>
      <c r="J83" s="126"/>
      <c r="K83" s="126"/>
      <c r="L83" s="126"/>
      <c r="M83" s="126"/>
      <c r="N83" s="126"/>
      <c r="O83" s="126"/>
    </row>
    <row r="84" spans="4:15" ht="14.5" x14ac:dyDescent="0.35">
      <c r="D84" s="126"/>
      <c r="E84" s="126"/>
      <c r="F84" s="126"/>
      <c r="G84" s="126"/>
      <c r="H84" s="126"/>
      <c r="I84" s="126"/>
      <c r="J84" s="126"/>
      <c r="K84" s="126"/>
      <c r="L84" s="126"/>
      <c r="M84" s="126"/>
      <c r="N84" s="126"/>
      <c r="O84" s="126"/>
    </row>
    <row r="85" spans="4:15" ht="14.5" x14ac:dyDescent="0.35">
      <c r="D85" s="126"/>
      <c r="E85" s="126"/>
      <c r="F85" s="126"/>
      <c r="G85" s="126"/>
      <c r="H85" s="126"/>
      <c r="I85" s="126"/>
      <c r="J85" s="126"/>
      <c r="K85" s="126"/>
      <c r="L85" s="126"/>
      <c r="M85" s="126"/>
      <c r="N85" s="126"/>
      <c r="O85" s="126"/>
    </row>
    <row r="86" spans="4:15" ht="14.5" x14ac:dyDescent="0.35">
      <c r="D86" s="126"/>
      <c r="E86" s="126"/>
      <c r="F86" s="126"/>
      <c r="G86" s="126"/>
      <c r="H86" s="126"/>
      <c r="I86" s="126"/>
      <c r="J86" s="126"/>
      <c r="K86" s="126"/>
      <c r="L86" s="126"/>
      <c r="M86" s="126"/>
      <c r="N86" s="126"/>
      <c r="O86" s="126"/>
    </row>
    <row r="87" spans="4:15" ht="14.5" x14ac:dyDescent="0.35">
      <c r="D87" s="126"/>
      <c r="E87" s="126"/>
      <c r="F87" s="126"/>
      <c r="G87" s="126"/>
      <c r="H87" s="126"/>
      <c r="I87" s="126"/>
      <c r="J87" s="126"/>
      <c r="K87" s="126"/>
      <c r="L87" s="126"/>
      <c r="M87" s="126"/>
      <c r="N87" s="126"/>
      <c r="O87" s="126"/>
    </row>
    <row r="88" spans="4:15" ht="14.5" x14ac:dyDescent="0.35">
      <c r="D88" s="126"/>
      <c r="E88" s="126"/>
      <c r="F88" s="126"/>
      <c r="G88" s="126"/>
      <c r="H88" s="126"/>
      <c r="I88" s="126"/>
      <c r="J88" s="126"/>
      <c r="K88" s="126"/>
      <c r="L88" s="126"/>
      <c r="M88" s="126"/>
      <c r="N88" s="126"/>
      <c r="O88" s="126"/>
    </row>
    <row r="89" spans="4:15" ht="14.5" x14ac:dyDescent="0.35">
      <c r="D89" s="126"/>
      <c r="E89" s="126"/>
      <c r="F89" s="126"/>
      <c r="G89" s="126"/>
      <c r="H89" s="126"/>
      <c r="I89" s="126"/>
      <c r="J89" s="126"/>
      <c r="K89" s="126"/>
      <c r="L89" s="126"/>
      <c r="M89" s="126"/>
      <c r="N89" s="126"/>
      <c r="O89" s="126"/>
    </row>
    <row r="90" spans="4:15" ht="14.5" x14ac:dyDescent="0.35">
      <c r="D90" s="126"/>
      <c r="E90" s="126"/>
      <c r="F90" s="126"/>
      <c r="G90" s="126"/>
      <c r="H90" s="126"/>
      <c r="I90" s="126"/>
      <c r="J90" s="126"/>
      <c r="K90" s="126"/>
      <c r="L90" s="126"/>
      <c r="M90" s="126"/>
      <c r="N90" s="126"/>
      <c r="O90" s="126"/>
    </row>
    <row r="91" spans="4:15" ht="14.5" x14ac:dyDescent="0.35">
      <c r="D91" s="126"/>
      <c r="E91" s="126"/>
      <c r="F91" s="126"/>
      <c r="G91" s="126"/>
      <c r="H91" s="126"/>
      <c r="I91" s="126"/>
      <c r="J91" s="126"/>
      <c r="K91" s="126"/>
      <c r="L91" s="126"/>
      <c r="M91" s="126"/>
      <c r="N91" s="126"/>
      <c r="O91" s="126"/>
    </row>
    <row r="92" spans="4:15" ht="14.5" x14ac:dyDescent="0.35">
      <c r="D92" s="126"/>
      <c r="E92" s="126"/>
      <c r="F92" s="126"/>
      <c r="G92" s="126"/>
      <c r="H92" s="126"/>
      <c r="I92" s="126"/>
      <c r="J92" s="126"/>
      <c r="K92" s="126"/>
      <c r="L92" s="126"/>
      <c r="M92" s="126"/>
      <c r="N92" s="126"/>
      <c r="O92" s="126"/>
    </row>
    <row r="93" spans="4:15" ht="14.5" x14ac:dyDescent="0.35">
      <c r="D93" s="126"/>
      <c r="E93" s="126"/>
      <c r="F93" s="126"/>
      <c r="G93" s="126"/>
      <c r="H93" s="126"/>
      <c r="I93" s="126"/>
      <c r="J93" s="126"/>
      <c r="K93" s="126"/>
      <c r="L93" s="126"/>
      <c r="M93" s="126"/>
      <c r="N93" s="126"/>
      <c r="O93" s="126"/>
    </row>
    <row r="94" spans="4:15" ht="14.5" x14ac:dyDescent="0.35">
      <c r="D94" s="126"/>
      <c r="E94" s="126"/>
      <c r="F94" s="126"/>
      <c r="G94" s="126"/>
      <c r="H94" s="126"/>
      <c r="I94" s="126"/>
      <c r="J94" s="126"/>
      <c r="K94" s="126"/>
      <c r="L94" s="126"/>
      <c r="M94" s="126"/>
      <c r="N94" s="126"/>
      <c r="O94" s="126"/>
    </row>
    <row r="95" spans="4:15" ht="14.5" x14ac:dyDescent="0.35">
      <c r="D95" s="126"/>
      <c r="E95" s="126"/>
      <c r="F95" s="126"/>
      <c r="G95" s="126"/>
      <c r="H95" s="126"/>
      <c r="I95" s="126"/>
      <c r="J95" s="126"/>
      <c r="K95" s="126"/>
      <c r="L95" s="126"/>
      <c r="M95" s="126"/>
      <c r="N95" s="126"/>
      <c r="O95" s="126"/>
    </row>
    <row r="96" spans="4:15" ht="14.5" x14ac:dyDescent="0.35">
      <c r="D96" s="126"/>
      <c r="E96" s="126"/>
      <c r="F96" s="126"/>
      <c r="G96" s="126"/>
      <c r="H96" s="126"/>
      <c r="I96" s="126"/>
      <c r="J96" s="126"/>
      <c r="K96" s="126"/>
      <c r="L96" s="126"/>
      <c r="M96" s="126"/>
      <c r="N96" s="126"/>
      <c r="O96" s="126"/>
    </row>
    <row r="97" spans="4:15" ht="14.5" x14ac:dyDescent="0.35">
      <c r="D97" s="126"/>
      <c r="E97" s="126"/>
      <c r="F97" s="126"/>
      <c r="G97" s="126"/>
      <c r="H97" s="126"/>
      <c r="I97" s="126"/>
      <c r="J97" s="126"/>
      <c r="K97" s="126"/>
      <c r="L97" s="126"/>
      <c r="M97" s="126"/>
      <c r="N97" s="126"/>
      <c r="O97" s="126"/>
    </row>
    <row r="98" spans="4:15" ht="14.5" x14ac:dyDescent="0.35">
      <c r="D98" s="126"/>
      <c r="E98" s="126"/>
      <c r="F98" s="126"/>
      <c r="G98" s="126"/>
      <c r="H98" s="126"/>
      <c r="I98" s="126"/>
      <c r="J98" s="126"/>
      <c r="K98" s="126"/>
      <c r="L98" s="126"/>
      <c r="M98" s="126"/>
      <c r="N98" s="126"/>
      <c r="O98" s="126"/>
    </row>
    <row r="99" spans="4:15" ht="14.5" x14ac:dyDescent="0.35">
      <c r="D99" s="126"/>
      <c r="E99" s="126"/>
      <c r="F99" s="126"/>
      <c r="G99" s="126"/>
      <c r="H99" s="126"/>
      <c r="I99" s="126"/>
      <c r="J99" s="126"/>
      <c r="K99" s="126"/>
      <c r="L99" s="126"/>
      <c r="M99" s="126"/>
      <c r="N99" s="126"/>
      <c r="O99" s="126"/>
    </row>
    <row r="100" spans="4:15" ht="14.5" x14ac:dyDescent="0.35">
      <c r="D100" s="126"/>
      <c r="E100" s="126"/>
      <c r="F100" s="126"/>
      <c r="G100" s="126"/>
      <c r="H100" s="126"/>
      <c r="I100" s="126"/>
      <c r="J100" s="126"/>
      <c r="K100" s="126"/>
      <c r="L100" s="126"/>
      <c r="M100" s="126"/>
      <c r="N100" s="126"/>
      <c r="O100" s="126"/>
    </row>
    <row r="101" spans="4:15" ht="14.5" x14ac:dyDescent="0.35">
      <c r="D101" s="126"/>
      <c r="E101" s="126"/>
      <c r="F101" s="126"/>
      <c r="G101" s="126"/>
      <c r="H101" s="126"/>
      <c r="I101" s="126"/>
      <c r="J101" s="126"/>
      <c r="K101" s="126"/>
      <c r="L101" s="126"/>
      <c r="M101" s="126"/>
      <c r="N101" s="126"/>
      <c r="O101" s="126"/>
    </row>
    <row r="102" spans="4:15" ht="14.5" x14ac:dyDescent="0.35">
      <c r="D102" s="126"/>
      <c r="E102" s="126"/>
      <c r="F102" s="126"/>
      <c r="G102" s="126"/>
      <c r="H102" s="126"/>
      <c r="I102" s="126"/>
      <c r="J102" s="126"/>
      <c r="K102" s="126"/>
      <c r="L102" s="126"/>
      <c r="M102" s="126"/>
      <c r="N102" s="126"/>
      <c r="O102" s="126"/>
    </row>
    <row r="103" spans="4:15" ht="14.5" x14ac:dyDescent="0.35">
      <c r="D103" s="126"/>
      <c r="E103" s="126"/>
      <c r="F103" s="126"/>
      <c r="G103" s="126"/>
      <c r="H103" s="126"/>
      <c r="I103" s="126"/>
      <c r="J103" s="126"/>
      <c r="K103" s="126"/>
      <c r="L103" s="126"/>
      <c r="M103" s="126"/>
      <c r="N103" s="126"/>
      <c r="O103" s="126"/>
    </row>
    <row r="104" spans="4:15" ht="14.5" x14ac:dyDescent="0.35">
      <c r="D104" s="126"/>
      <c r="E104" s="126"/>
      <c r="F104" s="126"/>
      <c r="G104" s="126"/>
      <c r="H104" s="126"/>
      <c r="I104" s="126"/>
      <c r="J104" s="126"/>
      <c r="K104" s="126"/>
      <c r="L104" s="126"/>
      <c r="M104" s="126"/>
      <c r="N104" s="126"/>
      <c r="O104" s="126"/>
    </row>
    <row r="105" spans="4:15" ht="14.5" x14ac:dyDescent="0.35">
      <c r="D105" s="126"/>
      <c r="E105" s="126"/>
      <c r="F105" s="126"/>
      <c r="G105" s="126"/>
      <c r="H105" s="126"/>
      <c r="I105" s="126"/>
      <c r="J105" s="126"/>
      <c r="K105" s="126"/>
      <c r="L105" s="126"/>
      <c r="M105" s="126"/>
      <c r="N105" s="126"/>
      <c r="O105" s="126"/>
    </row>
    <row r="106" spans="4:15" ht="14.5" x14ac:dyDescent="0.35">
      <c r="D106" s="126"/>
      <c r="E106" s="126"/>
      <c r="F106" s="126"/>
      <c r="G106" s="126"/>
      <c r="H106" s="126"/>
      <c r="I106" s="126"/>
      <c r="J106" s="126"/>
      <c r="K106" s="126"/>
      <c r="L106" s="126"/>
      <c r="M106" s="126"/>
      <c r="N106" s="126"/>
      <c r="O106" s="126"/>
    </row>
    <row r="107" spans="4:15" ht="14.5" x14ac:dyDescent="0.35">
      <c r="D107" s="126"/>
      <c r="E107" s="126"/>
      <c r="F107" s="126"/>
      <c r="G107" s="126"/>
      <c r="H107" s="126"/>
      <c r="I107" s="126"/>
      <c r="J107" s="126"/>
      <c r="K107" s="126"/>
      <c r="L107" s="126"/>
      <c r="M107" s="126"/>
      <c r="N107" s="126"/>
      <c r="O107" s="126"/>
    </row>
    <row r="108" spans="4:15" ht="14.5" x14ac:dyDescent="0.35">
      <c r="D108" s="126"/>
      <c r="E108" s="126"/>
      <c r="F108" s="126"/>
      <c r="G108" s="126"/>
      <c r="H108" s="126"/>
      <c r="I108" s="126"/>
      <c r="J108" s="126"/>
      <c r="K108" s="126"/>
      <c r="L108" s="126"/>
      <c r="M108" s="126"/>
      <c r="N108" s="126"/>
      <c r="O108" s="126"/>
    </row>
    <row r="109" spans="4:15" ht="14.5" x14ac:dyDescent="0.35">
      <c r="D109" s="126"/>
      <c r="E109" s="126"/>
      <c r="F109" s="126"/>
      <c r="G109" s="126"/>
      <c r="H109" s="126"/>
      <c r="I109" s="126"/>
      <c r="J109" s="126"/>
      <c r="K109" s="126"/>
      <c r="L109" s="126"/>
      <c r="M109" s="126"/>
      <c r="N109" s="126"/>
      <c r="O109" s="126"/>
    </row>
    <row r="110" spans="4:15" ht="14.5" x14ac:dyDescent="0.35">
      <c r="D110" s="126"/>
      <c r="E110" s="126"/>
      <c r="F110" s="126"/>
      <c r="G110" s="126"/>
      <c r="H110" s="126"/>
      <c r="I110" s="126"/>
      <c r="J110" s="126"/>
      <c r="K110" s="126"/>
      <c r="L110" s="126"/>
      <c r="M110" s="126"/>
      <c r="N110" s="126"/>
      <c r="O110" s="126"/>
    </row>
    <row r="111" spans="4:15" ht="14.5" x14ac:dyDescent="0.35">
      <c r="D111" s="126"/>
      <c r="E111" s="126"/>
      <c r="F111" s="126"/>
      <c r="G111" s="126"/>
      <c r="H111" s="126"/>
      <c r="I111" s="126"/>
      <c r="J111" s="126"/>
      <c r="K111" s="126"/>
      <c r="L111" s="126"/>
      <c r="M111" s="126"/>
      <c r="N111" s="126"/>
      <c r="O111" s="126"/>
    </row>
    <row r="112" spans="4:15" ht="14.5" x14ac:dyDescent="0.35">
      <c r="D112" s="126"/>
      <c r="E112" s="126"/>
      <c r="F112" s="126"/>
      <c r="G112" s="126"/>
      <c r="H112" s="126"/>
      <c r="I112" s="126"/>
      <c r="J112" s="126"/>
      <c r="K112" s="126"/>
      <c r="L112" s="126"/>
      <c r="M112" s="126"/>
      <c r="N112" s="126"/>
      <c r="O112" s="126"/>
    </row>
    <row r="113" spans="4:15" ht="14.5" x14ac:dyDescent="0.35">
      <c r="D113" s="126"/>
      <c r="E113" s="126"/>
      <c r="F113" s="126"/>
      <c r="G113" s="126"/>
      <c r="H113" s="126"/>
      <c r="I113" s="126"/>
      <c r="J113" s="126"/>
      <c r="K113" s="126"/>
      <c r="L113" s="126"/>
      <c r="M113" s="126"/>
      <c r="N113" s="126"/>
      <c r="O113" s="126"/>
    </row>
    <row r="114" spans="4:15" ht="14.5" x14ac:dyDescent="0.35">
      <c r="D114" s="126"/>
      <c r="E114" s="126"/>
      <c r="F114" s="126"/>
      <c r="G114" s="126"/>
      <c r="H114" s="126"/>
      <c r="I114" s="126"/>
      <c r="J114" s="126"/>
      <c r="K114" s="126"/>
      <c r="L114" s="126"/>
      <c r="M114" s="126"/>
      <c r="N114" s="126"/>
      <c r="O114" s="126"/>
    </row>
    <row r="115" spans="4:15" ht="14.5" x14ac:dyDescent="0.35">
      <c r="D115" s="126"/>
      <c r="E115" s="126"/>
      <c r="F115" s="126"/>
      <c r="G115" s="126"/>
      <c r="H115" s="126"/>
      <c r="I115" s="126"/>
      <c r="J115" s="126"/>
      <c r="K115" s="126"/>
      <c r="L115" s="126"/>
      <c r="M115" s="126"/>
      <c r="N115" s="126"/>
      <c r="O115" s="126"/>
    </row>
    <row r="116" spans="4:15" ht="14.5" x14ac:dyDescent="0.35">
      <c r="D116" s="126"/>
      <c r="E116" s="126"/>
      <c r="F116" s="126"/>
      <c r="G116" s="126"/>
      <c r="H116" s="126"/>
      <c r="I116" s="126"/>
      <c r="J116" s="126"/>
      <c r="K116" s="126"/>
      <c r="L116" s="126"/>
      <c r="M116" s="126"/>
      <c r="N116" s="126"/>
      <c r="O116" s="126"/>
    </row>
    <row r="117" spans="4:15" ht="14.5" x14ac:dyDescent="0.35">
      <c r="D117" s="126"/>
      <c r="E117" s="126"/>
      <c r="F117" s="126"/>
      <c r="G117" s="126"/>
      <c r="H117" s="126"/>
      <c r="I117" s="126"/>
      <c r="J117" s="126"/>
      <c r="K117" s="126"/>
      <c r="L117" s="126"/>
      <c r="M117" s="126"/>
      <c r="N117" s="126"/>
      <c r="O117" s="126"/>
    </row>
    <row r="118" spans="4:15" ht="14.5" x14ac:dyDescent="0.35">
      <c r="D118" s="126"/>
      <c r="E118" s="126"/>
      <c r="F118" s="126"/>
      <c r="G118" s="126"/>
      <c r="H118" s="126"/>
      <c r="I118" s="126"/>
      <c r="J118" s="126"/>
      <c r="K118" s="126"/>
      <c r="L118" s="126"/>
      <c r="M118" s="126"/>
      <c r="N118" s="126"/>
      <c r="O118" s="126"/>
    </row>
    <row r="119" spans="4:15" ht="14.5" x14ac:dyDescent="0.35">
      <c r="D119" s="126"/>
      <c r="E119" s="126"/>
      <c r="F119" s="126"/>
      <c r="G119" s="126"/>
      <c r="H119" s="126"/>
      <c r="I119" s="126"/>
      <c r="J119" s="126"/>
      <c r="K119" s="126"/>
      <c r="L119" s="126"/>
      <c r="M119" s="126"/>
      <c r="N119" s="126"/>
      <c r="O119" s="126"/>
    </row>
    <row r="120" spans="4:15" ht="14.5" x14ac:dyDescent="0.35">
      <c r="D120" s="126"/>
      <c r="E120" s="126"/>
      <c r="F120" s="126"/>
      <c r="G120" s="126"/>
      <c r="H120" s="126"/>
      <c r="I120" s="126"/>
      <c r="J120" s="126"/>
      <c r="K120" s="126"/>
      <c r="L120" s="126"/>
      <c r="M120" s="126"/>
      <c r="N120" s="126"/>
      <c r="O120" s="126"/>
    </row>
    <row r="121" spans="4:15" ht="14.5" x14ac:dyDescent="0.35">
      <c r="D121" s="126"/>
      <c r="E121" s="126"/>
      <c r="F121" s="126"/>
      <c r="G121" s="126"/>
      <c r="H121" s="126"/>
      <c r="I121" s="126"/>
      <c r="J121" s="126"/>
      <c r="K121" s="126"/>
      <c r="L121" s="126"/>
      <c r="M121" s="126"/>
      <c r="N121" s="126"/>
      <c r="O121" s="126"/>
    </row>
    <row r="122" spans="4:15" ht="14.5" x14ac:dyDescent="0.35">
      <c r="D122" s="126"/>
      <c r="E122" s="126"/>
      <c r="F122" s="126"/>
      <c r="G122" s="126"/>
      <c r="H122" s="126"/>
      <c r="I122" s="126"/>
      <c r="J122" s="126"/>
      <c r="K122" s="126"/>
      <c r="L122" s="126"/>
      <c r="M122" s="126"/>
      <c r="N122" s="126"/>
      <c r="O122" s="126"/>
    </row>
    <row r="123" spans="4:15" ht="14.5" x14ac:dyDescent="0.35">
      <c r="D123" s="126"/>
      <c r="E123" s="126"/>
      <c r="F123" s="126"/>
      <c r="G123" s="126"/>
      <c r="H123" s="126"/>
      <c r="I123" s="126"/>
      <c r="J123" s="126"/>
      <c r="K123" s="126"/>
      <c r="L123" s="126"/>
      <c r="M123" s="126"/>
      <c r="N123" s="126"/>
      <c r="O123" s="126"/>
    </row>
    <row r="124" spans="4:15" ht="14.5" x14ac:dyDescent="0.35">
      <c r="D124" s="126"/>
      <c r="E124" s="126"/>
      <c r="F124" s="126"/>
      <c r="G124" s="126"/>
      <c r="H124" s="126"/>
      <c r="I124" s="126"/>
      <c r="J124" s="126"/>
      <c r="K124" s="126"/>
      <c r="L124" s="126"/>
      <c r="M124" s="126"/>
      <c r="N124" s="126"/>
      <c r="O124" s="126"/>
    </row>
    <row r="125" spans="4:15" ht="14.5" x14ac:dyDescent="0.35">
      <c r="D125" s="126"/>
      <c r="E125" s="126"/>
      <c r="F125" s="126"/>
      <c r="G125" s="126"/>
      <c r="H125" s="126"/>
      <c r="I125" s="126"/>
      <c r="J125" s="126"/>
      <c r="K125" s="126"/>
      <c r="L125" s="126"/>
      <c r="M125" s="126"/>
      <c r="N125" s="126"/>
      <c r="O125" s="126"/>
    </row>
    <row r="126" spans="4:15" ht="14.5" x14ac:dyDescent="0.35">
      <c r="D126" s="126"/>
      <c r="E126" s="126"/>
      <c r="F126" s="126"/>
      <c r="G126" s="126"/>
      <c r="H126" s="126"/>
      <c r="I126" s="126"/>
      <c r="J126" s="126"/>
      <c r="K126" s="126"/>
      <c r="L126" s="126"/>
      <c r="M126" s="126"/>
      <c r="N126" s="126"/>
      <c r="O126" s="126"/>
    </row>
    <row r="127" spans="4:15" ht="14.5" x14ac:dyDescent="0.35">
      <c r="D127" s="126"/>
      <c r="E127" s="126"/>
      <c r="F127" s="126"/>
      <c r="G127" s="126"/>
      <c r="H127" s="126"/>
      <c r="I127" s="126"/>
      <c r="J127" s="126"/>
      <c r="K127" s="126"/>
      <c r="L127" s="126"/>
      <c r="M127" s="126"/>
      <c r="N127" s="126"/>
      <c r="O127" s="126"/>
    </row>
    <row r="128" spans="4:15" ht="14.5" x14ac:dyDescent="0.35">
      <c r="D128" s="126"/>
      <c r="E128" s="126"/>
      <c r="F128" s="126"/>
      <c r="G128" s="126"/>
      <c r="H128" s="126"/>
      <c r="I128" s="126"/>
      <c r="J128" s="126"/>
      <c r="K128" s="126"/>
      <c r="L128" s="126"/>
      <c r="M128" s="126"/>
      <c r="N128" s="126"/>
      <c r="O128" s="126"/>
    </row>
    <row r="129" spans="4:15" ht="14.5" x14ac:dyDescent="0.35">
      <c r="D129" s="126"/>
      <c r="E129" s="126"/>
      <c r="F129" s="126"/>
      <c r="G129" s="126"/>
      <c r="H129" s="126"/>
      <c r="I129" s="126"/>
      <c r="J129" s="126"/>
      <c r="K129" s="126"/>
      <c r="L129" s="126"/>
      <c r="M129" s="126"/>
      <c r="N129" s="126"/>
      <c r="O129" s="126"/>
    </row>
    <row r="130" spans="4:15" ht="14.5" x14ac:dyDescent="0.35">
      <c r="D130" s="126"/>
      <c r="E130" s="126"/>
      <c r="F130" s="126"/>
      <c r="G130" s="126"/>
      <c r="H130" s="126"/>
      <c r="I130" s="126"/>
      <c r="J130" s="126"/>
      <c r="K130" s="126"/>
      <c r="L130" s="126"/>
      <c r="M130" s="126"/>
      <c r="N130" s="126"/>
      <c r="O130" s="126"/>
    </row>
    <row r="131" spans="4:15" ht="14.5" x14ac:dyDescent="0.35">
      <c r="D131" s="126"/>
      <c r="E131" s="126"/>
      <c r="F131" s="126"/>
      <c r="G131" s="126"/>
      <c r="H131" s="126"/>
      <c r="I131" s="126"/>
      <c r="J131" s="126"/>
      <c r="K131" s="126"/>
      <c r="L131" s="126"/>
      <c r="M131" s="126"/>
      <c r="N131" s="126"/>
      <c r="O131" s="126"/>
    </row>
    <row r="132" spans="4:15" ht="14.5" x14ac:dyDescent="0.35">
      <c r="D132" s="126"/>
      <c r="E132" s="126"/>
      <c r="F132" s="126"/>
      <c r="G132" s="126"/>
      <c r="H132" s="126"/>
      <c r="I132" s="126"/>
      <c r="J132" s="126"/>
      <c r="K132" s="126"/>
      <c r="L132" s="126"/>
      <c r="M132" s="126"/>
      <c r="N132" s="126"/>
      <c r="O132" s="126"/>
    </row>
    <row r="133" spans="4:15" ht="14.5" x14ac:dyDescent="0.35">
      <c r="D133" s="126"/>
      <c r="E133" s="126"/>
      <c r="F133" s="126"/>
      <c r="G133" s="126"/>
      <c r="H133" s="126"/>
      <c r="I133" s="126"/>
      <c r="J133" s="126"/>
      <c r="K133" s="126"/>
      <c r="L133" s="126"/>
      <c r="M133" s="126"/>
      <c r="N133" s="126"/>
      <c r="O133" s="126"/>
    </row>
    <row r="134" spans="4:15" ht="14.5" x14ac:dyDescent="0.35">
      <c r="D134" s="126"/>
      <c r="E134" s="126"/>
      <c r="F134" s="126"/>
      <c r="G134" s="126"/>
      <c r="H134" s="126"/>
      <c r="I134" s="126"/>
      <c r="J134" s="126"/>
      <c r="K134" s="126"/>
      <c r="L134" s="126"/>
      <c r="M134" s="126"/>
      <c r="N134" s="126"/>
      <c r="O134" s="126"/>
    </row>
    <row r="135" spans="4:15" ht="14.5" x14ac:dyDescent="0.35">
      <c r="D135" s="126"/>
      <c r="E135" s="126"/>
      <c r="F135" s="126"/>
      <c r="G135" s="126"/>
      <c r="H135" s="126"/>
      <c r="I135" s="126"/>
      <c r="J135" s="126"/>
      <c r="K135" s="126"/>
      <c r="L135" s="126"/>
      <c r="M135" s="126"/>
      <c r="N135" s="126"/>
      <c r="O135" s="126"/>
    </row>
    <row r="136" spans="4:15" ht="14.5" x14ac:dyDescent="0.35">
      <c r="D136" s="126"/>
      <c r="E136" s="126"/>
      <c r="F136" s="126"/>
      <c r="G136" s="126"/>
      <c r="H136" s="126"/>
      <c r="I136" s="126"/>
      <c r="J136" s="126"/>
      <c r="K136" s="126"/>
      <c r="L136" s="126"/>
      <c r="M136" s="126"/>
      <c r="N136" s="126"/>
      <c r="O136" s="126"/>
    </row>
    <row r="137" spans="4:15" ht="14.5" x14ac:dyDescent="0.35">
      <c r="D137" s="126"/>
      <c r="E137" s="126"/>
      <c r="F137" s="126"/>
      <c r="G137" s="126"/>
      <c r="H137" s="126"/>
      <c r="I137" s="126"/>
      <c r="J137" s="126"/>
      <c r="K137" s="126"/>
      <c r="L137" s="126"/>
      <c r="M137" s="126"/>
      <c r="N137" s="126"/>
      <c r="O137" s="126"/>
    </row>
    <row r="138" spans="4:15" ht="14.5" x14ac:dyDescent="0.35">
      <c r="D138" s="126"/>
      <c r="E138" s="126"/>
      <c r="F138" s="126"/>
      <c r="G138" s="126"/>
      <c r="H138" s="126"/>
      <c r="I138" s="126"/>
      <c r="J138" s="126"/>
      <c r="K138" s="126"/>
      <c r="L138" s="126"/>
      <c r="M138" s="126"/>
      <c r="N138" s="126"/>
      <c r="O138" s="126"/>
    </row>
    <row r="139" spans="4:15" ht="14.5" x14ac:dyDescent="0.35">
      <c r="D139" s="126"/>
      <c r="E139" s="126"/>
      <c r="F139" s="126"/>
      <c r="G139" s="126"/>
      <c r="H139" s="126"/>
      <c r="I139" s="126"/>
      <c r="J139" s="126"/>
      <c r="K139" s="126"/>
      <c r="L139" s="126"/>
      <c r="M139" s="126"/>
      <c r="N139" s="126"/>
      <c r="O139" s="126"/>
    </row>
    <row r="140" spans="4:15" ht="14.5" x14ac:dyDescent="0.35">
      <c r="D140" s="126"/>
      <c r="E140" s="126"/>
      <c r="F140" s="126"/>
      <c r="G140" s="126"/>
      <c r="H140" s="126"/>
      <c r="I140" s="126"/>
      <c r="J140" s="126"/>
      <c r="K140" s="126"/>
      <c r="L140" s="126"/>
      <c r="M140" s="126"/>
      <c r="N140" s="126"/>
      <c r="O140" s="126"/>
    </row>
    <row r="141" spans="4:15" ht="14.5" x14ac:dyDescent="0.35">
      <c r="D141" s="126"/>
      <c r="E141" s="126"/>
      <c r="F141" s="126"/>
      <c r="G141" s="126"/>
      <c r="H141" s="126"/>
      <c r="I141" s="126"/>
      <c r="J141" s="126"/>
      <c r="K141" s="126"/>
      <c r="L141" s="126"/>
      <c r="M141" s="126"/>
      <c r="N141" s="126"/>
      <c r="O141" s="126"/>
    </row>
    <row r="142" spans="4:15" ht="14.5" x14ac:dyDescent="0.35">
      <c r="D142" s="126"/>
      <c r="E142" s="126"/>
      <c r="F142" s="126"/>
      <c r="G142" s="126"/>
      <c r="H142" s="126"/>
      <c r="I142" s="126"/>
      <c r="J142" s="126"/>
      <c r="K142" s="126"/>
      <c r="L142" s="126"/>
      <c r="M142" s="126"/>
      <c r="N142" s="126"/>
      <c r="O142" s="126"/>
    </row>
    <row r="143" spans="4:15" ht="14.5" x14ac:dyDescent="0.35">
      <c r="D143" s="126"/>
      <c r="E143" s="126"/>
      <c r="F143" s="126"/>
      <c r="G143" s="126"/>
      <c r="H143" s="126"/>
      <c r="I143" s="126"/>
      <c r="J143" s="126"/>
      <c r="K143" s="126"/>
      <c r="L143" s="126"/>
      <c r="M143" s="126"/>
      <c r="N143" s="126"/>
      <c r="O143" s="126"/>
    </row>
    <row r="144" spans="4:15" ht="14.5" x14ac:dyDescent="0.35">
      <c r="D144" s="126"/>
      <c r="E144" s="126"/>
      <c r="F144" s="126"/>
      <c r="G144" s="126"/>
      <c r="H144" s="126"/>
      <c r="I144" s="126"/>
      <c r="J144" s="126"/>
      <c r="K144" s="126"/>
      <c r="L144" s="126"/>
      <c r="M144" s="126"/>
      <c r="N144" s="126"/>
      <c r="O144" s="126"/>
    </row>
    <row r="145" spans="4:15" ht="14.5" x14ac:dyDescent="0.35">
      <c r="D145" s="126"/>
      <c r="E145" s="126"/>
      <c r="F145" s="126"/>
      <c r="G145" s="126"/>
      <c r="H145" s="126"/>
      <c r="I145" s="126"/>
      <c r="J145" s="126"/>
      <c r="K145" s="126"/>
      <c r="L145" s="126"/>
      <c r="M145" s="126"/>
      <c r="N145" s="126"/>
      <c r="O145" s="126"/>
    </row>
    <row r="146" spans="4:15" ht="14.5" x14ac:dyDescent="0.35">
      <c r="D146" s="126"/>
      <c r="E146" s="126"/>
      <c r="F146" s="126"/>
      <c r="G146" s="126"/>
      <c r="H146" s="126"/>
      <c r="I146" s="126"/>
      <c r="J146" s="126"/>
      <c r="K146" s="126"/>
      <c r="L146" s="126"/>
      <c r="M146" s="126"/>
      <c r="N146" s="126"/>
      <c r="O146" s="126"/>
    </row>
    <row r="147" spans="4:15" ht="14.5" x14ac:dyDescent="0.35">
      <c r="D147" s="126"/>
      <c r="E147" s="126"/>
      <c r="F147" s="126"/>
      <c r="G147" s="126"/>
      <c r="H147" s="126"/>
      <c r="I147" s="126"/>
      <c r="J147" s="126"/>
      <c r="K147" s="126"/>
      <c r="L147" s="126"/>
      <c r="M147" s="126"/>
      <c r="N147" s="126"/>
      <c r="O147" s="126"/>
    </row>
    <row r="148" spans="4:15" ht="14.5" x14ac:dyDescent="0.35">
      <c r="D148" s="126"/>
      <c r="E148" s="126"/>
      <c r="F148" s="126"/>
      <c r="G148" s="126"/>
      <c r="H148" s="126"/>
      <c r="I148" s="126"/>
      <c r="J148" s="126"/>
      <c r="K148" s="126"/>
      <c r="L148" s="126"/>
      <c r="M148" s="126"/>
      <c r="N148" s="126"/>
      <c r="O148" s="126"/>
    </row>
    <row r="149" spans="4:15" ht="14.5" x14ac:dyDescent="0.35">
      <c r="D149" s="126"/>
      <c r="E149" s="126"/>
      <c r="F149" s="126"/>
      <c r="G149" s="126"/>
      <c r="H149" s="126"/>
      <c r="I149" s="126"/>
      <c r="J149" s="126"/>
      <c r="K149" s="126"/>
      <c r="L149" s="126"/>
      <c r="M149" s="126"/>
      <c r="N149" s="126"/>
      <c r="O149" s="126"/>
    </row>
    <row r="150" spans="4:15" ht="14.5" x14ac:dyDescent="0.35">
      <c r="D150" s="126"/>
      <c r="E150" s="126"/>
      <c r="F150" s="126"/>
      <c r="G150" s="126"/>
      <c r="H150" s="126"/>
      <c r="I150" s="126"/>
      <c r="J150" s="126"/>
      <c r="K150" s="126"/>
      <c r="L150" s="126"/>
      <c r="M150" s="126"/>
      <c r="N150" s="126"/>
      <c r="O150" s="126"/>
    </row>
    <row r="151" spans="4:15" ht="14.5" x14ac:dyDescent="0.35">
      <c r="D151" s="126"/>
      <c r="E151" s="126"/>
      <c r="F151" s="126"/>
      <c r="G151" s="126"/>
      <c r="H151" s="126"/>
      <c r="I151" s="126"/>
      <c r="J151" s="126"/>
      <c r="K151" s="126"/>
      <c r="L151" s="126"/>
      <c r="M151" s="126"/>
      <c r="N151" s="126"/>
      <c r="O151" s="126"/>
    </row>
    <row r="152" spans="4:15" ht="14.5" x14ac:dyDescent="0.35">
      <c r="D152" s="126"/>
      <c r="E152" s="126"/>
      <c r="F152" s="126"/>
      <c r="G152" s="126"/>
      <c r="H152" s="126"/>
      <c r="I152" s="126"/>
      <c r="J152" s="126"/>
      <c r="K152" s="126"/>
      <c r="L152" s="126"/>
      <c r="M152" s="126"/>
      <c r="N152" s="126"/>
      <c r="O152" s="126"/>
    </row>
    <row r="153" spans="4:15" ht="14.5" x14ac:dyDescent="0.35">
      <c r="D153" s="126"/>
      <c r="E153" s="126"/>
      <c r="F153" s="126"/>
      <c r="G153" s="126"/>
      <c r="H153" s="126"/>
      <c r="I153" s="126"/>
      <c r="J153" s="126"/>
      <c r="K153" s="126"/>
      <c r="L153" s="126"/>
      <c r="M153" s="126"/>
      <c r="N153" s="126"/>
      <c r="O153" s="126"/>
    </row>
    <row r="154" spans="4:15" ht="14.5" x14ac:dyDescent="0.35">
      <c r="D154" s="126"/>
      <c r="E154" s="126"/>
      <c r="F154" s="126"/>
      <c r="G154" s="126"/>
      <c r="H154" s="126"/>
      <c r="I154" s="126"/>
      <c r="J154" s="126"/>
      <c r="K154" s="126"/>
      <c r="L154" s="126"/>
      <c r="M154" s="126"/>
      <c r="N154" s="126"/>
      <c r="O154" s="126"/>
    </row>
    <row r="155" spans="4:15" ht="14.5" x14ac:dyDescent="0.35">
      <c r="D155" s="126"/>
      <c r="E155" s="126"/>
      <c r="F155" s="126"/>
      <c r="G155" s="126"/>
      <c r="H155" s="126"/>
      <c r="I155" s="126"/>
      <c r="J155" s="126"/>
      <c r="K155" s="126"/>
      <c r="L155" s="126"/>
      <c r="M155" s="126"/>
      <c r="N155" s="126"/>
      <c r="O155" s="126"/>
    </row>
    <row r="156" spans="4:15" ht="14.5" x14ac:dyDescent="0.35">
      <c r="D156" s="126"/>
      <c r="E156" s="126"/>
      <c r="F156" s="126"/>
      <c r="G156" s="126"/>
      <c r="H156" s="126"/>
      <c r="I156" s="126"/>
      <c r="J156" s="126"/>
      <c r="K156" s="126"/>
      <c r="L156" s="126"/>
      <c r="M156" s="126"/>
      <c r="N156" s="126"/>
      <c r="O156" s="126"/>
    </row>
    <row r="157" spans="4:15" ht="14.5" x14ac:dyDescent="0.35">
      <c r="D157" s="126"/>
      <c r="E157" s="126"/>
      <c r="F157" s="126"/>
      <c r="G157" s="126"/>
      <c r="H157" s="126"/>
      <c r="I157" s="126"/>
      <c r="J157" s="126"/>
      <c r="K157" s="126"/>
      <c r="L157" s="126"/>
      <c r="M157" s="126"/>
      <c r="N157" s="126"/>
      <c r="O157" s="126"/>
    </row>
    <row r="158" spans="4:15" ht="14.5" x14ac:dyDescent="0.35">
      <c r="D158" s="126"/>
      <c r="E158" s="126"/>
      <c r="F158" s="126"/>
      <c r="G158" s="126"/>
      <c r="H158" s="126"/>
      <c r="I158" s="126"/>
      <c r="J158" s="126"/>
      <c r="K158" s="126"/>
      <c r="L158" s="126"/>
      <c r="M158" s="126"/>
      <c r="N158" s="126"/>
      <c r="O158" s="126"/>
    </row>
    <row r="159" spans="4:15" ht="14.5" x14ac:dyDescent="0.35">
      <c r="D159" s="126"/>
      <c r="E159" s="126"/>
      <c r="F159" s="126"/>
      <c r="G159" s="126"/>
      <c r="H159" s="126"/>
      <c r="I159" s="126"/>
      <c r="J159" s="126"/>
      <c r="K159" s="126"/>
      <c r="L159" s="126"/>
      <c r="M159" s="126"/>
      <c r="N159" s="126"/>
      <c r="O159" s="126"/>
    </row>
    <row r="160" spans="4:15" ht="14.5" x14ac:dyDescent="0.35">
      <c r="D160" s="126"/>
      <c r="E160" s="126"/>
      <c r="F160" s="126"/>
      <c r="G160" s="126"/>
      <c r="H160" s="126"/>
      <c r="I160" s="126"/>
      <c r="J160" s="126"/>
      <c r="K160" s="126"/>
      <c r="L160" s="126"/>
      <c r="M160" s="126"/>
      <c r="N160" s="126"/>
      <c r="O160" s="126"/>
    </row>
    <row r="161" spans="4:15" ht="14.5" x14ac:dyDescent="0.35">
      <c r="D161" s="126"/>
      <c r="E161" s="126"/>
      <c r="F161" s="126"/>
      <c r="G161" s="126"/>
      <c r="H161" s="126"/>
      <c r="I161" s="126"/>
      <c r="J161" s="126"/>
      <c r="K161" s="126"/>
      <c r="L161" s="126"/>
      <c r="M161" s="126"/>
      <c r="N161" s="126"/>
      <c r="O161" s="126"/>
    </row>
    <row r="162" spans="4:15" ht="14.5" x14ac:dyDescent="0.35">
      <c r="D162" s="126"/>
      <c r="E162" s="126"/>
      <c r="F162" s="126"/>
      <c r="G162" s="126"/>
      <c r="H162" s="126"/>
      <c r="I162" s="126"/>
      <c r="J162" s="126"/>
      <c r="K162" s="126"/>
      <c r="L162" s="126"/>
      <c r="M162" s="126"/>
      <c r="N162" s="126"/>
      <c r="O162" s="126"/>
    </row>
    <row r="163" spans="4:15" ht="14.5" x14ac:dyDescent="0.35">
      <c r="D163" s="126"/>
      <c r="E163" s="126"/>
      <c r="F163" s="126"/>
      <c r="G163" s="126"/>
      <c r="H163" s="126"/>
      <c r="I163" s="126"/>
      <c r="J163" s="126"/>
      <c r="K163" s="126"/>
      <c r="L163" s="126"/>
      <c r="M163" s="126"/>
      <c r="N163" s="126"/>
      <c r="O163" s="126"/>
    </row>
    <row r="164" spans="4:15" ht="14.5" x14ac:dyDescent="0.35">
      <c r="D164" s="126"/>
      <c r="E164" s="126"/>
      <c r="F164" s="126"/>
      <c r="G164" s="126"/>
      <c r="H164" s="126"/>
      <c r="I164" s="126"/>
      <c r="J164" s="126"/>
      <c r="K164" s="126"/>
      <c r="L164" s="126"/>
      <c r="M164" s="126"/>
      <c r="N164" s="126"/>
      <c r="O164" s="126"/>
    </row>
    <row r="165" spans="4:15" ht="14.5" x14ac:dyDescent="0.35">
      <c r="D165" s="126"/>
      <c r="E165" s="126"/>
      <c r="F165" s="126"/>
      <c r="G165" s="126"/>
      <c r="H165" s="126"/>
      <c r="I165" s="126"/>
      <c r="J165" s="126"/>
      <c r="K165" s="126"/>
      <c r="L165" s="126"/>
      <c r="M165" s="126"/>
      <c r="N165" s="126"/>
      <c r="O165" s="126"/>
    </row>
    <row r="166" spans="4:15" ht="14.5" x14ac:dyDescent="0.35">
      <c r="D166" s="126"/>
      <c r="E166" s="126"/>
      <c r="F166" s="126"/>
      <c r="G166" s="126"/>
      <c r="H166" s="126"/>
      <c r="I166" s="126"/>
      <c r="J166" s="126"/>
      <c r="K166" s="126"/>
      <c r="L166" s="126"/>
      <c r="M166" s="126"/>
      <c r="N166" s="126"/>
      <c r="O166" s="126"/>
    </row>
    <row r="167" spans="4:15" ht="14.5" x14ac:dyDescent="0.35">
      <c r="D167" s="126"/>
      <c r="E167" s="126"/>
      <c r="F167" s="126"/>
      <c r="G167" s="126"/>
      <c r="H167" s="126"/>
      <c r="I167" s="126"/>
      <c r="J167" s="126"/>
      <c r="K167" s="126"/>
      <c r="L167" s="126"/>
      <c r="M167" s="126"/>
      <c r="N167" s="126"/>
      <c r="O167" s="126"/>
    </row>
    <row r="168" spans="4:15" ht="14.5" x14ac:dyDescent="0.35">
      <c r="D168" s="126"/>
      <c r="E168" s="126"/>
      <c r="F168" s="126"/>
      <c r="G168" s="126"/>
      <c r="H168" s="126"/>
      <c r="I168" s="126"/>
      <c r="J168" s="126"/>
      <c r="K168" s="126"/>
      <c r="L168" s="126"/>
      <c r="M168" s="126"/>
      <c r="N168" s="126"/>
      <c r="O168" s="126"/>
    </row>
    <row r="169" spans="4:15" ht="14.5" x14ac:dyDescent="0.35">
      <c r="D169" s="126"/>
      <c r="E169" s="126"/>
      <c r="F169" s="126"/>
      <c r="G169" s="126"/>
      <c r="H169" s="126"/>
      <c r="I169" s="126"/>
      <c r="J169" s="126"/>
      <c r="K169" s="126"/>
      <c r="L169" s="126"/>
      <c r="M169" s="126"/>
      <c r="N169" s="126"/>
      <c r="O169" s="126"/>
    </row>
    <row r="170" spans="4:15" ht="14.5" x14ac:dyDescent="0.35">
      <c r="D170" s="126"/>
      <c r="E170" s="126"/>
      <c r="F170" s="126"/>
      <c r="G170" s="126"/>
      <c r="H170" s="126"/>
      <c r="I170" s="126"/>
      <c r="J170" s="126"/>
      <c r="K170" s="126"/>
      <c r="L170" s="126"/>
      <c r="M170" s="126"/>
      <c r="N170" s="126"/>
      <c r="O170" s="126"/>
    </row>
    <row r="171" spans="4:15" ht="14.5" x14ac:dyDescent="0.35">
      <c r="D171" s="126"/>
      <c r="E171" s="126"/>
      <c r="F171" s="126"/>
      <c r="G171" s="126"/>
      <c r="H171" s="126"/>
      <c r="I171" s="126"/>
      <c r="J171" s="126"/>
      <c r="K171" s="126"/>
      <c r="L171" s="126"/>
      <c r="M171" s="126"/>
      <c r="N171" s="126"/>
      <c r="O171" s="126"/>
    </row>
    <row r="172" spans="4:15" ht="14.5" x14ac:dyDescent="0.35">
      <c r="D172" s="126"/>
      <c r="E172" s="126"/>
      <c r="F172" s="126"/>
      <c r="G172" s="126"/>
      <c r="H172" s="126"/>
      <c r="I172" s="126"/>
      <c r="J172" s="126"/>
      <c r="K172" s="126"/>
      <c r="L172" s="126"/>
      <c r="M172" s="126"/>
      <c r="N172" s="126"/>
      <c r="O172" s="126"/>
    </row>
    <row r="173" spans="4:15" ht="14.5" x14ac:dyDescent="0.35">
      <c r="D173" s="126"/>
      <c r="E173" s="126"/>
      <c r="F173" s="126"/>
      <c r="G173" s="126"/>
      <c r="H173" s="126"/>
      <c r="I173" s="126"/>
      <c r="J173" s="126"/>
      <c r="K173" s="126"/>
      <c r="L173" s="126"/>
      <c r="M173" s="126"/>
      <c r="N173" s="126"/>
      <c r="O173" s="126"/>
    </row>
    <row r="174" spans="4:15" ht="14.5" x14ac:dyDescent="0.35">
      <c r="D174" s="126"/>
      <c r="E174" s="126"/>
      <c r="F174" s="126"/>
      <c r="G174" s="126"/>
      <c r="H174" s="126"/>
      <c r="I174" s="126"/>
      <c r="J174" s="126"/>
      <c r="K174" s="126"/>
      <c r="L174" s="126"/>
      <c r="M174" s="126"/>
      <c r="N174" s="126"/>
      <c r="O174" s="126"/>
    </row>
  </sheetData>
  <mergeCells count="5">
    <mergeCell ref="D6:E6"/>
    <mergeCell ref="G6:K6"/>
    <mergeCell ref="O6:O7"/>
    <mergeCell ref="M6:M7"/>
    <mergeCell ref="B52:O52"/>
  </mergeCells>
  <pageMargins left="0.70866141732283472" right="0.70866141732283472" top="0.74803149606299213" bottom="0.74803149606299213" header="0.31496062992125984" footer="0.31496062992125984"/>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6D0-71CF-4749-9715-DD1E67BDECC8}">
  <sheetPr>
    <pageSetUpPr fitToPage="1"/>
  </sheetPr>
  <dimension ref="A1:B15"/>
  <sheetViews>
    <sheetView showGridLines="0" view="pageBreakPreview" zoomScale="130" zoomScaleNormal="100" zoomScaleSheetLayoutView="130" workbookViewId="0">
      <selection activeCell="A11" sqref="A11"/>
    </sheetView>
  </sheetViews>
  <sheetFormatPr defaultRowHeight="14.5" x14ac:dyDescent="0.35"/>
  <cols>
    <col min="1" max="1" width="51.453125" bestFit="1" customWidth="1"/>
    <col min="2" max="2" width="10.08984375" bestFit="1" customWidth="1"/>
  </cols>
  <sheetData>
    <row r="1" spans="1:2" ht="6" customHeight="1" x14ac:dyDescent="0.35">
      <c r="A1" s="407"/>
      <c r="B1" s="407"/>
    </row>
    <row r="2" spans="1:2" ht="24.75" customHeight="1" x14ac:dyDescent="0.35">
      <c r="A2" s="408" t="s">
        <v>158</v>
      </c>
      <c r="B2" s="407"/>
    </row>
    <row r="3" spans="1:2" ht="8.75" customHeight="1" x14ac:dyDescent="0.35">
      <c r="A3" s="407"/>
      <c r="B3" s="407"/>
    </row>
    <row r="4" spans="1:2" ht="5.75" customHeight="1" x14ac:dyDescent="0.35">
      <c r="A4" s="15"/>
      <c r="B4" s="15"/>
    </row>
    <row r="5" spans="1:2" ht="12.75" customHeight="1" thickBot="1" x14ac:dyDescent="0.4">
      <c r="A5" s="16"/>
      <c r="B5" s="405">
        <v>2021</v>
      </c>
    </row>
    <row r="6" spans="1:2" ht="11.25" customHeight="1" thickTop="1" x14ac:dyDescent="0.35">
      <c r="A6" s="16"/>
      <c r="B6" s="16"/>
    </row>
    <row r="7" spans="1:2" x14ac:dyDescent="0.35">
      <c r="A7" s="16" t="s">
        <v>159</v>
      </c>
      <c r="B7" s="17">
        <f>'Table 1.1'!E15</f>
        <v>72878.258658556675</v>
      </c>
    </row>
    <row r="8" spans="1:2" x14ac:dyDescent="0.35">
      <c r="A8" s="16" t="s">
        <v>26</v>
      </c>
      <c r="B8" s="17">
        <f>'Table 1.1'!E28</f>
        <v>368.7</v>
      </c>
    </row>
    <row r="9" spans="1:2" x14ac:dyDescent="0.35">
      <c r="A9" s="16" t="s">
        <v>27</v>
      </c>
      <c r="B9" s="18">
        <f>+'Table 1.1'!E26</f>
        <v>0</v>
      </c>
    </row>
    <row r="10" spans="1:2" ht="9" customHeight="1" x14ac:dyDescent="0.35">
      <c r="A10" s="16"/>
      <c r="B10" s="19"/>
    </row>
    <row r="11" spans="1:2" x14ac:dyDescent="0.35">
      <c r="A11" s="16" t="s">
        <v>28</v>
      </c>
      <c r="B11" s="17">
        <f>B7-B8-B9</f>
        <v>72509.558658556678</v>
      </c>
    </row>
    <row r="12" spans="1:2" ht="9" customHeight="1" x14ac:dyDescent="0.35">
      <c r="A12" s="16"/>
      <c r="B12" s="17"/>
    </row>
    <row r="13" spans="1:2" ht="25" x14ac:dyDescent="0.35">
      <c r="A13" s="16" t="s">
        <v>29</v>
      </c>
      <c r="B13" s="20">
        <f>'Table 1.1'!E30-B8-B9</f>
        <v>63730.838465993038</v>
      </c>
    </row>
    <row r="14" spans="1:2" ht="8.25" customHeight="1" x14ac:dyDescent="0.35">
      <c r="A14" s="16"/>
      <c r="B14" s="20"/>
    </row>
    <row r="15" spans="1:2" x14ac:dyDescent="0.35">
      <c r="A15" s="16" t="s">
        <v>30</v>
      </c>
      <c r="B15" s="17">
        <f>B11-B13</f>
        <v>8778.72019256364</v>
      </c>
    </row>
  </sheetData>
  <mergeCells count="3">
    <mergeCell ref="A1:B1"/>
    <mergeCell ref="A2:B2"/>
    <mergeCell ref="A3:B3"/>
  </mergeCells>
  <pageMargins left="0.70866141732283472" right="0.70866141732283472" top="0.74803149606299213" bottom="0.74803149606299213" header="0.31496062992125984" footer="0.31496062992125984"/>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E96F-299A-41F6-A154-81EA46199B11}">
  <sheetPr codeName="Sheet9">
    <pageSetUpPr fitToPage="1"/>
  </sheetPr>
  <dimension ref="B3:J16"/>
  <sheetViews>
    <sheetView view="pageBreakPreview" zoomScale="115" zoomScaleSheetLayoutView="115" workbookViewId="0">
      <pane ySplit="3" topLeftCell="A4" activePane="bottomLeft" state="frozen"/>
      <selection activeCell="H16" sqref="H16"/>
      <selection pane="bottomLeft" activeCell="B9" sqref="B9"/>
    </sheetView>
  </sheetViews>
  <sheetFormatPr defaultColWidth="9.1796875" defaultRowHeight="12.5" x14ac:dyDescent="0.25"/>
  <cols>
    <col min="1" max="1" width="9.1796875" style="222"/>
    <col min="2" max="2" width="26.453125" style="222" customWidth="1"/>
    <col min="3" max="3" width="1.453125" style="222" customWidth="1"/>
    <col min="4" max="4" width="11.26953125" style="222" customWidth="1"/>
    <col min="5" max="5" width="1.453125" style="222" customWidth="1"/>
    <col min="6" max="8" width="11.26953125" style="222" customWidth="1"/>
    <col min="9" max="9" width="1.453125" style="222" customWidth="1"/>
    <col min="10" max="10" width="11.26953125" style="222" customWidth="1"/>
    <col min="11" max="16384" width="9.1796875" style="222"/>
  </cols>
  <sheetData>
    <row r="3" spans="2:10" s="263" customFormat="1" ht="15" x14ac:dyDescent="0.3">
      <c r="B3" s="262"/>
      <c r="C3" s="262"/>
      <c r="D3" s="262"/>
      <c r="E3" s="262"/>
      <c r="F3" s="262"/>
      <c r="G3" s="262"/>
      <c r="H3" s="262"/>
      <c r="I3" s="262"/>
      <c r="J3" s="262"/>
    </row>
    <row r="4" spans="2:10" s="263" customFormat="1" ht="15" x14ac:dyDescent="0.3">
      <c r="B4" s="262" t="s">
        <v>322</v>
      </c>
      <c r="C4" s="262"/>
      <c r="D4" s="262"/>
      <c r="E4" s="262"/>
      <c r="F4" s="262"/>
      <c r="G4" s="262"/>
      <c r="H4" s="262"/>
      <c r="I4" s="262"/>
      <c r="J4" s="262"/>
    </row>
    <row r="5" spans="2:10" ht="15.75" customHeight="1" x14ac:dyDescent="0.25">
      <c r="B5" s="264"/>
      <c r="C5" s="264"/>
      <c r="D5" s="264"/>
      <c r="E5" s="264"/>
      <c r="F5" s="264"/>
      <c r="G5" s="264"/>
      <c r="H5" s="264"/>
      <c r="I5" s="264"/>
      <c r="J5" s="264"/>
    </row>
    <row r="6" spans="2:10" ht="11.25" customHeight="1" x14ac:dyDescent="0.25">
      <c r="B6" s="265"/>
      <c r="C6" s="266"/>
      <c r="D6" s="267"/>
      <c r="E6" s="267"/>
      <c r="F6" s="267"/>
      <c r="G6" s="267"/>
      <c r="H6" s="267"/>
      <c r="I6" s="267"/>
    </row>
    <row r="7" spans="2:10" s="268" customFormat="1" x14ac:dyDescent="0.35">
      <c r="D7" s="269"/>
      <c r="E7" s="269"/>
      <c r="F7" s="269"/>
      <c r="G7" s="269"/>
      <c r="H7" s="404"/>
      <c r="I7" s="269"/>
      <c r="J7" s="269"/>
    </row>
    <row r="8" spans="2:10" s="268" customFormat="1" ht="25" x14ac:dyDescent="0.35">
      <c r="D8" s="270" t="s">
        <v>497</v>
      </c>
      <c r="E8" s="271"/>
      <c r="F8" s="270" t="s">
        <v>498</v>
      </c>
      <c r="G8" s="270" t="s">
        <v>499</v>
      </c>
      <c r="H8" s="270" t="s">
        <v>500</v>
      </c>
      <c r="I8" s="271">
        <v>0</v>
      </c>
      <c r="J8" s="270" t="s">
        <v>501</v>
      </c>
    </row>
    <row r="9" spans="2:10" s="268" customFormat="1" ht="22.5" customHeight="1" x14ac:dyDescent="0.35">
      <c r="B9" s="268" t="s">
        <v>313</v>
      </c>
      <c r="C9" s="272"/>
      <c r="D9" s="273">
        <v>1031.4720000000002</v>
      </c>
      <c r="E9" s="273"/>
      <c r="F9" s="273">
        <v>1045.8883766666665</v>
      </c>
      <c r="G9" s="273">
        <v>1116.6159299999999</v>
      </c>
      <c r="H9" s="273">
        <v>1299.4091266666667</v>
      </c>
      <c r="I9" s="273"/>
      <c r="J9" s="273">
        <v>1423.1366550000002</v>
      </c>
    </row>
    <row r="10" spans="2:10" s="268" customFormat="1" ht="22.5" customHeight="1" x14ac:dyDescent="0.35">
      <c r="B10" s="268" t="s">
        <v>314</v>
      </c>
      <c r="D10" s="276">
        <v>478.93700000000001</v>
      </c>
      <c r="E10" s="276"/>
      <c r="F10" s="276">
        <v>478.93700000000001</v>
      </c>
      <c r="G10" s="276">
        <v>478.93700000000007</v>
      </c>
      <c r="H10" s="276">
        <v>478.93700000000007</v>
      </c>
      <c r="I10" s="276"/>
      <c r="J10" s="276">
        <v>615.80918399999985</v>
      </c>
    </row>
    <row r="11" spans="2:10" s="268" customFormat="1" ht="22.5" customHeight="1" thickBot="1" x14ac:dyDescent="0.4">
      <c r="B11" s="268" t="s">
        <v>157</v>
      </c>
      <c r="D11" s="277">
        <f>SUM(D9:D10)</f>
        <v>1510.4090000000001</v>
      </c>
      <c r="E11" s="224"/>
      <c r="F11" s="277">
        <f>SUM(F9:F10)</f>
        <v>1524.8253766666667</v>
      </c>
      <c r="G11" s="277">
        <f>SUM(G9:G10)</f>
        <v>1595.5529300000001</v>
      </c>
      <c r="H11" s="277">
        <f>SUM(H9:H10)</f>
        <v>1778.3461266666668</v>
      </c>
      <c r="I11" s="224"/>
      <c r="J11" s="277">
        <f>SUM(J9:J10)</f>
        <v>2038.945839</v>
      </c>
    </row>
    <row r="12" spans="2:10" s="268" customFormat="1" ht="13" thickTop="1" x14ac:dyDescent="0.35"/>
    <row r="13" spans="2:10" s="268" customFormat="1" x14ac:dyDescent="0.35">
      <c r="B13" s="268" t="s">
        <v>315</v>
      </c>
    </row>
    <row r="14" spans="2:10" s="268" customFormat="1" ht="38.25" customHeight="1" x14ac:dyDescent="0.35">
      <c r="B14" s="433" t="s">
        <v>316</v>
      </c>
      <c r="C14" s="433"/>
      <c r="D14" s="433"/>
      <c r="E14" s="433"/>
      <c r="F14" s="433"/>
      <c r="G14" s="433"/>
      <c r="H14" s="433"/>
      <c r="I14" s="433"/>
      <c r="J14" s="433"/>
    </row>
    <row r="15" spans="2:10" s="268" customFormat="1" ht="38.25" customHeight="1" x14ac:dyDescent="0.35">
      <c r="B15" s="433" t="s">
        <v>323</v>
      </c>
      <c r="C15" s="433"/>
      <c r="D15" s="433"/>
      <c r="E15" s="433"/>
      <c r="F15" s="433"/>
      <c r="G15" s="433"/>
      <c r="H15" s="433"/>
      <c r="I15" s="433"/>
      <c r="J15" s="433"/>
    </row>
    <row r="16" spans="2:10" s="268" customFormat="1" ht="22.5" customHeight="1" x14ac:dyDescent="0.35"/>
  </sheetData>
  <mergeCells count="2">
    <mergeCell ref="B14:J14"/>
    <mergeCell ref="B15:J15"/>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E1B9-7C2F-4603-8875-EC55464D22D0}">
  <sheetPr codeName="Sheet27">
    <pageSetUpPr fitToPage="1"/>
  </sheetPr>
  <dimension ref="B3:P35"/>
  <sheetViews>
    <sheetView view="pageBreakPreview" zoomScale="115" zoomScaleSheetLayoutView="115" workbookViewId="0">
      <pane ySplit="3" topLeftCell="A4" activePane="bottomLeft" state="frozen"/>
      <selection activeCell="H16" sqref="H16"/>
      <selection pane="bottomLeft" activeCell="B9" sqref="B9"/>
    </sheetView>
  </sheetViews>
  <sheetFormatPr defaultColWidth="9.1796875" defaultRowHeight="12.5" x14ac:dyDescent="0.25"/>
  <cols>
    <col min="1" max="1" width="9.1796875" style="222"/>
    <col min="2" max="2" width="19.54296875" style="222" customWidth="1"/>
    <col min="3" max="3" width="1.453125" style="222" customWidth="1"/>
    <col min="4" max="4" width="11.26953125" style="222" customWidth="1"/>
    <col min="5" max="5" width="1.453125" style="222" customWidth="1"/>
    <col min="6" max="8" width="11.26953125" style="222" customWidth="1"/>
    <col min="9" max="9" width="1.453125" style="222" customWidth="1"/>
    <col min="10" max="10" width="11.26953125" style="222" customWidth="1"/>
    <col min="11" max="16384" width="9.1796875" style="222"/>
  </cols>
  <sheetData>
    <row r="3" spans="2:16" s="263" customFormat="1" ht="15" x14ac:dyDescent="0.3">
      <c r="B3" s="262"/>
      <c r="C3" s="262"/>
      <c r="D3" s="262"/>
      <c r="E3" s="262"/>
      <c r="F3" s="262"/>
      <c r="G3" s="262"/>
      <c r="H3" s="262"/>
      <c r="I3" s="262"/>
      <c r="J3" s="262"/>
    </row>
    <row r="4" spans="2:16" s="263" customFormat="1" ht="15" x14ac:dyDescent="0.3">
      <c r="B4" s="262" t="s">
        <v>321</v>
      </c>
      <c r="C4" s="262"/>
      <c r="D4" s="262"/>
      <c r="E4" s="262"/>
      <c r="F4" s="262"/>
      <c r="G4" s="262"/>
      <c r="H4" s="262"/>
      <c r="I4" s="262"/>
      <c r="J4" s="262"/>
    </row>
    <row r="5" spans="2:16" ht="15.75" customHeight="1" x14ac:dyDescent="0.25">
      <c r="B5" s="264"/>
      <c r="C5" s="264"/>
      <c r="D5" s="264"/>
      <c r="E5" s="264"/>
      <c r="F5" s="264"/>
      <c r="G5" s="264"/>
      <c r="H5" s="264"/>
      <c r="I5" s="264"/>
      <c r="J5" s="264"/>
    </row>
    <row r="6" spans="2:16" ht="15.75" customHeight="1" x14ac:dyDescent="0.25">
      <c r="B6" s="281" t="s">
        <v>1</v>
      </c>
      <c r="C6" s="264"/>
      <c r="D6" s="264"/>
      <c r="E6" s="264"/>
      <c r="F6" s="264"/>
      <c r="G6" s="264"/>
      <c r="H6" s="264"/>
      <c r="I6" s="264"/>
      <c r="J6" s="264"/>
    </row>
    <row r="7" spans="2:16" ht="24" customHeight="1" x14ac:dyDescent="0.25">
      <c r="B7" s="268"/>
      <c r="C7" s="268"/>
      <c r="D7" s="270" t="str">
        <f>D15</f>
        <v>2018 Approved</v>
      </c>
      <c r="E7" s="271"/>
      <c r="F7" s="270" t="str">
        <f>F15</f>
        <v>Actual 2018</v>
      </c>
      <c r="G7" s="270" t="str">
        <f>G15</f>
        <v>Actual 2019</v>
      </c>
      <c r="H7" s="270" t="str">
        <f>H15</f>
        <v>Forecast 2020</v>
      </c>
      <c r="I7" s="271" t="e">
        <v>#REF!</v>
      </c>
      <c r="J7" s="270" t="str">
        <f>J15</f>
        <v>Proposed 2021</v>
      </c>
    </row>
    <row r="8" spans="2:16" s="268" customFormat="1" x14ac:dyDescent="0.35">
      <c r="B8" s="268" t="s">
        <v>317</v>
      </c>
      <c r="C8" s="272"/>
      <c r="D8" s="278">
        <f>D16</f>
        <v>-906.06502999999975</v>
      </c>
      <c r="E8" s="273"/>
      <c r="F8" s="278">
        <f>F16</f>
        <v>-1246.7434699999999</v>
      </c>
      <c r="G8" s="278">
        <f>F11</f>
        <v>-1418.6815399999998</v>
      </c>
      <c r="H8" s="278">
        <f>G11</f>
        <v>-1001.9107399999997</v>
      </c>
      <c r="I8" s="278"/>
      <c r="J8" s="278">
        <f>H11</f>
        <v>-2121.37374</v>
      </c>
    </row>
    <row r="9" spans="2:16" s="268" customFormat="1" x14ac:dyDescent="0.35">
      <c r="B9" s="268" t="s">
        <v>318</v>
      </c>
      <c r="D9" s="279">
        <f>D17</f>
        <v>478.93700000000001</v>
      </c>
      <c r="E9" s="276"/>
      <c r="F9" s="279">
        <f>F17</f>
        <v>478.93700000000001</v>
      </c>
      <c r="G9" s="279">
        <f>G17</f>
        <v>478.93700000000007</v>
      </c>
      <c r="H9" s="279">
        <f>H17</f>
        <v>478.93700000000007</v>
      </c>
      <c r="I9" s="279"/>
      <c r="J9" s="279">
        <v>835.46500000000015</v>
      </c>
    </row>
    <row r="10" spans="2:16" s="268" customFormat="1" x14ac:dyDescent="0.35">
      <c r="B10" s="268" t="s">
        <v>319</v>
      </c>
      <c r="D10" s="279">
        <f>D18</f>
        <v>-267.10000000000002</v>
      </c>
      <c r="E10" s="276"/>
      <c r="F10" s="279">
        <f>F18</f>
        <v>-650.87506999999994</v>
      </c>
      <c r="G10" s="279">
        <f>G18</f>
        <v>-62.166200000000003</v>
      </c>
      <c r="H10" s="279">
        <v>-1598.4</v>
      </c>
      <c r="I10" s="279"/>
      <c r="J10" s="279">
        <f>J18</f>
        <v>-411</v>
      </c>
    </row>
    <row r="11" spans="2:16" s="268" customFormat="1" ht="13" thickBot="1" x14ac:dyDescent="0.4">
      <c r="B11" s="268" t="s">
        <v>320</v>
      </c>
      <c r="D11" s="280">
        <f>SUM(D8:D10)</f>
        <v>-694.22802999999976</v>
      </c>
      <c r="E11" s="224"/>
      <c r="F11" s="280">
        <f>SUM(F8:F10)</f>
        <v>-1418.6815399999998</v>
      </c>
      <c r="G11" s="280">
        <f>SUM(G8:G10)</f>
        <v>-1001.9107399999997</v>
      </c>
      <c r="H11" s="280">
        <f>SUM(H8:H10)</f>
        <v>-2121.37374</v>
      </c>
      <c r="I11" s="223"/>
      <c r="J11" s="280">
        <f>SUM(J8:J10)</f>
        <v>-1696.9087399999999</v>
      </c>
    </row>
    <row r="12" spans="2:16" s="268" customFormat="1" ht="13" thickTop="1" x14ac:dyDescent="0.35">
      <c r="D12" s="269"/>
      <c r="E12" s="269"/>
      <c r="F12" s="269"/>
      <c r="G12" s="269"/>
      <c r="H12" s="269"/>
      <c r="I12" s="269"/>
      <c r="J12" s="269"/>
    </row>
    <row r="13" spans="2:16" s="268" customFormat="1" x14ac:dyDescent="0.35">
      <c r="D13" s="269"/>
      <c r="E13" s="269"/>
      <c r="F13" s="269"/>
      <c r="G13" s="269"/>
      <c r="H13" s="269"/>
      <c r="I13" s="269"/>
      <c r="J13" s="269"/>
    </row>
    <row r="14" spans="2:16" s="268" customFormat="1" x14ac:dyDescent="0.35">
      <c r="B14" s="281" t="s">
        <v>2</v>
      </c>
      <c r="D14" s="269"/>
      <c r="E14" s="269"/>
      <c r="F14" s="269"/>
      <c r="G14" s="269"/>
      <c r="H14" s="269"/>
      <c r="I14" s="269"/>
      <c r="J14" s="269"/>
    </row>
    <row r="15" spans="2:16" s="268" customFormat="1" ht="25" x14ac:dyDescent="0.35">
      <c r="D15" s="270" t="s">
        <v>497</v>
      </c>
      <c r="E15" s="271"/>
      <c r="F15" s="270" t="s">
        <v>498</v>
      </c>
      <c r="G15" s="270" t="s">
        <v>499</v>
      </c>
      <c r="H15" s="270" t="s">
        <v>500</v>
      </c>
      <c r="I15" s="271">
        <v>0</v>
      </c>
      <c r="J15" s="270" t="s">
        <v>501</v>
      </c>
    </row>
    <row r="16" spans="2:16" s="268" customFormat="1" ht="14.5" x14ac:dyDescent="0.35">
      <c r="B16" s="268" t="s">
        <v>317</v>
      </c>
      <c r="C16" s="272"/>
      <c r="D16" s="278">
        <v>-906.06502999999975</v>
      </c>
      <c r="E16" s="273"/>
      <c r="F16" s="278">
        <v>-1246.7434699999999</v>
      </c>
      <c r="G16" s="278">
        <f>F19</f>
        <v>-1418.6815399999998</v>
      </c>
      <c r="H16" s="278">
        <f>G19</f>
        <v>-1001.9107399999997</v>
      </c>
      <c r="I16" s="278"/>
      <c r="J16" s="278">
        <f>H19</f>
        <v>-2048.0919099999996</v>
      </c>
      <c r="L16" s="274"/>
      <c r="M16" s="275"/>
      <c r="N16" s="224"/>
      <c r="O16" s="224"/>
      <c r="P16" s="224"/>
    </row>
    <row r="17" spans="2:10" s="268" customFormat="1" x14ac:dyDescent="0.35">
      <c r="B17" s="268" t="s">
        <v>318</v>
      </c>
      <c r="D17" s="279">
        <v>478.93700000000001</v>
      </c>
      <c r="E17" s="276"/>
      <c r="F17" s="279">
        <v>478.93700000000001</v>
      </c>
      <c r="G17" s="279">
        <v>478.93700000000007</v>
      </c>
      <c r="H17" s="279">
        <v>478.93700000000007</v>
      </c>
      <c r="I17" s="279"/>
      <c r="J17" s="279">
        <v>615.80918399999985</v>
      </c>
    </row>
    <row r="18" spans="2:10" s="268" customFormat="1" x14ac:dyDescent="0.35">
      <c r="B18" s="268" t="s">
        <v>319</v>
      </c>
      <c r="D18" s="279">
        <v>-267.10000000000002</v>
      </c>
      <c r="E18" s="276"/>
      <c r="F18" s="279">
        <v>-650.87506999999994</v>
      </c>
      <c r="G18" s="279">
        <v>-62.166200000000003</v>
      </c>
      <c r="H18" s="279">
        <v>-1525.11817</v>
      </c>
      <c r="I18" s="279"/>
      <c r="J18" s="279">
        <v>-411</v>
      </c>
    </row>
    <row r="19" spans="2:10" s="268" customFormat="1" ht="13" thickBot="1" x14ac:dyDescent="0.4">
      <c r="B19" s="268" t="s">
        <v>320</v>
      </c>
      <c r="D19" s="280">
        <f>SUM(D16:D18)</f>
        <v>-694.22802999999976</v>
      </c>
      <c r="E19" s="224"/>
      <c r="F19" s="280">
        <f>SUM(F16:F18)</f>
        <v>-1418.6815399999998</v>
      </c>
      <c r="G19" s="280">
        <f>SUM(G16:G18)</f>
        <v>-1001.9107399999997</v>
      </c>
      <c r="H19" s="280">
        <f>SUM(H16:H18)</f>
        <v>-2048.0919099999996</v>
      </c>
      <c r="I19" s="223"/>
      <c r="J19" s="280">
        <f>SUM(J16:J18)</f>
        <v>-1843.2827259999999</v>
      </c>
    </row>
    <row r="20" spans="2:10" s="268" customFormat="1" ht="13.5" customHeight="1" thickTop="1" x14ac:dyDescent="0.35"/>
    <row r="21" spans="2:10" s="268" customFormat="1" ht="13.5" customHeight="1" x14ac:dyDescent="0.35"/>
    <row r="22" spans="2:10" s="268" customFormat="1" ht="13.5" customHeight="1" x14ac:dyDescent="0.35">
      <c r="B22" s="281" t="s">
        <v>90</v>
      </c>
    </row>
    <row r="23" spans="2:10" s="268" customFormat="1" ht="28" customHeight="1" x14ac:dyDescent="0.35">
      <c r="D23" s="270" t="str">
        <f>D15</f>
        <v>2018 Approved</v>
      </c>
      <c r="E23" s="270"/>
      <c r="F23" s="270" t="str">
        <f>F15</f>
        <v>Actual 2018</v>
      </c>
      <c r="G23" s="270" t="str">
        <f>G15</f>
        <v>Actual 2019</v>
      </c>
      <c r="H23" s="270" t="str">
        <f>H15</f>
        <v>Forecast 2020</v>
      </c>
      <c r="I23" s="271" t="e">
        <v>#REF!</v>
      </c>
      <c r="J23" s="270" t="str">
        <f>J15</f>
        <v>Proposed 2021</v>
      </c>
    </row>
    <row r="24" spans="2:10" s="268" customFormat="1" x14ac:dyDescent="0.35">
      <c r="B24" s="268" t="s">
        <v>317</v>
      </c>
      <c r="C24" s="272"/>
      <c r="D24" s="278">
        <f>D16-D8</f>
        <v>0</v>
      </c>
      <c r="E24" s="273"/>
      <c r="F24" s="278">
        <f t="shared" ref="F24:H26" si="0">F16-F8</f>
        <v>0</v>
      </c>
      <c r="G24" s="278">
        <f t="shared" si="0"/>
        <v>0</v>
      </c>
      <c r="H24" s="278">
        <f t="shared" si="0"/>
        <v>0</v>
      </c>
      <c r="I24" s="278"/>
      <c r="J24" s="278">
        <f>J16-J8</f>
        <v>73.281830000000355</v>
      </c>
    </row>
    <row r="25" spans="2:10" s="268" customFormat="1" x14ac:dyDescent="0.35">
      <c r="B25" s="268" t="s">
        <v>318</v>
      </c>
      <c r="D25" s="279">
        <f>D17-D9</f>
        <v>0</v>
      </c>
      <c r="E25" s="276"/>
      <c r="F25" s="279">
        <f t="shared" si="0"/>
        <v>0</v>
      </c>
      <c r="G25" s="279">
        <f t="shared" si="0"/>
        <v>0</v>
      </c>
      <c r="H25" s="279">
        <f t="shared" si="0"/>
        <v>0</v>
      </c>
      <c r="I25" s="279"/>
      <c r="J25" s="279">
        <f>J17-J9</f>
        <v>-219.6558160000003</v>
      </c>
    </row>
    <row r="26" spans="2:10" s="268" customFormat="1" x14ac:dyDescent="0.35">
      <c r="B26" s="268" t="s">
        <v>319</v>
      </c>
      <c r="D26" s="279">
        <f>D18-D10</f>
        <v>0</v>
      </c>
      <c r="E26" s="276"/>
      <c r="F26" s="279">
        <f t="shared" si="0"/>
        <v>0</v>
      </c>
      <c r="G26" s="279">
        <f t="shared" si="0"/>
        <v>0</v>
      </c>
      <c r="H26" s="279">
        <f t="shared" si="0"/>
        <v>73.281830000000127</v>
      </c>
      <c r="I26" s="279"/>
      <c r="J26" s="279">
        <f>J18-J10</f>
        <v>0</v>
      </c>
    </row>
    <row r="27" spans="2:10" s="268" customFormat="1" ht="13" thickBot="1" x14ac:dyDescent="0.4">
      <c r="B27" s="268" t="s">
        <v>320</v>
      </c>
      <c r="D27" s="280">
        <f>SUM(D24:D26)</f>
        <v>0</v>
      </c>
      <c r="E27" s="224"/>
      <c r="F27" s="280">
        <f>SUM(F24:F26)</f>
        <v>0</v>
      </c>
      <c r="G27" s="280">
        <f>SUM(G24:G26)</f>
        <v>0</v>
      </c>
      <c r="H27" s="280">
        <f>SUM(H24:H26)</f>
        <v>73.281830000000127</v>
      </c>
      <c r="I27" s="223"/>
      <c r="J27" s="280">
        <f>SUM(J24:J26)</f>
        <v>-146.37398599999995</v>
      </c>
    </row>
    <row r="28" spans="2:10" s="268" customFormat="1" ht="13" thickTop="1" x14ac:dyDescent="0.35"/>
    <row r="29" spans="2:10" s="268" customFormat="1" ht="43" customHeight="1" x14ac:dyDescent="0.35">
      <c r="B29" s="433" t="s">
        <v>491</v>
      </c>
      <c r="C29" s="433"/>
      <c r="D29" s="433"/>
      <c r="E29" s="433"/>
      <c r="F29" s="433"/>
      <c r="G29" s="433"/>
      <c r="H29" s="433"/>
      <c r="I29" s="433"/>
      <c r="J29" s="433"/>
    </row>
    <row r="30" spans="2:10" s="268" customFormat="1" x14ac:dyDescent="0.35"/>
    <row r="31" spans="2:10" s="268" customFormat="1" x14ac:dyDescent="0.35"/>
    <row r="32" spans="2:10" s="268" customFormat="1" x14ac:dyDescent="0.35"/>
    <row r="33" spans="2:9" s="268" customFormat="1" x14ac:dyDescent="0.35"/>
    <row r="34" spans="2:9" s="268" customFormat="1" x14ac:dyDescent="0.35"/>
    <row r="35" spans="2:9" x14ac:dyDescent="0.25">
      <c r="B35" s="268"/>
      <c r="C35" s="268"/>
      <c r="D35" s="268"/>
      <c r="E35" s="268"/>
      <c r="F35" s="268"/>
      <c r="G35" s="268"/>
      <c r="H35" s="268"/>
      <c r="I35" s="268"/>
    </row>
  </sheetData>
  <mergeCells count="1">
    <mergeCell ref="B29:J29"/>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165F-BC12-4733-A117-9E8E497EF7D2}">
  <sheetPr>
    <pageSetUpPr fitToPage="1"/>
  </sheetPr>
  <dimension ref="B1:L33"/>
  <sheetViews>
    <sheetView showGridLines="0" view="pageBreakPreview" topLeftCell="A9" zoomScaleNormal="100" zoomScaleSheetLayoutView="100" workbookViewId="0">
      <selection activeCell="B15" sqref="B15"/>
    </sheetView>
  </sheetViews>
  <sheetFormatPr defaultColWidth="9.08984375" defaultRowHeight="12.5" x14ac:dyDescent="0.35"/>
  <cols>
    <col min="1" max="1" width="3.54296875" style="21" customWidth="1"/>
    <col min="2" max="2" width="16.36328125" style="21" customWidth="1"/>
    <col min="3" max="3" width="57.54296875" style="21" customWidth="1"/>
    <col min="4" max="4" width="10" style="21" customWidth="1"/>
    <col min="5" max="5" width="5.81640625" style="21" customWidth="1"/>
    <col min="6" max="6" width="15.36328125" style="21" customWidth="1"/>
    <col min="7" max="7" width="3.08984375" style="21" customWidth="1"/>
    <col min="8" max="11" width="9.08984375" style="21"/>
    <col min="12" max="12" width="20.453125" style="21" bestFit="1" customWidth="1"/>
    <col min="13" max="16384" width="9.08984375" style="21"/>
  </cols>
  <sheetData>
    <row r="1" spans="2:10" ht="28.5" customHeight="1" x14ac:dyDescent="0.3">
      <c r="B1" s="409" t="s">
        <v>160</v>
      </c>
      <c r="C1" s="409"/>
      <c r="D1" s="409"/>
      <c r="E1" s="409"/>
      <c r="F1" s="409"/>
    </row>
    <row r="2" spans="2:10" ht="13" x14ac:dyDescent="0.3">
      <c r="C2" s="239"/>
      <c r="D2" s="239"/>
      <c r="E2" s="239"/>
    </row>
    <row r="3" spans="2:10" ht="13" x14ac:dyDescent="0.35">
      <c r="F3" s="22">
        <v>2021</v>
      </c>
    </row>
    <row r="4" spans="2:10" ht="15" customHeight="1" x14ac:dyDescent="0.35">
      <c r="B4" s="21" t="s">
        <v>32</v>
      </c>
    </row>
    <row r="5" spans="2:10" ht="5.25" customHeight="1" x14ac:dyDescent="0.35">
      <c r="C5" s="22"/>
      <c r="F5" s="23"/>
    </row>
    <row r="6" spans="2:10" ht="18" customHeight="1" x14ac:dyDescent="0.35">
      <c r="B6" s="21" t="s">
        <v>33</v>
      </c>
      <c r="C6" s="24" t="s">
        <v>34</v>
      </c>
      <c r="D6" s="25" t="s">
        <v>35</v>
      </c>
      <c r="F6" s="23">
        <v>61573.549186685435</v>
      </c>
    </row>
    <row r="7" spans="2:10" ht="17.25" customHeight="1" x14ac:dyDescent="0.35">
      <c r="B7" s="21" t="s">
        <v>36</v>
      </c>
      <c r="C7" s="24" t="s">
        <v>37</v>
      </c>
      <c r="D7" s="25" t="s">
        <v>35</v>
      </c>
      <c r="F7" s="23">
        <f>'Table 1.1'!E21</f>
        <v>11480.811251316387</v>
      </c>
    </row>
    <row r="8" spans="2:10" ht="15" customHeight="1" x14ac:dyDescent="0.35">
      <c r="B8" s="21" t="s">
        <v>38</v>
      </c>
      <c r="C8" s="24" t="s">
        <v>39</v>
      </c>
      <c r="D8" s="25" t="s">
        <v>35</v>
      </c>
      <c r="F8" s="23">
        <v>15886.683639088962</v>
      </c>
    </row>
    <row r="9" spans="2:10" ht="15.75" customHeight="1" x14ac:dyDescent="0.35">
      <c r="B9" s="21" t="s">
        <v>40</v>
      </c>
      <c r="C9" s="24" t="s">
        <v>41</v>
      </c>
      <c r="D9" s="25" t="s">
        <v>35</v>
      </c>
      <c r="F9" s="23">
        <v>6068.0506998088067</v>
      </c>
    </row>
    <row r="10" spans="2:10" ht="11.4" customHeight="1" x14ac:dyDescent="0.35">
      <c r="C10" s="22"/>
      <c r="F10" s="23"/>
    </row>
    <row r="11" spans="2:10" ht="13.5" thickBot="1" x14ac:dyDescent="0.4">
      <c r="B11" s="21" t="s">
        <v>42</v>
      </c>
      <c r="C11" s="26" t="s">
        <v>43</v>
      </c>
      <c r="D11" s="27" t="s">
        <v>35</v>
      </c>
      <c r="E11" s="28"/>
      <c r="F11" s="29">
        <f>F6+F8+F7+F9</f>
        <v>95009.094776899583</v>
      </c>
      <c r="I11" s="403"/>
      <c r="J11" s="403"/>
    </row>
    <row r="12" spans="2:10" ht="7.5" customHeight="1" thickTop="1" x14ac:dyDescent="0.35">
      <c r="F12" s="23"/>
    </row>
    <row r="13" spans="2:10" x14ac:dyDescent="0.35">
      <c r="B13" s="21" t="s">
        <v>44</v>
      </c>
      <c r="C13" s="30" t="s">
        <v>161</v>
      </c>
      <c r="D13" s="25" t="s">
        <v>35</v>
      </c>
      <c r="F13" s="23">
        <f>'Table 1.2'!B15</f>
        <v>8778.72019256364</v>
      </c>
    </row>
    <row r="14" spans="2:10" x14ac:dyDescent="0.35">
      <c r="B14" s="21" t="s">
        <v>45</v>
      </c>
      <c r="C14" s="24" t="s">
        <v>46</v>
      </c>
      <c r="D14" s="21" t="s">
        <v>47</v>
      </c>
      <c r="F14" s="31">
        <f>F13/F11</f>
        <v>9.2398735228220383E-2</v>
      </c>
    </row>
    <row r="15" spans="2:10" x14ac:dyDescent="0.35">
      <c r="B15" s="21" t="s">
        <v>48</v>
      </c>
      <c r="C15" s="24" t="s">
        <v>49</v>
      </c>
      <c r="D15" s="21" t="s">
        <v>47</v>
      </c>
      <c r="F15" s="31">
        <f>F13/SUM(F6:F7)</f>
        <v>0.12016695704308811</v>
      </c>
    </row>
    <row r="16" spans="2:10" ht="7.5" customHeight="1" x14ac:dyDescent="0.35">
      <c r="C16" s="24"/>
      <c r="F16" s="23"/>
    </row>
    <row r="17" spans="2:12" ht="13.5" thickBot="1" x14ac:dyDescent="0.4">
      <c r="B17" s="21" t="s">
        <v>50</v>
      </c>
      <c r="C17" s="26" t="s">
        <v>162</v>
      </c>
      <c r="D17" s="27" t="s">
        <v>35</v>
      </c>
      <c r="E17" s="28"/>
      <c r="F17" s="29">
        <f>F11+F13</f>
        <v>103787.81496946322</v>
      </c>
    </row>
    <row r="18" spans="2:12" ht="9.75" customHeight="1" thickTop="1" x14ac:dyDescent="0.35">
      <c r="F18" s="23"/>
    </row>
    <row r="19" spans="2:12" x14ac:dyDescent="0.35">
      <c r="B19" s="21">
        <v>7</v>
      </c>
      <c r="C19" s="24" t="s">
        <v>163</v>
      </c>
      <c r="F19" s="31">
        <f>F14</f>
        <v>9.2398735228220383E-2</v>
      </c>
    </row>
    <row r="20" spans="2:12" ht="11.25" customHeight="1" x14ac:dyDescent="0.35">
      <c r="C20" s="24"/>
      <c r="F20" s="31"/>
    </row>
    <row r="21" spans="2:12" ht="13" x14ac:dyDescent="0.35">
      <c r="C21" s="240" t="s">
        <v>51</v>
      </c>
      <c r="F21" s="31"/>
    </row>
    <row r="22" spans="2:12" x14ac:dyDescent="0.35">
      <c r="B22" s="21" t="s">
        <v>164</v>
      </c>
      <c r="C22" s="24" t="s">
        <v>49</v>
      </c>
      <c r="D22" s="21" t="s">
        <v>47</v>
      </c>
      <c r="E22" s="32"/>
      <c r="F22" s="32">
        <f>F15</f>
        <v>0.12016695704308811</v>
      </c>
    </row>
    <row r="23" spans="2:12" x14ac:dyDescent="0.35">
      <c r="B23" s="21">
        <v>9</v>
      </c>
      <c r="C23" s="24" t="s">
        <v>52</v>
      </c>
      <c r="D23" s="21" t="s">
        <v>47</v>
      </c>
      <c r="E23" s="32"/>
      <c r="F23" s="241">
        <v>0.22320000000000001</v>
      </c>
      <c r="J23" s="242"/>
      <c r="L23" s="243"/>
    </row>
    <row r="24" spans="2:12" x14ac:dyDescent="0.35">
      <c r="B24" s="21">
        <v>10</v>
      </c>
      <c r="C24" s="24" t="s">
        <v>53</v>
      </c>
      <c r="D24" s="21" t="s">
        <v>47</v>
      </c>
      <c r="E24" s="32"/>
      <c r="F24" s="241">
        <v>0.1867</v>
      </c>
      <c r="J24" s="242"/>
      <c r="L24" s="243"/>
    </row>
    <row r="25" spans="2:12" x14ac:dyDescent="0.35">
      <c r="C25" s="24"/>
      <c r="E25" s="32"/>
      <c r="F25" s="32"/>
      <c r="L25" s="243"/>
    </row>
    <row r="26" spans="2:12" x14ac:dyDescent="0.25">
      <c r="B26" s="21" t="s">
        <v>165</v>
      </c>
      <c r="C26" s="24" t="s">
        <v>54</v>
      </c>
      <c r="D26" s="21" t="s">
        <v>47</v>
      </c>
      <c r="E26" s="34"/>
      <c r="F26" s="34">
        <f>F22+F23</f>
        <v>0.34336695704308812</v>
      </c>
      <c r="J26" s="243"/>
    </row>
    <row r="27" spans="2:12" x14ac:dyDescent="0.25">
      <c r="B27" s="21" t="s">
        <v>166</v>
      </c>
      <c r="C27" s="24" t="s">
        <v>55</v>
      </c>
      <c r="D27" s="21" t="s">
        <v>47</v>
      </c>
      <c r="E27" s="34"/>
      <c r="F27" s="34">
        <f>F22+F24</f>
        <v>0.30686695704308808</v>
      </c>
      <c r="J27" s="243"/>
    </row>
    <row r="28" spans="2:12" x14ac:dyDescent="0.25">
      <c r="C28" s="33"/>
      <c r="D28" s="33"/>
      <c r="E28" s="33"/>
      <c r="F28" s="33"/>
    </row>
    <row r="29" spans="2:12" x14ac:dyDescent="0.35">
      <c r="B29" s="21" t="s">
        <v>56</v>
      </c>
    </row>
    <row r="30" spans="2:12" ht="23" customHeight="1" x14ac:dyDescent="0.35">
      <c r="B30" s="410" t="s">
        <v>57</v>
      </c>
      <c r="C30" s="410"/>
      <c r="D30" s="410"/>
      <c r="E30" s="410"/>
      <c r="F30" s="410"/>
    </row>
    <row r="31" spans="2:12" ht="44.5" customHeight="1" x14ac:dyDescent="0.35">
      <c r="B31" s="410" t="s">
        <v>275</v>
      </c>
      <c r="C31" s="410"/>
      <c r="D31" s="410"/>
      <c r="E31" s="410"/>
      <c r="F31" s="410"/>
    </row>
    <row r="32" spans="2:12" ht="25.5" customHeight="1" x14ac:dyDescent="0.35">
      <c r="B32" s="410" t="s">
        <v>58</v>
      </c>
      <c r="C32" s="410"/>
      <c r="D32" s="410"/>
      <c r="E32" s="410"/>
      <c r="F32" s="410"/>
    </row>
    <row r="33" spans="2:6" x14ac:dyDescent="0.35">
      <c r="B33" s="244"/>
      <c r="C33" s="244"/>
      <c r="D33" s="244"/>
      <c r="E33" s="244"/>
      <c r="F33" s="244"/>
    </row>
  </sheetData>
  <mergeCells count="4">
    <mergeCell ref="B1:F1"/>
    <mergeCell ref="B30:F30"/>
    <mergeCell ref="B31:F31"/>
    <mergeCell ref="B32:F32"/>
  </mergeCells>
  <pageMargins left="0.70866141732283472" right="0.70866141732283472" top="0.74803149606299213" bottom="0.74803149606299213" header="0.31496062992125984" footer="0.31496062992125984"/>
  <pageSetup scale="80" orientation="portrait" r:id="rId1"/>
  <colBreaks count="1" manualBreakCount="1">
    <brk id="6"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C354-74E2-4914-8A8B-1253E6B3518C}">
  <sheetPr>
    <pageSetUpPr fitToPage="1"/>
  </sheetPr>
  <dimension ref="B1:K40"/>
  <sheetViews>
    <sheetView showGridLines="0" view="pageBreakPreview" zoomScaleNormal="100" zoomScaleSheetLayoutView="100" workbookViewId="0">
      <selection activeCell="B36" sqref="B36:G36"/>
    </sheetView>
  </sheetViews>
  <sheetFormatPr defaultColWidth="9.08984375" defaultRowHeight="14.5" x14ac:dyDescent="0.35"/>
  <cols>
    <col min="1" max="1" width="9.08984375" style="170"/>
    <col min="2" max="2" width="53.08984375" style="170" bestFit="1" customWidth="1"/>
    <col min="3" max="3" width="11.54296875" style="170" customWidth="1"/>
    <col min="4" max="4" width="2.54296875" style="170" customWidth="1"/>
    <col min="5" max="5" width="11.54296875" style="170" customWidth="1"/>
    <col min="6" max="6" width="1.7265625" style="170" customWidth="1"/>
    <col min="7" max="7" width="10.1796875" style="170" customWidth="1"/>
    <col min="8" max="8" width="9.08984375" style="170"/>
    <col min="9" max="10" width="9.54296875" style="170" bestFit="1" customWidth="1"/>
    <col min="11" max="16384" width="9.08984375" style="170"/>
  </cols>
  <sheetData>
    <row r="1" spans="2:11" ht="43.25" customHeight="1" x14ac:dyDescent="0.35">
      <c r="B1" s="411" t="s">
        <v>222</v>
      </c>
      <c r="C1" s="411"/>
      <c r="D1" s="411"/>
      <c r="E1" s="411"/>
      <c r="F1" s="193"/>
      <c r="I1" s="192"/>
      <c r="J1" s="192"/>
    </row>
    <row r="2" spans="2:11" x14ac:dyDescent="0.35">
      <c r="I2" s="192"/>
      <c r="J2" s="192"/>
    </row>
    <row r="3" spans="2:11" x14ac:dyDescent="0.35">
      <c r="C3" s="189"/>
      <c r="D3" s="189"/>
      <c r="E3" s="189"/>
      <c r="F3" s="189"/>
    </row>
    <row r="4" spans="2:11" ht="43.5" x14ac:dyDescent="0.35">
      <c r="C4" s="190" t="s">
        <v>217</v>
      </c>
      <c r="D4" s="191"/>
      <c r="E4" s="190" t="s">
        <v>218</v>
      </c>
      <c r="F4" s="194"/>
      <c r="G4" s="190" t="s">
        <v>90</v>
      </c>
    </row>
    <row r="5" spans="2:11" ht="7.5" customHeight="1" x14ac:dyDescent="0.35">
      <c r="C5" s="189"/>
      <c r="D5" s="189"/>
      <c r="E5" s="189"/>
      <c r="F5" s="189"/>
      <c r="G5" s="189"/>
    </row>
    <row r="6" spans="2:11" x14ac:dyDescent="0.35">
      <c r="B6" s="170" t="s">
        <v>223</v>
      </c>
      <c r="C6" s="199">
        <v>538726.08366088604</v>
      </c>
      <c r="D6" s="200"/>
      <c r="E6" s="199">
        <f>C6</f>
        <v>538726.08366088604</v>
      </c>
      <c r="F6" s="199"/>
      <c r="G6" s="199">
        <f>E6-C6</f>
        <v>0</v>
      </c>
      <c r="I6" s="188"/>
    </row>
    <row r="7" spans="2:11" x14ac:dyDescent="0.35">
      <c r="B7" s="170" t="s">
        <v>219</v>
      </c>
      <c r="C7" s="199">
        <v>1983.07</v>
      </c>
      <c r="D7" s="200"/>
      <c r="E7" s="199">
        <f>2455.983/1000</f>
        <v>2.4559830000000002</v>
      </c>
      <c r="F7" s="199"/>
      <c r="G7" s="199">
        <f>E7-C7</f>
        <v>-1980.6140169999999</v>
      </c>
      <c r="I7" s="188"/>
    </row>
    <row r="8" spans="2:11" x14ac:dyDescent="0.35">
      <c r="B8" s="170" t="s">
        <v>224</v>
      </c>
      <c r="C8" s="199">
        <f>C6-C7</f>
        <v>536743.01366088609</v>
      </c>
      <c r="D8" s="200"/>
      <c r="E8" s="199">
        <f>E6-E7</f>
        <v>538723.62767788605</v>
      </c>
      <c r="F8" s="199"/>
      <c r="G8" s="199">
        <f>G6-G7</f>
        <v>1980.6140169999999</v>
      </c>
      <c r="I8" s="188"/>
    </row>
    <row r="9" spans="2:11" ht="2" customHeight="1" x14ac:dyDescent="0.35">
      <c r="C9" s="200"/>
      <c r="D9" s="200"/>
      <c r="E9" s="200"/>
      <c r="F9" s="200"/>
      <c r="G9" s="200"/>
    </row>
    <row r="10" spans="2:11" x14ac:dyDescent="0.35">
      <c r="B10" s="170" t="s">
        <v>216</v>
      </c>
      <c r="C10" s="201">
        <v>84305.780990716506</v>
      </c>
      <c r="D10" s="200"/>
      <c r="E10" s="201">
        <v>85929.884484656504</v>
      </c>
      <c r="F10" s="201"/>
      <c r="G10" s="201">
        <f>E10-C10</f>
        <v>1624.1034939399979</v>
      </c>
      <c r="I10" s="207"/>
      <c r="J10" s="208"/>
      <c r="K10" s="208"/>
    </row>
    <row r="11" spans="2:11" x14ac:dyDescent="0.35">
      <c r="B11" s="209" t="s">
        <v>215</v>
      </c>
      <c r="C11" s="210">
        <f>C10*0.9</f>
        <v>75875.202891644862</v>
      </c>
      <c r="D11" s="211"/>
      <c r="E11" s="210">
        <f>E10*0.9</f>
        <v>77336.896036190854</v>
      </c>
      <c r="F11" s="210"/>
      <c r="G11" s="210">
        <f>E11-C11</f>
        <v>1461.6931445459923</v>
      </c>
    </row>
    <row r="12" spans="2:11" x14ac:dyDescent="0.35">
      <c r="B12" s="209" t="s">
        <v>173</v>
      </c>
      <c r="C12" s="210">
        <f>C10-C11</f>
        <v>8430.5780990716448</v>
      </c>
      <c r="D12" s="211"/>
      <c r="E12" s="210">
        <f>E10-E11</f>
        <v>8592.9884484656504</v>
      </c>
      <c r="F12" s="210"/>
      <c r="G12" s="210">
        <f>E12-C12</f>
        <v>162.41034939400561</v>
      </c>
    </row>
    <row r="13" spans="2:11" ht="2" customHeight="1" x14ac:dyDescent="0.35">
      <c r="C13" s="182"/>
      <c r="D13" s="184"/>
      <c r="E13" s="182"/>
      <c r="F13" s="182"/>
      <c r="G13" s="182"/>
    </row>
    <row r="14" spans="2:11" x14ac:dyDescent="0.35">
      <c r="B14" s="170" t="s">
        <v>214</v>
      </c>
      <c r="C14" s="182"/>
      <c r="D14" s="184"/>
      <c r="E14" s="182"/>
      <c r="F14" s="182"/>
      <c r="G14" s="182"/>
    </row>
    <row r="15" spans="2:11" x14ac:dyDescent="0.35">
      <c r="B15" s="173" t="s">
        <v>213</v>
      </c>
      <c r="C15" s="186">
        <v>0.18136250357142855</v>
      </c>
      <c r="D15" s="187"/>
      <c r="E15" s="186">
        <f>C15</f>
        <v>0.18136250357142855</v>
      </c>
      <c r="F15" s="186"/>
      <c r="G15" s="186">
        <f>E15-C15</f>
        <v>0</v>
      </c>
    </row>
    <row r="16" spans="2:11" x14ac:dyDescent="0.35">
      <c r="B16" s="173" t="s">
        <v>212</v>
      </c>
      <c r="C16" s="186">
        <v>0.20506710312413046</v>
      </c>
      <c r="D16" s="187"/>
      <c r="E16" s="186">
        <f>C16</f>
        <v>0.20506710312413046</v>
      </c>
      <c r="F16" s="186"/>
      <c r="G16" s="186">
        <f>E16-C16</f>
        <v>0</v>
      </c>
    </row>
    <row r="17" spans="2:7" s="175" customFormat="1" x14ac:dyDescent="0.35">
      <c r="B17" s="175" t="s">
        <v>211</v>
      </c>
      <c r="C17" s="180">
        <f>C11*C15+C12*C16</f>
        <v>15489.750983857168</v>
      </c>
      <c r="D17" s="181"/>
      <c r="E17" s="180">
        <f>E11*E15+E12*E16</f>
        <v>15788.15233187283</v>
      </c>
      <c r="F17" s="195"/>
      <c r="G17" s="180">
        <f>E17-C17</f>
        <v>298.40134801566273</v>
      </c>
    </row>
    <row r="18" spans="2:7" ht="2" customHeight="1" x14ac:dyDescent="0.35">
      <c r="C18" s="182"/>
      <c r="D18" s="183"/>
      <c r="E18" s="182"/>
      <c r="F18" s="182"/>
      <c r="G18" s="182"/>
    </row>
    <row r="19" spans="2:7" x14ac:dyDescent="0.35">
      <c r="B19" s="185" t="s">
        <v>210</v>
      </c>
    </row>
    <row r="20" spans="2:7" x14ac:dyDescent="0.35">
      <c r="B20" s="173" t="s">
        <v>209</v>
      </c>
      <c r="C20" s="182">
        <v>198</v>
      </c>
      <c r="D20" s="183"/>
      <c r="E20" s="182">
        <f>C20</f>
        <v>198</v>
      </c>
      <c r="F20" s="182"/>
      <c r="G20" s="182">
        <f>E20-C20</f>
        <v>0</v>
      </c>
    </row>
    <row r="21" spans="2:7" x14ac:dyDescent="0.35">
      <c r="B21" s="173" t="s">
        <v>208</v>
      </c>
      <c r="C21" s="182">
        <v>0</v>
      </c>
      <c r="D21" s="183"/>
      <c r="E21" s="182">
        <v>0</v>
      </c>
      <c r="F21" s="182"/>
      <c r="G21" s="182">
        <f>E21-C21</f>
        <v>0</v>
      </c>
    </row>
    <row r="22" spans="2:7" ht="2" customHeight="1" x14ac:dyDescent="0.35">
      <c r="C22" s="182"/>
      <c r="D22" s="183"/>
      <c r="E22" s="182"/>
      <c r="F22" s="182"/>
      <c r="G22" s="182"/>
    </row>
    <row r="23" spans="2:7" x14ac:dyDescent="0.35">
      <c r="B23" s="175" t="s">
        <v>207</v>
      </c>
      <c r="C23" s="180">
        <f>C20*C16+C21*C15</f>
        <v>40.603286418577831</v>
      </c>
      <c r="D23" s="181"/>
      <c r="E23" s="180">
        <f>E20*E16+E21*E15</f>
        <v>40.603286418577831</v>
      </c>
      <c r="F23" s="195"/>
      <c r="G23" s="180">
        <f>E23-C23</f>
        <v>0</v>
      </c>
    </row>
    <row r="24" spans="2:7" ht="2" customHeight="1" x14ac:dyDescent="0.35">
      <c r="C24" s="178"/>
      <c r="D24" s="179"/>
      <c r="E24" s="178"/>
      <c r="F24" s="178"/>
      <c r="G24" s="178"/>
    </row>
    <row r="25" spans="2:7" s="175" customFormat="1" ht="15" thickBot="1" x14ac:dyDescent="0.4">
      <c r="B25" s="175" t="s">
        <v>206</v>
      </c>
      <c r="C25" s="177">
        <f>C17+C23</f>
        <v>15530.354270275746</v>
      </c>
      <c r="D25" s="176"/>
      <c r="E25" s="177">
        <f>E17+E23</f>
        <v>15828.755618291409</v>
      </c>
      <c r="F25" s="196"/>
      <c r="G25" s="177">
        <f>E25-C25</f>
        <v>298.40134801566273</v>
      </c>
    </row>
    <row r="26" spans="2:7" s="175" customFormat="1" ht="2" customHeight="1" x14ac:dyDescent="0.35">
      <c r="C26" s="176"/>
      <c r="D26" s="176"/>
      <c r="E26" s="176"/>
      <c r="F26" s="176"/>
      <c r="G26" s="176"/>
    </row>
    <row r="27" spans="2:7" x14ac:dyDescent="0.35">
      <c r="C27" s="172"/>
      <c r="D27" s="172"/>
      <c r="E27" s="172"/>
      <c r="F27" s="172"/>
      <c r="G27" s="172"/>
    </row>
    <row r="28" spans="2:7" x14ac:dyDescent="0.35">
      <c r="B28" s="175" t="s">
        <v>220</v>
      </c>
      <c r="C28" s="172"/>
      <c r="D28" s="172"/>
      <c r="E28" s="172"/>
      <c r="F28" s="172"/>
      <c r="G28" s="172"/>
    </row>
    <row r="29" spans="2:7" x14ac:dyDescent="0.35">
      <c r="B29" s="173" t="s">
        <v>18</v>
      </c>
      <c r="C29" s="197">
        <f>52901/1000</f>
        <v>52.901000000000003</v>
      </c>
      <c r="D29" s="197"/>
      <c r="E29" s="197">
        <f>C29</f>
        <v>52.901000000000003</v>
      </c>
      <c r="F29" s="172"/>
      <c r="G29" s="197">
        <f>E29-C29</f>
        <v>0</v>
      </c>
    </row>
    <row r="30" spans="2:7" x14ac:dyDescent="0.35">
      <c r="B30" s="173" t="s">
        <v>205</v>
      </c>
      <c r="C30" s="197">
        <f>C7*0.158344</f>
        <v>314.00723608000004</v>
      </c>
      <c r="D30" s="197"/>
      <c r="E30" s="197">
        <f>E7*0.158344</f>
        <v>0.38889017215200006</v>
      </c>
      <c r="F30" s="172"/>
      <c r="G30" s="197">
        <f>E30-C30</f>
        <v>-313.61834590784804</v>
      </c>
    </row>
    <row r="31" spans="2:7" ht="15" thickBot="1" x14ac:dyDescent="0.4">
      <c r="C31" s="204">
        <f>SUM(C29:C30)</f>
        <v>366.90823608000005</v>
      </c>
      <c r="D31" s="205"/>
      <c r="E31" s="204">
        <f>SUM(E29:E30)</f>
        <v>53.289890172152006</v>
      </c>
      <c r="F31" s="206"/>
      <c r="G31" s="204">
        <f>E31-C31</f>
        <v>-313.61834590784804</v>
      </c>
    </row>
    <row r="32" spans="2:7" ht="10.5" customHeight="1" x14ac:dyDescent="0.35">
      <c r="C32" s="198"/>
      <c r="D32" s="197"/>
      <c r="E32" s="198"/>
      <c r="F32" s="172"/>
      <c r="G32" s="198"/>
    </row>
    <row r="33" spans="2:8" ht="15" thickBot="1" x14ac:dyDescent="0.4">
      <c r="B33" s="202" t="s">
        <v>221</v>
      </c>
      <c r="C33" s="177">
        <f>C25+C31</f>
        <v>15897.262506355746</v>
      </c>
      <c r="D33" s="177"/>
      <c r="E33" s="177">
        <f>E25+E31</f>
        <v>15882.045508463561</v>
      </c>
      <c r="F33" s="203"/>
      <c r="G33" s="177">
        <f>E33-C33</f>
        <v>-15.216997892184736</v>
      </c>
    </row>
    <row r="34" spans="2:8" x14ac:dyDescent="0.35">
      <c r="C34" s="172"/>
      <c r="D34" s="172"/>
      <c r="E34" s="172"/>
      <c r="F34" s="172"/>
    </row>
    <row r="35" spans="2:8" x14ac:dyDescent="0.35">
      <c r="B35" s="170" t="s">
        <v>315</v>
      </c>
      <c r="C35" s="172"/>
      <c r="D35" s="172"/>
      <c r="E35" s="172"/>
      <c r="F35" s="172"/>
    </row>
    <row r="36" spans="2:8" ht="75.5" customHeight="1" x14ac:dyDescent="0.35">
      <c r="B36" s="412" t="s">
        <v>544</v>
      </c>
      <c r="C36" s="412"/>
      <c r="D36" s="412"/>
      <c r="E36" s="412"/>
      <c r="F36" s="412"/>
      <c r="G36" s="412"/>
    </row>
    <row r="37" spans="2:8" x14ac:dyDescent="0.35">
      <c r="C37" s="172"/>
      <c r="D37" s="172"/>
      <c r="E37" s="172"/>
      <c r="F37" s="172"/>
    </row>
    <row r="38" spans="2:8" x14ac:dyDescent="0.35">
      <c r="B38" s="173"/>
      <c r="C38" s="174"/>
      <c r="D38" s="172"/>
      <c r="E38" s="174"/>
      <c r="F38" s="174"/>
      <c r="H38" s="171"/>
    </row>
    <row r="39" spans="2:8" x14ac:dyDescent="0.35">
      <c r="B39" s="173"/>
      <c r="C39" s="172"/>
      <c r="D39" s="172"/>
      <c r="E39" s="172"/>
      <c r="F39" s="172"/>
      <c r="H39" s="171"/>
    </row>
    <row r="40" spans="2:8" x14ac:dyDescent="0.35">
      <c r="E40" s="172"/>
    </row>
  </sheetData>
  <mergeCells count="2">
    <mergeCell ref="B1:E1"/>
    <mergeCell ref="B36:G36"/>
  </mergeCell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6C32A-81B0-4C4A-BF71-13E9D15AF96F}">
  <sheetPr>
    <tabColor theme="6" tint="0.79998168889431442"/>
    <pageSetUpPr fitToPage="1"/>
  </sheetPr>
  <dimension ref="B1:R92"/>
  <sheetViews>
    <sheetView view="pageBreakPreview" topLeftCell="A22" zoomScaleNormal="100" zoomScaleSheetLayoutView="100" workbookViewId="0">
      <selection activeCell="E42" sqref="E42"/>
    </sheetView>
  </sheetViews>
  <sheetFormatPr defaultColWidth="9.08984375" defaultRowHeight="14.5" x14ac:dyDescent="0.35"/>
  <cols>
    <col min="1" max="1" width="9.08984375" style="37"/>
    <col min="2" max="2" width="75.453125" style="37" customWidth="1"/>
    <col min="3" max="3" width="11.90625" style="37" customWidth="1"/>
    <col min="4" max="4" width="2.6328125" style="37" customWidth="1"/>
    <col min="5" max="5" width="11.90625" style="37" customWidth="1"/>
    <col min="6" max="6" width="2.453125" style="37" customWidth="1"/>
    <col min="7" max="7" width="11.90625" style="37" customWidth="1"/>
    <col min="8" max="8" width="9.08984375" style="37"/>
    <col min="9" max="9" width="10.54296875" style="37" bestFit="1" customWidth="1"/>
    <col min="10" max="10" width="13.453125" style="37" bestFit="1" customWidth="1"/>
    <col min="11" max="12" width="9.54296875" style="37" bestFit="1" customWidth="1"/>
    <col min="13" max="13" width="3.6328125" style="37" customWidth="1"/>
    <col min="14" max="14" width="9.36328125" style="37" bestFit="1" customWidth="1"/>
    <col min="15" max="16384" width="9.08984375" style="37"/>
  </cols>
  <sheetData>
    <row r="1" spans="2:8" ht="18.5" x14ac:dyDescent="0.35">
      <c r="B1" s="35"/>
      <c r="C1" s="36"/>
      <c r="D1" s="36"/>
      <c r="E1" s="36"/>
      <c r="F1" s="36"/>
      <c r="G1" s="36"/>
    </row>
    <row r="2" spans="2:8" ht="18.5" x14ac:dyDescent="0.35">
      <c r="B2" s="35" t="s">
        <v>299</v>
      </c>
      <c r="C2" s="36"/>
      <c r="D2" s="36"/>
      <c r="E2" s="36"/>
      <c r="F2" s="36"/>
      <c r="G2" s="36"/>
    </row>
    <row r="3" spans="2:8" x14ac:dyDescent="0.35">
      <c r="C3" s="38"/>
      <c r="D3" s="38"/>
      <c r="E3" s="38"/>
      <c r="F3" s="38"/>
      <c r="G3" s="38"/>
    </row>
    <row r="4" spans="2:8" ht="48.5" customHeight="1" x14ac:dyDescent="0.35">
      <c r="B4" s="38" t="s">
        <v>60</v>
      </c>
      <c r="C4" s="167" t="s">
        <v>238</v>
      </c>
      <c r="D4" s="38"/>
      <c r="E4" s="167" t="s">
        <v>237</v>
      </c>
      <c r="F4" s="38"/>
      <c r="G4" s="168" t="s">
        <v>59</v>
      </c>
    </row>
    <row r="5" spans="2:8" ht="8.25" customHeight="1" x14ac:dyDescent="0.35"/>
    <row r="6" spans="2:8" x14ac:dyDescent="0.35">
      <c r="B6" s="40" t="s">
        <v>61</v>
      </c>
      <c r="C6" s="41"/>
      <c r="D6" s="41"/>
      <c r="E6" s="41"/>
      <c r="F6" s="41"/>
      <c r="G6" s="41"/>
      <c r="H6" s="42"/>
    </row>
    <row r="7" spans="2:8" ht="5.25" customHeight="1" x14ac:dyDescent="0.35">
      <c r="B7" s="44"/>
      <c r="C7" s="45"/>
      <c r="D7" s="45"/>
      <c r="E7" s="45"/>
      <c r="F7" s="45"/>
      <c r="G7" s="45"/>
      <c r="H7" s="42"/>
    </row>
    <row r="8" spans="2:8" x14ac:dyDescent="0.35">
      <c r="B8" s="46" t="s">
        <v>62</v>
      </c>
      <c r="C8" s="45"/>
      <c r="D8" s="45"/>
      <c r="E8" s="45"/>
      <c r="F8" s="45"/>
      <c r="G8" s="45"/>
      <c r="H8" s="42"/>
    </row>
    <row r="9" spans="2:8" s="229" customFormat="1" x14ac:dyDescent="0.35">
      <c r="B9" s="47" t="s">
        <v>243</v>
      </c>
      <c r="C9" s="41">
        <v>677308.5838599999</v>
      </c>
      <c r="D9" s="41"/>
      <c r="E9" s="41">
        <v>672466.67311999993</v>
      </c>
      <c r="F9" s="41"/>
      <c r="G9" s="41">
        <f>E9-C9</f>
        <v>-4841.910739999963</v>
      </c>
      <c r="H9" s="42"/>
    </row>
    <row r="10" spans="2:8" s="229" customFormat="1" x14ac:dyDescent="0.35">
      <c r="B10" s="46"/>
      <c r="C10" s="45"/>
      <c r="D10" s="45"/>
      <c r="E10" s="45"/>
      <c r="F10" s="45"/>
      <c r="G10" s="45"/>
      <c r="H10" s="42"/>
    </row>
    <row r="11" spans="2:8" x14ac:dyDescent="0.35">
      <c r="B11" s="47" t="s">
        <v>244</v>
      </c>
      <c r="C11" s="41">
        <v>738663.02811999992</v>
      </c>
      <c r="D11" s="41"/>
      <c r="E11" s="41">
        <v>728281.80911846145</v>
      </c>
      <c r="F11" s="41"/>
      <c r="G11" s="41">
        <f>E11-C11</f>
        <v>-10381.219001538469</v>
      </c>
      <c r="H11" s="42"/>
    </row>
    <row r="12" spans="2:8" ht="5.25" customHeight="1" x14ac:dyDescent="0.35">
      <c r="B12" s="44"/>
      <c r="C12" s="45"/>
      <c r="D12" s="45"/>
      <c r="E12" s="45"/>
      <c r="F12" s="45"/>
      <c r="G12" s="45"/>
      <c r="H12" s="42"/>
    </row>
    <row r="13" spans="2:8" x14ac:dyDescent="0.35">
      <c r="B13" s="48" t="s">
        <v>63</v>
      </c>
      <c r="C13" s="49">
        <v>198970.25078836372</v>
      </c>
      <c r="D13" s="49"/>
      <c r="E13" s="49">
        <v>198339.31113659337</v>
      </c>
      <c r="F13" s="49"/>
      <c r="G13" s="49">
        <f>E13-C13</f>
        <v>-630.93965177034261</v>
      </c>
      <c r="H13" s="42"/>
    </row>
    <row r="14" spans="2:8" x14ac:dyDescent="0.35">
      <c r="B14" s="48" t="s">
        <v>64</v>
      </c>
      <c r="C14" s="49">
        <v>37389.414280000005</v>
      </c>
      <c r="D14" s="49"/>
      <c r="E14" s="49">
        <v>40571.94255</v>
      </c>
      <c r="F14" s="49"/>
      <c r="G14" s="49">
        <f>E14-C14</f>
        <v>3182.5282699999952</v>
      </c>
      <c r="H14" s="42"/>
    </row>
    <row r="15" spans="2:8" x14ac:dyDescent="0.35">
      <c r="B15" s="48" t="s">
        <v>65</v>
      </c>
      <c r="C15" s="49">
        <v>1581.50344</v>
      </c>
      <c r="D15" s="49"/>
      <c r="E15" s="49">
        <v>12152.327230000001</v>
      </c>
      <c r="F15" s="49"/>
      <c r="G15" s="49">
        <f>E15-C15</f>
        <v>10570.82379</v>
      </c>
      <c r="H15" s="42"/>
    </row>
    <row r="16" spans="2:8" x14ac:dyDescent="0.35">
      <c r="B16" s="48" t="s">
        <v>66</v>
      </c>
      <c r="C16" s="49">
        <v>5011.79997</v>
      </c>
      <c r="D16" s="49"/>
      <c r="E16" s="49">
        <v>7647.1959383458307</v>
      </c>
      <c r="F16" s="49"/>
      <c r="G16" s="49">
        <f>E16-C16</f>
        <v>2635.3959683458306</v>
      </c>
      <c r="H16" s="42"/>
    </row>
    <row r="17" spans="2:8" ht="5.25" customHeight="1" x14ac:dyDescent="0.35">
      <c r="B17" s="52"/>
      <c r="C17" s="45"/>
      <c r="D17" s="45"/>
      <c r="E17" s="45"/>
      <c r="F17" s="45"/>
      <c r="G17" s="45"/>
      <c r="H17" s="42"/>
    </row>
    <row r="18" spans="2:8" x14ac:dyDescent="0.35">
      <c r="B18" s="47" t="s">
        <v>67</v>
      </c>
      <c r="C18" s="41">
        <f>SUM(C13:C16)</f>
        <v>242952.96847836371</v>
      </c>
      <c r="D18" s="41"/>
      <c r="E18" s="41">
        <f>SUM(E13:E16)</f>
        <v>258710.77685493921</v>
      </c>
      <c r="F18" s="41"/>
      <c r="G18" s="41">
        <f>E18-C18</f>
        <v>15757.8083765755</v>
      </c>
      <c r="H18" s="42"/>
    </row>
    <row r="19" spans="2:8" ht="5.25" customHeight="1" x14ac:dyDescent="0.35">
      <c r="B19" s="44"/>
      <c r="C19" s="45"/>
      <c r="D19" s="45"/>
      <c r="E19" s="45"/>
      <c r="F19" s="45"/>
      <c r="G19" s="45"/>
      <c r="H19" s="42"/>
    </row>
    <row r="20" spans="2:8" x14ac:dyDescent="0.35">
      <c r="B20" s="48" t="s">
        <v>68</v>
      </c>
      <c r="C20" s="49">
        <v>44400.401114999993</v>
      </c>
      <c r="D20" s="49"/>
      <c r="E20" s="49">
        <v>42021.590906098267</v>
      </c>
      <c r="F20" s="49"/>
      <c r="G20" s="49">
        <f>E20-C20</f>
        <v>-2378.8102089017266</v>
      </c>
      <c r="H20" s="42"/>
    </row>
    <row r="21" spans="2:8" x14ac:dyDescent="0.35">
      <c r="B21" s="52" t="s">
        <v>69</v>
      </c>
      <c r="C21" s="50">
        <v>-29972.499079999998</v>
      </c>
      <c r="D21" s="50"/>
      <c r="E21" s="50">
        <v>-30489.241899999997</v>
      </c>
      <c r="F21" s="50"/>
      <c r="G21" s="50">
        <f>E21-C21</f>
        <v>-516.74281999999948</v>
      </c>
      <c r="H21" s="42"/>
    </row>
    <row r="22" spans="2:8" ht="6" customHeight="1" x14ac:dyDescent="0.35">
      <c r="B22" s="238"/>
      <c r="C22" s="237"/>
      <c r="D22" s="237"/>
      <c r="E22" s="237"/>
      <c r="F22" s="237"/>
      <c r="G22" s="237"/>
      <c r="H22" s="42"/>
    </row>
    <row r="23" spans="2:8" x14ac:dyDescent="0.35">
      <c r="B23" s="53" t="s">
        <v>70</v>
      </c>
      <c r="C23" s="54">
        <f>SUM(C20:C22)</f>
        <v>14427.902034999996</v>
      </c>
      <c r="D23" s="54"/>
      <c r="E23" s="54">
        <f>SUM(E20:E22)</f>
        <v>11532.349006098269</v>
      </c>
      <c r="F23" s="54"/>
      <c r="G23" s="54">
        <f>E23-C23</f>
        <v>-2895.5530289017261</v>
      </c>
      <c r="H23" s="42"/>
    </row>
    <row r="24" spans="2:8" ht="5.25" customHeight="1" x14ac:dyDescent="0.35">
      <c r="B24" s="44"/>
      <c r="C24" s="45"/>
      <c r="D24" s="45"/>
      <c r="E24" s="45"/>
      <c r="F24" s="45"/>
      <c r="G24" s="45"/>
      <c r="H24" s="42"/>
    </row>
    <row r="25" spans="2:8" x14ac:dyDescent="0.35">
      <c r="B25" s="52" t="s">
        <v>71</v>
      </c>
      <c r="C25" s="50">
        <v>486307.40725899982</v>
      </c>
      <c r="D25" s="50"/>
      <c r="E25" s="50">
        <v>484893.88526846876</v>
      </c>
      <c r="F25" s="50"/>
      <c r="G25" s="50">
        <f>E25-C25</f>
        <v>-1413.521990531066</v>
      </c>
      <c r="H25" s="42"/>
    </row>
    <row r="26" spans="2:8" x14ac:dyDescent="0.35">
      <c r="B26" s="52" t="s">
        <v>72</v>
      </c>
      <c r="C26" s="55">
        <f>C11-C18+C23</f>
        <v>510137.96167663619</v>
      </c>
      <c r="D26" s="45"/>
      <c r="E26" s="55">
        <f>E11-E18+E23</f>
        <v>481103.38126962056</v>
      </c>
      <c r="F26" s="45"/>
      <c r="G26" s="55">
        <f>G11-G18+G23</f>
        <v>-29034.580407015696</v>
      </c>
      <c r="H26" s="42"/>
    </row>
    <row r="27" spans="2:8" x14ac:dyDescent="0.35">
      <c r="B27" s="53" t="s">
        <v>73</v>
      </c>
      <c r="C27" s="54">
        <f>AVERAGE(C25:C26)</f>
        <v>498222.68446781801</v>
      </c>
      <c r="D27" s="54"/>
      <c r="E27" s="54">
        <f>AVERAGE(E25:E26)</f>
        <v>482998.63326904469</v>
      </c>
      <c r="F27" s="54"/>
      <c r="G27" s="54">
        <f>AVERAGE(G25:G26)</f>
        <v>-15224.051198773381</v>
      </c>
      <c r="H27" s="42"/>
    </row>
    <row r="28" spans="2:8" ht="5.25" customHeight="1" x14ac:dyDescent="0.35">
      <c r="B28" s="44"/>
      <c r="C28" s="45"/>
      <c r="D28" s="45"/>
      <c r="E28" s="45"/>
      <c r="F28" s="45"/>
      <c r="G28" s="45"/>
      <c r="H28" s="42"/>
    </row>
    <row r="29" spans="2:8" x14ac:dyDescent="0.35">
      <c r="B29" s="56" t="s">
        <v>74</v>
      </c>
      <c r="C29" s="57">
        <v>2732</v>
      </c>
      <c r="D29" s="57"/>
      <c r="E29" s="57">
        <v>3046</v>
      </c>
      <c r="F29" s="57"/>
      <c r="G29" s="57">
        <f>E29-C29</f>
        <v>314</v>
      </c>
      <c r="H29" s="42"/>
    </row>
    <row r="30" spans="2:8" ht="5.25" customHeight="1" x14ac:dyDescent="0.35">
      <c r="B30" s="58"/>
      <c r="C30" s="50"/>
      <c r="D30" s="50"/>
      <c r="E30" s="50"/>
      <c r="F30" s="50"/>
      <c r="G30" s="50"/>
      <c r="H30" s="42"/>
    </row>
    <row r="31" spans="2:8" x14ac:dyDescent="0.35">
      <c r="B31" s="56" t="s">
        <v>75</v>
      </c>
      <c r="C31" s="57">
        <v>7141.1272023422216</v>
      </c>
      <c r="D31" s="57"/>
      <c r="E31" s="57">
        <v>7091.9572242594759</v>
      </c>
      <c r="F31" s="57"/>
      <c r="G31" s="57">
        <f>E31-C31</f>
        <v>-49.169978082745729</v>
      </c>
      <c r="H31" s="42"/>
    </row>
    <row r="32" spans="2:8" ht="5.25" customHeight="1" x14ac:dyDescent="0.35">
      <c r="B32" s="58"/>
      <c r="C32" s="50"/>
      <c r="D32" s="50"/>
      <c r="E32" s="50"/>
      <c r="F32" s="50"/>
      <c r="G32" s="50"/>
      <c r="H32" s="42"/>
    </row>
    <row r="33" spans="2:8" x14ac:dyDescent="0.35">
      <c r="B33" s="40" t="s">
        <v>76</v>
      </c>
      <c r="C33" s="41">
        <f>C27+C29+C31</f>
        <v>508095.81167016021</v>
      </c>
      <c r="D33" s="41"/>
      <c r="E33" s="41">
        <f>E27+E29+E31</f>
        <v>493136.59049330419</v>
      </c>
      <c r="F33" s="41"/>
      <c r="G33" s="41">
        <f>E33-C33</f>
        <v>-14959.221176856023</v>
      </c>
      <c r="H33" s="42"/>
    </row>
    <row r="34" spans="2:8" ht="5.25" customHeight="1" x14ac:dyDescent="0.35">
      <c r="B34" s="44"/>
      <c r="C34" s="45"/>
      <c r="D34" s="45"/>
      <c r="E34" s="45"/>
      <c r="F34" s="45"/>
      <c r="G34" s="45"/>
      <c r="H34" s="42"/>
    </row>
    <row r="35" spans="2:8" x14ac:dyDescent="0.35">
      <c r="B35" s="52" t="s">
        <v>77</v>
      </c>
      <c r="C35" s="50">
        <v>185318.86823900003</v>
      </c>
      <c r="D35" s="50"/>
      <c r="E35" s="50">
        <v>182551.97156900002</v>
      </c>
      <c r="F35" s="50"/>
      <c r="G35" s="50">
        <f>E35-C35</f>
        <v>-2766.8966700000165</v>
      </c>
      <c r="H35" s="42"/>
    </row>
    <row r="36" spans="2:8" ht="5.25" customHeight="1" x14ac:dyDescent="0.35">
      <c r="B36" s="44"/>
      <c r="C36" s="45"/>
      <c r="D36" s="45"/>
      <c r="E36" s="45"/>
      <c r="F36" s="45"/>
      <c r="G36" s="45"/>
      <c r="H36" s="42"/>
    </row>
    <row r="37" spans="2:8" x14ac:dyDescent="0.35">
      <c r="B37" s="40" t="s">
        <v>78</v>
      </c>
      <c r="C37" s="41">
        <f>C33-C35</f>
        <v>322776.94343116018</v>
      </c>
      <c r="D37" s="41"/>
      <c r="E37" s="41">
        <f>E33-E35</f>
        <v>310584.61892430414</v>
      </c>
      <c r="F37" s="41"/>
      <c r="G37" s="41">
        <f>E37-C37</f>
        <v>-12192.324506856035</v>
      </c>
      <c r="H37" s="42"/>
    </row>
    <row r="38" spans="2:8" ht="9.75" customHeight="1" x14ac:dyDescent="0.35">
      <c r="B38" s="59"/>
      <c r="C38" s="60"/>
      <c r="D38" s="60"/>
      <c r="E38" s="60"/>
      <c r="F38" s="60"/>
      <c r="G38" s="60"/>
      <c r="H38" s="42"/>
    </row>
    <row r="39" spans="2:8" ht="6.75" customHeight="1" x14ac:dyDescent="0.35">
      <c r="B39" s="61"/>
      <c r="C39" s="49"/>
      <c r="D39" s="49"/>
      <c r="E39" s="49"/>
      <c r="F39" s="49"/>
      <c r="G39" s="62"/>
      <c r="H39" s="42"/>
    </row>
    <row r="40" spans="2:8" x14ac:dyDescent="0.35">
      <c r="B40" s="63" t="s">
        <v>79</v>
      </c>
      <c r="C40" s="64">
        <f>C41*0.6+C42*0.4</f>
        <v>5.1683262530595617E-2</v>
      </c>
      <c r="D40" s="65"/>
      <c r="E40" s="64">
        <f>E41*0.6+E42*0.4</f>
        <v>5.0407000000000007E-2</v>
      </c>
      <c r="F40" s="65"/>
      <c r="G40" s="64">
        <f>E40-C40</f>
        <v>-1.2762625305956093E-3</v>
      </c>
      <c r="H40" s="42"/>
    </row>
    <row r="41" spans="2:8" x14ac:dyDescent="0.35">
      <c r="B41" s="66" t="s">
        <v>80</v>
      </c>
      <c r="C41" s="64">
        <v>2.8127221735891734E-2</v>
      </c>
      <c r="D41" s="64"/>
      <c r="E41" s="64">
        <v>2.9347000000000002E-2</v>
      </c>
      <c r="F41" s="64"/>
      <c r="G41" s="64">
        <f>E41-C41</f>
        <v>1.2197782641082677E-3</v>
      </c>
      <c r="H41" s="42"/>
    </row>
    <row r="42" spans="2:8" x14ac:dyDescent="0.35">
      <c r="B42" s="66" t="s">
        <v>81</v>
      </c>
      <c r="C42" s="64">
        <v>8.7017323722651446E-2</v>
      </c>
      <c r="D42" s="64"/>
      <c r="E42" s="64">
        <v>8.1997E-2</v>
      </c>
      <c r="F42" s="64"/>
      <c r="G42" s="64">
        <f>E42-C42</f>
        <v>-5.0203237226514458E-3</v>
      </c>
      <c r="H42" s="42"/>
    </row>
    <row r="43" spans="2:8" ht="6.75" customHeight="1" x14ac:dyDescent="0.35">
      <c r="B43" s="66"/>
      <c r="C43" s="62"/>
      <c r="D43" s="50"/>
      <c r="E43" s="62"/>
      <c r="F43" s="50"/>
      <c r="G43" s="62"/>
      <c r="H43" s="42"/>
    </row>
    <row r="44" spans="2:8" x14ac:dyDescent="0.35">
      <c r="B44" s="63" t="s">
        <v>82</v>
      </c>
      <c r="C44" s="45">
        <f>SUM(C45:C46)</f>
        <v>16682.165506175865</v>
      </c>
      <c r="D44" s="45"/>
      <c r="E44" s="45">
        <f>SUM(E45:E46)</f>
        <v>15655.6388861174</v>
      </c>
      <c r="F44" s="45"/>
      <c r="G44" s="45">
        <f>E44-C44</f>
        <v>-1026.5266200584647</v>
      </c>
      <c r="H44" s="42"/>
    </row>
    <row r="45" spans="2:8" x14ac:dyDescent="0.35">
      <c r="B45" s="66" t="s">
        <v>83</v>
      </c>
      <c r="C45" s="50">
        <f>C37*0.6*C41</f>
        <v>5447.2911954729752</v>
      </c>
      <c r="D45" s="50"/>
      <c r="E45" s="50">
        <f>E37*0.6*E41</f>
        <v>5468.8360869429325</v>
      </c>
      <c r="F45" s="50"/>
      <c r="G45" s="50">
        <f>E45-C45</f>
        <v>21.544891469957292</v>
      </c>
      <c r="H45" s="42"/>
    </row>
    <row r="46" spans="2:8" x14ac:dyDescent="0.35">
      <c r="B46" s="66" t="s">
        <v>81</v>
      </c>
      <c r="C46" s="50">
        <f>C37*0.4*C42</f>
        <v>11234.874310702888</v>
      </c>
      <c r="D46" s="50"/>
      <c r="E46" s="50">
        <f>E37*0.4*E42</f>
        <v>10186.802799174468</v>
      </c>
      <c r="F46" s="50"/>
      <c r="G46" s="50">
        <f>E46-C46</f>
        <v>-1048.0715115284202</v>
      </c>
      <c r="H46" s="42"/>
    </row>
    <row r="47" spans="2:8" ht="5.25" customHeight="1" x14ac:dyDescent="0.35">
      <c r="B47" s="66"/>
      <c r="C47" s="50"/>
      <c r="D47" s="50"/>
      <c r="E47" s="50"/>
      <c r="F47" s="50"/>
      <c r="G47" s="50"/>
      <c r="H47" s="42"/>
    </row>
    <row r="48" spans="2:8" x14ac:dyDescent="0.35">
      <c r="B48" s="63" t="s">
        <v>84</v>
      </c>
      <c r="C48" s="50"/>
      <c r="D48" s="50"/>
      <c r="E48" s="50"/>
      <c r="F48" s="50"/>
      <c r="G48" s="45">
        <f>SUM(G49:G50)</f>
        <v>-1026.5266200584647</v>
      </c>
      <c r="H48" s="42"/>
    </row>
    <row r="49" spans="2:18" x14ac:dyDescent="0.35">
      <c r="B49" s="66" t="s">
        <v>85</v>
      </c>
      <c r="C49" s="50"/>
      <c r="D49" s="50"/>
      <c r="E49" s="50"/>
      <c r="F49" s="50"/>
      <c r="G49" s="50">
        <f>(E37*0.4*E42+E37*0.6*E41)-(E37*0.4*C42+E37*0.6*C41)</f>
        <v>-396.38751171240619</v>
      </c>
      <c r="H49" s="42"/>
    </row>
    <row r="50" spans="2:18" x14ac:dyDescent="0.35">
      <c r="B50" s="66" t="s">
        <v>86</v>
      </c>
      <c r="C50" s="49"/>
      <c r="D50" s="49"/>
      <c r="E50" s="49"/>
      <c r="F50" s="49"/>
      <c r="G50" s="49">
        <f>(E37*0.4*C42+E37*0.6*C41)-(C37*0.4*C42+C37*0.6*C41)</f>
        <v>-630.13910834605849</v>
      </c>
      <c r="H50" s="42"/>
    </row>
    <row r="51" spans="2:18" ht="6" customHeight="1" x14ac:dyDescent="0.35">
      <c r="B51" s="67"/>
      <c r="C51" s="55"/>
      <c r="D51" s="68"/>
      <c r="E51" s="55"/>
      <c r="F51" s="68"/>
      <c r="G51" s="55"/>
      <c r="H51" s="42"/>
    </row>
    <row r="52" spans="2:18" ht="9.75" customHeight="1" x14ac:dyDescent="0.35">
      <c r="B52" s="61"/>
      <c r="C52" s="49"/>
      <c r="D52" s="49"/>
      <c r="E52" s="49"/>
      <c r="F52" s="49"/>
      <c r="G52" s="49"/>
      <c r="H52" s="42"/>
    </row>
    <row r="53" spans="2:18" x14ac:dyDescent="0.35">
      <c r="B53" s="63" t="s">
        <v>87</v>
      </c>
      <c r="C53" s="45">
        <f>SUM(C55:C59)</f>
        <v>13125.239382363608</v>
      </c>
      <c r="D53" s="45"/>
      <c r="E53" s="45">
        <f>SUM(E55:E59)</f>
        <v>12765.525865977892</v>
      </c>
      <c r="F53" s="45"/>
      <c r="G53" s="45">
        <f>E53-C53</f>
        <v>-359.7135163857165</v>
      </c>
      <c r="H53" s="42"/>
      <c r="I53" s="233"/>
      <c r="J53" s="233"/>
      <c r="K53" s="233"/>
      <c r="L53" s="233"/>
      <c r="M53" s="233"/>
      <c r="N53" s="233"/>
      <c r="O53" s="233"/>
      <c r="P53" s="233"/>
      <c r="Q53" s="233"/>
      <c r="R53" s="233"/>
    </row>
    <row r="54" spans="2:18" ht="7.5" customHeight="1" x14ac:dyDescent="0.35">
      <c r="B54" s="61"/>
      <c r="C54" s="49"/>
      <c r="D54" s="49"/>
      <c r="E54" s="49"/>
      <c r="F54" s="49"/>
      <c r="G54" s="49"/>
      <c r="H54" s="42"/>
      <c r="I54" s="233"/>
      <c r="J54" s="233"/>
      <c r="K54" s="233"/>
      <c r="L54" s="233"/>
      <c r="M54" s="233"/>
      <c r="N54" s="233"/>
      <c r="O54" s="233"/>
      <c r="P54" s="233"/>
      <c r="Q54" s="233"/>
      <c r="R54" s="233"/>
    </row>
    <row r="55" spans="2:18" x14ac:dyDescent="0.35">
      <c r="B55" s="69" t="s">
        <v>88</v>
      </c>
      <c r="C55" s="50">
        <v>13581.070098363607</v>
      </c>
      <c r="D55" s="49"/>
      <c r="E55" s="50">
        <v>13371.867301977891</v>
      </c>
      <c r="F55" s="49"/>
      <c r="G55" s="50">
        <f>E55-C55</f>
        <v>-209.20279638571628</v>
      </c>
      <c r="H55" s="42"/>
      <c r="I55" s="233"/>
      <c r="J55" s="233"/>
      <c r="K55" s="233"/>
      <c r="L55" s="233"/>
      <c r="M55" s="233"/>
      <c r="N55" s="233"/>
      <c r="O55" s="233"/>
      <c r="P55" s="233"/>
      <c r="Q55" s="233"/>
      <c r="R55" s="233"/>
    </row>
    <row r="56" spans="2:18" ht="14.5" customHeight="1" x14ac:dyDescent="0.35">
      <c r="B56" s="69" t="s">
        <v>89</v>
      </c>
      <c r="C56" s="50">
        <v>-4460.8047819999992</v>
      </c>
      <c r="D56" s="49"/>
      <c r="E56" s="50">
        <v>-4416.2715019999996</v>
      </c>
      <c r="F56" s="49"/>
      <c r="G56" s="50">
        <f>E56-C56</f>
        <v>44.53327999999965</v>
      </c>
      <c r="H56" s="42"/>
      <c r="I56" s="233"/>
      <c r="J56" s="233"/>
      <c r="K56" s="233"/>
      <c r="L56" s="233"/>
      <c r="M56" s="233"/>
      <c r="N56" s="233"/>
      <c r="O56" s="233"/>
      <c r="P56" s="233"/>
      <c r="Q56" s="233"/>
      <c r="R56" s="233"/>
    </row>
    <row r="57" spans="2:18" x14ac:dyDescent="0.35">
      <c r="B57" s="69" t="s">
        <v>91</v>
      </c>
      <c r="C57" s="50">
        <v>-262</v>
      </c>
      <c r="D57" s="49"/>
      <c r="E57" s="50">
        <v>-262</v>
      </c>
      <c r="F57" s="49"/>
      <c r="G57" s="50">
        <f>E57-C57</f>
        <v>0</v>
      </c>
      <c r="H57" s="42"/>
      <c r="I57" s="233"/>
      <c r="J57" s="233"/>
      <c r="K57" s="233"/>
      <c r="L57" s="233"/>
      <c r="M57" s="233"/>
      <c r="N57" s="233"/>
      <c r="O57" s="233"/>
      <c r="P57" s="233"/>
      <c r="Q57" s="233"/>
      <c r="R57" s="233"/>
    </row>
    <row r="58" spans="2:18" x14ac:dyDescent="0.35">
      <c r="B58" s="69" t="s">
        <v>92</v>
      </c>
      <c r="C58" s="50">
        <v>-203.80146299999998</v>
      </c>
      <c r="D58" s="49"/>
      <c r="E58" s="50">
        <v>-238.28448299999997</v>
      </c>
      <c r="F58" s="49"/>
      <c r="G58" s="50">
        <f>E58-C58</f>
        <v>-34.483019999999982</v>
      </c>
      <c r="H58" s="42"/>
      <c r="I58" s="233"/>
      <c r="J58" s="233"/>
      <c r="K58" s="233"/>
      <c r="L58" s="233"/>
      <c r="M58" s="233"/>
      <c r="N58" s="233"/>
      <c r="O58" s="233"/>
      <c r="P58" s="233"/>
      <c r="Q58" s="233"/>
      <c r="R58" s="233"/>
    </row>
    <row r="59" spans="2:18" x14ac:dyDescent="0.35">
      <c r="B59" s="69" t="s">
        <v>93</v>
      </c>
      <c r="C59" s="50">
        <v>4470.7755290000005</v>
      </c>
      <c r="D59" s="49"/>
      <c r="E59" s="50">
        <v>4310.2145489999994</v>
      </c>
      <c r="F59" s="49"/>
      <c r="G59" s="50">
        <f>E59-C59</f>
        <v>-160.56098000000111</v>
      </c>
      <c r="H59" s="42"/>
      <c r="I59" s="233"/>
      <c r="J59" s="233"/>
      <c r="K59" s="233"/>
      <c r="L59" s="233"/>
      <c r="M59" s="233"/>
      <c r="N59" s="233"/>
      <c r="O59" s="233"/>
      <c r="P59" s="233"/>
      <c r="Q59" s="233"/>
      <c r="R59" s="233"/>
    </row>
    <row r="60" spans="2:18" x14ac:dyDescent="0.35">
      <c r="B60" s="70" t="s">
        <v>74</v>
      </c>
      <c r="C60" s="50">
        <v>767.29844000000003</v>
      </c>
      <c r="D60" s="49"/>
      <c r="E60" s="50">
        <v>683.15551000000039</v>
      </c>
      <c r="F60" s="49"/>
      <c r="G60" s="50">
        <f t="shared" ref="G60:G64" si="0">E60-C60</f>
        <v>-84.142929999999637</v>
      </c>
      <c r="H60" s="42"/>
      <c r="I60" s="233"/>
      <c r="J60" s="233"/>
      <c r="K60" s="233"/>
      <c r="L60" s="233"/>
      <c r="M60" s="233"/>
      <c r="N60" s="233"/>
      <c r="O60" s="233"/>
      <c r="P60" s="233"/>
      <c r="Q60" s="233"/>
      <c r="R60" s="233"/>
    </row>
    <row r="61" spans="2:18" x14ac:dyDescent="0.35">
      <c r="B61" s="70" t="s">
        <v>94</v>
      </c>
      <c r="C61" s="50">
        <v>2640.4422800000007</v>
      </c>
      <c r="D61" s="49"/>
      <c r="E61" s="50">
        <v>2612.4523099999997</v>
      </c>
      <c r="F61" s="49"/>
      <c r="G61" s="50">
        <f t="shared" si="0"/>
        <v>-27.989970000000994</v>
      </c>
      <c r="H61" s="42"/>
      <c r="I61" s="233"/>
      <c r="J61" s="233"/>
      <c r="K61" s="233"/>
      <c r="L61" s="233"/>
      <c r="M61" s="233"/>
      <c r="N61" s="233"/>
      <c r="O61" s="233"/>
      <c r="P61" s="233"/>
      <c r="Q61" s="233"/>
      <c r="R61" s="233"/>
    </row>
    <row r="62" spans="2:18" x14ac:dyDescent="0.35">
      <c r="B62" s="70" t="s">
        <v>95</v>
      </c>
      <c r="C62" s="50">
        <v>92.542389999999983</v>
      </c>
      <c r="D62" s="49"/>
      <c r="E62" s="50">
        <v>64.270150000000001</v>
      </c>
      <c r="F62" s="49"/>
      <c r="G62" s="50">
        <f t="shared" si="0"/>
        <v>-28.272239999999982</v>
      </c>
      <c r="H62" s="42"/>
      <c r="I62" s="233"/>
      <c r="J62" s="233"/>
      <c r="K62" s="233"/>
      <c r="L62" s="233"/>
      <c r="M62" s="233"/>
      <c r="N62" s="233"/>
      <c r="O62" s="233"/>
      <c r="P62" s="233"/>
      <c r="Q62" s="233"/>
      <c r="R62" s="233"/>
    </row>
    <row r="63" spans="2:18" x14ac:dyDescent="0.35">
      <c r="B63" s="70" t="s">
        <v>96</v>
      </c>
      <c r="C63" s="50">
        <v>221.53123899999997</v>
      </c>
      <c r="D63" s="49"/>
      <c r="E63" s="50">
        <v>221.53123899999997</v>
      </c>
      <c r="F63" s="49"/>
      <c r="G63" s="50">
        <f t="shared" si="0"/>
        <v>0</v>
      </c>
      <c r="H63" s="42"/>
      <c r="I63" s="233"/>
      <c r="J63" s="233"/>
      <c r="K63" s="233"/>
      <c r="L63" s="233"/>
      <c r="M63" s="233"/>
      <c r="N63" s="233"/>
      <c r="O63" s="233"/>
      <c r="P63" s="233"/>
      <c r="Q63" s="233"/>
      <c r="R63" s="233"/>
    </row>
    <row r="64" spans="2:18" x14ac:dyDescent="0.35">
      <c r="B64" s="70" t="s">
        <v>239</v>
      </c>
      <c r="C64" s="50">
        <v>748.9611799999999</v>
      </c>
      <c r="D64" s="49"/>
      <c r="E64" s="50">
        <v>728.80534000000011</v>
      </c>
      <c r="F64" s="49"/>
      <c r="G64" s="50">
        <f t="shared" si="0"/>
        <v>-20.155839999999785</v>
      </c>
      <c r="H64" s="42"/>
      <c r="I64" s="233"/>
      <c r="J64" s="233"/>
      <c r="K64" s="233"/>
      <c r="L64" s="233"/>
      <c r="M64" s="233"/>
      <c r="N64" s="233"/>
      <c r="O64" s="233"/>
      <c r="P64" s="233"/>
      <c r="Q64" s="233"/>
      <c r="R64" s="233"/>
    </row>
    <row r="65" spans="2:12" ht="8.25" customHeight="1" x14ac:dyDescent="0.35">
      <c r="B65" s="67"/>
      <c r="C65" s="55"/>
      <c r="D65" s="68"/>
      <c r="E65" s="55"/>
      <c r="F65" s="68"/>
      <c r="G65" s="55"/>
      <c r="H65" s="42"/>
    </row>
    <row r="66" spans="2:12" ht="8.25" customHeight="1" x14ac:dyDescent="0.35">
      <c r="B66" s="61"/>
      <c r="C66" s="49"/>
      <c r="D66" s="49"/>
      <c r="E66" s="49"/>
      <c r="F66" s="49"/>
      <c r="G66" s="49"/>
      <c r="H66" s="42"/>
    </row>
    <row r="67" spans="2:12" x14ac:dyDescent="0.35">
      <c r="B67" s="63" t="s">
        <v>97</v>
      </c>
      <c r="C67" s="45"/>
      <c r="D67" s="45"/>
      <c r="E67" s="45"/>
      <c r="F67" s="45"/>
      <c r="G67" s="45">
        <f>G44+G53</f>
        <v>-1386.2401364441812</v>
      </c>
      <c r="H67" s="42"/>
      <c r="I67" s="71"/>
      <c r="J67" s="71"/>
      <c r="K67" s="71"/>
      <c r="L67" s="71"/>
    </row>
    <row r="68" spans="2:12" ht="6" customHeight="1" x14ac:dyDescent="0.35">
      <c r="B68" s="63"/>
      <c r="C68" s="45"/>
      <c r="D68" s="45"/>
      <c r="E68" s="45"/>
      <c r="F68" s="45"/>
      <c r="G68" s="45"/>
      <c r="H68" s="42"/>
    </row>
    <row r="69" spans="2:12" x14ac:dyDescent="0.35">
      <c r="C69" s="49"/>
      <c r="D69" s="49"/>
      <c r="E69" s="49"/>
      <c r="F69" s="49"/>
      <c r="G69" s="49"/>
      <c r="H69" s="42"/>
      <c r="I69" s="43"/>
      <c r="J69" s="43"/>
      <c r="K69" s="43"/>
      <c r="L69" s="43"/>
    </row>
    <row r="70" spans="2:12" x14ac:dyDescent="0.35">
      <c r="B70" s="225"/>
      <c r="C70" s="226"/>
      <c r="D70" s="226"/>
      <c r="E70" s="226"/>
      <c r="F70" s="226"/>
      <c r="G70" s="226"/>
      <c r="H70" s="42"/>
    </row>
    <row r="71" spans="2:12" x14ac:dyDescent="0.35">
      <c r="B71" s="225"/>
      <c r="C71" s="226"/>
      <c r="D71" s="226"/>
      <c r="E71" s="226"/>
      <c r="F71" s="226"/>
      <c r="G71" s="226"/>
      <c r="H71" s="42"/>
    </row>
    <row r="72" spans="2:12" x14ac:dyDescent="0.35">
      <c r="B72" s="227"/>
      <c r="C72" s="228"/>
      <c r="D72" s="228"/>
      <c r="E72" s="228"/>
      <c r="F72" s="228"/>
      <c r="G72" s="228"/>
      <c r="H72" s="72"/>
    </row>
    <row r="73" spans="2:12" ht="30" customHeight="1" x14ac:dyDescent="0.35">
      <c r="B73" s="413"/>
      <c r="C73" s="413"/>
      <c r="D73" s="413"/>
      <c r="E73" s="413"/>
      <c r="F73" s="413"/>
      <c r="G73" s="413"/>
      <c r="H73" s="42"/>
    </row>
    <row r="74" spans="2:12" x14ac:dyDescent="0.35">
      <c r="B74" s="63"/>
      <c r="C74" s="49"/>
      <c r="D74" s="49"/>
      <c r="E74" s="49"/>
      <c r="F74" s="49"/>
      <c r="G74" s="49"/>
      <c r="H74" s="42"/>
    </row>
    <row r="75" spans="2:12" x14ac:dyDescent="0.35">
      <c r="C75" s="73"/>
      <c r="D75" s="74"/>
      <c r="E75" s="73"/>
      <c r="F75" s="49"/>
      <c r="G75" s="49"/>
      <c r="H75" s="42"/>
    </row>
    <row r="76" spans="2:12" x14ac:dyDescent="0.3">
      <c r="B76" s="75"/>
      <c r="C76" s="74"/>
      <c r="D76" s="74"/>
      <c r="E76" s="74"/>
      <c r="F76" s="74"/>
      <c r="G76" s="74"/>
      <c r="H76" s="39"/>
    </row>
    <row r="77" spans="2:12" x14ac:dyDescent="0.3">
      <c r="B77" s="75"/>
      <c r="C77" s="74"/>
      <c r="D77" s="74"/>
      <c r="E77" s="74"/>
      <c r="F77" s="74"/>
      <c r="G77" s="74"/>
      <c r="H77" s="39"/>
    </row>
    <row r="78" spans="2:12" x14ac:dyDescent="0.35">
      <c r="B78" s="76"/>
      <c r="C78" s="49"/>
      <c r="D78" s="74"/>
      <c r="E78" s="74"/>
      <c r="F78" s="74"/>
      <c r="G78" s="74"/>
      <c r="H78" s="39"/>
    </row>
    <row r="79" spans="2:12" x14ac:dyDescent="0.3">
      <c r="B79" s="77"/>
      <c r="C79" s="78"/>
      <c r="D79" s="38"/>
      <c r="E79" s="79"/>
      <c r="F79" s="79"/>
      <c r="G79" s="79"/>
      <c r="H79" s="39"/>
    </row>
    <row r="80" spans="2:12" x14ac:dyDescent="0.35">
      <c r="E80" s="39"/>
      <c r="F80" s="39"/>
      <c r="G80" s="39"/>
      <c r="H80" s="39"/>
    </row>
    <row r="81" spans="2:8" x14ac:dyDescent="0.35">
      <c r="B81" s="80"/>
      <c r="C81" s="39"/>
      <c r="E81" s="39"/>
      <c r="F81" s="39"/>
      <c r="G81" s="39"/>
      <c r="H81" s="39"/>
    </row>
    <row r="82" spans="2:8" x14ac:dyDescent="0.35">
      <c r="E82" s="39"/>
      <c r="F82" s="39"/>
      <c r="G82" s="39"/>
      <c r="H82" s="39"/>
    </row>
    <row r="85" spans="2:8" x14ac:dyDescent="0.35">
      <c r="C85" s="39"/>
    </row>
    <row r="88" spans="2:8" x14ac:dyDescent="0.35">
      <c r="E88" s="39"/>
    </row>
    <row r="89" spans="2:8" x14ac:dyDescent="0.35">
      <c r="E89" s="39"/>
    </row>
    <row r="90" spans="2:8" x14ac:dyDescent="0.35">
      <c r="E90" s="39"/>
    </row>
    <row r="91" spans="2:8" x14ac:dyDescent="0.35">
      <c r="E91" s="39"/>
    </row>
    <row r="92" spans="2:8" x14ac:dyDescent="0.35">
      <c r="E92" s="39"/>
    </row>
  </sheetData>
  <mergeCells count="1">
    <mergeCell ref="B73:G73"/>
  </mergeCells>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749B-5473-4809-A3B5-356283C386AE}">
  <sheetPr>
    <tabColor theme="6" tint="0.79998168889431442"/>
    <pageSetUpPr fitToPage="1"/>
  </sheetPr>
  <dimension ref="B1:P133"/>
  <sheetViews>
    <sheetView view="pageBreakPreview" topLeftCell="A71" zoomScaleNormal="100" zoomScaleSheetLayoutView="100" workbookViewId="0">
      <selection activeCell="B79" sqref="B79"/>
    </sheetView>
  </sheetViews>
  <sheetFormatPr defaultColWidth="9.08984375" defaultRowHeight="14.5" x14ac:dyDescent="0.35"/>
  <cols>
    <col min="1" max="1" width="9.08984375" style="37"/>
    <col min="2" max="2" width="82.90625" style="37" customWidth="1"/>
    <col min="3" max="3" width="11.36328125" style="37" customWidth="1"/>
    <col min="4" max="4" width="2.6328125" style="37" customWidth="1"/>
    <col min="5" max="5" width="11.36328125" style="37" customWidth="1"/>
    <col min="6" max="6" width="2.453125" style="37" customWidth="1"/>
    <col min="7" max="7" width="11.36328125" style="37" customWidth="1"/>
    <col min="8" max="8" width="9.08984375" style="37"/>
    <col min="9" max="9" width="10.54296875" style="37" bestFit="1" customWidth="1"/>
    <col min="10" max="10" width="13.36328125" style="37" bestFit="1" customWidth="1"/>
    <col min="11" max="11" width="10.54296875" style="37" bestFit="1" customWidth="1"/>
    <col min="12" max="12" width="9.08984375" style="37"/>
    <col min="13" max="13" width="9.54296875" style="37" bestFit="1" customWidth="1"/>
    <col min="14" max="17" width="9.08984375" style="37"/>
    <col min="18" max="18" width="10.54296875" style="37" bestFit="1" customWidth="1"/>
    <col min="19" max="19" width="13.453125" style="37" bestFit="1" customWidth="1"/>
    <col min="20" max="21" width="9.54296875" style="37" bestFit="1" customWidth="1"/>
    <col min="22" max="22" width="3.6328125" style="37" customWidth="1"/>
    <col min="23" max="23" width="9.36328125" style="37" bestFit="1" customWidth="1"/>
    <col min="24" max="16384" width="9.08984375" style="37"/>
  </cols>
  <sheetData>
    <row r="1" spans="2:13" ht="18.5" x14ac:dyDescent="0.35">
      <c r="B1" s="35" t="s">
        <v>98</v>
      </c>
      <c r="C1" s="36"/>
      <c r="D1" s="36"/>
      <c r="E1" s="36"/>
      <c r="F1" s="36"/>
      <c r="G1" s="36"/>
    </row>
    <row r="2" spans="2:13" x14ac:dyDescent="0.35">
      <c r="C2" s="38"/>
      <c r="D2" s="38"/>
      <c r="E2" s="38"/>
      <c r="F2" s="38"/>
      <c r="G2" s="38"/>
    </row>
    <row r="3" spans="2:13" ht="30" customHeight="1" x14ac:dyDescent="0.35">
      <c r="C3" s="414" t="s">
        <v>238</v>
      </c>
      <c r="D3" s="38"/>
      <c r="E3" s="414" t="s">
        <v>237</v>
      </c>
      <c r="F3" s="38"/>
      <c r="G3" s="415" t="s">
        <v>59</v>
      </c>
    </row>
    <row r="4" spans="2:13" x14ac:dyDescent="0.35">
      <c r="B4" s="38" t="s">
        <v>60</v>
      </c>
      <c r="C4" s="414"/>
      <c r="D4" s="38"/>
      <c r="E4" s="414"/>
      <c r="F4" s="38"/>
      <c r="G4" s="415"/>
    </row>
    <row r="5" spans="2:13" ht="7" customHeight="1" x14ac:dyDescent="0.35">
      <c r="L5" s="39"/>
      <c r="M5" s="39"/>
    </row>
    <row r="6" spans="2:13" x14ac:dyDescent="0.35">
      <c r="B6" s="40" t="s">
        <v>61</v>
      </c>
      <c r="C6" s="41"/>
      <c r="D6" s="41"/>
      <c r="E6" s="41"/>
      <c r="F6" s="41"/>
      <c r="G6" s="41"/>
      <c r="H6" s="42"/>
      <c r="L6" s="43"/>
      <c r="M6" s="43"/>
    </row>
    <row r="7" spans="2:13" ht="5.25" customHeight="1" x14ac:dyDescent="0.35">
      <c r="B7" s="44"/>
      <c r="C7" s="45"/>
      <c r="D7" s="45"/>
      <c r="E7" s="45"/>
      <c r="F7" s="45"/>
      <c r="G7" s="45"/>
      <c r="H7" s="42"/>
      <c r="L7" s="43"/>
      <c r="M7" s="43"/>
    </row>
    <row r="8" spans="2:13" x14ac:dyDescent="0.35">
      <c r="B8" s="46" t="s">
        <v>62</v>
      </c>
      <c r="C8" s="45"/>
      <c r="D8" s="45"/>
      <c r="E8" s="45"/>
      <c r="F8" s="45"/>
      <c r="G8" s="45"/>
      <c r="H8" s="42"/>
      <c r="L8" s="43"/>
      <c r="M8" s="43"/>
    </row>
    <row r="9" spans="2:13" s="229" customFormat="1" x14ac:dyDescent="0.35">
      <c r="B9" s="47" t="s">
        <v>243</v>
      </c>
      <c r="C9" s="41">
        <v>677308.5838599999</v>
      </c>
      <c r="D9" s="41"/>
      <c r="E9" s="41">
        <v>672466.67311999993</v>
      </c>
      <c r="F9" s="41"/>
      <c r="G9" s="41">
        <f>E9-C9</f>
        <v>-4841.910739999963</v>
      </c>
      <c r="H9" s="42"/>
      <c r="L9" s="43"/>
      <c r="M9" s="43"/>
    </row>
    <row r="10" spans="2:13" s="229" customFormat="1" x14ac:dyDescent="0.35">
      <c r="B10" s="81" t="s">
        <v>510</v>
      </c>
      <c r="C10" s="45"/>
      <c r="D10" s="45"/>
      <c r="E10" s="45"/>
      <c r="F10" s="45"/>
      <c r="G10" s="50">
        <v>-3014.0006000000017</v>
      </c>
      <c r="H10" s="42"/>
      <c r="I10" s="51"/>
      <c r="L10" s="43"/>
      <c r="M10" s="43"/>
    </row>
    <row r="11" spans="2:13" s="229" customFormat="1" x14ac:dyDescent="0.35">
      <c r="B11" s="81" t="s">
        <v>511</v>
      </c>
      <c r="C11" s="45"/>
      <c r="D11" s="45"/>
      <c r="E11" s="45"/>
      <c r="F11" s="45"/>
      <c r="G11" s="50">
        <v>-341.88177000000002</v>
      </c>
      <c r="H11" s="42"/>
      <c r="L11" s="43"/>
      <c r="M11" s="43"/>
    </row>
    <row r="12" spans="2:13" s="229" customFormat="1" x14ac:dyDescent="0.35">
      <c r="B12" s="81" t="s">
        <v>545</v>
      </c>
      <c r="C12" s="45"/>
      <c r="D12" s="45"/>
      <c r="E12" s="45"/>
      <c r="F12" s="45"/>
      <c r="G12" s="50">
        <v>408.64383999999984</v>
      </c>
      <c r="H12" s="42"/>
      <c r="L12" s="43"/>
      <c r="M12" s="43"/>
    </row>
    <row r="13" spans="2:13" s="233" customFormat="1" x14ac:dyDescent="0.35">
      <c r="B13" s="81" t="s">
        <v>512</v>
      </c>
      <c r="C13" s="45"/>
      <c r="D13" s="45"/>
      <c r="E13" s="45"/>
      <c r="F13" s="45"/>
      <c r="G13" s="50">
        <v>-827.45055000000002</v>
      </c>
      <c r="H13" s="42"/>
      <c r="L13" s="43"/>
      <c r="M13" s="43"/>
    </row>
    <row r="14" spans="2:13" s="233" customFormat="1" x14ac:dyDescent="0.35">
      <c r="B14" s="81" t="s">
        <v>513</v>
      </c>
      <c r="C14" s="45"/>
      <c r="D14" s="45"/>
      <c r="E14" s="45"/>
      <c r="F14" s="45"/>
      <c r="G14" s="50">
        <v>-146.01301999999998</v>
      </c>
      <c r="H14" s="42"/>
      <c r="L14" s="43"/>
      <c r="M14" s="43"/>
    </row>
    <row r="15" spans="2:13" s="229" customFormat="1" x14ac:dyDescent="0.35">
      <c r="B15" s="81" t="s">
        <v>514</v>
      </c>
      <c r="C15" s="45"/>
      <c r="D15" s="45"/>
      <c r="E15" s="45"/>
      <c r="F15" s="45"/>
      <c r="G15" s="50">
        <v>-175.98878999999997</v>
      </c>
      <c r="H15" s="42"/>
      <c r="L15" s="43"/>
      <c r="M15" s="43"/>
    </row>
    <row r="16" spans="2:13" s="229" customFormat="1" x14ac:dyDescent="0.35">
      <c r="B16" s="81" t="s">
        <v>515</v>
      </c>
      <c r="C16" s="45"/>
      <c r="D16" s="45"/>
      <c r="E16" s="45"/>
      <c r="F16" s="45"/>
      <c r="G16" s="50">
        <v>-103.73894</v>
      </c>
      <c r="H16" s="42"/>
      <c r="L16" s="43"/>
      <c r="M16" s="43"/>
    </row>
    <row r="17" spans="2:13" s="229" customFormat="1" x14ac:dyDescent="0.35">
      <c r="B17" s="81" t="s">
        <v>516</v>
      </c>
      <c r="C17" s="45"/>
      <c r="D17" s="45"/>
      <c r="E17" s="45"/>
      <c r="F17" s="45"/>
      <c r="G17" s="50">
        <v>-1.3642599999999947</v>
      </c>
      <c r="H17" s="42"/>
      <c r="L17" s="43"/>
      <c r="M17" s="43"/>
    </row>
    <row r="18" spans="2:13" s="229" customFormat="1" x14ac:dyDescent="0.35">
      <c r="B18" s="81" t="s">
        <v>517</v>
      </c>
      <c r="C18" s="45"/>
      <c r="D18" s="45"/>
      <c r="E18" s="45"/>
      <c r="F18" s="45"/>
      <c r="G18" s="50">
        <v>-297.33618999999999</v>
      </c>
      <c r="H18" s="42"/>
      <c r="L18" s="43"/>
      <c r="M18" s="43"/>
    </row>
    <row r="19" spans="2:13" s="229" customFormat="1" x14ac:dyDescent="0.35">
      <c r="B19" s="81" t="s">
        <v>518</v>
      </c>
      <c r="C19" s="45"/>
      <c r="D19" s="45"/>
      <c r="E19" s="45"/>
      <c r="F19" s="45"/>
      <c r="G19" s="50">
        <v>-262.06201999999996</v>
      </c>
      <c r="H19" s="42"/>
      <c r="L19" s="43"/>
      <c r="M19" s="43"/>
    </row>
    <row r="20" spans="2:13" s="229" customFormat="1" x14ac:dyDescent="0.35">
      <c r="B20" s="81" t="s">
        <v>519</v>
      </c>
      <c r="C20" s="45"/>
      <c r="D20" s="45"/>
      <c r="E20" s="45"/>
      <c r="F20" s="45"/>
      <c r="G20" s="50">
        <v>51.70866000000003</v>
      </c>
      <c r="H20" s="42"/>
      <c r="L20" s="43"/>
      <c r="M20" s="43"/>
    </row>
    <row r="21" spans="2:13" s="229" customFormat="1" x14ac:dyDescent="0.35">
      <c r="B21" s="81" t="s">
        <v>520</v>
      </c>
      <c r="C21" s="45"/>
      <c r="D21" s="45"/>
      <c r="E21" s="45"/>
      <c r="F21" s="45"/>
      <c r="G21" s="50">
        <v>-93.706760000000003</v>
      </c>
      <c r="H21" s="42"/>
      <c r="L21" s="43"/>
      <c r="M21" s="43"/>
    </row>
    <row r="22" spans="2:13" s="229" customFormat="1" x14ac:dyDescent="0.35">
      <c r="B22" s="81" t="s">
        <v>521</v>
      </c>
      <c r="C22" s="45"/>
      <c r="D22" s="45"/>
      <c r="E22" s="45"/>
      <c r="F22" s="45"/>
      <c r="G22" s="50">
        <v>-38.720269999999992</v>
      </c>
      <c r="H22" s="42"/>
      <c r="L22" s="43"/>
      <c r="M22" s="43"/>
    </row>
    <row r="23" spans="2:13" s="229" customFormat="1" x14ac:dyDescent="0.35">
      <c r="B23" s="46"/>
      <c r="C23" s="45"/>
      <c r="D23" s="45"/>
      <c r="E23" s="45"/>
      <c r="F23" s="45"/>
      <c r="G23" s="50"/>
      <c r="H23" s="42"/>
      <c r="L23" s="43"/>
      <c r="M23" s="43"/>
    </row>
    <row r="24" spans="2:13" x14ac:dyDescent="0.35">
      <c r="B24" s="47" t="s">
        <v>244</v>
      </c>
      <c r="C24" s="41">
        <v>738663.02811999992</v>
      </c>
      <c r="D24" s="41"/>
      <c r="E24" s="41">
        <v>728281.80911846145</v>
      </c>
      <c r="F24" s="41"/>
      <c r="G24" s="41">
        <f>E24-C24</f>
        <v>-10381.219001538469</v>
      </c>
      <c r="H24" s="42"/>
      <c r="I24" s="51"/>
      <c r="L24" s="43"/>
      <c r="M24" s="43"/>
    </row>
    <row r="25" spans="2:13" s="229" customFormat="1" x14ac:dyDescent="0.35">
      <c r="B25" s="81" t="s">
        <v>245</v>
      </c>
      <c r="C25" s="230"/>
      <c r="D25" s="230"/>
      <c r="E25" s="230"/>
      <c r="F25" s="230"/>
      <c r="G25" s="50">
        <f>G9</f>
        <v>-4841.910739999963</v>
      </c>
      <c r="H25" s="42"/>
      <c r="I25" s="51"/>
      <c r="L25" s="43"/>
      <c r="M25" s="43"/>
    </row>
    <row r="26" spans="2:13" s="229" customFormat="1" x14ac:dyDescent="0.35">
      <c r="B26" s="81" t="s">
        <v>510</v>
      </c>
      <c r="C26" s="57"/>
      <c r="D26" s="57"/>
      <c r="E26" s="57"/>
      <c r="F26" s="57"/>
      <c r="G26" s="50">
        <v>932</v>
      </c>
      <c r="H26" s="42"/>
      <c r="L26" s="43"/>
      <c r="M26" s="43"/>
    </row>
    <row r="27" spans="2:13" s="229" customFormat="1" x14ac:dyDescent="0.35">
      <c r="B27" s="81" t="s">
        <v>511</v>
      </c>
      <c r="C27" s="57"/>
      <c r="D27" s="57"/>
      <c r="E27" s="57"/>
      <c r="F27" s="57"/>
      <c r="G27" s="50">
        <v>-3479.4761000000003</v>
      </c>
      <c r="H27" s="42"/>
      <c r="L27" s="43"/>
      <c r="M27" s="43"/>
    </row>
    <row r="28" spans="2:13" s="229" customFormat="1" x14ac:dyDescent="0.35">
      <c r="B28" s="81" t="s">
        <v>522</v>
      </c>
      <c r="C28" s="57"/>
      <c r="D28" s="57"/>
      <c r="E28" s="57"/>
      <c r="F28" s="57"/>
      <c r="G28" s="50">
        <v>-1000</v>
      </c>
      <c r="H28" s="42"/>
      <c r="L28" s="43"/>
      <c r="M28" s="43"/>
    </row>
    <row r="29" spans="2:13" s="229" customFormat="1" x14ac:dyDescent="0.35">
      <c r="B29" s="81" t="s">
        <v>512</v>
      </c>
      <c r="C29" s="57"/>
      <c r="D29" s="57"/>
      <c r="E29" s="57"/>
      <c r="F29" s="57"/>
      <c r="G29" s="50">
        <v>1057</v>
      </c>
      <c r="H29" s="42"/>
      <c r="L29" s="43"/>
      <c r="M29" s="43"/>
    </row>
    <row r="30" spans="2:13" s="229" customFormat="1" x14ac:dyDescent="0.35">
      <c r="B30" s="81" t="s">
        <v>513</v>
      </c>
      <c r="C30" s="57"/>
      <c r="D30" s="57"/>
      <c r="E30" s="57"/>
      <c r="F30" s="57"/>
      <c r="G30" s="50">
        <v>15</v>
      </c>
      <c r="H30" s="42"/>
      <c r="L30" s="43"/>
      <c r="M30" s="43"/>
    </row>
    <row r="31" spans="2:13" s="229" customFormat="1" x14ac:dyDescent="0.35">
      <c r="B31" s="81" t="s">
        <v>516</v>
      </c>
      <c r="C31" s="57"/>
      <c r="D31" s="57"/>
      <c r="E31" s="57"/>
      <c r="F31" s="57"/>
      <c r="G31" s="50">
        <v>-175</v>
      </c>
      <c r="H31" s="42"/>
      <c r="L31" s="43"/>
      <c r="M31" s="43"/>
    </row>
    <row r="32" spans="2:13" s="229" customFormat="1" x14ac:dyDescent="0.35">
      <c r="B32" s="81" t="s">
        <v>523</v>
      </c>
      <c r="C32" s="57"/>
      <c r="D32" s="57"/>
      <c r="E32" s="57"/>
      <c r="F32" s="57"/>
      <c r="G32" s="50">
        <v>-175</v>
      </c>
      <c r="H32" s="42"/>
      <c r="L32" s="43"/>
      <c r="M32" s="43"/>
    </row>
    <row r="33" spans="2:13" s="229" customFormat="1" x14ac:dyDescent="0.35">
      <c r="B33" s="81" t="s">
        <v>518</v>
      </c>
      <c r="C33" s="57"/>
      <c r="D33" s="57"/>
      <c r="E33" s="57"/>
      <c r="F33" s="57"/>
      <c r="G33" s="50">
        <v>50</v>
      </c>
      <c r="H33" s="42"/>
      <c r="L33" s="43"/>
      <c r="M33" s="43"/>
    </row>
    <row r="34" spans="2:13" s="229" customFormat="1" x14ac:dyDescent="0.35">
      <c r="B34" s="81" t="s">
        <v>524</v>
      </c>
      <c r="C34" s="57"/>
      <c r="D34" s="57"/>
      <c r="E34" s="57"/>
      <c r="F34" s="57"/>
      <c r="G34" s="50">
        <v>-230</v>
      </c>
      <c r="H34" s="42"/>
      <c r="L34" s="43"/>
      <c r="M34" s="43"/>
    </row>
    <row r="35" spans="2:13" s="229" customFormat="1" x14ac:dyDescent="0.35">
      <c r="B35" s="81" t="s">
        <v>519</v>
      </c>
      <c r="C35" s="57"/>
      <c r="D35" s="57"/>
      <c r="E35" s="57"/>
      <c r="F35" s="57"/>
      <c r="G35" s="50">
        <v>-98.2</v>
      </c>
      <c r="H35" s="42"/>
      <c r="L35" s="43"/>
      <c r="M35" s="43"/>
    </row>
    <row r="36" spans="2:13" s="229" customFormat="1" x14ac:dyDescent="0.35">
      <c r="B36" s="81" t="s">
        <v>520</v>
      </c>
      <c r="C36" s="57"/>
      <c r="D36" s="57"/>
      <c r="E36" s="57"/>
      <c r="F36" s="57"/>
      <c r="G36" s="50">
        <v>6.8</v>
      </c>
      <c r="H36" s="42"/>
      <c r="L36" s="43"/>
      <c r="M36" s="43"/>
    </row>
    <row r="37" spans="2:13" s="229" customFormat="1" x14ac:dyDescent="0.35">
      <c r="B37" s="81" t="s">
        <v>525</v>
      </c>
      <c r="C37" s="57"/>
      <c r="D37" s="57"/>
      <c r="E37" s="57"/>
      <c r="F37" s="57"/>
      <c r="G37" s="50">
        <v>-600</v>
      </c>
      <c r="H37" s="42"/>
      <c r="L37" s="43"/>
      <c r="M37" s="43"/>
    </row>
    <row r="38" spans="2:13" s="229" customFormat="1" x14ac:dyDescent="0.35">
      <c r="B38" s="81" t="s">
        <v>526</v>
      </c>
      <c r="C38" s="57"/>
      <c r="D38" s="57"/>
      <c r="E38" s="57"/>
      <c r="F38" s="57"/>
      <c r="G38" s="50">
        <v>-580</v>
      </c>
      <c r="H38" s="42"/>
      <c r="L38" s="43"/>
      <c r="M38" s="43"/>
    </row>
    <row r="39" spans="2:13" s="229" customFormat="1" x14ac:dyDescent="0.35">
      <c r="B39" s="81" t="s">
        <v>527</v>
      </c>
      <c r="C39" s="57"/>
      <c r="D39" s="57"/>
      <c r="E39" s="57"/>
      <c r="F39" s="57"/>
      <c r="G39" s="50">
        <v>-185</v>
      </c>
      <c r="H39" s="42"/>
      <c r="L39" s="43"/>
      <c r="M39" s="43"/>
    </row>
    <row r="40" spans="2:13" s="233" customFormat="1" x14ac:dyDescent="0.35">
      <c r="B40" s="81" t="s">
        <v>309</v>
      </c>
      <c r="C40" s="57"/>
      <c r="D40" s="57"/>
      <c r="E40" s="57"/>
      <c r="F40" s="57"/>
      <c r="G40" s="50">
        <f>-G80</f>
        <v>259.07137999999998</v>
      </c>
      <c r="H40" s="42"/>
      <c r="L40" s="43"/>
      <c r="M40" s="43"/>
    </row>
    <row r="41" spans="2:13" s="233" customFormat="1" ht="4.5" customHeight="1" x14ac:dyDescent="0.35">
      <c r="B41" s="81"/>
      <c r="C41" s="57"/>
      <c r="D41" s="57"/>
      <c r="E41" s="57"/>
      <c r="F41" s="57"/>
      <c r="G41" s="50"/>
      <c r="H41" s="42"/>
      <c r="L41" s="43"/>
      <c r="M41" s="43"/>
    </row>
    <row r="42" spans="2:13" s="233" customFormat="1" x14ac:dyDescent="0.35">
      <c r="B42" s="81" t="s">
        <v>300</v>
      </c>
      <c r="C42" s="57"/>
      <c r="D42" s="57"/>
      <c r="E42" s="57"/>
      <c r="F42" s="57"/>
      <c r="G42" s="50">
        <v>-1336.5035415384614</v>
      </c>
      <c r="H42" s="42"/>
      <c r="L42" s="43"/>
      <c r="M42" s="43"/>
    </row>
    <row r="43" spans="2:13" ht="5.25" customHeight="1" x14ac:dyDescent="0.35">
      <c r="B43" s="44"/>
      <c r="C43" s="45"/>
      <c r="D43" s="45"/>
      <c r="E43" s="45"/>
      <c r="F43" s="45"/>
      <c r="G43" s="45"/>
      <c r="H43" s="42"/>
      <c r="L43" s="43"/>
      <c r="M43" s="43"/>
    </row>
    <row r="44" spans="2:13" x14ac:dyDescent="0.35">
      <c r="B44" s="47" t="s">
        <v>63</v>
      </c>
      <c r="C44" s="41">
        <v>198970.25078836372</v>
      </c>
      <c r="D44" s="41"/>
      <c r="E44" s="41">
        <v>198339.31113659337</v>
      </c>
      <c r="F44" s="41"/>
      <c r="G44" s="41">
        <f>E44-C44</f>
        <v>-630.93965177034261</v>
      </c>
      <c r="H44" s="42"/>
      <c r="L44" s="43"/>
      <c r="M44" s="43"/>
    </row>
    <row r="45" spans="2:13" s="233" customFormat="1" x14ac:dyDescent="0.35">
      <c r="B45" s="81" t="s">
        <v>300</v>
      </c>
      <c r="C45" s="230"/>
      <c r="D45" s="230"/>
      <c r="E45" s="230"/>
      <c r="F45" s="230"/>
      <c r="G45" s="50">
        <v>-416.7368553846153</v>
      </c>
      <c r="H45" s="42"/>
      <c r="L45" s="43"/>
      <c r="M45" s="43"/>
    </row>
    <row r="46" spans="2:13" s="233" customFormat="1" x14ac:dyDescent="0.35">
      <c r="B46" s="81" t="s">
        <v>301</v>
      </c>
      <c r="C46" s="230"/>
      <c r="D46" s="230"/>
      <c r="E46" s="230"/>
      <c r="F46" s="230"/>
      <c r="G46" s="50">
        <f>G44-G45-G47</f>
        <v>-5.0000000000110276</v>
      </c>
      <c r="H46" s="42"/>
      <c r="L46" s="43"/>
      <c r="M46" s="43"/>
    </row>
    <row r="47" spans="2:13" x14ac:dyDescent="0.35">
      <c r="B47" s="81" t="s">
        <v>302</v>
      </c>
      <c r="C47" s="259"/>
      <c r="D47" s="259"/>
      <c r="E47" s="259"/>
      <c r="F47" s="259"/>
      <c r="G47" s="237">
        <f>'Table 1.1-3 (a)'!G8</f>
        <v>-209.20279638571628</v>
      </c>
      <c r="H47" s="42"/>
      <c r="L47" s="43"/>
      <c r="M47" s="43"/>
    </row>
    <row r="48" spans="2:13" ht="5.25" customHeight="1" x14ac:dyDescent="0.35">
      <c r="B48" s="52"/>
      <c r="C48" s="50"/>
      <c r="D48" s="50"/>
      <c r="E48" s="50"/>
      <c r="F48" s="50"/>
      <c r="G48" s="50"/>
      <c r="H48" s="42"/>
      <c r="L48" s="43"/>
      <c r="M48" s="43"/>
    </row>
    <row r="49" spans="2:16" x14ac:dyDescent="0.35">
      <c r="B49" s="47" t="s">
        <v>64</v>
      </c>
      <c r="C49" s="41">
        <v>37389.414280000005</v>
      </c>
      <c r="D49" s="41"/>
      <c r="E49" s="41">
        <v>40571.94255</v>
      </c>
      <c r="F49" s="41"/>
      <c r="G49" s="41">
        <f>E49-C49</f>
        <v>3182.5282699999952</v>
      </c>
      <c r="H49" s="42"/>
      <c r="L49" s="43"/>
      <c r="M49" s="43"/>
      <c r="N49" s="50"/>
      <c r="O49" s="50"/>
      <c r="P49" s="51"/>
    </row>
    <row r="50" spans="2:16" x14ac:dyDescent="0.35">
      <c r="B50" s="58" t="s">
        <v>528</v>
      </c>
      <c r="C50" s="57"/>
      <c r="D50" s="57"/>
      <c r="E50" s="57"/>
      <c r="F50" s="57"/>
      <c r="G50" s="50">
        <v>481.8</v>
      </c>
      <c r="H50" s="42"/>
      <c r="L50" s="43"/>
      <c r="M50" s="43"/>
    </row>
    <row r="51" spans="2:16" x14ac:dyDescent="0.35">
      <c r="B51" s="58" t="s">
        <v>529</v>
      </c>
      <c r="C51" s="57"/>
      <c r="D51" s="57"/>
      <c r="E51" s="57"/>
      <c r="F51" s="57"/>
      <c r="G51" s="50">
        <v>2072.0925299999999</v>
      </c>
      <c r="H51" s="42"/>
      <c r="L51" s="43"/>
      <c r="M51" s="43"/>
    </row>
    <row r="52" spans="2:16" x14ac:dyDescent="0.35">
      <c r="B52" s="58" t="s">
        <v>530</v>
      </c>
      <c r="C52" s="57"/>
      <c r="D52" s="57"/>
      <c r="E52" s="57"/>
      <c r="F52" s="57"/>
      <c r="G52" s="50">
        <v>178.63574</v>
      </c>
      <c r="H52" s="42"/>
      <c r="L52" s="43"/>
      <c r="M52" s="43"/>
    </row>
    <row r="53" spans="2:16" x14ac:dyDescent="0.35">
      <c r="B53" s="58" t="s">
        <v>531</v>
      </c>
      <c r="C53" s="50"/>
      <c r="D53" s="50"/>
      <c r="E53" s="50"/>
      <c r="F53" s="50"/>
      <c r="G53" s="50">
        <v>300</v>
      </c>
      <c r="H53" s="42"/>
      <c r="L53" s="43"/>
      <c r="M53" s="43"/>
    </row>
    <row r="54" spans="2:16" x14ac:dyDescent="0.35">
      <c r="B54" s="58" t="s">
        <v>532</v>
      </c>
      <c r="C54" s="50"/>
      <c r="D54" s="50"/>
      <c r="E54" s="50"/>
      <c r="F54" s="50"/>
      <c r="G54" s="50">
        <v>150</v>
      </c>
      <c r="H54" s="42"/>
      <c r="L54" s="43"/>
      <c r="M54" s="43"/>
    </row>
    <row r="55" spans="2:16" ht="5" customHeight="1" x14ac:dyDescent="0.35">
      <c r="B55" s="233"/>
      <c r="H55" s="42"/>
      <c r="L55" s="43"/>
      <c r="M55" s="43"/>
    </row>
    <row r="56" spans="2:16" x14ac:dyDescent="0.35">
      <c r="B56" s="47" t="s">
        <v>303</v>
      </c>
      <c r="C56" s="41">
        <v>1581.50344</v>
      </c>
      <c r="D56" s="41"/>
      <c r="E56" s="41">
        <v>12152.327230000001</v>
      </c>
      <c r="F56" s="41"/>
      <c r="G56" s="41">
        <f>E56-C56</f>
        <v>10570.82379</v>
      </c>
      <c r="H56" s="42"/>
      <c r="I56" s="51"/>
      <c r="J56" s="51"/>
      <c r="L56" s="43"/>
      <c r="M56" s="43"/>
    </row>
    <row r="57" spans="2:16" ht="43.5" x14ac:dyDescent="0.35">
      <c r="B57" s="58" t="s">
        <v>261</v>
      </c>
      <c r="C57" s="57"/>
      <c r="D57" s="57"/>
      <c r="E57" s="57"/>
      <c r="F57" s="57"/>
      <c r="G57" s="50">
        <f>-1593+319</f>
        <v>-1274</v>
      </c>
      <c r="H57" s="42"/>
      <c r="L57" s="43"/>
      <c r="M57" s="43"/>
    </row>
    <row r="58" spans="2:16" s="233" customFormat="1" x14ac:dyDescent="0.35">
      <c r="B58" s="58" t="s">
        <v>262</v>
      </c>
      <c r="C58" s="57"/>
      <c r="D58" s="57"/>
      <c r="E58" s="57"/>
      <c r="F58" s="57"/>
      <c r="G58" s="50">
        <v>6531.2572799999998</v>
      </c>
      <c r="H58" s="42"/>
      <c r="L58" s="43"/>
      <c r="M58" s="43"/>
    </row>
    <row r="59" spans="2:16" s="233" customFormat="1" x14ac:dyDescent="0.35">
      <c r="B59" s="58" t="s">
        <v>263</v>
      </c>
      <c r="C59" s="57"/>
      <c r="D59" s="57"/>
      <c r="E59" s="57"/>
      <c r="F59" s="57"/>
      <c r="G59" s="50">
        <v>851.34713999999997</v>
      </c>
      <c r="H59" s="42"/>
      <c r="L59" s="43"/>
      <c r="M59" s="43"/>
    </row>
    <row r="60" spans="2:16" s="233" customFormat="1" x14ac:dyDescent="0.35">
      <c r="B60" s="58" t="s">
        <v>265</v>
      </c>
      <c r="C60" s="57"/>
      <c r="D60" s="57"/>
      <c r="E60" s="57"/>
      <c r="F60" s="57"/>
      <c r="G60" s="50">
        <v>4656.5523899999998</v>
      </c>
      <c r="H60" s="42"/>
      <c r="L60" s="43"/>
      <c r="M60" s="43"/>
    </row>
    <row r="61" spans="2:16" s="233" customFormat="1" x14ac:dyDescent="0.35">
      <c r="B61" s="236" t="s">
        <v>304</v>
      </c>
      <c r="C61" s="57"/>
      <c r="D61" s="57"/>
      <c r="E61" s="57"/>
      <c r="F61" s="57"/>
      <c r="G61" s="50">
        <v>-194.02302</v>
      </c>
      <c r="H61" s="42"/>
      <c r="L61" s="43"/>
      <c r="M61" s="43"/>
    </row>
    <row r="62" spans="2:16" ht="7.5" customHeight="1" x14ac:dyDescent="0.35">
      <c r="B62" s="52"/>
      <c r="C62" s="50"/>
      <c r="D62" s="50"/>
      <c r="E62" s="50"/>
      <c r="F62" s="50"/>
      <c r="G62" s="50"/>
      <c r="H62" s="42"/>
      <c r="L62" s="43"/>
      <c r="M62" s="43"/>
    </row>
    <row r="63" spans="2:16" x14ac:dyDescent="0.35">
      <c r="B63" s="47" t="s">
        <v>66</v>
      </c>
      <c r="C63" s="41">
        <v>5011.79997</v>
      </c>
      <c r="D63" s="41"/>
      <c r="E63" s="41">
        <v>7647.1959383458307</v>
      </c>
      <c r="F63" s="41"/>
      <c r="G63" s="41">
        <f>E63-C63</f>
        <v>2635.3959683458306</v>
      </c>
      <c r="H63" s="42"/>
      <c r="L63" s="43"/>
      <c r="M63" s="43"/>
    </row>
    <row r="64" spans="2:16" x14ac:dyDescent="0.35">
      <c r="B64" s="58" t="s">
        <v>260</v>
      </c>
      <c r="C64" s="50"/>
      <c r="D64" s="50"/>
      <c r="E64" s="50"/>
      <c r="F64" s="50"/>
      <c r="G64" s="50">
        <v>2781.7699543458311</v>
      </c>
      <c r="H64" s="42"/>
      <c r="L64" s="43"/>
      <c r="M64" s="43"/>
    </row>
    <row r="65" spans="2:13" s="231" customFormat="1" x14ac:dyDescent="0.35">
      <c r="B65" s="58" t="s">
        <v>259</v>
      </c>
      <c r="C65" s="50"/>
      <c r="D65" s="50"/>
      <c r="E65" s="50"/>
      <c r="F65" s="50"/>
      <c r="G65" s="50">
        <v>-146.37398600000006</v>
      </c>
      <c r="H65" s="42"/>
      <c r="L65" s="43"/>
      <c r="M65" s="43"/>
    </row>
    <row r="66" spans="2:13" ht="5.25" customHeight="1" x14ac:dyDescent="0.35">
      <c r="B66" s="52"/>
      <c r="C66" s="45"/>
      <c r="D66" s="45"/>
      <c r="E66" s="45"/>
      <c r="F66" s="45"/>
      <c r="G66" s="45"/>
      <c r="H66" s="42"/>
      <c r="L66" s="43"/>
      <c r="M66" s="43"/>
    </row>
    <row r="67" spans="2:13" x14ac:dyDescent="0.35">
      <c r="B67" s="47" t="s">
        <v>67</v>
      </c>
      <c r="C67" s="41">
        <f>SUM(C44:C63)</f>
        <v>242952.96847836371</v>
      </c>
      <c r="D67" s="41"/>
      <c r="E67" s="41">
        <f>SUM(E44:E63)</f>
        <v>258710.77685493921</v>
      </c>
      <c r="F67" s="41"/>
      <c r="G67" s="41">
        <f>E67-C67</f>
        <v>15757.8083765755</v>
      </c>
      <c r="H67" s="42"/>
      <c r="L67" s="43"/>
      <c r="M67" s="43"/>
    </row>
    <row r="68" spans="2:13" ht="5.25" customHeight="1" x14ac:dyDescent="0.35">
      <c r="B68" s="44"/>
      <c r="C68" s="45"/>
      <c r="D68" s="45"/>
      <c r="E68" s="45"/>
      <c r="F68" s="45"/>
      <c r="G68" s="45"/>
      <c r="H68" s="42"/>
      <c r="L68" s="43"/>
      <c r="M68" s="43"/>
    </row>
    <row r="69" spans="2:13" x14ac:dyDescent="0.35">
      <c r="B69" s="47" t="s">
        <v>546</v>
      </c>
      <c r="C69" s="41">
        <v>44400.401114999993</v>
      </c>
      <c r="D69" s="41"/>
      <c r="E69" s="41">
        <v>42021.590906098267</v>
      </c>
      <c r="F69" s="41"/>
      <c r="G69" s="41">
        <f>E69-C69</f>
        <v>-2378.8102089017266</v>
      </c>
      <c r="H69" s="42"/>
      <c r="I69" s="51"/>
      <c r="L69" s="43"/>
      <c r="M69" s="43"/>
    </row>
    <row r="70" spans="2:13" x14ac:dyDescent="0.35">
      <c r="B70" s="58" t="s">
        <v>308</v>
      </c>
      <c r="C70" s="50"/>
      <c r="D70" s="50"/>
      <c r="E70" s="50"/>
      <c r="F70" s="50"/>
      <c r="G70" s="237"/>
      <c r="H70" s="42"/>
      <c r="I70" s="51"/>
      <c r="J70" s="51"/>
      <c r="K70" s="51"/>
      <c r="L70" s="43"/>
      <c r="M70" s="43"/>
    </row>
    <row r="71" spans="2:13" s="233" customFormat="1" x14ac:dyDescent="0.35">
      <c r="B71" s="82" t="s">
        <v>533</v>
      </c>
      <c r="C71" s="50"/>
      <c r="D71" s="50"/>
      <c r="E71" s="50"/>
      <c r="F71" s="50"/>
      <c r="G71" s="237">
        <v>-87.721729999999994</v>
      </c>
      <c r="H71" s="42"/>
      <c r="I71" s="51"/>
      <c r="L71" s="43"/>
      <c r="M71" s="43"/>
    </row>
    <row r="72" spans="2:13" s="233" customFormat="1" x14ac:dyDescent="0.35">
      <c r="B72" s="82" t="s">
        <v>534</v>
      </c>
      <c r="C72" s="50"/>
      <c r="D72" s="50"/>
      <c r="E72" s="50"/>
      <c r="F72" s="50"/>
      <c r="G72" s="237">
        <v>28.490559999999999</v>
      </c>
      <c r="H72" s="42"/>
      <c r="I72" s="51"/>
      <c r="J72" s="51"/>
      <c r="L72" s="43"/>
      <c r="M72" s="43"/>
    </row>
    <row r="73" spans="2:13" x14ac:dyDescent="0.35">
      <c r="B73" s="82" t="s">
        <v>535</v>
      </c>
      <c r="C73" s="50"/>
      <c r="D73" s="50"/>
      <c r="E73" s="50"/>
      <c r="F73" s="50"/>
      <c r="G73" s="237">
        <v>-245.26080000000002</v>
      </c>
      <c r="H73" s="42"/>
      <c r="J73" s="51"/>
      <c r="L73" s="43"/>
      <c r="M73" s="43"/>
    </row>
    <row r="74" spans="2:13" x14ac:dyDescent="0.35">
      <c r="B74" s="82" t="s">
        <v>536</v>
      </c>
      <c r="C74" s="50"/>
      <c r="D74" s="50"/>
      <c r="E74" s="50"/>
      <c r="F74" s="50"/>
      <c r="G74" s="237">
        <v>98.017589999999998</v>
      </c>
      <c r="H74" s="42"/>
      <c r="J74" s="51"/>
      <c r="L74" s="43"/>
      <c r="M74" s="43"/>
    </row>
    <row r="75" spans="2:13" s="233" customFormat="1" x14ac:dyDescent="0.35">
      <c r="B75" s="82" t="s">
        <v>537</v>
      </c>
      <c r="C75" s="50"/>
      <c r="D75" s="50"/>
      <c r="E75" s="50"/>
      <c r="F75" s="50"/>
      <c r="G75" s="237">
        <v>-24.994289999999999</v>
      </c>
      <c r="H75" s="42"/>
      <c r="J75" s="51"/>
      <c r="L75" s="43"/>
      <c r="M75" s="43"/>
    </row>
    <row r="76" spans="2:13" x14ac:dyDescent="0.35">
      <c r="B76" s="82" t="s">
        <v>538</v>
      </c>
      <c r="C76" s="50"/>
      <c r="D76" s="50"/>
      <c r="E76" s="50"/>
      <c r="F76" s="50"/>
      <c r="G76" s="237">
        <v>-61.36121</v>
      </c>
      <c r="H76" s="42"/>
      <c r="J76" s="51"/>
      <c r="L76" s="43"/>
      <c r="M76" s="43"/>
    </row>
    <row r="77" spans="2:13" x14ac:dyDescent="0.35">
      <c r="B77" s="82" t="s">
        <v>539</v>
      </c>
      <c r="C77" s="50"/>
      <c r="D77" s="50"/>
      <c r="E77" s="50"/>
      <c r="F77" s="50"/>
      <c r="G77" s="237">
        <v>-175</v>
      </c>
      <c r="H77" s="42"/>
      <c r="J77" s="51"/>
      <c r="L77" s="43"/>
      <c r="M77" s="43"/>
    </row>
    <row r="78" spans="2:13" x14ac:dyDescent="0.35">
      <c r="B78" s="82" t="s">
        <v>540</v>
      </c>
      <c r="C78" s="50"/>
      <c r="D78" s="50"/>
      <c r="E78" s="50"/>
      <c r="F78" s="50"/>
      <c r="G78" s="237">
        <v>-100</v>
      </c>
      <c r="H78" s="42"/>
      <c r="J78" s="51"/>
      <c r="L78" s="43"/>
      <c r="M78" s="43"/>
    </row>
    <row r="79" spans="2:13" s="233" customFormat="1" x14ac:dyDescent="0.35">
      <c r="B79" s="82" t="s">
        <v>557</v>
      </c>
      <c r="C79" s="50"/>
      <c r="D79" s="50"/>
      <c r="E79" s="50"/>
      <c r="F79" s="50"/>
      <c r="G79" s="237">
        <v>-42.205609999999986</v>
      </c>
      <c r="H79" s="42"/>
      <c r="L79" s="43"/>
      <c r="M79" s="43"/>
    </row>
    <row r="80" spans="2:13" s="233" customFormat="1" x14ac:dyDescent="0.35">
      <c r="B80" s="58" t="s">
        <v>310</v>
      </c>
      <c r="C80" s="237"/>
      <c r="D80" s="237"/>
      <c r="E80" s="237"/>
      <c r="F80" s="237"/>
      <c r="G80" s="237">
        <v>-259.07137999999998</v>
      </c>
      <c r="H80" s="42"/>
      <c r="L80" s="43"/>
      <c r="M80" s="43"/>
    </row>
    <row r="81" spans="2:13" s="233" customFormat="1" x14ac:dyDescent="0.35">
      <c r="B81" s="58" t="s">
        <v>267</v>
      </c>
      <c r="C81" s="237"/>
      <c r="D81" s="237"/>
      <c r="E81" s="237"/>
      <c r="F81" s="237"/>
      <c r="G81" s="237">
        <f>SUM(G82:G84)</f>
        <v>-1549.25306</v>
      </c>
      <c r="H81" s="42"/>
      <c r="L81" s="43"/>
      <c r="M81" s="43"/>
    </row>
    <row r="82" spans="2:13" s="231" customFormat="1" x14ac:dyDescent="0.35">
      <c r="B82" s="236" t="s">
        <v>268</v>
      </c>
      <c r="C82" s="50"/>
      <c r="D82" s="50"/>
      <c r="E82" s="50"/>
      <c r="F82" s="50"/>
      <c r="G82" s="237">
        <v>-774</v>
      </c>
      <c r="H82" s="42"/>
      <c r="L82" s="43"/>
      <c r="M82" s="43"/>
    </row>
    <row r="83" spans="2:13" s="233" customFormat="1" x14ac:dyDescent="0.35">
      <c r="B83" s="236" t="s">
        <v>269</v>
      </c>
      <c r="C83" s="50"/>
      <c r="D83" s="50"/>
      <c r="E83" s="50"/>
      <c r="F83" s="50"/>
      <c r="G83" s="237">
        <v>-283.45499999999998</v>
      </c>
      <c r="H83" s="42"/>
      <c r="L83" s="43"/>
      <c r="M83" s="43"/>
    </row>
    <row r="84" spans="2:13" s="233" customFormat="1" x14ac:dyDescent="0.35">
      <c r="B84" s="236" t="s">
        <v>312</v>
      </c>
      <c r="C84" s="50"/>
      <c r="D84" s="50"/>
      <c r="E84" s="50"/>
      <c r="F84" s="50"/>
      <c r="G84" s="237">
        <v>-491.79806000000002</v>
      </c>
      <c r="H84" s="42"/>
      <c r="L84" s="43"/>
      <c r="M84" s="43"/>
    </row>
    <row r="85" spans="2:13" x14ac:dyDescent="0.35">
      <c r="B85" s="58" t="s">
        <v>541</v>
      </c>
      <c r="C85" s="50"/>
      <c r="D85" s="50"/>
      <c r="E85" s="50"/>
      <c r="F85" s="50"/>
      <c r="G85" s="237">
        <v>-281.15324999999996</v>
      </c>
      <c r="H85" s="42"/>
      <c r="L85" s="43"/>
      <c r="M85" s="43"/>
    </row>
    <row r="86" spans="2:13" s="233" customFormat="1" x14ac:dyDescent="0.35">
      <c r="B86" s="58" t="s">
        <v>311</v>
      </c>
      <c r="C86" s="50"/>
      <c r="D86" s="50"/>
      <c r="E86" s="50"/>
      <c r="F86" s="50"/>
      <c r="G86" s="237">
        <f>124199.89/1000</f>
        <v>124.19989</v>
      </c>
      <c r="H86" s="42"/>
      <c r="L86" s="43"/>
      <c r="M86" s="43"/>
    </row>
    <row r="87" spans="2:13" x14ac:dyDescent="0.35">
      <c r="B87" s="58" t="s">
        <v>276</v>
      </c>
      <c r="C87" s="50"/>
      <c r="D87" s="50"/>
      <c r="E87" s="50"/>
      <c r="F87" s="50"/>
      <c r="G87" s="237">
        <f>G69-SUM(G70:G86)+G81</f>
        <v>196.50308109827347</v>
      </c>
      <c r="H87" s="42"/>
      <c r="I87" s="51"/>
      <c r="L87" s="43"/>
      <c r="M87" s="43"/>
    </row>
    <row r="88" spans="2:13" s="233" customFormat="1" ht="6" customHeight="1" x14ac:dyDescent="0.35">
      <c r="B88" s="58"/>
      <c r="C88" s="50"/>
      <c r="D88" s="50"/>
      <c r="E88" s="50"/>
      <c r="F88" s="50"/>
      <c r="G88" s="50"/>
      <c r="H88" s="42"/>
      <c r="L88" s="43"/>
      <c r="M88" s="43"/>
    </row>
    <row r="89" spans="2:13" x14ac:dyDescent="0.35">
      <c r="B89" s="52" t="s">
        <v>547</v>
      </c>
      <c r="C89" s="50">
        <v>-29972.499079999998</v>
      </c>
      <c r="D89" s="50"/>
      <c r="E89" s="50">
        <v>-30489.241899999997</v>
      </c>
      <c r="F89" s="50"/>
      <c r="G89" s="50">
        <f>E89-C89</f>
        <v>-516.74281999999948</v>
      </c>
      <c r="H89" s="42"/>
      <c r="L89" s="43"/>
      <c r="M89" s="43"/>
    </row>
    <row r="90" spans="2:13" s="231" customFormat="1" x14ac:dyDescent="0.35">
      <c r="B90" s="58" t="s">
        <v>266</v>
      </c>
      <c r="C90" s="50"/>
      <c r="D90" s="50"/>
      <c r="E90" s="50"/>
      <c r="F90" s="50"/>
      <c r="G90" s="50">
        <f>G89</f>
        <v>-516.74281999999948</v>
      </c>
      <c r="H90" s="42"/>
      <c r="L90" s="43"/>
      <c r="M90" s="43"/>
    </row>
    <row r="91" spans="2:13" ht="5" customHeight="1" x14ac:dyDescent="0.35">
      <c r="B91" s="52"/>
      <c r="C91" s="50"/>
      <c r="D91" s="50"/>
      <c r="E91" s="50"/>
      <c r="F91" s="50"/>
      <c r="G91" s="50"/>
      <c r="H91" s="42"/>
      <c r="L91" s="43"/>
      <c r="M91" s="43"/>
    </row>
    <row r="92" spans="2:13" x14ac:dyDescent="0.35">
      <c r="B92" s="53" t="s">
        <v>99</v>
      </c>
      <c r="C92" s="54">
        <f>SUM(C69:C91)</f>
        <v>14427.902034999996</v>
      </c>
      <c r="D92" s="54"/>
      <c r="E92" s="54">
        <f>SUM(E69:E91)</f>
        <v>11532.349006098269</v>
      </c>
      <c r="F92" s="54"/>
      <c r="G92" s="54">
        <f>E92-C92</f>
        <v>-2895.5530289017261</v>
      </c>
      <c r="H92" s="42"/>
      <c r="L92" s="43"/>
      <c r="M92" s="43"/>
    </row>
    <row r="93" spans="2:13" ht="5.25" customHeight="1" x14ac:dyDescent="0.35">
      <c r="B93" s="44"/>
      <c r="C93" s="45"/>
      <c r="D93" s="45"/>
      <c r="E93" s="45"/>
      <c r="F93" s="45"/>
      <c r="G93" s="45"/>
      <c r="H93" s="42"/>
      <c r="L93" s="43"/>
      <c r="M93" s="43"/>
    </row>
    <row r="94" spans="2:13" x14ac:dyDescent="0.35">
      <c r="B94" s="52" t="s">
        <v>100</v>
      </c>
      <c r="C94" s="50">
        <v>486307.40725899982</v>
      </c>
      <c r="D94" s="50"/>
      <c r="E94" s="50">
        <v>484893.88526846876</v>
      </c>
      <c r="F94" s="50"/>
      <c r="G94" s="50">
        <f>E94-C94</f>
        <v>-1413.521990531066</v>
      </c>
      <c r="H94" s="42"/>
      <c r="I94" s="51"/>
      <c r="L94" s="43"/>
      <c r="M94" s="43"/>
    </row>
    <row r="95" spans="2:13" x14ac:dyDescent="0.35">
      <c r="B95" s="52" t="s">
        <v>101</v>
      </c>
      <c r="C95" s="55">
        <f>C24-C67+C92</f>
        <v>510137.96167663619</v>
      </c>
      <c r="D95" s="45"/>
      <c r="E95" s="55">
        <f>E24-E67+E92</f>
        <v>481103.38126962056</v>
      </c>
      <c r="F95" s="45"/>
      <c r="G95" s="55">
        <f>G24-G67+G92</f>
        <v>-29034.580407015696</v>
      </c>
      <c r="H95" s="42"/>
      <c r="I95" s="51"/>
      <c r="L95" s="43"/>
      <c r="M95" s="43"/>
    </row>
    <row r="96" spans="2:13" x14ac:dyDescent="0.35">
      <c r="B96" s="53" t="s">
        <v>102</v>
      </c>
      <c r="C96" s="54">
        <f>AVERAGE(C94:C95)</f>
        <v>498222.68446781801</v>
      </c>
      <c r="D96" s="54"/>
      <c r="E96" s="54">
        <f>AVERAGE(E94:E95)</f>
        <v>482998.63326904469</v>
      </c>
      <c r="F96" s="54"/>
      <c r="G96" s="54">
        <f>AVERAGE(G94:G95)</f>
        <v>-15224.051198773381</v>
      </c>
      <c r="H96" s="42"/>
      <c r="L96" s="43"/>
      <c r="M96" s="43"/>
    </row>
    <row r="97" spans="2:13" ht="5.25" customHeight="1" x14ac:dyDescent="0.35">
      <c r="B97" s="44"/>
      <c r="C97" s="45"/>
      <c r="D97" s="45"/>
      <c r="E97" s="45"/>
      <c r="F97" s="45"/>
      <c r="G97" s="45"/>
      <c r="H97" s="42"/>
      <c r="L97" s="43"/>
      <c r="M97" s="43"/>
    </row>
    <row r="98" spans="2:13" x14ac:dyDescent="0.35">
      <c r="B98" s="56" t="s">
        <v>74</v>
      </c>
      <c r="C98" s="57">
        <v>2732</v>
      </c>
      <c r="D98" s="57"/>
      <c r="E98" s="57">
        <v>3046</v>
      </c>
      <c r="F98" s="57"/>
      <c r="G98" s="57">
        <f>E98-C98+0.5</f>
        <v>314.5</v>
      </c>
      <c r="H98" s="42"/>
      <c r="L98" s="43"/>
      <c r="M98" s="43"/>
    </row>
    <row r="99" spans="2:13" x14ac:dyDescent="0.35">
      <c r="B99" s="58" t="s">
        <v>542</v>
      </c>
      <c r="C99" s="50"/>
      <c r="D99" s="50"/>
      <c r="E99" s="50"/>
      <c r="F99" s="50"/>
      <c r="G99" s="50">
        <v>315</v>
      </c>
      <c r="H99" s="42"/>
      <c r="L99" s="43"/>
      <c r="M99" s="43"/>
    </row>
    <row r="100" spans="2:13" ht="5.25" customHeight="1" x14ac:dyDescent="0.35">
      <c r="B100" s="58"/>
      <c r="C100" s="50"/>
      <c r="D100" s="50"/>
      <c r="E100" s="50"/>
      <c r="F100" s="50"/>
      <c r="G100" s="50"/>
      <c r="H100" s="42"/>
      <c r="L100" s="43"/>
      <c r="M100" s="43"/>
    </row>
    <row r="101" spans="2:13" x14ac:dyDescent="0.35">
      <c r="B101" s="56" t="s">
        <v>103</v>
      </c>
      <c r="C101" s="57">
        <v>7141.1272023422216</v>
      </c>
      <c r="D101" s="57"/>
      <c r="E101" s="57">
        <v>7091.9572242594759</v>
      </c>
      <c r="F101" s="57"/>
      <c r="G101" s="57">
        <f>E101-C101</f>
        <v>-49.169978082745729</v>
      </c>
      <c r="H101" s="42"/>
      <c r="L101" s="43"/>
      <c r="M101" s="43"/>
    </row>
    <row r="102" spans="2:13" ht="5.25" customHeight="1" x14ac:dyDescent="0.35">
      <c r="B102" s="58"/>
      <c r="C102" s="50"/>
      <c r="D102" s="50"/>
      <c r="E102" s="50"/>
      <c r="F102" s="50"/>
      <c r="G102" s="50"/>
      <c r="H102" s="42"/>
      <c r="L102" s="43"/>
      <c r="M102" s="43"/>
    </row>
    <row r="103" spans="2:13" x14ac:dyDescent="0.35">
      <c r="B103" s="40" t="s">
        <v>76</v>
      </c>
      <c r="C103" s="41">
        <f>C96+C98+C101</f>
        <v>508095.81167016021</v>
      </c>
      <c r="D103" s="41"/>
      <c r="E103" s="41">
        <f>E96+E98+E101</f>
        <v>493136.59049330419</v>
      </c>
      <c r="F103" s="41"/>
      <c r="G103" s="41">
        <f>E103-C103</f>
        <v>-14959.221176856023</v>
      </c>
      <c r="H103" s="42"/>
      <c r="L103" s="43"/>
      <c r="M103" s="43"/>
    </row>
    <row r="104" spans="2:13" ht="5.25" customHeight="1" x14ac:dyDescent="0.35">
      <c r="B104" s="44"/>
      <c r="C104" s="45"/>
      <c r="D104" s="45"/>
      <c r="E104" s="45"/>
      <c r="F104" s="45"/>
      <c r="G104" s="45"/>
      <c r="H104" s="42"/>
      <c r="L104" s="43"/>
      <c r="M104" s="43"/>
    </row>
    <row r="105" spans="2:13" x14ac:dyDescent="0.35">
      <c r="B105" s="52" t="s">
        <v>77</v>
      </c>
      <c r="C105" s="50">
        <v>185318.86823900003</v>
      </c>
      <c r="D105" s="50"/>
      <c r="E105" s="50">
        <v>182551.97156900002</v>
      </c>
      <c r="F105" s="50"/>
      <c r="G105" s="50">
        <f>E105-C105</f>
        <v>-2766.8966700000165</v>
      </c>
      <c r="H105" s="42"/>
      <c r="L105" s="43"/>
      <c r="M105" s="43"/>
    </row>
    <row r="106" spans="2:13" s="233" customFormat="1" ht="4.5" customHeight="1" x14ac:dyDescent="0.35">
      <c r="B106" s="52"/>
      <c r="C106" s="50"/>
      <c r="D106" s="50"/>
      <c r="E106" s="50"/>
      <c r="F106" s="50"/>
      <c r="G106" s="50"/>
      <c r="H106" s="42"/>
      <c r="L106" s="43"/>
      <c r="M106" s="43"/>
    </row>
    <row r="107" spans="2:13" s="233" customFormat="1" x14ac:dyDescent="0.35">
      <c r="B107" s="81" t="s">
        <v>271</v>
      </c>
      <c r="C107" s="50">
        <v>183149.27063000004</v>
      </c>
      <c r="D107" s="50"/>
      <c r="E107" s="50">
        <v>180254.60732000001</v>
      </c>
      <c r="F107" s="50"/>
      <c r="G107" s="50">
        <f>E107-C107</f>
        <v>-2894.6633100000327</v>
      </c>
      <c r="H107" s="42"/>
      <c r="L107" s="43"/>
      <c r="M107" s="43"/>
    </row>
    <row r="108" spans="2:13" s="233" customFormat="1" x14ac:dyDescent="0.35">
      <c r="B108" s="82" t="s">
        <v>264</v>
      </c>
      <c r="C108" s="50"/>
      <c r="D108" s="50"/>
      <c r="E108" s="50"/>
      <c r="F108" s="50"/>
      <c r="G108" s="50">
        <v>-2894.6633100000004</v>
      </c>
      <c r="H108" s="42"/>
      <c r="L108" s="43"/>
      <c r="M108" s="43"/>
    </row>
    <row r="109" spans="2:13" s="233" customFormat="1" ht="4.5" customHeight="1" x14ac:dyDescent="0.35">
      <c r="B109" s="81"/>
      <c r="C109" s="50"/>
      <c r="D109" s="50"/>
      <c r="E109" s="50"/>
      <c r="F109" s="50"/>
      <c r="G109" s="50"/>
      <c r="H109" s="42"/>
      <c r="L109" s="43"/>
      <c r="M109" s="43"/>
    </row>
    <row r="110" spans="2:13" s="233" customFormat="1" x14ac:dyDescent="0.35">
      <c r="B110" s="81" t="s">
        <v>270</v>
      </c>
      <c r="C110" s="50">
        <v>187488.46584800002</v>
      </c>
      <c r="D110" s="50"/>
      <c r="E110" s="50">
        <v>184849.33581800002</v>
      </c>
      <c r="F110" s="50"/>
      <c r="G110" s="50">
        <f>E110-C110</f>
        <v>-2639.1300300000003</v>
      </c>
      <c r="H110" s="42"/>
      <c r="L110" s="43"/>
      <c r="M110" s="43"/>
    </row>
    <row r="111" spans="2:13" s="233" customFormat="1" x14ac:dyDescent="0.35">
      <c r="B111" s="82" t="s">
        <v>273</v>
      </c>
      <c r="G111" s="50">
        <f>G108</f>
        <v>-2894.6633100000004</v>
      </c>
      <c r="H111" s="42"/>
      <c r="L111" s="43"/>
      <c r="M111" s="43"/>
    </row>
    <row r="112" spans="2:13" s="233" customFormat="1" x14ac:dyDescent="0.35">
      <c r="B112" s="82" t="s">
        <v>274</v>
      </c>
      <c r="C112" s="50"/>
      <c r="D112" s="50"/>
      <c r="E112" s="50"/>
      <c r="F112" s="50"/>
      <c r="G112" s="50">
        <v>211</v>
      </c>
      <c r="H112" s="42"/>
      <c r="L112" s="43"/>
      <c r="M112" s="43"/>
    </row>
    <row r="113" spans="2:13" s="233" customFormat="1" x14ac:dyDescent="0.35">
      <c r="B113" s="82" t="s">
        <v>272</v>
      </c>
      <c r="C113" s="50"/>
      <c r="D113" s="50"/>
      <c r="E113" s="50"/>
      <c r="F113" s="50"/>
      <c r="G113" s="50">
        <v>44.533279999995997</v>
      </c>
      <c r="H113" s="42"/>
      <c r="L113" s="43"/>
      <c r="M113" s="43"/>
    </row>
    <row r="114" spans="2:13" ht="5.25" customHeight="1" x14ac:dyDescent="0.35">
      <c r="B114" s="44"/>
      <c r="C114" s="45"/>
      <c r="D114" s="45"/>
      <c r="E114" s="45"/>
      <c r="F114" s="45"/>
      <c r="G114" s="45"/>
      <c r="H114" s="42"/>
      <c r="L114" s="43"/>
      <c r="M114" s="43"/>
    </row>
    <row r="115" spans="2:13" x14ac:dyDescent="0.35">
      <c r="B115" s="40" t="s">
        <v>78</v>
      </c>
      <c r="C115" s="41">
        <f>C103-C105</f>
        <v>322776.94343116018</v>
      </c>
      <c r="D115" s="41"/>
      <c r="E115" s="41">
        <f>E103-E105</f>
        <v>310584.61892430414</v>
      </c>
      <c r="F115" s="41"/>
      <c r="G115" s="41">
        <f>E115-C115</f>
        <v>-12192.324506856035</v>
      </c>
      <c r="H115" s="42"/>
      <c r="L115" s="43"/>
      <c r="M115" s="43"/>
    </row>
    <row r="116" spans="2:13" x14ac:dyDescent="0.35">
      <c r="B116" s="44"/>
      <c r="C116" s="45"/>
      <c r="D116" s="45"/>
      <c r="E116" s="45"/>
      <c r="F116" s="45"/>
      <c r="G116" s="45"/>
      <c r="H116" s="42"/>
      <c r="L116" s="43"/>
      <c r="M116" s="43"/>
    </row>
    <row r="117" spans="2:13" x14ac:dyDescent="0.3">
      <c r="B117" s="75"/>
      <c r="C117" s="74"/>
      <c r="D117" s="74"/>
      <c r="E117" s="74"/>
      <c r="F117" s="74"/>
      <c r="G117" s="74"/>
      <c r="H117" s="39"/>
    </row>
    <row r="118" spans="2:13" x14ac:dyDescent="0.3">
      <c r="B118" s="75"/>
      <c r="C118" s="74"/>
      <c r="D118" s="74"/>
      <c r="E118" s="74"/>
      <c r="F118" s="74"/>
      <c r="G118" s="74"/>
      <c r="H118" s="39"/>
    </row>
    <row r="119" spans="2:13" x14ac:dyDescent="0.35">
      <c r="B119" s="76"/>
      <c r="C119" s="49"/>
      <c r="D119" s="74"/>
      <c r="E119" s="74"/>
      <c r="F119" s="74"/>
      <c r="G119" s="74"/>
      <c r="H119" s="39"/>
    </row>
    <row r="120" spans="2:13" x14ac:dyDescent="0.3">
      <c r="B120" s="77"/>
      <c r="C120" s="78"/>
      <c r="D120" s="38"/>
      <c r="E120" s="79"/>
      <c r="F120" s="79"/>
      <c r="G120" s="79"/>
      <c r="H120" s="39"/>
    </row>
    <row r="121" spans="2:13" x14ac:dyDescent="0.35">
      <c r="E121" s="39"/>
      <c r="F121" s="39"/>
      <c r="G121" s="39"/>
      <c r="H121" s="39"/>
    </row>
    <row r="122" spans="2:13" x14ac:dyDescent="0.35">
      <c r="B122" s="80"/>
      <c r="C122" s="39"/>
      <c r="E122" s="39"/>
      <c r="F122" s="39"/>
      <c r="G122" s="39"/>
      <c r="H122" s="39"/>
    </row>
    <row r="123" spans="2:13" x14ac:dyDescent="0.35">
      <c r="E123" s="39"/>
      <c r="F123" s="39"/>
      <c r="G123" s="39"/>
      <c r="H123" s="39"/>
    </row>
    <row r="126" spans="2:13" x14ac:dyDescent="0.35">
      <c r="C126" s="39"/>
    </row>
    <row r="129" spans="5:5" x14ac:dyDescent="0.35">
      <c r="E129" s="39"/>
    </row>
    <row r="130" spans="5:5" x14ac:dyDescent="0.35">
      <c r="E130" s="39"/>
    </row>
    <row r="131" spans="5:5" x14ac:dyDescent="0.35">
      <c r="E131" s="39"/>
    </row>
    <row r="132" spans="5:5" x14ac:dyDescent="0.35">
      <c r="E132" s="39"/>
    </row>
    <row r="133" spans="5:5" x14ac:dyDescent="0.35">
      <c r="E133" s="39"/>
    </row>
  </sheetData>
  <mergeCells count="3">
    <mergeCell ref="C3:C4"/>
    <mergeCell ref="E3:E4"/>
    <mergeCell ref="G3:G4"/>
  </mergeCells>
  <pageMargins left="0.70866141732283472" right="0.70866141732283472" top="0.74803149606299213" bottom="0.74803149606299213" header="0.31496062992125984" footer="0.31496062992125984"/>
  <pageSetup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37D7-31D7-4643-85DB-C230ED0FF703}">
  <sheetPr>
    <tabColor theme="6" tint="0.79998168889431442"/>
    <pageSetUpPr fitToPage="1"/>
  </sheetPr>
  <dimension ref="B1:N32"/>
  <sheetViews>
    <sheetView view="pageBreakPreview" topLeftCell="A17" zoomScaleNormal="100" zoomScaleSheetLayoutView="100" workbookViewId="0">
      <selection activeCell="F32" sqref="F32"/>
    </sheetView>
  </sheetViews>
  <sheetFormatPr defaultColWidth="9.08984375" defaultRowHeight="14.5" x14ac:dyDescent="0.35"/>
  <cols>
    <col min="1" max="1" width="9.08984375" style="233"/>
    <col min="2" max="2" width="36.81640625" style="233" customWidth="1"/>
    <col min="3" max="3" width="11.36328125" style="233" customWidth="1"/>
    <col min="4" max="4" width="2.6328125" style="233" customWidth="1"/>
    <col min="5" max="5" width="11.36328125" style="233" customWidth="1"/>
    <col min="6" max="6" width="2.453125" style="233" customWidth="1"/>
    <col min="7" max="7" width="11.36328125" style="233" customWidth="1"/>
    <col min="8" max="8" width="43.08984375" style="233" customWidth="1"/>
    <col min="9" max="9" width="6.6328125" style="233" customWidth="1"/>
    <col min="10" max="10" width="10.54296875" style="233" bestFit="1" customWidth="1"/>
    <col min="11" max="11" width="13.36328125" style="233" bestFit="1" customWidth="1"/>
    <col min="12" max="12" width="10.54296875" style="233" bestFit="1" customWidth="1"/>
    <col min="13" max="13" width="9.08984375" style="233"/>
    <col min="14" max="14" width="9.54296875" style="233" bestFit="1" customWidth="1"/>
    <col min="15" max="18" width="9.08984375" style="233"/>
    <col min="19" max="19" width="10.54296875" style="233" bestFit="1" customWidth="1"/>
    <col min="20" max="20" width="13.453125" style="233" bestFit="1" customWidth="1"/>
    <col min="21" max="22" width="9.54296875" style="233" bestFit="1" customWidth="1"/>
    <col min="23" max="23" width="3.6328125" style="233" customWidth="1"/>
    <col min="24" max="24" width="9.36328125" style="233" bestFit="1" customWidth="1"/>
    <col min="25" max="16384" width="9.08984375" style="233"/>
  </cols>
  <sheetData>
    <row r="1" spans="2:14" x14ac:dyDescent="0.35">
      <c r="B1" s="246"/>
      <c r="C1" s="36"/>
      <c r="D1" s="36"/>
      <c r="E1" s="36"/>
      <c r="F1" s="36"/>
      <c r="G1" s="36"/>
      <c r="H1" s="36"/>
    </row>
    <row r="2" spans="2:14" x14ac:dyDescent="0.35">
      <c r="B2" s="246" t="s">
        <v>279</v>
      </c>
      <c r="C2" s="36"/>
      <c r="D2" s="36"/>
      <c r="E2" s="36"/>
      <c r="F2" s="36"/>
      <c r="G2" s="36"/>
      <c r="H2" s="36"/>
    </row>
    <row r="3" spans="2:14" x14ac:dyDescent="0.35">
      <c r="C3" s="234"/>
      <c r="D3" s="234"/>
      <c r="E3" s="234"/>
      <c r="F3" s="234"/>
      <c r="G3" s="234"/>
      <c r="H3" s="234"/>
    </row>
    <row r="4" spans="2:14" x14ac:dyDescent="0.35">
      <c r="C4" s="234"/>
      <c r="D4" s="234"/>
      <c r="E4" s="234"/>
      <c r="F4" s="234"/>
      <c r="G4" s="234"/>
      <c r="H4" s="234"/>
    </row>
    <row r="5" spans="2:14" ht="30" customHeight="1" x14ac:dyDescent="0.35">
      <c r="C5" s="414" t="s">
        <v>238</v>
      </c>
      <c r="D5" s="234"/>
      <c r="E5" s="414" t="s">
        <v>237</v>
      </c>
      <c r="F5" s="234"/>
      <c r="G5" s="415" t="s">
        <v>59</v>
      </c>
      <c r="H5" s="415" t="s">
        <v>280</v>
      </c>
    </row>
    <row r="6" spans="2:14" x14ac:dyDescent="0.35">
      <c r="B6" s="234" t="s">
        <v>60</v>
      </c>
      <c r="C6" s="414"/>
      <c r="D6" s="234"/>
      <c r="E6" s="414"/>
      <c r="F6" s="234"/>
      <c r="G6" s="415"/>
      <c r="H6" s="415"/>
    </row>
    <row r="7" spans="2:14" x14ac:dyDescent="0.35">
      <c r="M7" s="39"/>
      <c r="N7" s="39"/>
    </row>
    <row r="8" spans="2:14" x14ac:dyDescent="0.35">
      <c r="B8" s="245" t="s">
        <v>88</v>
      </c>
      <c r="C8" s="41">
        <v>13581.070098363607</v>
      </c>
      <c r="D8" s="41"/>
      <c r="E8" s="41">
        <v>13371.867301977891</v>
      </c>
      <c r="F8" s="41"/>
      <c r="G8" s="41">
        <f>E8-C8</f>
        <v>-209.20279638571628</v>
      </c>
      <c r="H8" s="230"/>
      <c r="I8" s="42"/>
      <c r="J8" s="51"/>
      <c r="M8" s="43"/>
      <c r="N8" s="43"/>
    </row>
    <row r="9" spans="2:14" ht="5.25" customHeight="1" x14ac:dyDescent="0.35">
      <c r="B9" s="44"/>
      <c r="C9" s="45"/>
      <c r="D9" s="45"/>
      <c r="E9" s="45"/>
      <c r="F9" s="45"/>
      <c r="G9" s="45"/>
      <c r="H9" s="45"/>
      <c r="I9" s="42"/>
      <c r="M9" s="43"/>
      <c r="N9" s="43"/>
    </row>
    <row r="10" spans="2:14" x14ac:dyDescent="0.35">
      <c r="B10" s="66" t="s">
        <v>192</v>
      </c>
      <c r="C10" s="45"/>
      <c r="D10" s="45"/>
      <c r="E10" s="45"/>
      <c r="F10" s="45"/>
      <c r="G10" s="45"/>
      <c r="H10" s="45"/>
      <c r="I10" s="42"/>
      <c r="M10" s="43"/>
      <c r="N10" s="43"/>
    </row>
    <row r="11" spans="2:14" x14ac:dyDescent="0.35">
      <c r="B11" s="81" t="s">
        <v>193</v>
      </c>
      <c r="C11" s="50">
        <v>522.88594999999998</v>
      </c>
      <c r="E11" s="50">
        <v>488.20276000000001</v>
      </c>
      <c r="G11" s="50">
        <f>E11-C11</f>
        <v>-34.683189999999968</v>
      </c>
      <c r="H11" s="50" t="s">
        <v>286</v>
      </c>
      <c r="I11" s="42"/>
      <c r="M11" s="43"/>
      <c r="N11" s="43"/>
    </row>
    <row r="12" spans="2:14" x14ac:dyDescent="0.35">
      <c r="B12" s="81" t="s">
        <v>194</v>
      </c>
      <c r="C12" s="50">
        <v>1685.3515</v>
      </c>
      <c r="E12" s="50">
        <v>1683.49622</v>
      </c>
      <c r="G12" s="50">
        <f>E12-C12</f>
        <v>-1.8552799999999934</v>
      </c>
      <c r="H12" s="50" t="s">
        <v>286</v>
      </c>
      <c r="I12" s="42"/>
      <c r="M12" s="43"/>
      <c r="N12" s="43"/>
    </row>
    <row r="13" spans="2:14" x14ac:dyDescent="0.35">
      <c r="B13" s="81" t="s">
        <v>195</v>
      </c>
      <c r="C13" s="50">
        <v>438.99077333333344</v>
      </c>
      <c r="E13" s="50">
        <v>309.87584000000004</v>
      </c>
      <c r="G13" s="50">
        <f>E13-C13</f>
        <v>-129.1149333333334</v>
      </c>
      <c r="H13" s="50" t="s">
        <v>281</v>
      </c>
      <c r="I13" s="42"/>
      <c r="J13" s="50"/>
      <c r="K13" s="51"/>
      <c r="M13" s="43"/>
      <c r="N13" s="43"/>
    </row>
    <row r="14" spans="2:14" x14ac:dyDescent="0.35">
      <c r="B14" s="66" t="s">
        <v>188</v>
      </c>
      <c r="C14" s="50"/>
      <c r="E14" s="50"/>
      <c r="G14" s="50"/>
      <c r="H14" s="50"/>
      <c r="I14" s="42"/>
      <c r="J14" s="50"/>
      <c r="K14" s="51"/>
      <c r="M14" s="43"/>
      <c r="N14" s="43"/>
    </row>
    <row r="15" spans="2:14" x14ac:dyDescent="0.35">
      <c r="B15" s="81" t="s">
        <v>196</v>
      </c>
      <c r="C15" s="50">
        <v>199.65346</v>
      </c>
      <c r="E15" s="50">
        <v>208.73443</v>
      </c>
      <c r="G15" s="50">
        <f>E15-C15</f>
        <v>9.0809700000000078</v>
      </c>
      <c r="H15" s="50" t="s">
        <v>286</v>
      </c>
      <c r="I15" s="42"/>
      <c r="J15" s="50"/>
      <c r="K15" s="51"/>
      <c r="M15" s="43"/>
      <c r="N15" s="43"/>
    </row>
    <row r="16" spans="2:14" x14ac:dyDescent="0.35">
      <c r="B16" s="66" t="s">
        <v>189</v>
      </c>
      <c r="C16" s="50"/>
      <c r="E16" s="50"/>
      <c r="G16" s="50"/>
      <c r="H16" s="50"/>
      <c r="I16" s="42"/>
      <c r="M16" s="43"/>
      <c r="N16" s="43"/>
    </row>
    <row r="17" spans="2:14" x14ac:dyDescent="0.35">
      <c r="B17" s="81" t="s">
        <v>197</v>
      </c>
      <c r="C17" s="50">
        <v>1720.2119610000002</v>
      </c>
      <c r="E17" s="50">
        <v>1276.8707300000001</v>
      </c>
      <c r="G17" s="50">
        <f>E17-C17</f>
        <v>-443.34123100000011</v>
      </c>
      <c r="H17" s="50" t="s">
        <v>285</v>
      </c>
      <c r="I17" s="42"/>
      <c r="J17" s="50"/>
      <c r="K17" s="51"/>
      <c r="M17" s="43"/>
      <c r="N17" s="43"/>
    </row>
    <row r="18" spans="2:14" x14ac:dyDescent="0.35">
      <c r="B18" s="81" t="s">
        <v>198</v>
      </c>
      <c r="C18" s="50">
        <v>198.90237500000001</v>
      </c>
      <c r="E18" s="50">
        <v>149.34634166666663</v>
      </c>
      <c r="G18" s="50">
        <f>E18-C18</f>
        <v>-49.556033333333374</v>
      </c>
      <c r="H18" s="50" t="s">
        <v>286</v>
      </c>
      <c r="I18" s="42"/>
      <c r="J18" s="50"/>
      <c r="K18" s="51"/>
      <c r="M18" s="43"/>
      <c r="N18" s="43"/>
    </row>
    <row r="19" spans="2:14" x14ac:dyDescent="0.35">
      <c r="B19" s="81" t="s">
        <v>199</v>
      </c>
      <c r="C19" s="50">
        <v>1577.8108806666664</v>
      </c>
      <c r="E19" s="50">
        <v>1313.969705151163</v>
      </c>
      <c r="G19" s="50">
        <f>E19-C19</f>
        <v>-263.84117551550344</v>
      </c>
      <c r="H19" s="50" t="s">
        <v>282</v>
      </c>
      <c r="I19" s="42"/>
      <c r="J19" s="50"/>
      <c r="K19" s="51"/>
      <c r="M19" s="43"/>
      <c r="N19" s="43"/>
    </row>
    <row r="20" spans="2:14" x14ac:dyDescent="0.35">
      <c r="B20" s="81" t="s">
        <v>278</v>
      </c>
      <c r="C20" s="50">
        <v>237.52340333333333</v>
      </c>
      <c r="E20" s="50">
        <v>890.71276250000005</v>
      </c>
      <c r="G20" s="50">
        <f>E20-C20</f>
        <v>653.18935916666669</v>
      </c>
      <c r="H20" s="50" t="s">
        <v>283</v>
      </c>
      <c r="I20" s="42"/>
      <c r="J20" s="50"/>
      <c r="K20" s="51"/>
      <c r="M20" s="43"/>
      <c r="N20" s="43"/>
    </row>
    <row r="21" spans="2:14" x14ac:dyDescent="0.35">
      <c r="B21" s="81" t="s">
        <v>191</v>
      </c>
      <c r="C21" s="50">
        <v>-79.59684</v>
      </c>
      <c r="E21" s="50">
        <v>34.663847386094375</v>
      </c>
      <c r="G21" s="50">
        <f>E21-C21</f>
        <v>114.26068738609438</v>
      </c>
      <c r="H21" s="50" t="s">
        <v>284</v>
      </c>
      <c r="I21" s="42"/>
      <c r="M21" s="43"/>
      <c r="N21" s="43"/>
    </row>
    <row r="22" spans="2:14" x14ac:dyDescent="0.35">
      <c r="B22" s="66" t="s">
        <v>200</v>
      </c>
      <c r="C22" s="50"/>
      <c r="E22" s="50"/>
      <c r="G22" s="50"/>
      <c r="H22" s="50"/>
      <c r="I22" s="42"/>
      <c r="M22" s="43"/>
      <c r="N22" s="43"/>
    </row>
    <row r="23" spans="2:14" x14ac:dyDescent="0.35">
      <c r="B23" s="81" t="s">
        <v>197</v>
      </c>
      <c r="C23" s="50">
        <v>90.04303800000001</v>
      </c>
      <c r="E23" s="50">
        <v>66.958864615384627</v>
      </c>
      <c r="G23" s="50">
        <f>E23-C23</f>
        <v>-23.084173384615383</v>
      </c>
      <c r="H23" s="50" t="s">
        <v>285</v>
      </c>
      <c r="I23" s="42"/>
      <c r="J23" s="50"/>
      <c r="K23" s="51"/>
      <c r="M23" s="43"/>
      <c r="N23" s="43"/>
    </row>
    <row r="24" spans="2:14" x14ac:dyDescent="0.35">
      <c r="B24" s="81" t="s">
        <v>201</v>
      </c>
      <c r="C24" s="50">
        <v>178.08020444444443</v>
      </c>
      <c r="E24" s="50">
        <v>148.40017037037035</v>
      </c>
      <c r="G24" s="50">
        <f>E24-C24</f>
        <v>-29.680034074074086</v>
      </c>
      <c r="H24" s="50" t="s">
        <v>282</v>
      </c>
      <c r="I24" s="42"/>
      <c r="J24" s="50"/>
      <c r="K24" s="51"/>
      <c r="M24" s="43"/>
      <c r="N24" s="43"/>
    </row>
    <row r="25" spans="2:14" x14ac:dyDescent="0.35">
      <c r="B25" s="66" t="s">
        <v>190</v>
      </c>
      <c r="C25" s="50">
        <v>530.13064389285728</v>
      </c>
      <c r="E25" s="50">
        <v>526.32916614285728</v>
      </c>
      <c r="G25" s="50">
        <f>E25-C25</f>
        <v>-3.8014777500000037</v>
      </c>
      <c r="H25" s="50" t="s">
        <v>286</v>
      </c>
      <c r="I25" s="42"/>
      <c r="J25" s="50"/>
      <c r="K25" s="51"/>
      <c r="M25" s="43"/>
      <c r="N25" s="43"/>
    </row>
    <row r="26" spans="2:14" x14ac:dyDescent="0.35">
      <c r="B26" s="66" t="s">
        <v>202</v>
      </c>
      <c r="C26" s="50"/>
      <c r="E26" s="50"/>
      <c r="G26" s="50"/>
      <c r="H26" s="50"/>
      <c r="I26" s="42"/>
      <c r="M26" s="43"/>
      <c r="N26" s="43"/>
    </row>
    <row r="27" spans="2:14" x14ac:dyDescent="0.35">
      <c r="B27" s="81" t="s">
        <v>203</v>
      </c>
      <c r="C27" s="50">
        <v>212.64271600000001</v>
      </c>
      <c r="E27" s="50">
        <v>190.90380000000002</v>
      </c>
      <c r="G27" s="50">
        <f>E27-C27</f>
        <v>-21.738915999999989</v>
      </c>
      <c r="H27" s="50" t="s">
        <v>287</v>
      </c>
      <c r="I27" s="42"/>
      <c r="J27" s="50"/>
      <c r="K27" s="51"/>
      <c r="M27" s="43"/>
      <c r="N27" s="43"/>
    </row>
    <row r="28" spans="2:14" x14ac:dyDescent="0.35">
      <c r="B28" s="81" t="s">
        <v>288</v>
      </c>
      <c r="C28" s="50">
        <v>558.92580800000019</v>
      </c>
      <c r="E28" s="50">
        <v>548.6729802857144</v>
      </c>
      <c r="G28" s="50">
        <f>E28-C28</f>
        <v>-10.252827714285786</v>
      </c>
      <c r="H28" s="50" t="s">
        <v>286</v>
      </c>
      <c r="I28" s="42"/>
      <c r="M28" s="43"/>
      <c r="N28" s="43"/>
    </row>
    <row r="29" spans="2:14" x14ac:dyDescent="0.35">
      <c r="B29" s="66" t="s">
        <v>204</v>
      </c>
      <c r="C29" s="50">
        <v>430.95156730707083</v>
      </c>
      <c r="E29" s="50">
        <v>455.41703397373743</v>
      </c>
      <c r="G29" s="50">
        <f>E29-C29</f>
        <v>24.4654666666666</v>
      </c>
      <c r="H29" s="50" t="s">
        <v>286</v>
      </c>
      <c r="I29" s="42"/>
      <c r="M29" s="43"/>
      <c r="N29" s="43"/>
    </row>
    <row r="30" spans="2:14" x14ac:dyDescent="0.35">
      <c r="B30" s="81"/>
      <c r="C30" s="50"/>
      <c r="E30" s="50"/>
      <c r="G30" s="50"/>
      <c r="H30" s="50"/>
      <c r="I30" s="42"/>
      <c r="M30" s="43"/>
      <c r="N30" s="43"/>
    </row>
    <row r="31" spans="2:14" x14ac:dyDescent="0.35">
      <c r="B31" s="81"/>
      <c r="C31" s="50"/>
      <c r="E31" s="50"/>
      <c r="G31" s="50"/>
      <c r="H31" s="50"/>
      <c r="I31" s="42"/>
      <c r="M31" s="43"/>
      <c r="N31" s="43"/>
    </row>
    <row r="32" spans="2:14" x14ac:dyDescent="0.35">
      <c r="B32" s="81"/>
      <c r="C32" s="50"/>
      <c r="E32" s="50"/>
      <c r="G32" s="50"/>
      <c r="H32" s="50"/>
      <c r="I32" s="42"/>
      <c r="M32" s="43"/>
      <c r="N32" s="43"/>
    </row>
  </sheetData>
  <mergeCells count="4">
    <mergeCell ref="C5:C6"/>
    <mergeCell ref="E5:E6"/>
    <mergeCell ref="G5:G6"/>
    <mergeCell ref="H5:H6"/>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D28B-0DD2-4315-BF1F-488955BC9DF7}">
  <sheetPr>
    <tabColor theme="6" tint="0.79998168889431442"/>
    <pageSetUpPr fitToPage="1"/>
  </sheetPr>
  <dimension ref="B1:H9"/>
  <sheetViews>
    <sheetView view="pageBreakPreview" zoomScaleNormal="100" zoomScaleSheetLayoutView="100" workbookViewId="0">
      <selection activeCell="B9" sqref="B9"/>
    </sheetView>
  </sheetViews>
  <sheetFormatPr defaultColWidth="9.08984375" defaultRowHeight="14.5" x14ac:dyDescent="0.35"/>
  <cols>
    <col min="1" max="1" width="9.08984375" style="233"/>
    <col min="2" max="2" width="35.26953125" style="233" customWidth="1"/>
    <col min="3" max="3" width="12.36328125" style="233" customWidth="1"/>
    <col min="4" max="5" width="14.26953125" style="233" customWidth="1"/>
    <col min="6" max="6" width="11.90625" style="233" customWidth="1"/>
    <col min="7" max="7" width="9.81640625" style="233" customWidth="1"/>
    <col min="8" max="8" width="13" style="233" customWidth="1"/>
    <col min="9" max="9" width="6.6328125" style="233" customWidth="1"/>
    <col min="10" max="10" width="10.54296875" style="233" bestFit="1" customWidth="1"/>
    <col min="11" max="11" width="13.36328125" style="233" bestFit="1" customWidth="1"/>
    <col min="12" max="12" width="10.54296875" style="233" bestFit="1" customWidth="1"/>
    <col min="13" max="13" width="9.08984375" style="233"/>
    <col min="14" max="14" width="9.54296875" style="233" bestFit="1" customWidth="1"/>
    <col min="15" max="18" width="9.08984375" style="233"/>
    <col min="19" max="19" width="10.54296875" style="233" bestFit="1" customWidth="1"/>
    <col min="20" max="20" width="13.453125" style="233" bestFit="1" customWidth="1"/>
    <col min="21" max="22" width="9.54296875" style="233" bestFit="1" customWidth="1"/>
    <col min="23" max="23" width="3.6328125" style="233" customWidth="1"/>
    <col min="24" max="24" width="9.36328125" style="233" bestFit="1" customWidth="1"/>
    <col min="25" max="16384" width="9.08984375" style="233"/>
  </cols>
  <sheetData>
    <row r="1" spans="2:8" x14ac:dyDescent="0.35">
      <c r="B1" s="246"/>
      <c r="C1" s="36"/>
      <c r="D1" s="36"/>
      <c r="E1" s="36"/>
      <c r="F1" s="36"/>
      <c r="G1" s="36"/>
      <c r="H1" s="36"/>
    </row>
    <row r="2" spans="2:8" x14ac:dyDescent="0.35">
      <c r="B2" s="246" t="s">
        <v>289</v>
      </c>
      <c r="C2" s="36"/>
      <c r="D2" s="36"/>
      <c r="E2" s="36"/>
      <c r="F2" s="36"/>
      <c r="G2" s="36"/>
      <c r="H2" s="36"/>
    </row>
    <row r="3" spans="2:8" ht="15" thickBot="1" x14ac:dyDescent="0.4">
      <c r="C3" s="250"/>
      <c r="D3" s="250"/>
      <c r="E3" s="250"/>
      <c r="F3" s="250"/>
      <c r="G3" s="250"/>
      <c r="H3" s="250"/>
    </row>
    <row r="4" spans="2:8" ht="89" customHeight="1" thickBot="1" x14ac:dyDescent="0.4">
      <c r="B4" s="235" t="s">
        <v>60</v>
      </c>
      <c r="C4" s="251" t="s">
        <v>290</v>
      </c>
      <c r="D4" s="251" t="s">
        <v>297</v>
      </c>
      <c r="E4" s="251" t="s">
        <v>298</v>
      </c>
      <c r="F4" s="251" t="s">
        <v>291</v>
      </c>
      <c r="G4" s="251" t="s">
        <v>292</v>
      </c>
      <c r="H4" s="251" t="s">
        <v>293</v>
      </c>
    </row>
    <row r="5" spans="2:8" ht="15" thickBot="1" x14ac:dyDescent="0.4">
      <c r="B5" s="252"/>
      <c r="C5" s="251" t="s">
        <v>11</v>
      </c>
      <c r="D5" s="251" t="s">
        <v>22</v>
      </c>
      <c r="E5" s="251" t="s">
        <v>143</v>
      </c>
      <c r="F5" s="251" t="s">
        <v>294</v>
      </c>
      <c r="G5" s="251" t="s">
        <v>145</v>
      </c>
      <c r="H5" s="251" t="s">
        <v>295</v>
      </c>
    </row>
    <row r="6" spans="2:8" x14ac:dyDescent="0.35">
      <c r="B6" s="252"/>
      <c r="C6" s="252"/>
      <c r="D6" s="252"/>
      <c r="E6" s="253"/>
      <c r="F6" s="253"/>
      <c r="G6" s="253"/>
      <c r="H6" s="253"/>
    </row>
    <row r="7" spans="2:8" x14ac:dyDescent="0.35">
      <c r="B7" s="252" t="s">
        <v>296</v>
      </c>
      <c r="C7" s="254">
        <v>10688.55315</v>
      </c>
      <c r="D7" s="254">
        <v>326.45910686453578</v>
      </c>
      <c r="E7" s="254">
        <v>1469.0659808904109</v>
      </c>
      <c r="F7" s="254">
        <f>E7-D7</f>
        <v>1142.6068740258752</v>
      </c>
      <c r="G7" s="254">
        <f>2031-2021</f>
        <v>10</v>
      </c>
      <c r="H7" s="254">
        <f>F7/G7</f>
        <v>114.26068740258752</v>
      </c>
    </row>
    <row r="8" spans="2:8" x14ac:dyDescent="0.35">
      <c r="B8" s="252" t="s">
        <v>235</v>
      </c>
      <c r="C8" s="255">
        <v>10688.55315</v>
      </c>
      <c r="D8" s="255">
        <v>1469.0659807254794</v>
      </c>
      <c r="E8" s="255">
        <v>1469.0659808904109</v>
      </c>
      <c r="F8" s="255">
        <f>E8-D8</f>
        <v>1.649314071983099E-7</v>
      </c>
      <c r="G8" s="255">
        <f>G7</f>
        <v>10</v>
      </c>
      <c r="H8" s="255">
        <f>F8/G8</f>
        <v>1.6493140719830991E-8</v>
      </c>
    </row>
    <row r="9" spans="2:8" x14ac:dyDescent="0.35">
      <c r="B9" s="252" t="s">
        <v>236</v>
      </c>
      <c r="C9" s="254">
        <f>C7-C8</f>
        <v>0</v>
      </c>
      <c r="D9" s="254">
        <f>D7-D8</f>
        <v>-1142.6068738609438</v>
      </c>
      <c r="E9" s="254">
        <f>E7-E8</f>
        <v>0</v>
      </c>
      <c r="F9" s="254">
        <f>F7-F8</f>
        <v>1142.6068738609438</v>
      </c>
      <c r="G9" s="254"/>
      <c r="H9" s="254">
        <f>H7-H8</f>
        <v>114.26068738609438</v>
      </c>
    </row>
  </sheetData>
  <pageMargins left="0.70866141732283472" right="0.70866141732283472" top="0.74803149606299213" bottom="0.74803149606299213" header="0.31496062992125984" footer="0.31496062992125984"/>
  <pageSetup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27A1-18B8-4AC5-AAEE-6A153CC5E0F0}">
  <sheetPr>
    <pageSetUpPr fitToPage="1"/>
  </sheetPr>
  <dimension ref="A2:O88"/>
  <sheetViews>
    <sheetView showGridLines="0" view="pageBreakPreview" zoomScale="90" zoomScaleNormal="80" zoomScaleSheetLayoutView="90" workbookViewId="0">
      <selection activeCell="D14" sqref="D14"/>
    </sheetView>
  </sheetViews>
  <sheetFormatPr defaultColWidth="9.08984375" defaultRowHeight="14" x14ac:dyDescent="0.3"/>
  <cols>
    <col min="1" max="1" width="5.54296875" style="297" customWidth="1"/>
    <col min="2" max="2" width="5" style="297" customWidth="1"/>
    <col min="3" max="3" width="26.08984375" style="297" customWidth="1"/>
    <col min="4" max="4" width="77.90625" style="297" customWidth="1"/>
    <col min="5" max="7" width="15.08984375" style="297" customWidth="1"/>
    <col min="8" max="8" width="11.90625" style="297" customWidth="1"/>
    <col min="9" max="9" width="53" style="299" customWidth="1"/>
    <col min="10" max="10" width="9.08984375" style="297"/>
    <col min="11" max="11" width="10.7265625" style="297" customWidth="1"/>
    <col min="12" max="12" width="12.1796875" style="297" customWidth="1"/>
    <col min="13" max="13" width="18.90625" style="297" customWidth="1"/>
    <col min="14" max="16384" width="9.08984375" style="297"/>
  </cols>
  <sheetData>
    <row r="2" spans="1:11" x14ac:dyDescent="0.3">
      <c r="B2" s="298"/>
      <c r="D2" s="298" t="s">
        <v>508</v>
      </c>
    </row>
    <row r="3" spans="1:11" x14ac:dyDescent="0.3">
      <c r="B3" s="298"/>
      <c r="D3" s="298"/>
      <c r="E3" s="300">
        <v>2019</v>
      </c>
      <c r="F3" s="300">
        <v>2020</v>
      </c>
      <c r="G3" s="300">
        <v>2021</v>
      </c>
    </row>
    <row r="4" spans="1:11" x14ac:dyDescent="0.3">
      <c r="C4" s="300" t="s">
        <v>335</v>
      </c>
      <c r="E4" s="301"/>
      <c r="F4" s="301"/>
      <c r="G4" s="301"/>
      <c r="I4" s="302" t="s">
        <v>336</v>
      </c>
    </row>
    <row r="5" spans="1:11" ht="14.25" customHeight="1" x14ac:dyDescent="0.3">
      <c r="A5" s="303"/>
      <c r="B5" s="303"/>
      <c r="C5" s="304" t="s">
        <v>337</v>
      </c>
      <c r="D5" s="297" t="s">
        <v>338</v>
      </c>
      <c r="E5" s="305">
        <v>26.332999999999998</v>
      </c>
      <c r="F5" s="305">
        <v>26.332999999999998</v>
      </c>
      <c r="G5" s="305">
        <v>20.506710312413048</v>
      </c>
      <c r="H5" s="297" t="s">
        <v>339</v>
      </c>
      <c r="I5" s="416" t="s">
        <v>502</v>
      </c>
    </row>
    <row r="6" spans="1:11" x14ac:dyDescent="0.3">
      <c r="C6" s="304" t="s">
        <v>340</v>
      </c>
      <c r="D6" s="297" t="s">
        <v>341</v>
      </c>
      <c r="E6" s="305">
        <v>14.667999999999999</v>
      </c>
      <c r="F6" s="305">
        <v>14.667999999999999</v>
      </c>
      <c r="G6" s="305">
        <v>18.136250357142856</v>
      </c>
      <c r="H6" s="297" t="s">
        <v>339</v>
      </c>
      <c r="I6" s="416"/>
    </row>
    <row r="7" spans="1:11" x14ac:dyDescent="0.3">
      <c r="C7" s="304" t="s">
        <v>342</v>
      </c>
      <c r="D7" s="297" t="s">
        <v>343</v>
      </c>
      <c r="E7" s="306">
        <v>420264.91230784886</v>
      </c>
      <c r="F7" s="306">
        <v>420264.91230784886</v>
      </c>
      <c r="G7" s="306">
        <v>538724.26366088609</v>
      </c>
      <c r="H7" s="297" t="s">
        <v>155</v>
      </c>
      <c r="I7" s="307"/>
    </row>
    <row r="8" spans="1:11" x14ac:dyDescent="0.3">
      <c r="C8" s="304" t="s">
        <v>344</v>
      </c>
      <c r="D8" s="297" t="s">
        <v>345</v>
      </c>
      <c r="E8" s="306">
        <v>16355.21807538836</v>
      </c>
      <c r="F8" s="306">
        <v>16355.21807538836</v>
      </c>
      <c r="G8" s="306">
        <v>84305.781402380308</v>
      </c>
      <c r="H8" s="297" t="s">
        <v>155</v>
      </c>
      <c r="I8" s="307"/>
    </row>
    <row r="9" spans="1:11" ht="6.65" customHeight="1" x14ac:dyDescent="0.3">
      <c r="H9" s="305"/>
    </row>
    <row r="10" spans="1:11" x14ac:dyDescent="0.3">
      <c r="B10" s="303" t="s">
        <v>346</v>
      </c>
    </row>
    <row r="11" spans="1:11" ht="6.65" customHeight="1" x14ac:dyDescent="0.3"/>
    <row r="12" spans="1:11" x14ac:dyDescent="0.3">
      <c r="B12" s="298"/>
      <c r="C12" s="304"/>
      <c r="D12" s="308" t="s">
        <v>347</v>
      </c>
      <c r="E12" s="311"/>
      <c r="F12" s="311"/>
      <c r="G12" s="311"/>
    </row>
    <row r="13" spans="1:11" ht="6.75" customHeight="1" x14ac:dyDescent="0.3">
      <c r="B13" s="298"/>
      <c r="C13" s="304"/>
      <c r="D13" s="304"/>
      <c r="E13" s="311"/>
      <c r="F13" s="311"/>
      <c r="G13" s="311"/>
    </row>
    <row r="14" spans="1:11" x14ac:dyDescent="0.3">
      <c r="B14" s="298"/>
      <c r="C14" s="304" t="s">
        <v>348</v>
      </c>
      <c r="D14" s="297" t="s">
        <v>349</v>
      </c>
      <c r="E14" s="311">
        <v>440675.93235256959</v>
      </c>
      <c r="F14" s="311">
        <v>504792.97096687835</v>
      </c>
      <c r="G14" s="311">
        <v>527351.13147375186</v>
      </c>
      <c r="H14" s="297" t="s">
        <v>155</v>
      </c>
      <c r="I14" s="299" t="s">
        <v>31</v>
      </c>
      <c r="K14" s="309"/>
    </row>
    <row r="15" spans="1:11" x14ac:dyDescent="0.3">
      <c r="B15" s="298"/>
      <c r="C15" s="304" t="s">
        <v>350</v>
      </c>
      <c r="D15" s="297" t="s">
        <v>351</v>
      </c>
      <c r="E15" s="394">
        <v>4963.5179999999991</v>
      </c>
      <c r="F15" s="394">
        <v>5033.6640000000007</v>
      </c>
      <c r="G15" s="394">
        <v>9843.116</v>
      </c>
      <c r="H15" s="297" t="s">
        <v>155</v>
      </c>
      <c r="I15" s="299" t="s">
        <v>31</v>
      </c>
      <c r="K15" s="309"/>
    </row>
    <row r="16" spans="1:11" ht="6.75" customHeight="1" x14ac:dyDescent="0.3">
      <c r="B16" s="298"/>
      <c r="C16" s="304"/>
      <c r="E16" s="311"/>
      <c r="F16" s="311"/>
      <c r="G16" s="311"/>
    </row>
    <row r="17" spans="2:13" x14ac:dyDescent="0.3">
      <c r="B17" s="298"/>
      <c r="C17" s="304" t="s">
        <v>352</v>
      </c>
      <c r="D17" s="297" t="s">
        <v>353</v>
      </c>
      <c r="E17" s="311">
        <f>SUM(E14:E15)</f>
        <v>445639.45035256958</v>
      </c>
      <c r="F17" s="311">
        <f>SUM(F14:F15)</f>
        <v>509826.63496687834</v>
      </c>
      <c r="G17" s="311">
        <f>SUM(G14:G15)</f>
        <v>537194.24747375189</v>
      </c>
      <c r="H17" s="297" t="s">
        <v>155</v>
      </c>
      <c r="K17" s="309"/>
      <c r="L17" s="309"/>
      <c r="M17" s="309"/>
    </row>
    <row r="18" spans="2:13" ht="6.75" customHeight="1" x14ac:dyDescent="0.3">
      <c r="B18" s="298"/>
      <c r="C18" s="304"/>
      <c r="E18" s="311"/>
      <c r="F18" s="311"/>
      <c r="G18" s="311"/>
    </row>
    <row r="19" spans="2:13" x14ac:dyDescent="0.3">
      <c r="B19" s="298"/>
      <c r="C19" s="304"/>
      <c r="D19" s="297" t="s">
        <v>354</v>
      </c>
      <c r="E19" s="311"/>
      <c r="F19" s="311"/>
      <c r="G19" s="311"/>
    </row>
    <row r="20" spans="2:13" ht="15" customHeight="1" x14ac:dyDescent="0.3">
      <c r="B20" s="298"/>
      <c r="C20" s="304" t="s">
        <v>355</v>
      </c>
      <c r="D20" s="310" t="s">
        <v>356</v>
      </c>
      <c r="E20" s="311">
        <f>E15</f>
        <v>4963.5179999999991</v>
      </c>
      <c r="F20" s="311">
        <f>F15</f>
        <v>5033.6640000000007</v>
      </c>
      <c r="G20" s="306">
        <f>G15</f>
        <v>9843.116</v>
      </c>
      <c r="H20" s="297" t="s">
        <v>155</v>
      </c>
      <c r="I20" s="299" t="s">
        <v>31</v>
      </c>
    </row>
    <row r="21" spans="2:13" x14ac:dyDescent="0.3">
      <c r="B21" s="298"/>
      <c r="C21" s="304" t="s">
        <v>357</v>
      </c>
      <c r="D21" s="310" t="s">
        <v>358</v>
      </c>
      <c r="E21" s="311">
        <f>E14-E22-E34</f>
        <v>370818.30052256957</v>
      </c>
      <c r="F21" s="311">
        <f>F14-F22-F34</f>
        <v>435355.65487687837</v>
      </c>
      <c r="G21" s="311">
        <f>G14-G22-G34</f>
        <v>488132.48265075183</v>
      </c>
      <c r="H21" s="297" t="s">
        <v>155</v>
      </c>
      <c r="I21" s="299" t="s">
        <v>359</v>
      </c>
      <c r="M21" s="311"/>
    </row>
    <row r="22" spans="2:13" x14ac:dyDescent="0.3">
      <c r="B22" s="298"/>
      <c r="C22" s="312" t="s">
        <v>360</v>
      </c>
      <c r="D22" s="313" t="s">
        <v>361</v>
      </c>
      <c r="E22" s="314">
        <f>E23+E24</f>
        <v>69857.631829999998</v>
      </c>
      <c r="F22" s="314">
        <f>F23+F24</f>
        <v>69437.316090000008</v>
      </c>
      <c r="G22" s="314">
        <f>G23+G24</f>
        <v>39216.192840000003</v>
      </c>
      <c r="H22" s="297" t="s">
        <v>155</v>
      </c>
      <c r="I22" s="299" t="s">
        <v>31</v>
      </c>
      <c r="M22" s="311"/>
    </row>
    <row r="23" spans="2:13" ht="14.5" x14ac:dyDescent="0.35">
      <c r="B23" s="298"/>
      <c r="C23" s="312"/>
      <c r="D23" s="315" t="s">
        <v>173</v>
      </c>
      <c r="E23" s="314">
        <v>3793.1318299999998</v>
      </c>
      <c r="F23" s="314">
        <v>21723.316090000004</v>
      </c>
      <c r="G23" s="314">
        <v>17670.792839999998</v>
      </c>
      <c r="H23" s="297" t="s">
        <v>155</v>
      </c>
      <c r="I23" s="299" t="s">
        <v>31</v>
      </c>
      <c r="M23" s="311"/>
    </row>
    <row r="24" spans="2:13" ht="14.5" x14ac:dyDescent="0.35">
      <c r="B24" s="298"/>
      <c r="C24" s="312"/>
      <c r="D24" s="315" t="s">
        <v>215</v>
      </c>
      <c r="E24" s="311">
        <v>66064.5</v>
      </c>
      <c r="F24" s="311">
        <v>47714.000000000007</v>
      </c>
      <c r="G24" s="311">
        <v>21545.4</v>
      </c>
      <c r="H24" s="297" t="s">
        <v>155</v>
      </c>
      <c r="I24" s="299" t="s">
        <v>31</v>
      </c>
      <c r="M24" s="311"/>
    </row>
    <row r="25" spans="2:13" ht="6" customHeight="1" x14ac:dyDescent="0.35">
      <c r="B25" s="298"/>
      <c r="C25" s="312"/>
      <c r="D25" s="315"/>
      <c r="E25" s="311"/>
      <c r="F25" s="311"/>
      <c r="G25" s="311"/>
      <c r="M25" s="311"/>
    </row>
    <row r="26" spans="2:13" ht="14.5" x14ac:dyDescent="0.35">
      <c r="B26" s="298"/>
      <c r="C26" s="304" t="s">
        <v>362</v>
      </c>
      <c r="D26" s="316" t="s">
        <v>363</v>
      </c>
      <c r="E26" s="314">
        <f>E27+E28</f>
        <v>1653.1</v>
      </c>
      <c r="F26" s="314">
        <f>F27+F28</f>
        <v>71.372065599999999</v>
      </c>
      <c r="G26" s="314">
        <f>G27+G28</f>
        <v>527.17435148105665</v>
      </c>
      <c r="H26" s="297" t="s">
        <v>155</v>
      </c>
      <c r="I26" s="299" t="s">
        <v>31</v>
      </c>
      <c r="M26" s="311"/>
    </row>
    <row r="27" spans="2:13" ht="14.5" x14ac:dyDescent="0.35">
      <c r="B27" s="298"/>
      <c r="C27" s="304" t="s">
        <v>364</v>
      </c>
      <c r="D27" s="315" t="s">
        <v>173</v>
      </c>
      <c r="E27" s="311">
        <f>767.3+715</f>
        <v>1482.3</v>
      </c>
      <c r="F27" s="311">
        <v>71.372065599999999</v>
      </c>
      <c r="G27" s="311">
        <v>466.3</v>
      </c>
      <c r="H27" s="297" t="s">
        <v>155</v>
      </c>
      <c r="I27" s="299" t="s">
        <v>31</v>
      </c>
      <c r="M27" s="311"/>
    </row>
    <row r="28" spans="2:13" ht="14.5" x14ac:dyDescent="0.35">
      <c r="B28" s="298"/>
      <c r="C28" s="304" t="s">
        <v>365</v>
      </c>
      <c r="D28" s="315" t="s">
        <v>215</v>
      </c>
      <c r="E28" s="311">
        <v>170.8</v>
      </c>
      <c r="F28" s="311">
        <v>0</v>
      </c>
      <c r="G28" s="311">
        <v>60.874351481056628</v>
      </c>
      <c r="H28" s="297" t="s">
        <v>155</v>
      </c>
      <c r="I28" s="299" t="s">
        <v>31</v>
      </c>
      <c r="M28" s="311"/>
    </row>
    <row r="29" spans="2:13" ht="6" customHeight="1" x14ac:dyDescent="0.35">
      <c r="B29" s="298"/>
      <c r="C29" s="304"/>
      <c r="D29" s="315"/>
      <c r="E29" s="311"/>
      <c r="F29" s="311"/>
      <c r="G29" s="311"/>
      <c r="M29" s="311"/>
    </row>
    <row r="30" spans="2:13" ht="14.5" x14ac:dyDescent="0.35">
      <c r="B30" s="298"/>
      <c r="C30" s="304" t="s">
        <v>366</v>
      </c>
      <c r="D30" s="316" t="s">
        <v>367</v>
      </c>
      <c r="E30" s="314">
        <f t="shared" ref="E30:G32" si="0">E22-E26</f>
        <v>68204.531829999993</v>
      </c>
      <c r="F30" s="314">
        <f t="shared" si="0"/>
        <v>69365.944024400014</v>
      </c>
      <c r="G30" s="314">
        <f t="shared" si="0"/>
        <v>38689.018488518945</v>
      </c>
      <c r="H30" s="297" t="s">
        <v>155</v>
      </c>
      <c r="I30" s="299" t="s">
        <v>31</v>
      </c>
      <c r="M30" s="311"/>
    </row>
    <row r="31" spans="2:13" ht="14.5" x14ac:dyDescent="0.35">
      <c r="B31" s="298"/>
      <c r="C31" s="304" t="s">
        <v>368</v>
      </c>
      <c r="D31" s="315" t="s">
        <v>173</v>
      </c>
      <c r="E31" s="311">
        <f t="shared" si="0"/>
        <v>2310.8318300000001</v>
      </c>
      <c r="F31" s="311">
        <f t="shared" si="0"/>
        <v>21651.944024400003</v>
      </c>
      <c r="G31" s="311">
        <f t="shared" si="0"/>
        <v>17204.492839999999</v>
      </c>
      <c r="H31" s="297" t="s">
        <v>155</v>
      </c>
      <c r="I31" s="299" t="s">
        <v>31</v>
      </c>
      <c r="M31" s="311"/>
    </row>
    <row r="32" spans="2:13" ht="14.5" x14ac:dyDescent="0.35">
      <c r="B32" s="298"/>
      <c r="C32" s="304" t="s">
        <v>369</v>
      </c>
      <c r="D32" s="315" t="s">
        <v>215</v>
      </c>
      <c r="E32" s="311">
        <f t="shared" si="0"/>
        <v>65893.7</v>
      </c>
      <c r="F32" s="311">
        <f t="shared" si="0"/>
        <v>47714.000000000007</v>
      </c>
      <c r="G32" s="311">
        <f t="shared" si="0"/>
        <v>21484.525648518946</v>
      </c>
      <c r="H32" s="297" t="s">
        <v>155</v>
      </c>
      <c r="I32" s="299" t="s">
        <v>31</v>
      </c>
      <c r="M32" s="311"/>
    </row>
    <row r="33" spans="2:15" ht="14.5" x14ac:dyDescent="0.35">
      <c r="B33" s="298"/>
      <c r="C33" s="304" t="s">
        <v>370</v>
      </c>
      <c r="D33" s="315" t="s">
        <v>371</v>
      </c>
      <c r="E33" s="317">
        <f>E31/E30</f>
        <v>3.3880913305874685E-2</v>
      </c>
      <c r="F33" s="317">
        <f>F31/F30</f>
        <v>0.31214083984474805</v>
      </c>
      <c r="G33" s="317">
        <f>G31/G30</f>
        <v>0.44468672279979066</v>
      </c>
      <c r="M33" s="311"/>
    </row>
    <row r="34" spans="2:15" x14ac:dyDescent="0.3">
      <c r="B34" s="298"/>
      <c r="C34" s="304" t="s">
        <v>372</v>
      </c>
      <c r="D34" s="310" t="s">
        <v>205</v>
      </c>
      <c r="E34" s="318">
        <f>E39</f>
        <v>0</v>
      </c>
      <c r="F34" s="318">
        <f>F39</f>
        <v>0</v>
      </c>
      <c r="G34" s="318">
        <v>2.4559830000000002</v>
      </c>
      <c r="H34" s="297" t="s">
        <v>155</v>
      </c>
      <c r="I34" s="299" t="s">
        <v>31</v>
      </c>
      <c r="M34" s="311"/>
    </row>
    <row r="35" spans="2:15" x14ac:dyDescent="0.3">
      <c r="B35" s="298"/>
      <c r="C35" s="304" t="s">
        <v>373</v>
      </c>
      <c r="D35" s="297" t="s">
        <v>353</v>
      </c>
      <c r="E35" s="319">
        <f>E20+E21+E22+E34</f>
        <v>445639.45035256958</v>
      </c>
      <c r="F35" s="319">
        <f>F20+F21+F22+F34</f>
        <v>509826.63496687834</v>
      </c>
      <c r="G35" s="319">
        <f>G20+G21+G22+G34</f>
        <v>537194.24747375178</v>
      </c>
      <c r="H35" s="297" t="s">
        <v>155</v>
      </c>
      <c r="M35" s="311"/>
    </row>
    <row r="36" spans="2:15" ht="6.75" customHeight="1" x14ac:dyDescent="0.3">
      <c r="B36" s="298"/>
      <c r="C36" s="304"/>
      <c r="E36" s="319"/>
      <c r="F36" s="319"/>
      <c r="G36" s="319"/>
      <c r="M36" s="311"/>
    </row>
    <row r="37" spans="2:15" x14ac:dyDescent="0.3">
      <c r="B37" s="298"/>
      <c r="C37" s="304"/>
      <c r="D37" s="297" t="s">
        <v>374</v>
      </c>
      <c r="E37" s="319"/>
      <c r="F37" s="319"/>
      <c r="G37" s="319"/>
      <c r="M37" s="311"/>
    </row>
    <row r="38" spans="2:15" x14ac:dyDescent="0.3">
      <c r="B38" s="298"/>
      <c r="C38" s="320" t="s">
        <v>375</v>
      </c>
      <c r="D38" s="310" t="s">
        <v>376</v>
      </c>
      <c r="E38" s="395">
        <v>8391</v>
      </c>
      <c r="F38" s="395">
        <f>E38</f>
        <v>8391</v>
      </c>
      <c r="G38" s="321">
        <v>8730</v>
      </c>
      <c r="H38" s="322" t="s">
        <v>155</v>
      </c>
      <c r="I38" s="323" t="s">
        <v>503</v>
      </c>
      <c r="M38" s="311"/>
    </row>
    <row r="39" spans="2:15" x14ac:dyDescent="0.3">
      <c r="B39" s="298"/>
      <c r="C39" s="304" t="s">
        <v>377</v>
      </c>
      <c r="D39" s="310" t="s">
        <v>378</v>
      </c>
      <c r="E39" s="318">
        <v>0</v>
      </c>
      <c r="F39" s="318">
        <v>0</v>
      </c>
      <c r="G39" s="318">
        <f>G34</f>
        <v>2.4559830000000002</v>
      </c>
      <c r="H39" s="297" t="s">
        <v>155</v>
      </c>
      <c r="I39" s="323" t="s">
        <v>504</v>
      </c>
      <c r="J39" s="309"/>
      <c r="M39" s="311"/>
    </row>
    <row r="40" spans="2:15" x14ac:dyDescent="0.3">
      <c r="B40" s="298"/>
      <c r="C40" s="304" t="s">
        <v>379</v>
      </c>
      <c r="D40" s="310" t="s">
        <v>380</v>
      </c>
      <c r="E40" s="319">
        <f>E35-E38-E39</f>
        <v>437248.45035256958</v>
      </c>
      <c r="F40" s="319">
        <f>F35-F38-F39</f>
        <v>501435.63496687834</v>
      </c>
      <c r="G40" s="319">
        <f>G35-G38-G39</f>
        <v>528461.79149075178</v>
      </c>
      <c r="H40" s="297" t="s">
        <v>155</v>
      </c>
      <c r="J40" s="309"/>
      <c r="M40" s="311"/>
    </row>
    <row r="41" spans="2:15" ht="6.75" customHeight="1" x14ac:dyDescent="0.3">
      <c r="B41" s="298"/>
      <c r="C41" s="304"/>
      <c r="E41" s="311"/>
      <c r="F41" s="311"/>
      <c r="G41" s="311"/>
      <c r="M41" s="311"/>
    </row>
    <row r="42" spans="2:15" x14ac:dyDescent="0.3">
      <c r="B42" s="298"/>
      <c r="C42" s="320" t="s">
        <v>381</v>
      </c>
      <c r="D42" s="324" t="s">
        <v>382</v>
      </c>
      <c r="E42" s="321">
        <f>E40-E7+E39</f>
        <v>16983.538044720714</v>
      </c>
      <c r="F42" s="321">
        <f>F40-F7+F39</f>
        <v>81170.722659029474</v>
      </c>
      <c r="G42" s="321">
        <f>G40-G7+G39</f>
        <v>-10260.016187134308</v>
      </c>
      <c r="H42" s="322" t="s">
        <v>155</v>
      </c>
      <c r="M42" s="311"/>
    </row>
    <row r="43" spans="2:15" x14ac:dyDescent="0.3">
      <c r="B43" s="298"/>
      <c r="C43" s="320"/>
      <c r="D43" s="324"/>
      <c r="E43" s="325"/>
      <c r="F43" s="325"/>
      <c r="G43" s="325"/>
      <c r="H43" s="322"/>
      <c r="M43" s="311"/>
    </row>
    <row r="44" spans="2:15" x14ac:dyDescent="0.3">
      <c r="B44" s="298"/>
      <c r="C44" s="320" t="s">
        <v>383</v>
      </c>
      <c r="D44" s="297" t="s">
        <v>384</v>
      </c>
      <c r="E44" s="326">
        <v>25299.850904343759</v>
      </c>
      <c r="F44" s="326">
        <v>67443.224433959316</v>
      </c>
      <c r="G44" s="326">
        <v>77599.145825965301</v>
      </c>
      <c r="H44" s="322" t="s">
        <v>155</v>
      </c>
      <c r="I44" s="299" t="s">
        <v>505</v>
      </c>
      <c r="M44" s="311"/>
    </row>
    <row r="45" spans="2:15" x14ac:dyDescent="0.3">
      <c r="B45" s="298"/>
      <c r="C45" s="320" t="s">
        <v>385</v>
      </c>
      <c r="D45" s="297" t="s">
        <v>386</v>
      </c>
      <c r="E45" s="327">
        <f>E30/E44</f>
        <v>2.6958471845496086</v>
      </c>
      <c r="F45" s="327">
        <f>F30/F44</f>
        <v>1.0285087139082953</v>
      </c>
      <c r="G45" s="327">
        <f>G30/G44</f>
        <v>0.49857531389956727</v>
      </c>
      <c r="H45" s="322"/>
      <c r="I45" s="297"/>
      <c r="M45" s="311"/>
    </row>
    <row r="46" spans="2:15" x14ac:dyDescent="0.3">
      <c r="B46" s="298"/>
      <c r="C46" s="304"/>
      <c r="E46" s="311"/>
      <c r="F46" s="311"/>
      <c r="G46" s="311"/>
      <c r="I46" s="297"/>
      <c r="M46" s="311"/>
    </row>
    <row r="47" spans="2:15" x14ac:dyDescent="0.3">
      <c r="B47" s="298"/>
      <c r="C47" s="304" t="s">
        <v>387</v>
      </c>
      <c r="D47" s="297" t="s">
        <v>388</v>
      </c>
      <c r="E47" s="311">
        <f>E44</f>
        <v>25299.850904343759</v>
      </c>
      <c r="F47" s="311">
        <f>F44</f>
        <v>67443.224433959316</v>
      </c>
      <c r="G47" s="311">
        <f>G44</f>
        <v>77599.145825965301</v>
      </c>
      <c r="H47" s="297" t="s">
        <v>155</v>
      </c>
      <c r="I47" s="299" t="s">
        <v>505</v>
      </c>
      <c r="K47" s="311"/>
      <c r="M47" s="311"/>
    </row>
    <row r="48" spans="2:15" ht="14.5" x14ac:dyDescent="0.35">
      <c r="B48" s="298"/>
      <c r="C48" s="304" t="s">
        <v>389</v>
      </c>
      <c r="D48" s="310" t="s">
        <v>173</v>
      </c>
      <c r="E48" s="328">
        <f>E47-E49</f>
        <v>2529.9850904343766</v>
      </c>
      <c r="F48" s="328">
        <f>F47-F49</f>
        <v>21051.7847166539</v>
      </c>
      <c r="G48" s="328">
        <f>G47-G49</f>
        <v>17204.492839999999</v>
      </c>
      <c r="H48" s="297" t="s">
        <v>155</v>
      </c>
      <c r="I48" s="329" t="s">
        <v>390</v>
      </c>
      <c r="K48" s="328"/>
      <c r="M48" s="311"/>
      <c r="N48" s="396"/>
      <c r="O48" s="397"/>
    </row>
    <row r="49" spans="2:14" ht="38.5" x14ac:dyDescent="0.35">
      <c r="B49" s="298"/>
      <c r="C49" s="304" t="s">
        <v>391</v>
      </c>
      <c r="D49" s="310" t="s">
        <v>215</v>
      </c>
      <c r="E49" s="328">
        <f>IF(E45&gt;1,IF(E47*0.9&lt;E47-E47*E31/E30,E47*0.9,E47-E47*E31/E30),IF(E47*0.9&lt;E47-E31,E47*0.9,E47-E31))</f>
        <v>22769.865813909382</v>
      </c>
      <c r="F49" s="328">
        <f>IF(F45&gt;1,IF(F47*0.9&lt;F47-F47*F31/F30,F47*0.9,F47-F47*F31/F30),IF(F47*0.9&lt;F47-F31,F47*0.9,F47-F31))</f>
        <v>46391.439717305417</v>
      </c>
      <c r="G49" s="328">
        <f>IF(G45&gt;1,IF(G47*0.9&lt;G47-G47*G31/G30,G47*0.9,G47-G47*G31/G30),IF(G47*0.9&lt;G47-G31,G47*0.9,G47-G31))</f>
        <v>60394.652985965302</v>
      </c>
      <c r="H49" s="297" t="s">
        <v>155</v>
      </c>
      <c r="I49" s="330" t="s">
        <v>392</v>
      </c>
      <c r="K49" s="328"/>
      <c r="M49" s="311"/>
      <c r="N49" s="309"/>
    </row>
    <row r="50" spans="2:14" x14ac:dyDescent="0.3">
      <c r="B50" s="298"/>
      <c r="C50" s="304"/>
      <c r="E50" s="311"/>
      <c r="F50" s="311"/>
      <c r="G50" s="311"/>
      <c r="K50" s="311"/>
      <c r="M50" s="311"/>
    </row>
    <row r="51" spans="2:14" ht="14.75" customHeight="1" x14ac:dyDescent="0.3">
      <c r="C51" s="304" t="s">
        <v>393</v>
      </c>
      <c r="D51" s="297" t="s">
        <v>394</v>
      </c>
      <c r="E51" s="311">
        <f>SUM(E52:E53)</f>
        <v>68204.531829999993</v>
      </c>
      <c r="F51" s="311">
        <f>SUM(F52:F53)</f>
        <v>69365.944024400014</v>
      </c>
      <c r="G51" s="311">
        <f>SUM(G52:G53)</f>
        <v>38689.018488518945</v>
      </c>
      <c r="H51" s="297" t="s">
        <v>155</v>
      </c>
      <c r="I51" s="329"/>
      <c r="K51" s="311"/>
      <c r="M51" s="311"/>
    </row>
    <row r="52" spans="2:14" ht="14.75" customHeight="1" x14ac:dyDescent="0.35">
      <c r="C52" s="304" t="s">
        <v>395</v>
      </c>
      <c r="D52" s="310" t="s">
        <v>173</v>
      </c>
      <c r="E52" s="328">
        <f t="shared" ref="E52:G53" si="1">E31</f>
        <v>2310.8318300000001</v>
      </c>
      <c r="F52" s="328">
        <f t="shared" si="1"/>
        <v>21651.944024400003</v>
      </c>
      <c r="G52" s="328">
        <f t="shared" si="1"/>
        <v>17204.492839999999</v>
      </c>
      <c r="H52" s="297" t="s">
        <v>155</v>
      </c>
      <c r="K52" s="328"/>
      <c r="M52" s="311"/>
    </row>
    <row r="53" spans="2:14" ht="14.75" customHeight="1" x14ac:dyDescent="0.35">
      <c r="C53" s="304" t="s">
        <v>396</v>
      </c>
      <c r="D53" s="310" t="s">
        <v>215</v>
      </c>
      <c r="E53" s="328">
        <f t="shared" si="1"/>
        <v>65893.7</v>
      </c>
      <c r="F53" s="328">
        <f t="shared" si="1"/>
        <v>47714.000000000007</v>
      </c>
      <c r="G53" s="328">
        <f t="shared" si="1"/>
        <v>21484.525648518946</v>
      </c>
      <c r="H53" s="297" t="s">
        <v>155</v>
      </c>
      <c r="K53" s="328"/>
      <c r="M53" s="311"/>
    </row>
    <row r="54" spans="2:14" x14ac:dyDescent="0.3">
      <c r="B54" s="298"/>
      <c r="C54" s="304"/>
      <c r="E54" s="311"/>
      <c r="F54" s="311"/>
      <c r="G54" s="311"/>
      <c r="K54" s="311"/>
      <c r="M54" s="311"/>
    </row>
    <row r="55" spans="2:14" x14ac:dyDescent="0.3">
      <c r="B55" s="298"/>
      <c r="C55" s="304" t="s">
        <v>397</v>
      </c>
      <c r="D55" s="297" t="s">
        <v>398</v>
      </c>
      <c r="E55" s="309">
        <f>E51-E47</f>
        <v>42904.680925656234</v>
      </c>
      <c r="F55" s="309">
        <f t="shared" ref="E55:G57" si="2">F51-F47</f>
        <v>1922.7195904406981</v>
      </c>
      <c r="G55" s="309">
        <f t="shared" si="2"/>
        <v>-38910.127337446356</v>
      </c>
      <c r="H55" s="297" t="s">
        <v>155</v>
      </c>
      <c r="K55" s="309"/>
      <c r="M55" s="311"/>
    </row>
    <row r="56" spans="2:14" x14ac:dyDescent="0.3">
      <c r="B56" s="298"/>
      <c r="C56" s="304" t="s">
        <v>399</v>
      </c>
      <c r="D56" s="310" t="s">
        <v>400</v>
      </c>
      <c r="E56" s="380">
        <f t="shared" si="2"/>
        <v>-219.15326043437653</v>
      </c>
      <c r="F56" s="309">
        <f t="shared" si="2"/>
        <v>600.15930774610388</v>
      </c>
      <c r="G56" s="309">
        <f t="shared" si="2"/>
        <v>0</v>
      </c>
      <c r="H56" s="297" t="s">
        <v>155</v>
      </c>
      <c r="K56" s="309"/>
      <c r="M56" s="311"/>
    </row>
    <row r="57" spans="2:14" x14ac:dyDescent="0.3">
      <c r="B57" s="298"/>
      <c r="C57" s="304" t="s">
        <v>401</v>
      </c>
      <c r="D57" s="310" t="s">
        <v>402</v>
      </c>
      <c r="E57" s="309">
        <f t="shared" si="2"/>
        <v>43123.834186090615</v>
      </c>
      <c r="F57" s="309">
        <f t="shared" si="2"/>
        <v>1322.5602826945906</v>
      </c>
      <c r="G57" s="309">
        <f t="shared" si="2"/>
        <v>-38910.127337446356</v>
      </c>
      <c r="H57" s="297" t="s">
        <v>155</v>
      </c>
      <c r="K57" s="309"/>
      <c r="M57" s="311"/>
    </row>
    <row r="58" spans="2:14" x14ac:dyDescent="0.3">
      <c r="B58" s="298"/>
      <c r="M58" s="311"/>
    </row>
    <row r="59" spans="2:14" x14ac:dyDescent="0.3">
      <c r="B59" s="298"/>
      <c r="C59" s="304" t="s">
        <v>403</v>
      </c>
      <c r="D59" s="297" t="s">
        <v>404</v>
      </c>
      <c r="E59" s="331">
        <f>E56*E5*10/1000+E57*E6*10/1000</f>
        <v>6267.6943703455872</v>
      </c>
      <c r="F59" s="331">
        <f>F56*F5*10/1000+F57*F6*10/1000</f>
        <v>352.03309277442406</v>
      </c>
      <c r="G59" s="331">
        <f>G56*G5*10/1000+G57*G6*10/1000</f>
        <v>-7056.8381082023552</v>
      </c>
      <c r="K59" s="331"/>
      <c r="M59" s="311"/>
    </row>
    <row r="60" spans="2:14" x14ac:dyDescent="0.3">
      <c r="B60" s="298"/>
      <c r="C60" s="304"/>
      <c r="E60" s="311"/>
      <c r="F60" s="311"/>
      <c r="G60" s="311"/>
      <c r="K60" s="398"/>
      <c r="M60" s="311"/>
    </row>
    <row r="61" spans="2:14" x14ac:dyDescent="0.3">
      <c r="B61" s="298"/>
      <c r="C61" s="399" t="s">
        <v>56</v>
      </c>
      <c r="E61" s="311"/>
      <c r="F61" s="311"/>
      <c r="G61" s="311"/>
      <c r="K61" s="398"/>
      <c r="M61" s="311"/>
    </row>
    <row r="62" spans="2:14" ht="32" customHeight="1" x14ac:dyDescent="0.3">
      <c r="B62" s="298"/>
      <c r="C62" s="417" t="s">
        <v>506</v>
      </c>
      <c r="D62" s="417"/>
      <c r="E62" s="417"/>
      <c r="F62" s="417"/>
      <c r="G62" s="417"/>
      <c r="H62" s="417"/>
      <c r="I62" s="417"/>
      <c r="K62" s="398"/>
      <c r="M62" s="311"/>
    </row>
    <row r="63" spans="2:14" x14ac:dyDescent="0.3">
      <c r="B63" s="298"/>
      <c r="C63" s="417" t="s">
        <v>507</v>
      </c>
      <c r="D63" s="417"/>
      <c r="E63" s="417"/>
      <c r="F63" s="417"/>
      <c r="G63" s="417"/>
      <c r="H63" s="417"/>
      <c r="I63" s="417"/>
      <c r="K63" s="398"/>
      <c r="M63" s="311"/>
    </row>
    <row r="64" spans="2:14" x14ac:dyDescent="0.3">
      <c r="B64" s="298"/>
      <c r="E64" s="311"/>
      <c r="F64" s="311"/>
      <c r="G64" s="311"/>
      <c r="K64" s="398"/>
      <c r="M64" s="311"/>
    </row>
    <row r="66" spans="5:8" x14ac:dyDescent="0.3">
      <c r="G66" s="331"/>
    </row>
    <row r="67" spans="5:8" ht="14.5" x14ac:dyDescent="0.35">
      <c r="F67" s="328"/>
      <c r="G67" s="331"/>
    </row>
    <row r="68" spans="5:8" ht="14.5" x14ac:dyDescent="0.35">
      <c r="E68" s="328"/>
      <c r="F68" s="328"/>
      <c r="G68" s="331"/>
    </row>
    <row r="70" spans="5:8" ht="14.5" x14ac:dyDescent="0.35">
      <c r="E70" s="328"/>
      <c r="F70" s="400"/>
      <c r="G70" s="331"/>
    </row>
    <row r="71" spans="5:8" x14ac:dyDescent="0.3">
      <c r="G71" s="331"/>
    </row>
    <row r="72" spans="5:8" x14ac:dyDescent="0.3">
      <c r="G72" s="331"/>
    </row>
    <row r="75" spans="5:8" x14ac:dyDescent="0.3">
      <c r="E75" s="310"/>
      <c r="G75" s="401"/>
    </row>
    <row r="76" spans="5:8" x14ac:dyDescent="0.3">
      <c r="E76" s="310"/>
      <c r="G76" s="401"/>
    </row>
    <row r="77" spans="5:8" x14ac:dyDescent="0.3">
      <c r="E77" s="310"/>
      <c r="G77" s="401"/>
    </row>
    <row r="78" spans="5:8" x14ac:dyDescent="0.3">
      <c r="G78" s="401"/>
    </row>
    <row r="79" spans="5:8" x14ac:dyDescent="0.3">
      <c r="E79" s="310"/>
      <c r="G79" s="401"/>
    </row>
    <row r="80" spans="5:8" x14ac:dyDescent="0.3">
      <c r="E80" s="310"/>
      <c r="G80" s="331"/>
      <c r="H80" s="402"/>
    </row>
    <row r="82" spans="5:8" x14ac:dyDescent="0.3">
      <c r="E82" s="310"/>
      <c r="G82" s="331"/>
      <c r="H82" s="402"/>
    </row>
    <row r="84" spans="5:8" x14ac:dyDescent="0.3">
      <c r="G84" s="398"/>
      <c r="H84" s="402"/>
    </row>
    <row r="86" spans="5:8" x14ac:dyDescent="0.3">
      <c r="G86" s="398"/>
    </row>
    <row r="87" spans="5:8" x14ac:dyDescent="0.3">
      <c r="G87" s="398"/>
    </row>
    <row r="88" spans="5:8" x14ac:dyDescent="0.3">
      <c r="G88" s="398"/>
    </row>
  </sheetData>
  <mergeCells count="3">
    <mergeCell ref="I5:I6"/>
    <mergeCell ref="C62:I62"/>
    <mergeCell ref="C63:I63"/>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_x0020_Date xmlns="0EA14854-9DA5-476D-A48E-C8702B20AF6F" xsi:nil="true"/>
    <_dlc_DocId xmlns="ebfaebbf-4320-422c-ac1d-4cb4d6876cbf">DE62RQK3PRT2-1338725601-2259</_dlc_DocId>
    <_dlc_DocIdUrl xmlns="ebfaebbf-4320-422c-ac1d-4cb4d6876cbf">
      <Url>https://sharepoint.yec.yk.ca/Projects/LargeProjects/2719/_layouts/15/DocIdRedir.aspx?ID=DE62RQK3PRT2-1338725601-2259</Url>
      <Description>DE62RQK3PRT2-1338725601-2259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9F21A082D0544A2CDF47CC8383261" ma:contentTypeVersion="7" ma:contentTypeDescription="Create a new document." ma:contentTypeScope="" ma:versionID="e1f0e745d2198ca932e29aa345dbfe45">
  <xsd:schema xmlns:xsd="http://www.w3.org/2001/XMLSchema" xmlns:xs="http://www.w3.org/2001/XMLSchema" xmlns:p="http://schemas.microsoft.com/office/2006/metadata/properties" xmlns:ns2="ebfaebbf-4320-422c-ac1d-4cb4d6876cbf" xmlns:ns3="0EA14854-9DA5-476D-A48E-C8702B20AF6F" targetNamespace="http://schemas.microsoft.com/office/2006/metadata/properties" ma:root="true" ma:fieldsID="69e2f1f2aafa5f0d13693b250b900197" ns2:_="" ns3:_="">
    <xsd:import namespace="ebfaebbf-4320-422c-ac1d-4cb4d6876cbf"/>
    <xsd:import namespace="0EA14854-9DA5-476D-A48E-C8702B20AF6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A14854-9DA5-476D-A48E-C8702B20AF6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3946B7-7450-4A29-A9FC-3FB5F6C19298}">
  <ds:schemaRefs>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0EA14854-9DA5-476D-A48E-C8702B20AF6F"/>
    <ds:schemaRef ds:uri="ebfaebbf-4320-422c-ac1d-4cb4d6876cbf"/>
  </ds:schemaRefs>
</ds:datastoreItem>
</file>

<file path=customXml/itemProps2.xml><?xml version="1.0" encoding="utf-8"?>
<ds:datastoreItem xmlns:ds="http://schemas.openxmlformats.org/officeDocument/2006/customXml" ds:itemID="{D9BF68E3-B896-4613-819A-9EF632EB2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0EA14854-9DA5-476D-A48E-C8702B20A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C9F8C-D12A-4B3C-AE46-A3F45189E976}">
  <ds:schemaRefs>
    <ds:schemaRef ds:uri="http://schemas.microsoft.com/sharepoint/events"/>
  </ds:schemaRefs>
</ds:datastoreItem>
</file>

<file path=customXml/itemProps4.xml><?xml version="1.0" encoding="utf-8"?>
<ds:datastoreItem xmlns:ds="http://schemas.openxmlformats.org/officeDocument/2006/customXml" ds:itemID="{4A668511-7DD2-40A7-9E26-041BBF4A2A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Table 1.1</vt:lpstr>
      <vt:lpstr>Table 1.2</vt:lpstr>
      <vt:lpstr>Table 1.3</vt:lpstr>
      <vt:lpstr>Table 1.1-1 -fuel</vt:lpstr>
      <vt:lpstr>Table 1.1-2</vt:lpstr>
      <vt:lpstr>Table 1.1-3</vt:lpstr>
      <vt:lpstr>Table 1.1-3 (a)</vt:lpstr>
      <vt:lpstr>Table 1.1-3 (b)</vt:lpstr>
      <vt:lpstr>Table 1.1-3 (c) LWRF </vt:lpstr>
      <vt:lpstr>Table 1.1-3 (c) i) LWRF balance</vt:lpstr>
      <vt:lpstr>Table 1.1-4</vt:lpstr>
      <vt:lpstr>Table 1.1-4a</vt:lpstr>
      <vt:lpstr>Table 1.1-4a) i)</vt:lpstr>
      <vt:lpstr>Table 1.1-4a) ii)</vt:lpstr>
      <vt:lpstr>Table 1.1-4a) iii)</vt:lpstr>
      <vt:lpstr>Table 1.1-4a) iv)</vt:lpstr>
      <vt:lpstr>Table 1.1-5</vt:lpstr>
      <vt:lpstr>Table 1.1-6</vt:lpstr>
      <vt:lpstr>Table 1.1-7</vt:lpstr>
      <vt:lpstr>Table 9</vt:lpstr>
      <vt:lpstr>Table 10</vt:lpstr>
      <vt:lpstr>'Table 1.1'!Print_Area</vt:lpstr>
      <vt:lpstr>'Table 1.1-1 -fuel'!Print_Area</vt:lpstr>
      <vt:lpstr>'Table 1.1-2'!Print_Area</vt:lpstr>
      <vt:lpstr>'Table 1.1-3'!Print_Area</vt:lpstr>
      <vt:lpstr>'Table 1.1-3 (a)'!Print_Area</vt:lpstr>
      <vt:lpstr>'Table 1.1-3 (b)'!Print_Area</vt:lpstr>
      <vt:lpstr>'Table 1.1-3 (c) i) LWRF balance'!Print_Area</vt:lpstr>
      <vt:lpstr>'Table 1.1-3 (c) LWRF '!Print_Area</vt:lpstr>
      <vt:lpstr>'Table 1.1-4'!Print_Area</vt:lpstr>
      <vt:lpstr>'Table 1.1-4a'!Print_Area</vt:lpstr>
      <vt:lpstr>'Table 1.1-4a) i)'!Print_Area</vt:lpstr>
      <vt:lpstr>'Table 1.1-4a) ii)'!Print_Area</vt:lpstr>
      <vt:lpstr>'Table 1.1-4a) iii)'!Print_Area</vt:lpstr>
      <vt:lpstr>'Table 1.1-4a) iv)'!Print_Area</vt:lpstr>
      <vt:lpstr>'Table 1.1-5'!Print_Area</vt:lpstr>
      <vt:lpstr>'Table 1.1-6'!Print_Area</vt:lpstr>
      <vt:lpstr>'Table 1.1-7'!Print_Area</vt:lpstr>
      <vt:lpstr>'Table 1.3'!Print_Area</vt:lpstr>
      <vt:lpstr>'Table 10'!Print_Area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2022-04-13T14:17:38Z</dcterms:created>
  <dcterms:modified xsi:type="dcterms:W3CDTF">2022-04-14T14:19:18Z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0x0101004169F21A082D0544A2CDF47CC8383261</vt:lpwstr>
  </property>
  <property fmtid="{D5CDD505-2E9C-101B-9397-08002B2CF9AE}" pid="3" name="_dlc_DocIdItemGuid">
    <vt:lpwstr>b8f5b858-1437-4c73-b42f-bb0badaba9bb</vt:lpwstr>
  </property>
</Properties>
</file>