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9795" yWindow="1680" windowWidth="10695" windowHeight="6060" tabRatio="978" activeTab="15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36" r:id="rId14"/>
    <sheet name="S7.5" sheetId="15" r:id="rId15"/>
    <sheet name="S8.1" sheetId="16" r:id="rId16"/>
    <sheet name="S8.2 &amp; 8.3" sheetId="17" r:id="rId17"/>
    <sheet name="S8.4 " sheetId="18" r:id="rId18"/>
    <sheet name="S8.5" sheetId="19" r:id="rId19"/>
    <sheet name="S8.6 " sheetId="20" r:id="rId20"/>
    <sheet name="S8.7" sheetId="21" r:id="rId21"/>
    <sheet name="S8.8 " sheetId="22" r:id="rId22"/>
    <sheet name="S8.9" sheetId="40" r:id="rId23"/>
    <sheet name="S8.10" sheetId="23" r:id="rId24"/>
    <sheet name="S8.11" sheetId="24" r:id="rId25"/>
    <sheet name="S8.12" sheetId="25" r:id="rId26"/>
    <sheet name="S9.1" sheetId="26" r:id="rId27"/>
    <sheet name="S10.1" sheetId="27" r:id="rId28"/>
    <sheet name="S12.1" sheetId="46" r:id="rId29"/>
    <sheet name="S12.2" sheetId="47" r:id="rId30"/>
    <sheet name="S12.3" sheetId="48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2">#REF!</definedName>
    <definedName name="\A" localSheetId="26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2">#REF!</definedName>
    <definedName name="\B" localSheetId="26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2">#REF!</definedName>
    <definedName name="\C" localSheetId="26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2">#REF!</definedName>
    <definedName name="\D" localSheetId="26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2">#REF!</definedName>
    <definedName name="\E" localSheetId="26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2">#REF!</definedName>
    <definedName name="\F" localSheetId="26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2">#REF!</definedName>
    <definedName name="\G" localSheetId="26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2">#REF!</definedName>
    <definedName name="\H" localSheetId="26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2">#REF!</definedName>
    <definedName name="\I" localSheetId="26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2">#REF!</definedName>
    <definedName name="\J" localSheetId="26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2">#REF!</definedName>
    <definedName name="\K" localSheetId="26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2">#REF!</definedName>
    <definedName name="\L" localSheetId="26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2">#REF!</definedName>
    <definedName name="\M" localSheetId="26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2">#REF!</definedName>
    <definedName name="\N" localSheetId="26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2">#REF!</definedName>
    <definedName name="\O" localSheetId="26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2">#REF!</definedName>
    <definedName name="\P" localSheetId="26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2">#REF!</definedName>
    <definedName name="\Q" localSheetId="26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2">#REF!</definedName>
    <definedName name="\R" localSheetId="26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2">#REF!</definedName>
    <definedName name="\S" localSheetId="26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2">#REF!</definedName>
    <definedName name="\T" localSheetId="26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2">#REF!</definedName>
    <definedName name="\U" localSheetId="26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2">#REF!</definedName>
    <definedName name="\V" localSheetId="26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2">#REF!</definedName>
    <definedName name="\W" localSheetId="26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2">#REF!</definedName>
    <definedName name="\Z" localSheetId="26">#REF!</definedName>
    <definedName name="\Z">#REF!</definedName>
    <definedName name="_F_" localSheetId="22">#REF!</definedName>
    <definedName name="_F_">#REF!</definedName>
    <definedName name="_H_" localSheetId="22">#REF!</definedName>
    <definedName name="_H_">#REF!</definedName>
    <definedName name="_L_" localSheetId="22">#REF!</definedName>
    <definedName name="_L_">#REF!</definedName>
    <definedName name="_O_" localSheetId="22">#REF!</definedName>
    <definedName name="_O_">#REF!</definedName>
    <definedName name="_P_" localSheetId="22">#REF!</definedName>
    <definedName name="_P_">#REF!</definedName>
    <definedName name="_RM_" localSheetId="22">#REF!</definedName>
    <definedName name="_RM_">#REF!</definedName>
    <definedName name="_SS_" localSheetId="22">#REF!</definedName>
    <definedName name="_SS_">#REF!</definedName>
    <definedName name="_TL_" localSheetId="22">#REF!</definedName>
    <definedName name="_TL_">#REF!</definedName>
    <definedName name="_V_" localSheetId="22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2">#REF!</definedName>
    <definedName name="all" localSheetId="26">#REF!</definedName>
    <definedName name="all">#REF!</definedName>
    <definedName name="Call_Centre_cost" localSheetId="8">[1]Projects!#REF!</definedName>
    <definedName name="Call_Centre_cost" localSheetId="22">[1]Projects!#REF!</definedName>
    <definedName name="Call_Centre_cost">[1]Projects!#REF!</definedName>
    <definedName name="Call_Centre_num" localSheetId="8">[1]Projects!#REF!</definedName>
    <definedName name="Call_Centre_num" localSheetId="22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2">#REF!</definedName>
    <definedName name="_xlnm.Database">#REF!</definedName>
    <definedName name="Estimated_Voice___South" localSheetId="8">[1]Projects!#REF!</definedName>
    <definedName name="Estimated_Voice___South" localSheetId="22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2">#REF!</definedName>
    <definedName name="HPSET" localSheetId="26">#REF!</definedName>
    <definedName name="HPSET">#REF!</definedName>
    <definedName name="hpset1" localSheetId="8">#REF!</definedName>
    <definedName name="hpset1" localSheetId="9">#REF!</definedName>
    <definedName name="hpset1" localSheetId="22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2">#REF!</definedName>
    <definedName name="HPSETMACRO" localSheetId="26">#REF!</definedName>
    <definedName name="HPSETMACRO">#REF!</definedName>
    <definedName name="hpsetmacro2" localSheetId="22">#REF!</definedName>
    <definedName name="hpsetmacro2">#REF!</definedName>
    <definedName name="index" localSheetId="22">#REF!</definedName>
    <definedName name="index">#REF!</definedName>
    <definedName name="input" localSheetId="22">#REF!</definedName>
    <definedName name="input">#REF!</definedName>
    <definedName name="Laptops_cost" localSheetId="8">[1]Projects!#REF!</definedName>
    <definedName name="Laptops_cost" localSheetId="22">[1]Projects!#REF!</definedName>
    <definedName name="Laptops_cost">[1]Projects!#REF!</definedName>
    <definedName name="Laptops_num" localSheetId="8">[1]Projects!#REF!</definedName>
    <definedName name="Laptops_num" localSheetId="22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2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2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2">#REF!</definedName>
    <definedName name="pafe2">#REF!</definedName>
    <definedName name="page1" localSheetId="8">#REF!</definedName>
    <definedName name="page1" localSheetId="9">#REF!</definedName>
    <definedName name="page1" localSheetId="22">#REF!</definedName>
    <definedName name="page1">#REF!</definedName>
    <definedName name="part1" localSheetId="8">#REF!</definedName>
    <definedName name="part1" localSheetId="9">#REF!</definedName>
    <definedName name="part1" localSheetId="22">#REF!</definedName>
    <definedName name="part1">#REF!</definedName>
    <definedName name="part2" localSheetId="22">#REF!</definedName>
    <definedName name="part2">#REF!</definedName>
    <definedName name="PCs_cost" localSheetId="8">[1]Projects!#REF!</definedName>
    <definedName name="PCs_cost" localSheetId="22">[1]Projects!#REF!</definedName>
    <definedName name="PCs_cost">[1]Projects!#REF!</definedName>
    <definedName name="PCs_num" localSheetId="8">[1]Projects!#REF!</definedName>
    <definedName name="PCs_num" localSheetId="22">[1]Projects!#REF!</definedName>
    <definedName name="PCs_num">[1]Projects!#REF!</definedName>
    <definedName name="_xlnm.Print_Area" localSheetId="0">S1.1!$A$1:$Z$25</definedName>
    <definedName name="_xlnm.Print_Area" localSheetId="27">S10.1!$A$1:$Z$41</definedName>
    <definedName name="_xlnm.Print_Area" localSheetId="28">S12.1!$A$1:$E$46</definedName>
    <definedName name="_xlnm.Print_Area" localSheetId="1">S2.1!$A$1:$AE$82</definedName>
    <definedName name="_xlnm.Print_Area" localSheetId="2">S2.2!$A$1:$Z$14</definedName>
    <definedName name="_xlnm.Print_Area" localSheetId="4">S3.2!$A$1:$AD$39</definedName>
    <definedName name="_xlnm.Print_Area" localSheetId="5">S4.1!$A$1:$AD$24</definedName>
    <definedName name="_xlnm.Print_Area" localSheetId="6">S4.2!$A$1:$Z$46</definedName>
    <definedName name="_xlnm.Print_Area" localSheetId="7">'S5.1 '!$A$1:$R$57</definedName>
    <definedName name="_xlnm.Print_Area" localSheetId="8">S5.2!$A$1:$Q$295</definedName>
    <definedName name="_xlnm.Print_Area" localSheetId="9">S5.3!$A$1:$U$29</definedName>
    <definedName name="_xlnm.Print_Area" localSheetId="10">S7.1!$A$1:$Z$14</definedName>
    <definedName name="_xlnm.Print_Area" localSheetId="11">S7.2!$A$1:$K$62</definedName>
    <definedName name="_xlnm.Print_Area" localSheetId="12">S7.3!$A$1:$K$62</definedName>
    <definedName name="_xlnm.Print_Area" localSheetId="13">S7.4!$A$1:$K$62</definedName>
    <definedName name="_xlnm.Print_Area" localSheetId="14">S7.5!$A$1:$X$60</definedName>
    <definedName name="_xlnm.Print_Area" localSheetId="15">S8.1!$A$1:$P$161</definedName>
    <definedName name="_xlnm.Print_Area" localSheetId="23">S8.10!$A$1:$Z$45</definedName>
    <definedName name="_xlnm.Print_Area" localSheetId="24">S8.11!$A$1:$Z$48</definedName>
    <definedName name="_xlnm.Print_Area" localSheetId="25">S8.12!$A$1:$Y$28</definedName>
    <definedName name="_xlnm.Print_Area" localSheetId="16">'S8.2 &amp; 8.3'!$A$1:$O$301</definedName>
    <definedName name="_xlnm.Print_Area" localSheetId="18">S8.5!$A$1:$Z$40</definedName>
    <definedName name="_xlnm.Print_Area" localSheetId="19">'S8.6 '!$A$1:$Z$36</definedName>
    <definedName name="_xlnm.Print_Area" localSheetId="20">S8.7!$A$1:$AA$31</definedName>
    <definedName name="_xlnm.Print_Area" localSheetId="21">'S8.8 '!$A$1:$Z$92</definedName>
    <definedName name="_xlnm.Print_Area" localSheetId="22">S8.9!$A$1:$M$23</definedName>
    <definedName name="_xlnm.Print_Area" localSheetId="26">S9.1!$A$1:$Y$43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2">#REF!</definedName>
    <definedName name="Print_Area_MI" localSheetId="26">#REF!</definedName>
    <definedName name="Print_Area_MI">#REF!</definedName>
    <definedName name="Printer___High_cost" localSheetId="8">[1]Projects!#REF!</definedName>
    <definedName name="Printer___High_cost" localSheetId="9">[1]Projects!#REF!</definedName>
    <definedName name="Printer___High_cost" localSheetId="22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2">[1]Projects!#REF!</definedName>
    <definedName name="Printer___High_num">[1]Projects!#REF!</definedName>
    <definedName name="Printer___Low_cost" localSheetId="22">[1]Projects!#REF!</definedName>
    <definedName name="Printer___Low_cost">[1]Projects!#REF!</definedName>
    <definedName name="Printer___Low_num" localSheetId="22">[1]Projects!#REF!</definedName>
    <definedName name="Printer___Low_num">[1]Projects!#REF!</definedName>
    <definedName name="Printer___Standard_cost" localSheetId="22">[1]Projects!#REF!</definedName>
    <definedName name="Printer___Standard_cost">[1]Projects!#REF!</definedName>
    <definedName name="Printer___Standard_num" localSheetId="22">[1]Projects!#REF!</definedName>
    <definedName name="Printer___Standard_num">[1]Projects!#REF!</definedName>
    <definedName name="Proj55156" localSheetId="22">'[2]Schedule 10-B-4'!#REF!</definedName>
    <definedName name="Proj55156">'[2]Schedule 10-B-4'!#REF!</definedName>
    <definedName name="Proj55156." localSheetId="22">'[3]Schedule 10-B-4'!#REF!</definedName>
    <definedName name="Proj55156.">'[3]Schedule 10-B-4'!#REF!</definedName>
    <definedName name="RiderJForecast" localSheetId="8">'[4]YEC GRASales &amp; Rider J Forecast'!#REF!</definedName>
    <definedName name="RiderJForecast" localSheetId="22">'[4]YEC GRASales &amp; Rider J Forecast'!#REF!</definedName>
    <definedName name="RiderJForecast">'[4]YEC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2">#REF!</definedName>
    <definedName name="rolling" localSheetId="26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2">#REF!</definedName>
    <definedName name="Salesforecastdollars">#REF!</definedName>
    <definedName name="SalesforecastKWh" localSheetId="22">#REF!</definedName>
    <definedName name="SalesforecastKWh">#REF!</definedName>
    <definedName name="Schedule10B5" localSheetId="22">#REF!</definedName>
    <definedName name="Schedule10B5">#REF!</definedName>
    <definedName name="Schedule11B4" localSheetId="22">#REF!</definedName>
    <definedName name="Schedule11B4">#REF!</definedName>
    <definedName name="Schedule11B5" localSheetId="22">#REF!</definedName>
    <definedName name="Schedule11B5">#REF!</definedName>
    <definedName name="Schedule12B2" localSheetId="22">#REF!</definedName>
    <definedName name="Schedule12B2">#REF!</definedName>
    <definedName name="Schedule15B2" localSheetId="22">#REF!</definedName>
    <definedName name="Schedule15B2">#REF!</definedName>
    <definedName name="Schedule15B3" localSheetId="22">#REF!</definedName>
    <definedName name="Schedule15B3">#REF!</definedName>
    <definedName name="Schedule16B3" localSheetId="22">#REF!</definedName>
    <definedName name="Schedule16B3">#REF!</definedName>
    <definedName name="Schedule16B4" localSheetId="22">#REF!</definedName>
    <definedName name="Schedule16B4">#REF!</definedName>
    <definedName name="Schedule16B5" localSheetId="22">#REF!</definedName>
    <definedName name="Schedule16B5">#REF!</definedName>
    <definedName name="Schedule17B3" localSheetId="22">#REF!</definedName>
    <definedName name="Schedule17B3">#REF!</definedName>
    <definedName name="Schedule17B4" localSheetId="22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2">#REF!</definedName>
    <definedName name="Schedule19B2">#REF!</definedName>
    <definedName name="Schedule20B5" localSheetId="8">#REF!</definedName>
    <definedName name="Schedule20B5" localSheetId="9">#REF!</definedName>
    <definedName name="Schedule20B5" localSheetId="22">#REF!</definedName>
    <definedName name="Schedule20B5">#REF!</definedName>
    <definedName name="Schedule21B4" localSheetId="8">#REF!</definedName>
    <definedName name="Schedule21B4" localSheetId="9">#REF!</definedName>
    <definedName name="Schedule21B4" localSheetId="22">#REF!</definedName>
    <definedName name="Schedule21B4">#REF!</definedName>
    <definedName name="Schedule21B5" localSheetId="22">#REF!</definedName>
    <definedName name="Schedule21B5">#REF!</definedName>
    <definedName name="Schedule22B2" localSheetId="22">#REF!</definedName>
    <definedName name="Schedule22B2">#REF!</definedName>
    <definedName name="Schedule22B4" localSheetId="22">#REF!</definedName>
    <definedName name="Schedule22B4">#REF!</definedName>
    <definedName name="Schedule22B5" localSheetId="22">#REF!</definedName>
    <definedName name="Schedule22B5">#REF!</definedName>
    <definedName name="Schedule22B8" localSheetId="22">#REF!</definedName>
    <definedName name="Schedule22B8">#REF!</definedName>
    <definedName name="Schedule24E1" localSheetId="22">#REF!</definedName>
    <definedName name="Schedule24E1">#REF!</definedName>
    <definedName name="Schedule24E2" localSheetId="22">#REF!</definedName>
    <definedName name="Schedule24E2">#REF!</definedName>
    <definedName name="Schedule24E3" localSheetId="22">#REF!</definedName>
    <definedName name="Schedule24E3">#REF!</definedName>
    <definedName name="Schedule26E4" localSheetId="22">#REF!</definedName>
    <definedName name="Schedule26E4">#REF!</definedName>
    <definedName name="Schedule26E5" localSheetId="22">#REF!</definedName>
    <definedName name="Schedule26E5">#REF!</definedName>
    <definedName name="Schedule29B1" localSheetId="22">#REF!</definedName>
    <definedName name="Schedule29B1">#REF!</definedName>
    <definedName name="Schedule29B10" localSheetId="22">#REF!</definedName>
    <definedName name="Schedule29B10">#REF!</definedName>
    <definedName name="Schedule30B1" localSheetId="22">#REF!</definedName>
    <definedName name="Schedule30B1">#REF!</definedName>
    <definedName name="Schedule4B2" localSheetId="22">#REF!</definedName>
    <definedName name="Schedule4B2">#REF!</definedName>
    <definedName name="Schedule4B5" localSheetId="22">#REF!</definedName>
    <definedName name="Schedule4B5">#REF!</definedName>
    <definedName name="Schedule5B2" localSheetId="22">#REF!</definedName>
    <definedName name="Schedule5B2">#REF!</definedName>
    <definedName name="Schedule5B3" localSheetId="22">#REF!</definedName>
    <definedName name="Schedule5B3">#REF!</definedName>
    <definedName name="Schedule5B4" localSheetId="22">#REF!</definedName>
    <definedName name="Schedule5B4">#REF!</definedName>
    <definedName name="Schedule6B3" localSheetId="22">#REF!</definedName>
    <definedName name="Schedule6B3">#REF!</definedName>
    <definedName name="Schedule6B4" localSheetId="22">#REF!</definedName>
    <definedName name="Schedule6B4">#REF!</definedName>
    <definedName name="Schedule6B5" localSheetId="22">#REF!</definedName>
    <definedName name="Schedule6B5">#REF!</definedName>
    <definedName name="Schedule7B4" localSheetId="22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2">#REF!</definedName>
    <definedName name="Schedule9B2">#REF!</definedName>
    <definedName name="Specialized_Hardware" localSheetId="22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2">#REF!</definedName>
    <definedName name="SUMMARY" localSheetId="26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2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2">[1]Projects!#REF!</definedName>
    <definedName name="Terminals_num">[1]Projects!#REF!</definedName>
    <definedName name="Total_Distributed" localSheetId="22">[1]Projects!#REF!</definedName>
    <definedName name="Total_Distributed">[1]Projects!#REF!</definedName>
    <definedName name="Total_Hardware" localSheetId="22">[1]Projects!#REF!</definedName>
    <definedName name="Total_Hardware">[1]Projects!#REF!</definedName>
    <definedName name="Total_Mainframe_Costs" localSheetId="22">[1]Projects!#REF!</definedName>
    <definedName name="Total_Mainframe_Costs">[1]Projects!#REF!</definedName>
    <definedName name="TOTAL_O_M" localSheetId="22">[1]Projects!#REF!</definedName>
    <definedName name="TOTAL_O_M">[1]Projects!#REF!</definedName>
    <definedName name="Total_Standard_Hardware" localSheetId="22">[1]Projects!#REF!</definedName>
    <definedName name="Total_Standard_Hardware">[1]Projects!#REF!</definedName>
    <definedName name="Training_Cost" localSheetId="22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2">#REF!</definedName>
    <definedName name="variance" localSheetId="26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2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2">[1]Projects!#REF!</definedName>
    <definedName name="Voice_Lines_cost">[1]Projects!#REF!</definedName>
    <definedName name="Voice_Lines_num" localSheetId="22">[1]Projects!#REF!</definedName>
    <definedName name="Voice_Lines_num">[1]Projects!#REF!</definedName>
    <definedName name="Voice_Mail_cost" localSheetId="22">[1]Projects!#REF!</definedName>
    <definedName name="Voice_Mail_cost">[1]Projects!#REF!</definedName>
    <definedName name="Voice_Mail_num" localSheetId="22">[1]Projects!#REF!</definedName>
    <definedName name="Voice_Mail_num">[1]Projects!#REF!</definedName>
    <definedName name="Voice_Sets_cost" localSheetId="22">[1]Projects!#REF!</definedName>
    <definedName name="Voice_Sets_cost">[1]Projects!#REF!</definedName>
    <definedName name="Voice_Sets_num" localSheetId="22">[1]Projects!#REF!</definedName>
    <definedName name="Voice_Sets_num">[1]Projects!#REF!</definedName>
    <definedName name="WAN" localSheetId="22">[1]Projects!#REF!</definedName>
    <definedName name="WAN">[1]Projects!#REF!</definedName>
    <definedName name="Z_275E5119_9E8C_43ED_ACD2_DF40CF10B219_.wvu.PrintArea" localSheetId="0" hidden="1">S1.1!$A$1:$Z$25</definedName>
    <definedName name="Z_275E5119_9E8C_43ED_ACD2_DF40CF10B219_.wvu.PrintArea" localSheetId="27" hidden="1">S10.1!$A$1:$AB$41</definedName>
    <definedName name="Z_275E5119_9E8C_43ED_ACD2_DF40CF10B219_.wvu.PrintArea" localSheetId="1" hidden="1">S2.1!$A$1:$I$70</definedName>
    <definedName name="Z_275E5119_9E8C_43ED_ACD2_DF40CF10B219_.wvu.PrintArea" localSheetId="2" hidden="1">S2.2!$A$1:$Z$17</definedName>
    <definedName name="Z_275E5119_9E8C_43ED_ACD2_DF40CF10B219_.wvu.PrintArea" localSheetId="3" hidden="1">S3.1!$A$1:$Z$31</definedName>
    <definedName name="Z_275E5119_9E8C_43ED_ACD2_DF40CF10B219_.wvu.PrintArea" localSheetId="4" hidden="1">S3.2!$A$1:$M$39</definedName>
    <definedName name="Z_275E5119_9E8C_43ED_ACD2_DF40CF10B219_.wvu.PrintArea" localSheetId="5" hidden="1">S4.1!$A$1:$AD$24</definedName>
    <definedName name="Z_275E5119_9E8C_43ED_ACD2_DF40CF10B219_.wvu.PrintArea" localSheetId="6" hidden="1">S4.2!$A$1:$Z$46</definedName>
    <definedName name="Z_275E5119_9E8C_43ED_ACD2_DF40CF10B219_.wvu.PrintArea" localSheetId="7" hidden="1">'S5.1 '!$A$1:$R$58</definedName>
    <definedName name="Z_275E5119_9E8C_43ED_ACD2_DF40CF10B219_.wvu.PrintArea" localSheetId="8" hidden="1">S5.2!$A$1:$M$291</definedName>
    <definedName name="Z_275E5119_9E8C_43ED_ACD2_DF40CF10B219_.wvu.PrintArea" localSheetId="9" hidden="1">S5.3!$A$1:$U$30</definedName>
    <definedName name="Z_275E5119_9E8C_43ED_ACD2_DF40CF10B219_.wvu.PrintArea" localSheetId="10" hidden="1">S7.1!$A$1:$Z$25</definedName>
    <definedName name="Z_275E5119_9E8C_43ED_ACD2_DF40CF10B219_.wvu.PrintArea" localSheetId="11" hidden="1">S7.2!$A$1:$J$62</definedName>
    <definedName name="Z_275E5119_9E8C_43ED_ACD2_DF40CF10B219_.wvu.PrintArea" localSheetId="12" hidden="1">S7.3!$A$1:$K$62</definedName>
    <definedName name="Z_275E5119_9E8C_43ED_ACD2_DF40CF10B219_.wvu.PrintArea" localSheetId="14" hidden="1">S7.5!$A$1:$W$61</definedName>
    <definedName name="Z_275E5119_9E8C_43ED_ACD2_DF40CF10B219_.wvu.PrintArea" localSheetId="15" hidden="1">S8.1!$A$1:$O$161</definedName>
    <definedName name="Z_275E5119_9E8C_43ED_ACD2_DF40CF10B219_.wvu.PrintArea" localSheetId="23" hidden="1">S8.10!$A$1:$AA$45</definedName>
    <definedName name="Z_275E5119_9E8C_43ED_ACD2_DF40CF10B219_.wvu.PrintArea" localSheetId="24" hidden="1">S8.11!$A$1:$Y$48</definedName>
    <definedName name="Z_275E5119_9E8C_43ED_ACD2_DF40CF10B219_.wvu.PrintArea" localSheetId="25" hidden="1">S8.12!$A$2:$X$28</definedName>
    <definedName name="Z_275E5119_9E8C_43ED_ACD2_DF40CF10B219_.wvu.PrintArea" localSheetId="16" hidden="1">'S8.2 &amp; 8.3'!$A$5:$N$348</definedName>
    <definedName name="Z_275E5119_9E8C_43ED_ACD2_DF40CF10B219_.wvu.PrintArea" localSheetId="17" hidden="1">'S8.4 '!$A$1:$Y$44</definedName>
    <definedName name="Z_275E5119_9E8C_43ED_ACD2_DF40CF10B219_.wvu.PrintArea" localSheetId="18" hidden="1">S8.5!$A$1:$Y$40</definedName>
    <definedName name="Z_275E5119_9E8C_43ED_ACD2_DF40CF10B219_.wvu.PrintArea" localSheetId="19" hidden="1">'S8.6 '!$A$1:$Y$36</definedName>
    <definedName name="Z_275E5119_9E8C_43ED_ACD2_DF40CF10B219_.wvu.PrintArea" localSheetId="20" hidden="1">S8.7!$A$1:$X$39</definedName>
    <definedName name="Z_275E5119_9E8C_43ED_ACD2_DF40CF10B219_.wvu.PrintArea" localSheetId="21" hidden="1">'S8.8 '!$A$1:$Z$58</definedName>
    <definedName name="Z_275E5119_9E8C_43ED_ACD2_DF40CF10B219_.wvu.PrintArea" localSheetId="22" hidden="1">S8.9!$A$1:$N$23</definedName>
    <definedName name="Z_275E5119_9E8C_43ED_ACD2_DF40CF10B219_.wvu.PrintArea" localSheetId="26" hidden="1">S9.1!$A$1:$Y$43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4" hidden="1">S7.5!$B:$C,S7.5!$3:$8</definedName>
    <definedName name="Z_275E5119_9E8C_43ED_ACD2_DF40CF10B219_.wvu.PrintTitles" localSheetId="15" hidden="1">S8.1!$1:$8</definedName>
    <definedName name="Z_418DF6FE_13EF_11D2_8C37_00A0C92A9A63_.wvu.Rows" localSheetId="28" hidden="1">[5]WAF!$A$8:$IV$103,[5]WAF!$A$354:$IV$364,[5]WAF!$A$366:$IV$371,[5]WAF!$A$386:$IV$409,[5]WAF!#REF!,[5]WAF!#REF!,[5]WAF!#REF!</definedName>
    <definedName name="Z_418DF6FE_13EF_11D2_8C37_00A0C92A9A63_.wvu.Rows" localSheetId="9" hidden="1">[5]WAF!$A$8:$IV$103,[5]WAF!$A$354:$IV$364,[5]WAF!$A$366:$IV$371,[5]WAF!$A$386:$IV$409,[5]WAF!#REF!,[5]WAF!#REF!,[5]WAF!#REF!</definedName>
    <definedName name="Z_418DF6FE_13EF_11D2_8C37_00A0C92A9A63_.wvu.Rows" localSheetId="22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45621"/>
  <customWorkbookViews>
    <customWorkbookView name="Rob Pitzel - Personal View" guid="{275E5119-9E8C-43ED-ACD2-DF40CF10B219}" mergeInterval="0" personalView="1" maximized="1" xWindow="1" yWindow="1" windowWidth="1276" windowHeight="738" tabRatio="978" activeSheetId="20" showObjects="none"/>
    <customWorkbookView name="Randy Morgan - Personal View" guid="{D346ECD1-ED60-4F74-8B02-572F89E41ACB}" mergeInterval="0" personalView="1" maximized="1" windowWidth="1276" windowHeight="777" tabRatio="978" activeSheetId="2" showObjects="none"/>
  </customWorkbookViews>
</workbook>
</file>

<file path=xl/calcChain.xml><?xml version="1.0" encoding="utf-8"?>
<calcChain xmlns="http://schemas.openxmlformats.org/spreadsheetml/2006/main">
  <c r="K108" i="16" l="1"/>
  <c r="M108" i="16" s="1"/>
  <c r="G106" i="16"/>
  <c r="M102" i="16"/>
  <c r="G102" i="16"/>
  <c r="G108" i="16" s="1"/>
  <c r="I102" i="16" s="1"/>
  <c r="K98" i="16"/>
  <c r="M98" i="16" s="1"/>
  <c r="G96" i="16"/>
  <c r="G98" i="16" s="1"/>
  <c r="I92" i="16" s="1"/>
  <c r="I94" i="16"/>
  <c r="K94" i="16" s="1"/>
  <c r="M92" i="16"/>
  <c r="A92" i="16"/>
  <c r="A94" i="16" s="1"/>
  <c r="A96" i="16" s="1"/>
  <c r="A98" i="16" s="1"/>
  <c r="A100" i="16" s="1"/>
  <c r="A102" i="16" s="1"/>
  <c r="A104" i="16" s="1"/>
  <c r="A106" i="16" s="1"/>
  <c r="A108" i="16" s="1"/>
  <c r="I98" i="16" l="1"/>
  <c r="K92" i="16"/>
  <c r="O92" i="16" s="1"/>
  <c r="I108" i="16"/>
  <c r="K102" i="16"/>
  <c r="O102" i="16" s="1"/>
  <c r="I96" i="16"/>
  <c r="K96" i="16" s="1"/>
  <c r="O96" i="16" s="1"/>
  <c r="T24" i="35"/>
  <c r="R24" i="35"/>
  <c r="J24" i="35"/>
  <c r="K24" i="35"/>
  <c r="L24" i="35"/>
  <c r="M24" i="35"/>
  <c r="N24" i="35"/>
  <c r="O24" i="35"/>
  <c r="P24" i="35"/>
  <c r="I24" i="35"/>
  <c r="Q61" i="22"/>
  <c r="O94" i="16" l="1"/>
  <c r="M94" i="16" s="1"/>
  <c r="G56" i="36"/>
  <c r="W79" i="3" l="1"/>
  <c r="D15" i="47" l="1"/>
  <c r="T79" i="3"/>
  <c r="D17" i="46"/>
  <c r="G33" i="48"/>
  <c r="F33" i="48"/>
  <c r="E33" i="48"/>
  <c r="D33" i="48"/>
  <c r="H32" i="48"/>
  <c r="H31" i="48"/>
  <c r="H30" i="48"/>
  <c r="H29" i="48"/>
  <c r="H28" i="48"/>
  <c r="H27" i="48"/>
  <c r="H25" i="48"/>
  <c r="G25" i="48"/>
  <c r="F25" i="48"/>
  <c r="I25" i="48" s="1"/>
  <c r="E25" i="48"/>
  <c r="D25" i="48"/>
  <c r="C14" i="48"/>
  <c r="I14" i="48" s="1"/>
  <c r="C15" i="48" s="1"/>
  <c r="I15" i="48" s="1"/>
  <c r="C16" i="48" s="1"/>
  <c r="I16" i="48" s="1"/>
  <c r="C17" i="48" s="1"/>
  <c r="I17" i="48" s="1"/>
  <c r="C18" i="48" s="1"/>
  <c r="I18" i="48" s="1"/>
  <c r="C19" i="48" s="1"/>
  <c r="I19" i="48" s="1"/>
  <c r="C20" i="48" s="1"/>
  <c r="I20" i="48" s="1"/>
  <c r="C21" i="48" s="1"/>
  <c r="I21" i="48" s="1"/>
  <c r="C22" i="48" s="1"/>
  <c r="I22" i="48" s="1"/>
  <c r="C23" i="48" s="1"/>
  <c r="I23" i="48" s="1"/>
  <c r="C24" i="48" s="1"/>
  <c r="I24" i="48" s="1"/>
  <c r="C27" i="48" s="1"/>
  <c r="I27" i="48" s="1"/>
  <c r="C28" i="48" s="1"/>
  <c r="I28" i="48" s="1"/>
  <c r="C29" i="48" s="1"/>
  <c r="I29" i="48" s="1"/>
  <c r="C30" i="48" s="1"/>
  <c r="I30" i="48" s="1"/>
  <c r="C31" i="48" s="1"/>
  <c r="I13" i="48"/>
  <c r="C13" i="48"/>
  <c r="D42" i="46"/>
  <c r="D31" i="46"/>
  <c r="D15" i="46"/>
  <c r="H33" i="48" l="1"/>
  <c r="D33" i="46" s="1"/>
  <c r="I31" i="48"/>
  <c r="C32" i="48" s="1"/>
  <c r="I32" i="48" s="1"/>
  <c r="X70" i="3" l="1"/>
  <c r="D8" i="47" s="1"/>
  <c r="U70" i="3"/>
  <c r="D22" i="46" s="1"/>
  <c r="R70" i="3"/>
  <c r="D8" i="46" s="1"/>
  <c r="N31" i="26" l="1"/>
  <c r="L31" i="26"/>
  <c r="Q39" i="18"/>
  <c r="O39" i="18"/>
  <c r="M39" i="18"/>
  <c r="K34" i="27"/>
  <c r="K39" i="18"/>
  <c r="Q25" i="5" l="1"/>
  <c r="Y27" i="22" l="1"/>
  <c r="Y86" i="22"/>
  <c r="Y88" i="22" s="1"/>
  <c r="W86" i="22"/>
  <c r="W88" i="22" s="1"/>
  <c r="W27" i="22" s="1"/>
  <c r="Q86" i="22"/>
  <c r="S84" i="22" s="1"/>
  <c r="G86" i="22"/>
  <c r="I84" i="22" s="1"/>
  <c r="I86" i="22" s="1"/>
  <c r="K84" i="22" s="1"/>
  <c r="K86" i="22" s="1"/>
  <c r="M84" i="22" s="1"/>
  <c r="M86" i="22" s="1"/>
  <c r="G88" i="22" l="1"/>
  <c r="G27" i="22" s="1"/>
  <c r="Q88" i="22"/>
  <c r="Q27" i="22" s="1"/>
  <c r="M88" i="22"/>
  <c r="M27" i="22" s="1"/>
  <c r="O84" i="22"/>
  <c r="O86" i="22" s="1"/>
  <c r="I88" i="22"/>
  <c r="I27" i="22" s="1"/>
  <c r="K88" i="22"/>
  <c r="K27" i="22" s="1"/>
  <c r="O88" i="22" l="1"/>
  <c r="O27" i="22" s="1"/>
  <c r="K240" i="17" l="1"/>
  <c r="H265" i="17" l="1"/>
  <c r="S86" i="22" l="1"/>
  <c r="U84" i="22" l="1"/>
  <c r="U86" i="22" s="1"/>
  <c r="U88" i="22" s="1"/>
  <c r="U27" i="22" s="1"/>
  <c r="S88" i="22"/>
  <c r="S27" i="22" s="1"/>
  <c r="S31" i="18"/>
  <c r="U31" i="18"/>
  <c r="Q20" i="3" l="1"/>
  <c r="Q18" i="3"/>
  <c r="Q17" i="3"/>
  <c r="Q13" i="3"/>
  <c r="Q10" i="3"/>
  <c r="Q11" i="3"/>
  <c r="Q21" i="3" l="1"/>
  <c r="Q19" i="3"/>
  <c r="Q14" i="3"/>
  <c r="Q12" i="3"/>
  <c r="H240" i="17" l="1"/>
  <c r="Q38" i="18" l="1"/>
  <c r="S38" i="18"/>
  <c r="U38" i="18"/>
  <c r="K297" i="17"/>
  <c r="K265" i="17"/>
  <c r="F240" i="17" l="1"/>
  <c r="H294" i="17" l="1"/>
  <c r="H263" i="17"/>
  <c r="S58" i="15" l="1"/>
  <c r="S44" i="15"/>
  <c r="S29" i="15"/>
  <c r="S25" i="15"/>
  <c r="S17" i="15"/>
  <c r="Q58" i="15"/>
  <c r="Q44" i="15"/>
  <c r="Q60" i="15" s="1"/>
  <c r="Q29" i="15"/>
  <c r="Q25" i="15"/>
  <c r="Q17" i="15"/>
  <c r="O58" i="15"/>
  <c r="O44" i="15"/>
  <c r="O29" i="15"/>
  <c r="O25" i="15"/>
  <c r="O17" i="15"/>
  <c r="O60" i="15" l="1"/>
  <c r="S60" i="15"/>
  <c r="M27" i="27"/>
  <c r="K27" i="27"/>
  <c r="N12" i="26"/>
  <c r="L12" i="26"/>
  <c r="J12" i="26"/>
  <c r="Q31" i="18" l="1"/>
  <c r="Q20" i="27" s="1"/>
  <c r="O19" i="8" l="1"/>
  <c r="O38" i="8" s="1"/>
  <c r="K22" i="5" l="1"/>
  <c r="O28" i="27" l="1"/>
  <c r="I9" i="27"/>
  <c r="I17" i="27"/>
  <c r="G41" i="3"/>
  <c r="I41" i="3"/>
  <c r="W79" i="22" l="1"/>
  <c r="W81" i="22" s="1"/>
  <c r="G12" i="22" l="1"/>
  <c r="G17" i="27"/>
  <c r="U22" i="18" l="1"/>
  <c r="S22" i="18"/>
  <c r="Q22" i="18"/>
  <c r="O22" i="18"/>
  <c r="M22" i="18"/>
  <c r="K22" i="18"/>
  <c r="I22" i="18"/>
  <c r="G22" i="18"/>
  <c r="G20" i="27" l="1"/>
  <c r="I20" i="27"/>
  <c r="M28" i="27" l="1"/>
  <c r="M19" i="27" l="1"/>
  <c r="K19" i="27"/>
  <c r="I31" i="27"/>
  <c r="G31" i="27"/>
  <c r="G27" i="27"/>
  <c r="O22" i="5" l="1"/>
  <c r="G22" i="5"/>
  <c r="G19" i="27" l="1"/>
  <c r="G25" i="27"/>
  <c r="U15" i="27" l="1"/>
  <c r="S15" i="27"/>
  <c r="Q15" i="27"/>
  <c r="O15" i="27"/>
  <c r="H18" i="26"/>
  <c r="L18" i="26"/>
  <c r="I27" i="5" l="1"/>
  <c r="G23" i="24" l="1"/>
  <c r="M28" i="24"/>
  <c r="M27" i="24"/>
  <c r="Q35" i="24"/>
  <c r="O31" i="27" l="1"/>
  <c r="O13" i="6" l="1"/>
  <c r="N18" i="26" l="1"/>
  <c r="G27" i="5"/>
  <c r="K27" i="20"/>
  <c r="K14" i="22"/>
  <c r="K53" i="22" l="1"/>
  <c r="G63" i="22" l="1"/>
  <c r="G65" i="22" s="1"/>
  <c r="G79" i="22"/>
  <c r="G81" i="22" s="1"/>
  <c r="G71" i="22"/>
  <c r="M27" i="20"/>
  <c r="M51" i="22"/>
  <c r="M14" i="20" s="1"/>
  <c r="I68" i="22" l="1"/>
  <c r="G73" i="22"/>
  <c r="G25" i="22" s="1"/>
  <c r="I60" i="22"/>
  <c r="I63" i="22" s="1"/>
  <c r="K60" i="22" s="1"/>
  <c r="K63" i="22" s="1"/>
  <c r="I76" i="22"/>
  <c r="I79" i="22" s="1"/>
  <c r="K76" i="22" s="1"/>
  <c r="K79" i="22" s="1"/>
  <c r="K81" i="22" s="1"/>
  <c r="I71" i="22"/>
  <c r="K68" i="22" s="1"/>
  <c r="I65" i="22" l="1"/>
  <c r="I81" i="22"/>
  <c r="M60" i="22"/>
  <c r="M63" i="22" s="1"/>
  <c r="K65" i="22"/>
  <c r="I73" i="22"/>
  <c r="I25" i="22" s="1"/>
  <c r="K71" i="22"/>
  <c r="M68" i="22" s="1"/>
  <c r="O60" i="22" l="1"/>
  <c r="O63" i="22" s="1"/>
  <c r="M65" i="22"/>
  <c r="K73" i="22"/>
  <c r="K25" i="22" s="1"/>
  <c r="M71" i="22"/>
  <c r="O65" i="22" l="1"/>
  <c r="Q60" i="22"/>
  <c r="M73" i="22"/>
  <c r="M25" i="22" s="1"/>
  <c r="O68" i="22"/>
  <c r="O71" i="22" s="1"/>
  <c r="O73" i="22" l="1"/>
  <c r="O25" i="22" s="1"/>
  <c r="Q68" i="22"/>
  <c r="I56" i="13" l="1"/>
  <c r="J56" i="13" s="1"/>
  <c r="O14" i="27"/>
  <c r="G56" i="14" l="1"/>
  <c r="J56" i="14" s="1"/>
  <c r="N23" i="25"/>
  <c r="O12" i="22" l="1"/>
  <c r="J56" i="36" l="1"/>
  <c r="U21" i="6" l="1"/>
  <c r="J19" i="26" l="1"/>
  <c r="G17" i="22" l="1"/>
  <c r="U17" i="22" l="1"/>
  <c r="S17" i="22"/>
  <c r="Q17" i="22"/>
  <c r="I17" i="22" l="1"/>
  <c r="M76" i="22" l="1"/>
  <c r="K17" i="22"/>
  <c r="M79" i="22" l="1"/>
  <c r="M81" i="22" l="1"/>
  <c r="M17" i="22" s="1"/>
  <c r="O76" i="22"/>
  <c r="O79" i="22" s="1"/>
  <c r="Q79" i="22" s="1"/>
  <c r="Q81" i="22" s="1"/>
  <c r="Q26" i="22" s="1"/>
  <c r="O81" i="22" l="1"/>
  <c r="O17" i="22" s="1"/>
  <c r="S76" i="22"/>
  <c r="S79" i="22" l="1"/>
  <c r="U76" i="22" s="1"/>
  <c r="S81" i="22" l="1"/>
  <c r="S26" i="22" s="1"/>
  <c r="U79" i="22"/>
  <c r="F19" i="26"/>
  <c r="J18" i="26"/>
  <c r="U81" i="22" l="1"/>
  <c r="U26" i="22" s="1"/>
  <c r="Y79" i="22" l="1"/>
  <c r="Y81" i="22" s="1"/>
  <c r="Y16" i="22" l="1"/>
  <c r="W16" i="22"/>
  <c r="Y15" i="22"/>
  <c r="W15" i="22"/>
  <c r="O24" i="22"/>
  <c r="M24" i="22"/>
  <c r="K24" i="22"/>
  <c r="I24" i="22"/>
  <c r="G24" i="22"/>
  <c r="U36" i="24"/>
  <c r="S36" i="24"/>
  <c r="Q36" i="24"/>
  <c r="A11" i="14" l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X13" i="26"/>
  <c r="V13" i="26"/>
  <c r="N13" i="26"/>
  <c r="L13" i="26"/>
  <c r="J13" i="26"/>
  <c r="F13" i="26"/>
  <c r="V24" i="26"/>
  <c r="A10" i="26"/>
  <c r="A11" i="26" s="1"/>
  <c r="A12" i="26" s="1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223" i="17" l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S10" i="24"/>
  <c r="Q10" i="24"/>
  <c r="U10" i="24"/>
  <c r="M43" i="3"/>
  <c r="G42" i="3"/>
  <c r="I42" i="3"/>
  <c r="K42" i="3"/>
  <c r="M42" i="3"/>
  <c r="O42" i="3"/>
  <c r="I43" i="3"/>
  <c r="K43" i="3"/>
  <c r="AC43" i="3"/>
  <c r="Z43" i="3"/>
  <c r="H23" i="40" l="1"/>
  <c r="H16" i="40"/>
  <c r="Q32" i="22" s="1"/>
  <c r="O30" i="18" l="1"/>
  <c r="A10" i="40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J16" i="40" l="1"/>
  <c r="L16" i="40"/>
  <c r="U16" i="22" l="1"/>
  <c r="S16" i="22"/>
  <c r="Q16" i="22"/>
  <c r="U15" i="22"/>
  <c r="S15" i="22"/>
  <c r="Q15" i="22"/>
  <c r="Q63" i="22"/>
  <c r="Q65" i="22" s="1"/>
  <c r="Q71" i="22"/>
  <c r="Q24" i="22" l="1"/>
  <c r="S68" i="22"/>
  <c r="S71" i="22" s="1"/>
  <c r="U68" i="22" s="1"/>
  <c r="Q73" i="22"/>
  <c r="Q25" i="22" s="1"/>
  <c r="L23" i="40" l="1"/>
  <c r="J23" i="40"/>
  <c r="S32" i="22" s="1"/>
  <c r="S73" i="22"/>
  <c r="S25" i="22" s="1"/>
  <c r="U71" i="22"/>
  <c r="U73" i="22" l="1"/>
  <c r="U25" i="22" s="1"/>
  <c r="W71" i="22"/>
  <c r="W73" i="22" l="1"/>
  <c r="Y71" i="22"/>
  <c r="Y73" i="22" s="1"/>
  <c r="T42" i="3"/>
  <c r="Q42" i="3"/>
  <c r="Q62" i="3"/>
  <c r="W42" i="3"/>
  <c r="O31" i="24"/>
  <c r="U34" i="24"/>
  <c r="S34" i="24"/>
  <c r="Q34" i="24"/>
  <c r="O34" i="24"/>
  <c r="U33" i="24"/>
  <c r="S33" i="24"/>
  <c r="Q33" i="24"/>
  <c r="O33" i="24"/>
  <c r="U32" i="24"/>
  <c r="S32" i="24"/>
  <c r="Q32" i="24"/>
  <c r="O32" i="24"/>
  <c r="R32" i="24"/>
  <c r="U31" i="24"/>
  <c r="Q31" i="24"/>
  <c r="S31" i="24"/>
  <c r="R31" i="24"/>
  <c r="O22" i="24"/>
  <c r="Q19" i="23"/>
  <c r="O23" i="23"/>
  <c r="O19" i="23"/>
  <c r="O12" i="23"/>
  <c r="K27" i="5" l="1"/>
  <c r="A23" i="3" l="1"/>
  <c r="A24" i="3" s="1"/>
  <c r="A25" i="3" s="1"/>
  <c r="A26" i="3" s="1"/>
  <c r="A27" i="3" s="1"/>
  <c r="A28" i="3" s="1"/>
  <c r="A30" i="3" s="1"/>
  <c r="A31" i="3" s="1"/>
  <c r="A32" i="3" s="1"/>
  <c r="A33" i="3" s="1"/>
  <c r="A35" i="3" s="1"/>
  <c r="A36" i="3" s="1"/>
  <c r="A37" i="3" s="1"/>
  <c r="A38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M22" i="5"/>
  <c r="M27" i="5" s="1"/>
  <c r="K23" i="2"/>
  <c r="T43" i="3" l="1"/>
  <c r="T78" i="3" s="1"/>
  <c r="W43" i="3"/>
  <c r="Q63" i="3"/>
  <c r="Q43" i="3"/>
  <c r="Q78" i="3" s="1"/>
  <c r="Q80" i="3" s="1"/>
  <c r="G41" i="13" l="1"/>
  <c r="E58" i="13" l="1"/>
  <c r="O44" i="8" l="1"/>
  <c r="Q40" i="8"/>
  <c r="Q38" i="8"/>
  <c r="T24" i="25"/>
  <c r="R24" i="25"/>
  <c r="P24" i="25"/>
  <c r="H296" i="17"/>
  <c r="H295" i="17"/>
  <c r="H264" i="17"/>
  <c r="W17" i="7"/>
  <c r="Y17" i="7" s="1"/>
  <c r="O68" i="3" l="1"/>
  <c r="F290" i="17" l="1"/>
  <c r="F291" i="17"/>
  <c r="F292" i="17"/>
  <c r="F293" i="17"/>
  <c r="F294" i="17"/>
  <c r="F297" i="17"/>
  <c r="F289" i="17"/>
  <c r="F259" i="17"/>
  <c r="F260" i="17"/>
  <c r="F261" i="17"/>
  <c r="F262" i="17"/>
  <c r="F263" i="17"/>
  <c r="F265" i="17"/>
  <c r="F258" i="17"/>
  <c r="F235" i="17"/>
  <c r="F236" i="17"/>
  <c r="F237" i="17"/>
  <c r="F238" i="17"/>
  <c r="F239" i="17"/>
  <c r="F234" i="17"/>
  <c r="F157" i="17"/>
  <c r="F158" i="17"/>
  <c r="F159" i="17"/>
  <c r="F160" i="17"/>
  <c r="F161" i="17"/>
  <c r="F162" i="17"/>
  <c r="G31" i="20" l="1"/>
  <c r="W58" i="3"/>
  <c r="Q58" i="3"/>
  <c r="W38" i="3"/>
  <c r="Q38" i="3"/>
  <c r="T38" i="3"/>
  <c r="T63" i="3"/>
  <c r="W61" i="3"/>
  <c r="W62" i="3" l="1"/>
  <c r="Q33" i="3"/>
  <c r="T33" i="3"/>
  <c r="Q56" i="3"/>
  <c r="T58" i="3"/>
  <c r="T62" i="3"/>
  <c r="T64" i="3" s="1"/>
  <c r="Q61" i="3"/>
  <c r="W33" i="3"/>
  <c r="T56" i="3"/>
  <c r="W56" i="3"/>
  <c r="T66" i="3"/>
  <c r="T70" i="3" s="1"/>
  <c r="D23" i="46" s="1"/>
  <c r="D24" i="46" s="1"/>
  <c r="D35" i="46" s="1"/>
  <c r="W41" i="3"/>
  <c r="T41" i="3"/>
  <c r="T61" i="3"/>
  <c r="Q41" i="3"/>
  <c r="W44" i="3"/>
  <c r="W63" i="3"/>
  <c r="T80" i="3"/>
  <c r="U72" i="3" l="1"/>
  <c r="S12" i="24"/>
  <c r="U10" i="12"/>
  <c r="S10" i="12"/>
  <c r="Q10" i="12"/>
  <c r="T44" i="3"/>
  <c r="W64" i="3"/>
  <c r="W66" i="3"/>
  <c r="W70" i="3" s="1"/>
  <c r="D9" i="47" s="1"/>
  <c r="D10" i="47" s="1"/>
  <c r="D17" i="47" s="1"/>
  <c r="Q66" i="3"/>
  <c r="Q64" i="3"/>
  <c r="Q44" i="3"/>
  <c r="U12" i="24" l="1"/>
  <c r="I54" i="36"/>
  <c r="H29" i="36"/>
  <c r="I54" i="14"/>
  <c r="H29" i="14"/>
  <c r="T13" i="26" l="1"/>
  <c r="R13" i="26"/>
  <c r="P13" i="26"/>
  <c r="Q28" i="27"/>
  <c r="I57" i="14" l="1"/>
  <c r="I55" i="36"/>
  <c r="I55" i="14"/>
  <c r="G12" i="13"/>
  <c r="G32" i="13"/>
  <c r="Q11" i="2"/>
  <c r="I55" i="13" l="1"/>
  <c r="J55" i="13" s="1"/>
  <c r="I57" i="36"/>
  <c r="S33" i="27"/>
  <c r="U33" i="27"/>
  <c r="E44" i="13"/>
  <c r="G50" i="13"/>
  <c r="O21" i="2"/>
  <c r="N24" i="25"/>
  <c r="L24" i="25"/>
  <c r="O25" i="24" l="1"/>
  <c r="L58" i="15" l="1"/>
  <c r="L44" i="15"/>
  <c r="L29" i="15"/>
  <c r="L25" i="15"/>
  <c r="L17" i="15"/>
  <c r="J58" i="15"/>
  <c r="J44" i="15"/>
  <c r="J29" i="15"/>
  <c r="J25" i="15"/>
  <c r="J17" i="15"/>
  <c r="J60" i="15" l="1"/>
  <c r="M10" i="12" s="1"/>
  <c r="M9" i="12" s="1"/>
  <c r="L60" i="15"/>
  <c r="O10" i="12" s="1"/>
  <c r="O9" i="12" s="1"/>
  <c r="G57" i="36"/>
  <c r="J57" i="36" s="1"/>
  <c r="G55" i="36"/>
  <c r="J55" i="36" s="1"/>
  <c r="G54" i="36"/>
  <c r="J54" i="36" s="1"/>
  <c r="I52" i="36"/>
  <c r="I50" i="36"/>
  <c r="I41" i="36"/>
  <c r="I39" i="36"/>
  <c r="I28" i="36"/>
  <c r="A13" i="36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I28" i="14"/>
  <c r="I39" i="14"/>
  <c r="I41" i="14"/>
  <c r="I42" i="14"/>
  <c r="I49" i="14"/>
  <c r="I52" i="14"/>
  <c r="I53" i="14"/>
  <c r="I29" i="36" l="1"/>
  <c r="G42" i="36"/>
  <c r="I42" i="36"/>
  <c r="G49" i="36"/>
  <c r="I49" i="36"/>
  <c r="G53" i="36"/>
  <c r="I53" i="36"/>
  <c r="I29" i="14"/>
  <c r="G39" i="36"/>
  <c r="J39" i="36" s="1"/>
  <c r="G52" i="36"/>
  <c r="J52" i="36" s="1"/>
  <c r="G41" i="36"/>
  <c r="J41" i="36" s="1"/>
  <c r="P28" i="35"/>
  <c r="O28" i="35"/>
  <c r="N28" i="35"/>
  <c r="J53" i="36" l="1"/>
  <c r="J42" i="36"/>
  <c r="J49" i="36"/>
  <c r="K296" i="17" l="1"/>
  <c r="F296" i="17" s="1"/>
  <c r="K264" i="17"/>
  <c r="K295" i="17" l="1"/>
  <c r="F295" i="17" s="1"/>
  <c r="F264" i="17"/>
  <c r="S60" i="22" l="1"/>
  <c r="S35" i="24" l="1"/>
  <c r="S63" i="22"/>
  <c r="S65" i="22" s="1"/>
  <c r="U60" i="22" l="1"/>
  <c r="S24" i="22"/>
  <c r="Y63" i="22"/>
  <c r="Y65" i="22" s="1"/>
  <c r="Y24" i="22" s="1"/>
  <c r="U35" i="24" l="1"/>
  <c r="U63" i="22" l="1"/>
  <c r="W63" i="22" s="1"/>
  <c r="W65" i="22" s="1"/>
  <c r="W24" i="22" s="1"/>
  <c r="P14" i="21"/>
  <c r="I50" i="14"/>
  <c r="I38" i="14"/>
  <c r="U65" i="22" l="1"/>
  <c r="U24" i="22" s="1"/>
  <c r="I47" i="36"/>
  <c r="P22" i="21"/>
  <c r="P29" i="21"/>
  <c r="I51" i="36"/>
  <c r="I38" i="36"/>
  <c r="V29" i="21"/>
  <c r="P31" i="21" l="1"/>
  <c r="O15" i="20" s="1"/>
  <c r="I58" i="36"/>
  <c r="I47" i="14"/>
  <c r="I38" i="13"/>
  <c r="G48" i="36"/>
  <c r="J48" i="36" s="1"/>
  <c r="H58" i="36"/>
  <c r="G50" i="36"/>
  <c r="J50" i="36" s="1"/>
  <c r="I50" i="13"/>
  <c r="T22" i="21"/>
  <c r="O31" i="18"/>
  <c r="M30" i="18"/>
  <c r="M31" i="18"/>
  <c r="M20" i="27" s="1"/>
  <c r="G38" i="36" l="1"/>
  <c r="J38" i="36" s="1"/>
  <c r="R29" i="21"/>
  <c r="M29" i="27"/>
  <c r="O20" i="27"/>
  <c r="O29" i="27"/>
  <c r="H58" i="13"/>
  <c r="V22" i="21"/>
  <c r="R22" i="21"/>
  <c r="T29" i="21"/>
  <c r="S20" i="27" l="1"/>
  <c r="G51" i="36"/>
  <c r="J51" i="36" s="1"/>
  <c r="G47" i="36"/>
  <c r="S25" i="6"/>
  <c r="O49" i="3"/>
  <c r="M16" i="5"/>
  <c r="O17" i="5"/>
  <c r="U20" i="27" l="1"/>
  <c r="I51" i="14"/>
  <c r="I58" i="14" s="1"/>
  <c r="H58" i="14"/>
  <c r="J47" i="36"/>
  <c r="J58" i="36" s="1"/>
  <c r="G58" i="36"/>
  <c r="E58" i="36"/>
  <c r="K15" i="9" l="1"/>
  <c r="K31" i="9"/>
  <c r="K55" i="9"/>
  <c r="K44" i="9"/>
  <c r="K26" i="9"/>
  <c r="K35" i="9"/>
  <c r="O43" i="3"/>
  <c r="M17" i="5"/>
  <c r="U11" i="2"/>
  <c r="S11" i="2"/>
  <c r="U29" i="20"/>
  <c r="S29" i="20"/>
  <c r="Q29" i="20"/>
  <c r="O29" i="20"/>
  <c r="Q70" i="3" l="1"/>
  <c r="D9" i="46" s="1"/>
  <c r="D10" i="46" s="1"/>
  <c r="D19" i="46" s="1"/>
  <c r="D37" i="46" s="1"/>
  <c r="D44" i="46" s="1"/>
  <c r="U20" i="20"/>
  <c r="U15" i="19" s="1"/>
  <c r="S20" i="20"/>
  <c r="S15" i="19" s="1"/>
  <c r="Q20" i="20"/>
  <c r="Q15" i="19" s="1"/>
  <c r="O20" i="20"/>
  <c r="O15" i="19" s="1"/>
  <c r="M20" i="20"/>
  <c r="M15" i="19" s="1"/>
  <c r="U23" i="2"/>
  <c r="S23" i="2"/>
  <c r="Q23" i="2"/>
  <c r="O23" i="2"/>
  <c r="H112" i="17"/>
  <c r="H134" i="17"/>
  <c r="M112" i="17"/>
  <c r="M135" i="17" s="1"/>
  <c r="L112" i="17"/>
  <c r="L135" i="17" s="1"/>
  <c r="M84" i="17"/>
  <c r="M113" i="17" s="1"/>
  <c r="L84" i="17"/>
  <c r="L113" i="17" s="1"/>
  <c r="F111" i="17"/>
  <c r="F110" i="17"/>
  <c r="T14" i="21"/>
  <c r="T31" i="21" s="1"/>
  <c r="V14" i="21"/>
  <c r="V31" i="21" s="1"/>
  <c r="R14" i="21"/>
  <c r="R31" i="21" s="1"/>
  <c r="Q15" i="20" s="1"/>
  <c r="Q19" i="2"/>
  <c r="L297" i="17"/>
  <c r="L296" i="17"/>
  <c r="L295" i="17"/>
  <c r="H298" i="17"/>
  <c r="L265" i="17"/>
  <c r="L264" i="17"/>
  <c r="I263" i="17"/>
  <c r="L263" i="17" s="1"/>
  <c r="M263" i="17" s="1"/>
  <c r="L262" i="17"/>
  <c r="U26" i="19"/>
  <c r="S26" i="19"/>
  <c r="Q26" i="19"/>
  <c r="O26" i="19"/>
  <c r="L240" i="17"/>
  <c r="M240" i="17" s="1"/>
  <c r="L238" i="17"/>
  <c r="M238" i="17" s="1"/>
  <c r="H163" i="17"/>
  <c r="R72" i="3" l="1"/>
  <c r="S19" i="2"/>
  <c r="Q22" i="24"/>
  <c r="Q12" i="23"/>
  <c r="Q12" i="24"/>
  <c r="L266" i="17"/>
  <c r="U15" i="20"/>
  <c r="H241" i="17"/>
  <c r="M297" i="17"/>
  <c r="M265" i="17"/>
  <c r="M295" i="17"/>
  <c r="M296" i="17"/>
  <c r="H266" i="17"/>
  <c r="I294" i="17"/>
  <c r="L294" i="17" s="1"/>
  <c r="M294" i="17" s="1"/>
  <c r="S15" i="20"/>
  <c r="I297" i="17"/>
  <c r="I295" i="17"/>
  <c r="I296" i="17"/>
  <c r="I265" i="17"/>
  <c r="M264" i="17"/>
  <c r="M262" i="17"/>
  <c r="I264" i="17"/>
  <c r="I240" i="17"/>
  <c r="I239" i="17"/>
  <c r="L239" i="17" s="1"/>
  <c r="I162" i="17"/>
  <c r="L162" i="17" s="1"/>
  <c r="U26" i="27"/>
  <c r="S26" i="27"/>
  <c r="Q26" i="27"/>
  <c r="O26" i="27"/>
  <c r="O35" i="27" s="1"/>
  <c r="M26" i="27"/>
  <c r="M35" i="27" s="1"/>
  <c r="U19" i="2" l="1"/>
  <c r="S22" i="24"/>
  <c r="S12" i="23"/>
  <c r="M239" i="17"/>
  <c r="L241" i="17"/>
  <c r="L299" i="17"/>
  <c r="M266" i="17"/>
  <c r="Q31" i="20"/>
  <c r="U31" i="20"/>
  <c r="O31" i="20"/>
  <c r="S31" i="20"/>
  <c r="M162" i="17"/>
  <c r="U12" i="23" l="1"/>
  <c r="U22" i="24"/>
  <c r="M241" i="17"/>
  <c r="N241" i="17" s="1"/>
  <c r="N267" i="17" s="1"/>
  <c r="L267" i="17"/>
  <c r="L268" i="17" s="1"/>
  <c r="L269" i="17" s="1"/>
  <c r="M299" i="17"/>
  <c r="N266" i="17"/>
  <c r="N299" i="17" s="1"/>
  <c r="U27" i="27"/>
  <c r="S27" i="27"/>
  <c r="U18" i="27"/>
  <c r="S18" i="27"/>
  <c r="Q18" i="27"/>
  <c r="O18" i="27"/>
  <c r="M18" i="27"/>
  <c r="M267" i="17" l="1"/>
  <c r="M268" i="17" s="1"/>
  <c r="Q29" i="27"/>
  <c r="Q35" i="27" s="1"/>
  <c r="U29" i="27"/>
  <c r="U35" i="27" s="1"/>
  <c r="S29" i="27"/>
  <c r="S35" i="27" s="1"/>
  <c r="U14" i="22" l="1"/>
  <c r="U12" i="22"/>
  <c r="S14" i="22"/>
  <c r="S12" i="22"/>
  <c r="Q14" i="22"/>
  <c r="Q12" i="22"/>
  <c r="O14" i="22"/>
  <c r="O18" i="22" s="1"/>
  <c r="Q18" i="22" l="1"/>
  <c r="U18" i="22"/>
  <c r="S18" i="22"/>
  <c r="S17" i="27" s="1"/>
  <c r="O17" i="27"/>
  <c r="S19" i="7"/>
  <c r="O17" i="2" s="1"/>
  <c r="O13" i="12"/>
  <c r="O11" i="23" l="1"/>
  <c r="O22" i="2"/>
  <c r="S22" i="2"/>
  <c r="O28" i="20"/>
  <c r="O20" i="2"/>
  <c r="Q17" i="27"/>
  <c r="Q22" i="2"/>
  <c r="U17" i="27"/>
  <c r="U22" i="2"/>
  <c r="Q44" i="8"/>
  <c r="Q26" i="8"/>
  <c r="U9" i="7" s="1"/>
  <c r="U25" i="6" s="1"/>
  <c r="O26" i="8"/>
  <c r="Q41" i="8"/>
  <c r="S44" i="8"/>
  <c r="S43" i="8"/>
  <c r="S40" i="8"/>
  <c r="S39" i="8"/>
  <c r="O39" i="8"/>
  <c r="O40" i="8"/>
  <c r="O41" i="8"/>
  <c r="O43" i="8"/>
  <c r="O11" i="27" l="1"/>
  <c r="O24" i="24"/>
  <c r="O41" i="23"/>
  <c r="O43" i="23" s="1"/>
  <c r="U41" i="8"/>
  <c r="Q39" i="8"/>
  <c r="U40" i="8"/>
  <c r="S41" i="8"/>
  <c r="U39" i="8"/>
  <c r="U44" i="8"/>
  <c r="S26" i="8"/>
  <c r="W9" i="7" s="1"/>
  <c r="U26" i="8"/>
  <c r="Y9" i="7" s="1"/>
  <c r="U43" i="8"/>
  <c r="S38" i="8"/>
  <c r="U38" i="8"/>
  <c r="O45" i="8"/>
  <c r="S13" i="7" s="1"/>
  <c r="Y21" i="6"/>
  <c r="S21" i="7" l="1"/>
  <c r="S45" i="8"/>
  <c r="W13" i="7" s="1"/>
  <c r="U45" i="8"/>
  <c r="U74" i="3" l="1"/>
  <c r="U81" i="3" s="1"/>
  <c r="W19" i="7"/>
  <c r="S17" i="2" s="1"/>
  <c r="S11" i="23" s="1"/>
  <c r="Y19" i="7"/>
  <c r="U17" i="2" s="1"/>
  <c r="U11" i="23" s="1"/>
  <c r="Y13" i="7"/>
  <c r="S9" i="7"/>
  <c r="S11" i="7" s="1"/>
  <c r="W21" i="7" l="1"/>
  <c r="Y21" i="7"/>
  <c r="O24" i="5"/>
  <c r="O27" i="5" s="1"/>
  <c r="O13" i="5"/>
  <c r="Y11" i="6"/>
  <c r="W11" i="6"/>
  <c r="T35" i="26"/>
  <c r="R35" i="26"/>
  <c r="T24" i="26"/>
  <c r="T16" i="26"/>
  <c r="R24" i="26"/>
  <c r="R16" i="26"/>
  <c r="P35" i="26"/>
  <c r="P24" i="26"/>
  <c r="P16" i="26"/>
  <c r="P39" i="26" l="1"/>
  <c r="O38" i="3"/>
  <c r="O51" i="3"/>
  <c r="O58" i="3"/>
  <c r="O62" i="3"/>
  <c r="O19" i="3"/>
  <c r="O21" i="3"/>
  <c r="O61" i="3"/>
  <c r="O63" i="3"/>
  <c r="O33" i="3"/>
  <c r="O56" i="3"/>
  <c r="W78" i="3"/>
  <c r="W80" i="3" s="1"/>
  <c r="O12" i="3"/>
  <c r="O14" i="3"/>
  <c r="O41" i="3"/>
  <c r="O44" i="3"/>
  <c r="Y13" i="6"/>
  <c r="W13" i="6"/>
  <c r="S27" i="6"/>
  <c r="S29" i="6" s="1"/>
  <c r="S35" i="6" s="1"/>
  <c r="X72" i="3"/>
  <c r="X74" i="3" s="1"/>
  <c r="K31" i="20"/>
  <c r="X81" i="3" l="1"/>
  <c r="W17" i="6"/>
  <c r="Y17" i="6"/>
  <c r="S17" i="6"/>
  <c r="O64" i="3"/>
  <c r="S11" i="6"/>
  <c r="O66" i="3"/>
  <c r="O70" i="3" s="1"/>
  <c r="O10" i="24" s="1"/>
  <c r="O12" i="24" s="1"/>
  <c r="O14" i="4"/>
  <c r="O12" i="2" s="1"/>
  <c r="S33" i="6"/>
  <c r="S37" i="6"/>
  <c r="Q14" i="4"/>
  <c r="Q12" i="2" s="1"/>
  <c r="Q13" i="2" s="1"/>
  <c r="I29" i="20"/>
  <c r="T9" i="26"/>
  <c r="R9" i="26"/>
  <c r="P9" i="26"/>
  <c r="P41" i="26" s="1"/>
  <c r="N9" i="26"/>
  <c r="N35" i="26"/>
  <c r="N24" i="26"/>
  <c r="N16" i="26"/>
  <c r="L24" i="26"/>
  <c r="L16" i="26"/>
  <c r="L34" i="26"/>
  <c r="L35" i="26" s="1"/>
  <c r="S39" i="6" l="1"/>
  <c r="S15" i="6"/>
  <c r="U11" i="6"/>
  <c r="L39" i="26"/>
  <c r="S14" i="4"/>
  <c r="S12" i="2" s="1"/>
  <c r="S13" i="2" s="1"/>
  <c r="U14" i="4"/>
  <c r="U12" i="2" s="1"/>
  <c r="U13" i="2" s="1"/>
  <c r="N39" i="26"/>
  <c r="O37" i="24" s="1"/>
  <c r="R39" i="26"/>
  <c r="T39" i="26"/>
  <c r="T41" i="26" l="1"/>
  <c r="U37" i="24"/>
  <c r="Q37" i="24"/>
  <c r="R41" i="26"/>
  <c r="S37" i="24"/>
  <c r="U13" i="6"/>
  <c r="N41" i="26"/>
  <c r="O13" i="20" s="1"/>
  <c r="O16" i="20" s="1"/>
  <c r="X14" i="21"/>
  <c r="Z14" i="21"/>
  <c r="X22" i="21"/>
  <c r="Z22" i="21"/>
  <c r="X29" i="21"/>
  <c r="Z29" i="21"/>
  <c r="L293" i="17"/>
  <c r="L298" i="17" s="1"/>
  <c r="L300" i="17" s="1"/>
  <c r="L161" i="17"/>
  <c r="L163" i="17" s="1"/>
  <c r="L242" i="17" s="1"/>
  <c r="L243" i="17" s="1"/>
  <c r="T28" i="35"/>
  <c r="R28" i="35"/>
  <c r="A10" i="35"/>
  <c r="U13" i="20" l="1"/>
  <c r="U16" i="20" s="1"/>
  <c r="S13" i="20"/>
  <c r="S16" i="20" s="1"/>
  <c r="X31" i="21"/>
  <c r="A11" i="35"/>
  <c r="A12" i="35" s="1"/>
  <c r="Z31" i="21"/>
  <c r="Q13" i="20"/>
  <c r="Q16" i="20" s="1"/>
  <c r="U17" i="6"/>
  <c r="L28" i="35"/>
  <c r="K28" i="35"/>
  <c r="M28" i="35"/>
  <c r="M161" i="17"/>
  <c r="M163" i="17" s="1"/>
  <c r="M242" i="17" s="1"/>
  <c r="M293" i="17"/>
  <c r="M298" i="17" s="1"/>
  <c r="M300" i="17" s="1"/>
  <c r="I28" i="35" l="1"/>
  <c r="J28" i="35"/>
  <c r="A13" i="35"/>
  <c r="A14" i="35" s="1"/>
  <c r="A15" i="35" s="1"/>
  <c r="N163" i="17"/>
  <c r="N242" i="17" s="1"/>
  <c r="N298" i="17"/>
  <c r="A16" i="35" l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S40" i="2"/>
  <c r="O33" i="2" l="1"/>
  <c r="O40" i="2" s="1"/>
  <c r="M53" i="2" l="1"/>
  <c r="K53" i="2"/>
  <c r="I53" i="2"/>
  <c r="I31" i="9" l="1"/>
  <c r="O35" i="9"/>
  <c r="M15" i="9"/>
  <c r="I26" i="9"/>
  <c r="O15" i="9"/>
  <c r="O44" i="9"/>
  <c r="G55" i="9"/>
  <c r="M26" i="9"/>
  <c r="M31" i="9"/>
  <c r="G35" i="9"/>
  <c r="Q35" i="9"/>
  <c r="G44" i="9"/>
  <c r="Q44" i="9"/>
  <c r="O55" i="9"/>
  <c r="G15" i="9"/>
  <c r="Q15" i="9"/>
  <c r="O26" i="9"/>
  <c r="O31" i="9"/>
  <c r="I35" i="9"/>
  <c r="I44" i="9"/>
  <c r="Q55" i="9"/>
  <c r="I55" i="9"/>
  <c r="I15" i="9"/>
  <c r="G26" i="9"/>
  <c r="Q26" i="9"/>
  <c r="G31" i="9"/>
  <c r="Q31" i="9"/>
  <c r="M35" i="9"/>
  <c r="M44" i="9"/>
  <c r="M55" i="9"/>
  <c r="K57" i="9"/>
  <c r="O18" i="2" s="1"/>
  <c r="P285" i="34"/>
  <c r="N285" i="34"/>
  <c r="L285" i="34"/>
  <c r="J285" i="34"/>
  <c r="H285" i="34"/>
  <c r="P277" i="34"/>
  <c r="N277" i="34"/>
  <c r="L277" i="34"/>
  <c r="J277" i="34"/>
  <c r="H277" i="34"/>
  <c r="P272" i="34"/>
  <c r="N272" i="34"/>
  <c r="L272" i="34"/>
  <c r="J272" i="34"/>
  <c r="H272" i="34"/>
  <c r="P266" i="34"/>
  <c r="N266" i="34"/>
  <c r="L266" i="34"/>
  <c r="J266" i="34"/>
  <c r="H266" i="34"/>
  <c r="P254" i="34"/>
  <c r="N254" i="34"/>
  <c r="L254" i="34"/>
  <c r="J254" i="34"/>
  <c r="H254" i="34"/>
  <c r="P242" i="34"/>
  <c r="N242" i="34"/>
  <c r="L242" i="34"/>
  <c r="J242" i="34"/>
  <c r="H242" i="34"/>
  <c r="P215" i="34"/>
  <c r="N215" i="34"/>
  <c r="L215" i="34"/>
  <c r="J215" i="34"/>
  <c r="H215" i="34"/>
  <c r="P206" i="34"/>
  <c r="N206" i="34"/>
  <c r="L206" i="34"/>
  <c r="J206" i="34"/>
  <c r="H206" i="34"/>
  <c r="P197" i="34"/>
  <c r="N197" i="34"/>
  <c r="L197" i="34"/>
  <c r="J197" i="34"/>
  <c r="H197" i="34"/>
  <c r="P191" i="34"/>
  <c r="N191" i="34"/>
  <c r="L191" i="34"/>
  <c r="J191" i="34"/>
  <c r="H191" i="34"/>
  <c r="P176" i="34"/>
  <c r="N176" i="34"/>
  <c r="L176" i="34"/>
  <c r="J176" i="34"/>
  <c r="H176" i="34"/>
  <c r="P152" i="34"/>
  <c r="N152" i="34"/>
  <c r="L152" i="34"/>
  <c r="J152" i="34"/>
  <c r="H152" i="34"/>
  <c r="P146" i="34"/>
  <c r="N146" i="34"/>
  <c r="L146" i="34"/>
  <c r="J146" i="34"/>
  <c r="H146" i="34"/>
  <c r="P132" i="34"/>
  <c r="N132" i="34"/>
  <c r="L132" i="34"/>
  <c r="J132" i="34"/>
  <c r="H132" i="34"/>
  <c r="P117" i="34"/>
  <c r="N117" i="34"/>
  <c r="L117" i="34"/>
  <c r="J117" i="34"/>
  <c r="H117" i="34"/>
  <c r="P105" i="34"/>
  <c r="N105" i="34"/>
  <c r="L105" i="34"/>
  <c r="J105" i="34"/>
  <c r="H105" i="34"/>
  <c r="P92" i="34"/>
  <c r="N92" i="34"/>
  <c r="L92" i="34"/>
  <c r="J92" i="34"/>
  <c r="H92" i="34"/>
  <c r="P83" i="34"/>
  <c r="N83" i="34"/>
  <c r="L83" i="34"/>
  <c r="J83" i="34"/>
  <c r="H83" i="34"/>
  <c r="F83" i="34"/>
  <c r="P72" i="34"/>
  <c r="N72" i="34"/>
  <c r="L72" i="34"/>
  <c r="J72" i="34"/>
  <c r="H72" i="34"/>
  <c r="F72" i="34"/>
  <c r="P50" i="34"/>
  <c r="N50" i="34"/>
  <c r="L50" i="34"/>
  <c r="J50" i="34"/>
  <c r="P40" i="34"/>
  <c r="N40" i="34"/>
  <c r="L40" i="34"/>
  <c r="J40" i="34"/>
  <c r="P29" i="34"/>
  <c r="N29" i="34"/>
  <c r="L29" i="34"/>
  <c r="J29" i="34"/>
  <c r="P11" i="34"/>
  <c r="N11" i="34"/>
  <c r="L11" i="34"/>
  <c r="J11" i="34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70" i="34" s="1"/>
  <c r="O57" i="9" l="1"/>
  <c r="Q57" i="9"/>
  <c r="G57" i="9"/>
  <c r="O9" i="23"/>
  <c r="M57" i="9"/>
  <c r="I9" i="12"/>
  <c r="U18" i="2" l="1"/>
  <c r="U9" i="23" s="1"/>
  <c r="S18" i="2"/>
  <c r="S9" i="23" s="1"/>
  <c r="Q18" i="2"/>
  <c r="Q9" i="23" l="1"/>
  <c r="L9" i="26" l="1"/>
  <c r="L41" i="26" s="1"/>
  <c r="G13" i="3"/>
  <c r="H29" i="34"/>
  <c r="H40" i="34"/>
  <c r="H50" i="34"/>
  <c r="F29" i="34"/>
  <c r="F40" i="34"/>
  <c r="F50" i="34"/>
  <c r="F11" i="34"/>
  <c r="I15" i="7"/>
  <c r="I21" i="7" s="1"/>
  <c r="I11" i="7"/>
  <c r="K33" i="3"/>
  <c r="I38" i="3"/>
  <c r="I33" i="3"/>
  <c r="G61" i="3"/>
  <c r="M21" i="2"/>
  <c r="M12" i="27" s="1"/>
  <c r="M26" i="19"/>
  <c r="M25" i="23"/>
  <c r="M23" i="23"/>
  <c r="M19" i="23"/>
  <c r="M12" i="23"/>
  <c r="N14" i="21"/>
  <c r="L14" i="21"/>
  <c r="J14" i="21"/>
  <c r="H14" i="21"/>
  <c r="N29" i="21"/>
  <c r="N22" i="21"/>
  <c r="M29" i="20"/>
  <c r="M13" i="12"/>
  <c r="M35" i="8"/>
  <c r="M34" i="24"/>
  <c r="M33" i="24"/>
  <c r="M32" i="24"/>
  <c r="M31" i="24"/>
  <c r="M30" i="24"/>
  <c r="M29" i="24"/>
  <c r="W27" i="24"/>
  <c r="W28" i="24"/>
  <c r="W29" i="24"/>
  <c r="M22" i="24"/>
  <c r="M23" i="2"/>
  <c r="G64" i="16"/>
  <c r="M12" i="22"/>
  <c r="M18" i="22" s="1"/>
  <c r="F133" i="17"/>
  <c r="L133" i="17"/>
  <c r="F132" i="17"/>
  <c r="F131" i="17"/>
  <c r="A11" i="2"/>
  <c r="A12" i="2" s="1"/>
  <c r="A13" i="2" s="1"/>
  <c r="A14" i="2" s="1"/>
  <c r="A15" i="2" s="1"/>
  <c r="A16" i="2" s="1"/>
  <c r="A17" i="2" s="1"/>
  <c r="A18" i="2" s="1"/>
  <c r="W18" i="27"/>
  <c r="W19" i="27"/>
  <c r="W20" i="27"/>
  <c r="W17" i="27"/>
  <c r="W27" i="27"/>
  <c r="W28" i="27"/>
  <c r="W29" i="27"/>
  <c r="W25" i="27"/>
  <c r="Y18" i="27"/>
  <c r="Y19" i="27"/>
  <c r="Y20" i="27"/>
  <c r="Y17" i="27"/>
  <c r="Y27" i="27"/>
  <c r="Y28" i="27"/>
  <c r="Y29" i="27"/>
  <c r="Y25" i="27"/>
  <c r="G21" i="2"/>
  <c r="G25" i="24" s="1"/>
  <c r="I21" i="2"/>
  <c r="I25" i="24" s="1"/>
  <c r="K21" i="2"/>
  <c r="K12" i="27" s="1"/>
  <c r="W21" i="2"/>
  <c r="W25" i="24" s="1"/>
  <c r="Y21" i="2"/>
  <c r="Y12" i="27" s="1"/>
  <c r="G23" i="2"/>
  <c r="I23" i="2"/>
  <c r="W23" i="2"/>
  <c r="Y23" i="2"/>
  <c r="G16" i="27"/>
  <c r="G28" i="27"/>
  <c r="G29" i="27"/>
  <c r="G26" i="27"/>
  <c r="I19" i="27"/>
  <c r="I16" i="27"/>
  <c r="I27" i="27"/>
  <c r="I28" i="27"/>
  <c r="I29" i="27"/>
  <c r="I25" i="27"/>
  <c r="I26" i="27"/>
  <c r="K16" i="27"/>
  <c r="K17" i="27"/>
  <c r="K28" i="27"/>
  <c r="K25" i="27"/>
  <c r="K26" i="27"/>
  <c r="G12" i="3"/>
  <c r="I12" i="3"/>
  <c r="K12" i="3"/>
  <c r="M12" i="3"/>
  <c r="Z12" i="3"/>
  <c r="AC12" i="3"/>
  <c r="I14" i="3"/>
  <c r="K14" i="3"/>
  <c r="M14" i="3"/>
  <c r="Z14" i="3"/>
  <c r="AC14" i="3"/>
  <c r="G19" i="3"/>
  <c r="I19" i="3"/>
  <c r="K19" i="3"/>
  <c r="M19" i="3"/>
  <c r="Z19" i="3"/>
  <c r="AC19" i="3"/>
  <c r="G21" i="3"/>
  <c r="I21" i="3"/>
  <c r="K21" i="3"/>
  <c r="M21" i="3"/>
  <c r="Z21" i="3"/>
  <c r="AC21" i="3"/>
  <c r="G33" i="3"/>
  <c r="M33" i="3"/>
  <c r="Z33" i="3"/>
  <c r="AC33" i="3"/>
  <c r="G38" i="3"/>
  <c r="K38" i="3"/>
  <c r="M38" i="3"/>
  <c r="Z38" i="3"/>
  <c r="AC38" i="3"/>
  <c r="K41" i="3"/>
  <c r="M41" i="3"/>
  <c r="Z41" i="3"/>
  <c r="AC41" i="3"/>
  <c r="Z42" i="3"/>
  <c r="AC42" i="3"/>
  <c r="Z78" i="3"/>
  <c r="AC78" i="3"/>
  <c r="G49" i="3"/>
  <c r="I49" i="3"/>
  <c r="K49" i="3"/>
  <c r="M49" i="3"/>
  <c r="Z49" i="3"/>
  <c r="AC49" i="3"/>
  <c r="A53" i="3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6" i="3" s="1"/>
  <c r="A68" i="3" s="1"/>
  <c r="A70" i="3" s="1"/>
  <c r="A72" i="3" s="1"/>
  <c r="Z51" i="3"/>
  <c r="AC51" i="3"/>
  <c r="G56" i="3"/>
  <c r="I56" i="3"/>
  <c r="K56" i="3"/>
  <c r="M56" i="3"/>
  <c r="Z56" i="3"/>
  <c r="AC56" i="3"/>
  <c r="Z58" i="3"/>
  <c r="AC58" i="3"/>
  <c r="I61" i="3"/>
  <c r="K61" i="3"/>
  <c r="M61" i="3"/>
  <c r="Z61" i="3"/>
  <c r="AC61" i="3"/>
  <c r="G11" i="6"/>
  <c r="G62" i="3"/>
  <c r="K11" i="6" s="1"/>
  <c r="I62" i="3"/>
  <c r="M11" i="6" s="1"/>
  <c r="K62" i="3"/>
  <c r="O11" i="6" s="1"/>
  <c r="M62" i="3"/>
  <c r="Q11" i="6" s="1"/>
  <c r="Z62" i="3"/>
  <c r="AA11" i="6" s="1"/>
  <c r="AC62" i="3"/>
  <c r="Z63" i="3"/>
  <c r="Z66" i="3" s="1"/>
  <c r="Z70" i="3" s="1"/>
  <c r="AC63" i="3"/>
  <c r="AC66" i="3" s="1"/>
  <c r="AC70" i="3" s="1"/>
  <c r="Z80" i="3"/>
  <c r="AC80" i="3"/>
  <c r="W14" i="4"/>
  <c r="W12" i="2" s="1"/>
  <c r="Y14" i="4"/>
  <c r="Y12" i="2" s="1"/>
  <c r="A11" i="5"/>
  <c r="A12" i="5" s="1"/>
  <c r="A13" i="5" s="1"/>
  <c r="A14" i="5" s="1"/>
  <c r="A16" i="5" s="1"/>
  <c r="A17" i="5" s="1"/>
  <c r="G27" i="6"/>
  <c r="G29" i="6" s="1"/>
  <c r="G37" i="6" s="1"/>
  <c r="I27" i="6"/>
  <c r="G13" i="5"/>
  <c r="K27" i="6" s="1"/>
  <c r="I13" i="5"/>
  <c r="M27" i="6" s="1"/>
  <c r="K13" i="5"/>
  <c r="O27" i="6" s="1"/>
  <c r="M13" i="5"/>
  <c r="Q27" i="6" s="1"/>
  <c r="W13" i="5"/>
  <c r="AA27" i="6" s="1"/>
  <c r="Y13" i="5"/>
  <c r="AC27" i="6" s="1"/>
  <c r="G17" i="5"/>
  <c r="I17" i="5"/>
  <c r="K17" i="5"/>
  <c r="Y18" i="5"/>
  <c r="A20" i="5"/>
  <c r="A22" i="5" s="1"/>
  <c r="A23" i="5" s="1"/>
  <c r="A24" i="5" s="1"/>
  <c r="A25" i="5" s="1"/>
  <c r="A27" i="5" s="1"/>
  <c r="W22" i="5"/>
  <c r="Y22" i="5"/>
  <c r="W23" i="5"/>
  <c r="Y23" i="5"/>
  <c r="C24" i="5"/>
  <c r="I16" i="2"/>
  <c r="I10" i="23" s="1"/>
  <c r="K16" i="2"/>
  <c r="K10" i="23" s="1"/>
  <c r="M16" i="2"/>
  <c r="A11" i="6"/>
  <c r="A13" i="6" s="1"/>
  <c r="A15" i="6" s="1"/>
  <c r="A17" i="6" s="1"/>
  <c r="A19" i="6" s="1"/>
  <c r="K25" i="6"/>
  <c r="K9" i="7" s="1"/>
  <c r="M25" i="6"/>
  <c r="M9" i="7" s="1"/>
  <c r="O25" i="6"/>
  <c r="O9" i="7" s="1"/>
  <c r="Q25" i="6"/>
  <c r="Q9" i="7" s="1"/>
  <c r="AA25" i="6"/>
  <c r="AC25" i="6"/>
  <c r="K39" i="6"/>
  <c r="G9" i="7"/>
  <c r="AA11" i="7"/>
  <c r="AC11" i="7"/>
  <c r="G19" i="7"/>
  <c r="Q19" i="7"/>
  <c r="M17" i="2" s="1"/>
  <c r="M11" i="23" s="1"/>
  <c r="AA19" i="7"/>
  <c r="W17" i="2" s="1"/>
  <c r="W11" i="23" s="1"/>
  <c r="AC19" i="7"/>
  <c r="Y17" i="2" s="1"/>
  <c r="G21" i="7"/>
  <c r="AA21" i="7"/>
  <c r="AC21" i="7"/>
  <c r="G26" i="8"/>
  <c r="I26" i="8"/>
  <c r="K26" i="8"/>
  <c r="M26" i="8"/>
  <c r="W26" i="8"/>
  <c r="Y26" i="8"/>
  <c r="G45" i="8"/>
  <c r="I45" i="8"/>
  <c r="M13" i="7" s="1"/>
  <c r="K45" i="8"/>
  <c r="O13" i="7" s="1"/>
  <c r="M45" i="8"/>
  <c r="Q13" i="7" s="1"/>
  <c r="W45" i="8"/>
  <c r="Y45" i="8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F92" i="34"/>
  <c r="F105" i="34"/>
  <c r="F117" i="34"/>
  <c r="F132" i="34"/>
  <c r="F146" i="34"/>
  <c r="F152" i="34"/>
  <c r="F176" i="34"/>
  <c r="F191" i="34"/>
  <c r="F197" i="34"/>
  <c r="F206" i="34"/>
  <c r="F215" i="34"/>
  <c r="F242" i="34"/>
  <c r="F254" i="34"/>
  <c r="F266" i="34"/>
  <c r="F272" i="34"/>
  <c r="F277" i="34"/>
  <c r="F285" i="34"/>
  <c r="G9" i="12"/>
  <c r="G13" i="12" s="1"/>
  <c r="I13" i="12"/>
  <c r="I20" i="2" s="1"/>
  <c r="K9" i="12"/>
  <c r="K13" i="12" s="1"/>
  <c r="G13" i="13"/>
  <c r="G14" i="13"/>
  <c r="G15" i="13"/>
  <c r="G16" i="13"/>
  <c r="E17" i="13"/>
  <c r="G20" i="13"/>
  <c r="G21" i="13"/>
  <c r="G22" i="13"/>
  <c r="G23" i="13"/>
  <c r="G24" i="13"/>
  <c r="E25" i="13"/>
  <c r="G28" i="13"/>
  <c r="G29" i="13" s="1"/>
  <c r="E29" i="13"/>
  <c r="G33" i="13"/>
  <c r="I33" i="13"/>
  <c r="G34" i="13"/>
  <c r="I34" i="13"/>
  <c r="I35" i="13"/>
  <c r="G36" i="13"/>
  <c r="I36" i="13"/>
  <c r="G37" i="13"/>
  <c r="I37" i="13"/>
  <c r="G38" i="13"/>
  <c r="J38" i="13" s="1"/>
  <c r="G39" i="13"/>
  <c r="I39" i="13"/>
  <c r="G40" i="13"/>
  <c r="I40" i="13"/>
  <c r="I41" i="13"/>
  <c r="G42" i="13"/>
  <c r="I42" i="13"/>
  <c r="G43" i="13"/>
  <c r="I43" i="13"/>
  <c r="G47" i="13"/>
  <c r="I47" i="13"/>
  <c r="G48" i="13"/>
  <c r="J48" i="13" s="1"/>
  <c r="G49" i="13"/>
  <c r="I49" i="13"/>
  <c r="G51" i="13"/>
  <c r="I51" i="13"/>
  <c r="G52" i="13"/>
  <c r="I52" i="13"/>
  <c r="G53" i="13"/>
  <c r="I53" i="13"/>
  <c r="G54" i="13"/>
  <c r="I54" i="13"/>
  <c r="G57" i="13"/>
  <c r="I57" i="13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G33" i="14"/>
  <c r="G34" i="14"/>
  <c r="G35" i="14"/>
  <c r="G36" i="14"/>
  <c r="G37" i="14"/>
  <c r="G38" i="14"/>
  <c r="J38" i="14" s="1"/>
  <c r="G39" i="14"/>
  <c r="J39" i="14" s="1"/>
  <c r="G40" i="14"/>
  <c r="G41" i="14"/>
  <c r="J41" i="14" s="1"/>
  <c r="G42" i="14"/>
  <c r="J42" i="14" s="1"/>
  <c r="G43" i="14"/>
  <c r="G47" i="14"/>
  <c r="J47" i="14" s="1"/>
  <c r="G48" i="14"/>
  <c r="J48" i="14" s="1"/>
  <c r="G49" i="14"/>
  <c r="J49" i="14" s="1"/>
  <c r="G50" i="14"/>
  <c r="J50" i="14" s="1"/>
  <c r="G51" i="14"/>
  <c r="J51" i="14" s="1"/>
  <c r="G52" i="14"/>
  <c r="J52" i="14" s="1"/>
  <c r="G53" i="14"/>
  <c r="J53" i="14" s="1"/>
  <c r="G54" i="14"/>
  <c r="J54" i="14" s="1"/>
  <c r="G55" i="14"/>
  <c r="J55" i="14" s="1"/>
  <c r="G57" i="14"/>
  <c r="J57" i="14" s="1"/>
  <c r="E58" i="14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U17" i="15"/>
  <c r="W17" i="15"/>
  <c r="U25" i="15"/>
  <c r="W25" i="15"/>
  <c r="U29" i="15"/>
  <c r="W29" i="15"/>
  <c r="U44" i="15"/>
  <c r="W44" i="15"/>
  <c r="U58" i="15"/>
  <c r="W58" i="15"/>
  <c r="A12" i="16"/>
  <c r="A14" i="16" s="1"/>
  <c r="A16" i="16" s="1"/>
  <c r="A18" i="16" s="1"/>
  <c r="A20" i="16" s="1"/>
  <c r="A22" i="16" s="1"/>
  <c r="A24" i="16" s="1"/>
  <c r="A26" i="16" s="1"/>
  <c r="A28" i="16" s="1"/>
  <c r="I12" i="17"/>
  <c r="L12" i="17" s="1"/>
  <c r="I13" i="17"/>
  <c r="L13" i="17" s="1"/>
  <c r="M13" i="17" s="1"/>
  <c r="I14" i="17"/>
  <c r="L14" i="17" s="1"/>
  <c r="M14" i="17" s="1"/>
  <c r="I15" i="17"/>
  <c r="L15" i="17" s="1"/>
  <c r="M15" i="17" s="1"/>
  <c r="I16" i="17"/>
  <c r="L16" i="17" s="1"/>
  <c r="M16" i="17" s="1"/>
  <c r="I17" i="17"/>
  <c r="L17" i="17" s="1"/>
  <c r="M17" i="17" s="1"/>
  <c r="I18" i="17"/>
  <c r="L18" i="17" s="1"/>
  <c r="M18" i="17" s="1"/>
  <c r="I19" i="17"/>
  <c r="L19" i="17" s="1"/>
  <c r="M19" i="17" s="1"/>
  <c r="I20" i="17"/>
  <c r="L20" i="17" s="1"/>
  <c r="M20" i="17" s="1"/>
  <c r="I21" i="17"/>
  <c r="L21" i="17" s="1"/>
  <c r="M21" i="17" s="1"/>
  <c r="I31" i="17"/>
  <c r="L31" i="17" s="1"/>
  <c r="I32" i="17"/>
  <c r="L32" i="17" s="1"/>
  <c r="M32" i="17" s="1"/>
  <c r="I33" i="17"/>
  <c r="L33" i="17" s="1"/>
  <c r="M33" i="17" s="1"/>
  <c r="I34" i="17"/>
  <c r="L34" i="17" s="1"/>
  <c r="M34" i="17" s="1"/>
  <c r="I35" i="17"/>
  <c r="L35" i="17" s="1"/>
  <c r="M35" i="17" s="1"/>
  <c r="I36" i="17"/>
  <c r="L36" i="17" s="1"/>
  <c r="M36" i="17" s="1"/>
  <c r="I37" i="17"/>
  <c r="L37" i="17" s="1"/>
  <c r="M37" i="17" s="1"/>
  <c r="I38" i="17"/>
  <c r="L38" i="17" s="1"/>
  <c r="M38" i="17" s="1"/>
  <c r="I39" i="17"/>
  <c r="L39" i="17" s="1"/>
  <c r="M39" i="17" s="1"/>
  <c r="I40" i="17"/>
  <c r="L40" i="17" s="1"/>
  <c r="M40" i="17" s="1"/>
  <c r="I50" i="17"/>
  <c r="L50" i="17" s="1"/>
  <c r="I51" i="17"/>
  <c r="L51" i="17" s="1"/>
  <c r="M51" i="17" s="1"/>
  <c r="I52" i="17"/>
  <c r="L52" i="17" s="1"/>
  <c r="M52" i="17" s="1"/>
  <c r="I53" i="17"/>
  <c r="L53" i="17" s="1"/>
  <c r="M53" i="17" s="1"/>
  <c r="I54" i="17"/>
  <c r="L54" i="17" s="1"/>
  <c r="M54" i="17" s="1"/>
  <c r="I55" i="17"/>
  <c r="L55" i="17" s="1"/>
  <c r="M55" i="17" s="1"/>
  <c r="I56" i="17"/>
  <c r="L56" i="17" s="1"/>
  <c r="M56" i="17" s="1"/>
  <c r="I57" i="17"/>
  <c r="L57" i="17" s="1"/>
  <c r="M57" i="17" s="1"/>
  <c r="I58" i="17"/>
  <c r="L58" i="17" s="1"/>
  <c r="M58" i="17" s="1"/>
  <c r="I59" i="17"/>
  <c r="L59" i="17" s="1"/>
  <c r="M59" i="17" s="1"/>
  <c r="I60" i="17"/>
  <c r="L60" i="17" s="1"/>
  <c r="M60" i="17" s="1"/>
  <c r="G42" i="16"/>
  <c r="M42" i="16"/>
  <c r="L114" i="17"/>
  <c r="L115" i="17" s="1"/>
  <c r="G52" i="16" s="1"/>
  <c r="I178" i="17"/>
  <c r="L178" i="17" s="1"/>
  <c r="M178" i="17" s="1"/>
  <c r="I179" i="17"/>
  <c r="L179" i="17" s="1"/>
  <c r="M179" i="17" s="1"/>
  <c r="I180" i="17"/>
  <c r="L180" i="17" s="1"/>
  <c r="M180" i="17" s="1"/>
  <c r="I181" i="17"/>
  <c r="L181" i="17" s="1"/>
  <c r="M181" i="17" s="1"/>
  <c r="I183" i="17"/>
  <c r="L183" i="17" s="1"/>
  <c r="M183" i="17" s="1"/>
  <c r="I184" i="17"/>
  <c r="L184" i="17" s="1"/>
  <c r="M184" i="17" s="1"/>
  <c r="I185" i="17"/>
  <c r="L185" i="17" s="1"/>
  <c r="M185" i="17" s="1"/>
  <c r="I186" i="17"/>
  <c r="L186" i="17" s="1"/>
  <c r="M186" i="17" s="1"/>
  <c r="I187" i="17"/>
  <c r="L187" i="17" s="1"/>
  <c r="M187" i="17" s="1"/>
  <c r="I188" i="17"/>
  <c r="L188" i="17" s="1"/>
  <c r="M188" i="17" s="1"/>
  <c r="M182" i="17"/>
  <c r="I200" i="17"/>
  <c r="L200" i="17" s="1"/>
  <c r="M200" i="17" s="1"/>
  <c r="I201" i="17"/>
  <c r="L201" i="17" s="1"/>
  <c r="M201" i="17" s="1"/>
  <c r="I202" i="17"/>
  <c r="L202" i="17" s="1"/>
  <c r="M202" i="17" s="1"/>
  <c r="I204" i="17"/>
  <c r="L204" i="17" s="1"/>
  <c r="M204" i="17" s="1"/>
  <c r="I205" i="17"/>
  <c r="L205" i="17" s="1"/>
  <c r="M205" i="17" s="1"/>
  <c r="I206" i="17"/>
  <c r="L206" i="17" s="1"/>
  <c r="M206" i="17" s="1"/>
  <c r="I207" i="17"/>
  <c r="L207" i="17" s="1"/>
  <c r="M207" i="17" s="1"/>
  <c r="I208" i="17"/>
  <c r="L208" i="17" s="1"/>
  <c r="M208" i="17" s="1"/>
  <c r="H209" i="17"/>
  <c r="I209" i="17" s="1"/>
  <c r="I210" i="17"/>
  <c r="L210" i="17" s="1"/>
  <c r="M210" i="17" s="1"/>
  <c r="M203" i="17"/>
  <c r="K209" i="17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H22" i="17"/>
  <c r="N23" i="17"/>
  <c r="H41" i="17"/>
  <c r="F59" i="17"/>
  <c r="F60" i="17"/>
  <c r="H61" i="17"/>
  <c r="H84" i="17"/>
  <c r="N113" i="17"/>
  <c r="I182" i="17"/>
  <c r="F188" i="17"/>
  <c r="F209" i="17" s="1"/>
  <c r="H189" i="17"/>
  <c r="I203" i="17"/>
  <c r="A10" i="18"/>
  <c r="A11" i="18" s="1"/>
  <c r="A12" i="18" s="1"/>
  <c r="A13" i="18" s="1"/>
  <c r="A14" i="18" s="1"/>
  <c r="A15" i="18" s="1"/>
  <c r="A17" i="18" s="1"/>
  <c r="A18" i="18" s="1"/>
  <c r="A19" i="18" s="1"/>
  <c r="A20" i="18" s="1"/>
  <c r="A21" i="18" s="1"/>
  <c r="K31" i="18"/>
  <c r="K20" i="27" s="1"/>
  <c r="G40" i="18"/>
  <c r="G42" i="18" s="1"/>
  <c r="G15" i="18" s="1"/>
  <c r="G26" i="19"/>
  <c r="I26" i="19"/>
  <c r="K26" i="19"/>
  <c r="W26" i="19"/>
  <c r="Y26" i="19"/>
  <c r="A39" i="19"/>
  <c r="G20" i="20"/>
  <c r="G15" i="19" s="1"/>
  <c r="I20" i="20"/>
  <c r="I15" i="19" s="1"/>
  <c r="K20" i="20"/>
  <c r="K15" i="19" s="1"/>
  <c r="W20" i="20"/>
  <c r="W15" i="19" s="1"/>
  <c r="Y20" i="20"/>
  <c r="Y15" i="19" s="1"/>
  <c r="K29" i="20"/>
  <c r="W29" i="20"/>
  <c r="Y29" i="20"/>
  <c r="H22" i="21"/>
  <c r="J22" i="21"/>
  <c r="J29" i="21"/>
  <c r="H29" i="21"/>
  <c r="Y15" i="20"/>
  <c r="W15" i="20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I12" i="22"/>
  <c r="K12" i="22"/>
  <c r="K18" i="22" s="1"/>
  <c r="W12" i="22"/>
  <c r="Y12" i="22"/>
  <c r="G13" i="22"/>
  <c r="I13" i="22"/>
  <c r="G14" i="22"/>
  <c r="I14" i="22"/>
  <c r="W14" i="22"/>
  <c r="Y14" i="22"/>
  <c r="W35" i="22"/>
  <c r="W44" i="22"/>
  <c r="W30" i="24" s="1"/>
  <c r="Y44" i="22"/>
  <c r="Y16" i="27" s="1"/>
  <c r="G10" i="23"/>
  <c r="G12" i="23"/>
  <c r="I12" i="23"/>
  <c r="K12" i="23"/>
  <c r="W12" i="23"/>
  <c r="Y12" i="23"/>
  <c r="G17" i="23"/>
  <c r="G19" i="23" s="1"/>
  <c r="Y18" i="23"/>
  <c r="Y19" i="23" s="1"/>
  <c r="I19" i="23"/>
  <c r="K19" i="23"/>
  <c r="W19" i="23"/>
  <c r="G23" i="23"/>
  <c r="I23" i="23"/>
  <c r="K23" i="23"/>
  <c r="W23" i="23"/>
  <c r="Y23" i="23"/>
  <c r="G25" i="23"/>
  <c r="I25" i="23"/>
  <c r="K25" i="23"/>
  <c r="G31" i="24"/>
  <c r="G32" i="24"/>
  <c r="G27" i="24"/>
  <c r="G28" i="24"/>
  <c r="G29" i="24"/>
  <c r="G30" i="24"/>
  <c r="G33" i="24"/>
  <c r="G34" i="24"/>
  <c r="I31" i="24"/>
  <c r="I32" i="24"/>
  <c r="I27" i="24"/>
  <c r="I28" i="24"/>
  <c r="I29" i="24"/>
  <c r="I30" i="24"/>
  <c r="I33" i="24"/>
  <c r="I34" i="24"/>
  <c r="K31" i="24"/>
  <c r="K32" i="24"/>
  <c r="K27" i="24"/>
  <c r="K28" i="24"/>
  <c r="K29" i="24"/>
  <c r="K30" i="24"/>
  <c r="K33" i="24"/>
  <c r="K34" i="24"/>
  <c r="W31" i="24"/>
  <c r="W32" i="24"/>
  <c r="W33" i="24"/>
  <c r="W34" i="24"/>
  <c r="Y31" i="24"/>
  <c r="Y32" i="24"/>
  <c r="Y27" i="24"/>
  <c r="Y28" i="24"/>
  <c r="Y29" i="24"/>
  <c r="Y33" i="24"/>
  <c r="Y34" i="24"/>
  <c r="I35" i="23"/>
  <c r="I37" i="23"/>
  <c r="I39" i="23" s="1"/>
  <c r="Y42" i="23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W16" i="24"/>
  <c r="Y16" i="24"/>
  <c r="G22" i="24"/>
  <c r="I22" i="24"/>
  <c r="K22" i="24"/>
  <c r="W22" i="24"/>
  <c r="Y22" i="24"/>
  <c r="W39" i="24"/>
  <c r="Y39" i="24"/>
  <c r="A10" i="25"/>
  <c r="A24" i="25"/>
  <c r="H9" i="26"/>
  <c r="J9" i="26"/>
  <c r="X9" i="26"/>
  <c r="H12" i="26"/>
  <c r="H13" i="26" s="1"/>
  <c r="F16" i="26"/>
  <c r="H16" i="26"/>
  <c r="J16" i="26"/>
  <c r="V16" i="26"/>
  <c r="X16" i="26"/>
  <c r="F18" i="26"/>
  <c r="H19" i="26"/>
  <c r="J20" i="26"/>
  <c r="J21" i="26"/>
  <c r="X24" i="26"/>
  <c r="F35" i="26"/>
  <c r="H35" i="26"/>
  <c r="J35" i="26"/>
  <c r="V35" i="26"/>
  <c r="X35" i="26"/>
  <c r="A10" i="27"/>
  <c r="A11" i="27" s="1"/>
  <c r="A12" i="27" s="1"/>
  <c r="A13" i="27" s="1"/>
  <c r="A32" i="16"/>
  <c r="A34" i="16" s="1"/>
  <c r="A36" i="16" s="1"/>
  <c r="A38" i="16" s="1"/>
  <c r="A40" i="16" s="1"/>
  <c r="A42" i="16" s="1"/>
  <c r="A44" i="16" s="1"/>
  <c r="A46" i="16" s="1"/>
  <c r="A48" i="16" s="1"/>
  <c r="A50" i="16" s="1"/>
  <c r="A52" i="16" s="1"/>
  <c r="A54" i="16" s="1"/>
  <c r="A56" i="16" s="1"/>
  <c r="A58" i="16" s="1"/>
  <c r="A60" i="16" s="1"/>
  <c r="A62" i="16" s="1"/>
  <c r="A64" i="16" s="1"/>
  <c r="A66" i="16" s="1"/>
  <c r="A68" i="16" s="1"/>
  <c r="A70" i="16" s="1"/>
  <c r="A72" i="16" s="1"/>
  <c r="A74" i="16" s="1"/>
  <c r="A76" i="16" s="1"/>
  <c r="A78" i="16" s="1"/>
  <c r="A110" i="16" s="1"/>
  <c r="A112" i="16" s="1"/>
  <c r="A114" i="16" s="1"/>
  <c r="A116" i="16" s="1"/>
  <c r="A118" i="16" s="1"/>
  <c r="A120" i="16" s="1"/>
  <c r="A122" i="16" s="1"/>
  <c r="A124" i="16" s="1"/>
  <c r="A126" i="16" s="1"/>
  <c r="A128" i="16" s="1"/>
  <c r="A130" i="16" s="1"/>
  <c r="A132" i="16" s="1"/>
  <c r="A134" i="16" s="1"/>
  <c r="A136" i="16" s="1"/>
  <c r="A138" i="16" s="1"/>
  <c r="A142" i="16" s="1"/>
  <c r="A144" i="16" s="1"/>
  <c r="A146" i="16" s="1"/>
  <c r="A148" i="16" s="1"/>
  <c r="A150" i="16" s="1"/>
  <c r="A152" i="16" s="1"/>
  <c r="A154" i="16" s="1"/>
  <c r="A156" i="16" s="1"/>
  <c r="A158" i="16" s="1"/>
  <c r="A160" i="16" s="1"/>
  <c r="O21" i="7"/>
  <c r="K19" i="7"/>
  <c r="G17" i="2" s="1"/>
  <c r="G11" i="23" s="1"/>
  <c r="G35" i="13"/>
  <c r="I11" i="6"/>
  <c r="I25" i="6"/>
  <c r="A73" i="3" l="1"/>
  <c r="A74" i="3" s="1"/>
  <c r="A76" i="3"/>
  <c r="I35" i="27"/>
  <c r="G35" i="27"/>
  <c r="Y35" i="27"/>
  <c r="W35" i="27"/>
  <c r="I41" i="23"/>
  <c r="I43" i="23" s="1"/>
  <c r="K13" i="7"/>
  <c r="Q21" i="7"/>
  <c r="O19" i="7"/>
  <c r="K17" i="2" s="1"/>
  <c r="K11" i="23" s="1"/>
  <c r="I29" i="6"/>
  <c r="I35" i="6" s="1"/>
  <c r="G14" i="4"/>
  <c r="G12" i="2" s="1"/>
  <c r="J54" i="17"/>
  <c r="J50" i="17"/>
  <c r="J178" i="17"/>
  <c r="A22" i="18"/>
  <c r="A23" i="18" s="1"/>
  <c r="A24" i="18" s="1"/>
  <c r="A26" i="18" s="1"/>
  <c r="A27" i="18" s="1"/>
  <c r="A28" i="18" s="1"/>
  <c r="A29" i="18" s="1"/>
  <c r="A30" i="18" s="1"/>
  <c r="A31" i="18" s="1"/>
  <c r="A32" i="18" s="1"/>
  <c r="A34" i="18" s="1"/>
  <c r="A35" i="18" s="1"/>
  <c r="A36" i="18" s="1"/>
  <c r="A37" i="18" s="1"/>
  <c r="A38" i="18" s="1"/>
  <c r="A39" i="18" s="1"/>
  <c r="A40" i="18" s="1"/>
  <c r="A42" i="18" s="1"/>
  <c r="J57" i="17"/>
  <c r="J17" i="17"/>
  <c r="J180" i="17"/>
  <c r="J56" i="17"/>
  <c r="J39" i="17"/>
  <c r="J14" i="17"/>
  <c r="K29" i="27"/>
  <c r="K35" i="27" s="1"/>
  <c r="Y30" i="20"/>
  <c r="Y31" i="20"/>
  <c r="W31" i="20"/>
  <c r="W30" i="20"/>
  <c r="W16" i="27"/>
  <c r="A16" i="27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O15" i="6"/>
  <c r="K15" i="6"/>
  <c r="M15" i="6"/>
  <c r="Q15" i="6"/>
  <c r="E60" i="13"/>
  <c r="I18" i="22"/>
  <c r="I22" i="2" s="1"/>
  <c r="G18" i="22"/>
  <c r="G22" i="2" s="1"/>
  <c r="G25" i="13"/>
  <c r="H211" i="17"/>
  <c r="J186" i="17"/>
  <c r="I19" i="7"/>
  <c r="Z64" i="3"/>
  <c r="U60" i="15"/>
  <c r="W10" i="12" s="1"/>
  <c r="J51" i="17"/>
  <c r="J34" i="17"/>
  <c r="M21" i="7"/>
  <c r="M19" i="7"/>
  <c r="I17" i="2" s="1"/>
  <c r="I11" i="23" s="1"/>
  <c r="J55" i="17"/>
  <c r="G14" i="3"/>
  <c r="G43" i="3"/>
  <c r="G44" i="3" s="1"/>
  <c r="J202" i="17"/>
  <c r="J21" i="17"/>
  <c r="J205" i="17"/>
  <c r="J60" i="17"/>
  <c r="J207" i="17"/>
  <c r="J200" i="17"/>
  <c r="J184" i="17"/>
  <c r="J36" i="17"/>
  <c r="J15" i="17"/>
  <c r="J58" i="17"/>
  <c r="J40" i="17"/>
  <c r="J32" i="17"/>
  <c r="J19" i="17"/>
  <c r="J13" i="17"/>
  <c r="G58" i="13"/>
  <c r="W27" i="5"/>
  <c r="W16" i="2" s="1"/>
  <c r="W10" i="23" s="1"/>
  <c r="Y27" i="5"/>
  <c r="Y16" i="2" s="1"/>
  <c r="Y10" i="23" s="1"/>
  <c r="J34" i="13"/>
  <c r="J35" i="13"/>
  <c r="J58" i="14"/>
  <c r="G58" i="14"/>
  <c r="J43" i="13"/>
  <c r="J41" i="13"/>
  <c r="J39" i="13"/>
  <c r="J37" i="13"/>
  <c r="J49" i="13"/>
  <c r="J42" i="13"/>
  <c r="J40" i="13"/>
  <c r="J33" i="13"/>
  <c r="M13" i="20"/>
  <c r="I58" i="13"/>
  <c r="J57" i="13"/>
  <c r="J54" i="13"/>
  <c r="J51" i="13"/>
  <c r="J53" i="13"/>
  <c r="J47" i="13"/>
  <c r="I11" i="27"/>
  <c r="G44" i="13"/>
  <c r="J36" i="13"/>
  <c r="AC64" i="3"/>
  <c r="AC44" i="3"/>
  <c r="F24" i="26"/>
  <c r="F39" i="26" s="1"/>
  <c r="J31" i="21"/>
  <c r="I15" i="20" s="1"/>
  <c r="K20" i="2"/>
  <c r="K24" i="24" s="1"/>
  <c r="K28" i="20"/>
  <c r="O29" i="6"/>
  <c r="O35" i="6" s="1"/>
  <c r="M28" i="20"/>
  <c r="O11" i="7"/>
  <c r="J52" i="13"/>
  <c r="J50" i="13"/>
  <c r="I28" i="20"/>
  <c r="Q11" i="7"/>
  <c r="K29" i="6"/>
  <c r="K17" i="6" s="1"/>
  <c r="W60" i="15"/>
  <c r="Y10" i="12" s="1"/>
  <c r="G20" i="2"/>
  <c r="G41" i="23" s="1"/>
  <c r="G43" i="23" s="1"/>
  <c r="G11" i="7"/>
  <c r="H31" i="21"/>
  <c r="G15" i="20" s="1"/>
  <c r="L61" i="17"/>
  <c r="M133" i="17"/>
  <c r="M134" i="17" s="1"/>
  <c r="M164" i="17" s="1"/>
  <c r="L134" i="17"/>
  <c r="J37" i="17"/>
  <c r="J35" i="17"/>
  <c r="J33" i="17"/>
  <c r="J31" i="17"/>
  <c r="AC29" i="6"/>
  <c r="AC37" i="6" s="1"/>
  <c r="M189" i="17"/>
  <c r="M212" i="17" s="1"/>
  <c r="L209" i="17"/>
  <c r="M209" i="17" s="1"/>
  <c r="M211" i="17" s="1"/>
  <c r="J209" i="17"/>
  <c r="J210" i="17"/>
  <c r="J208" i="17"/>
  <c r="J206" i="17"/>
  <c r="J204" i="17"/>
  <c r="J201" i="17"/>
  <c r="J188" i="17"/>
  <c r="J187" i="17"/>
  <c r="J185" i="17"/>
  <c r="J183" i="17"/>
  <c r="J181" i="17"/>
  <c r="J179" i="17"/>
  <c r="L189" i="17"/>
  <c r="L212" i="17" s="1"/>
  <c r="M114" i="17"/>
  <c r="M115" i="17" s="1"/>
  <c r="N115" i="17" s="1"/>
  <c r="M52" i="16" s="1"/>
  <c r="H24" i="26"/>
  <c r="H39" i="26" s="1"/>
  <c r="H41" i="26" s="1"/>
  <c r="I13" i="20" s="1"/>
  <c r="V39" i="26"/>
  <c r="V41" i="26" s="1"/>
  <c r="G12" i="27"/>
  <c r="K25" i="24"/>
  <c r="G16" i="24"/>
  <c r="I15" i="24"/>
  <c r="W13" i="22"/>
  <c r="K22" i="2"/>
  <c r="Y31" i="22"/>
  <c r="Y35" i="22" s="1"/>
  <c r="Y37" i="22" s="1"/>
  <c r="Y21" i="22" s="1"/>
  <c r="W37" i="22"/>
  <c r="W21" i="22" s="1"/>
  <c r="G35" i="22"/>
  <c r="Y13" i="22"/>
  <c r="Y30" i="24"/>
  <c r="L29" i="21"/>
  <c r="L22" i="21"/>
  <c r="N31" i="21"/>
  <c r="M15" i="20" s="1"/>
  <c r="W40" i="18"/>
  <c r="W42" i="18" s="1"/>
  <c r="W15" i="18" s="1"/>
  <c r="M31" i="17"/>
  <c r="L41" i="17"/>
  <c r="L62" i="17" s="1"/>
  <c r="M12" i="17"/>
  <c r="M22" i="17" s="1"/>
  <c r="M24" i="17" s="1"/>
  <c r="M25" i="17" s="1"/>
  <c r="L22" i="17"/>
  <c r="M50" i="17"/>
  <c r="M61" i="17" s="1"/>
  <c r="N112" i="17"/>
  <c r="N135" i="17" s="1"/>
  <c r="J59" i="17"/>
  <c r="J53" i="17"/>
  <c r="J52" i="17"/>
  <c r="J38" i="17"/>
  <c r="J20" i="17"/>
  <c r="J18" i="17"/>
  <c r="J16" i="17"/>
  <c r="J12" i="17"/>
  <c r="Q29" i="6"/>
  <c r="Q33" i="6" s="1"/>
  <c r="M29" i="6"/>
  <c r="G17" i="6"/>
  <c r="G13" i="6" s="1"/>
  <c r="G15" i="6" s="1"/>
  <c r="G33" i="20"/>
  <c r="I24" i="24"/>
  <c r="I55" i="2"/>
  <c r="I57" i="2" s="1"/>
  <c r="M10" i="23"/>
  <c r="I12" i="27"/>
  <c r="I59" i="2"/>
  <c r="I61" i="2" s="1"/>
  <c r="AC11" i="6"/>
  <c r="M44" i="3"/>
  <c r="Z44" i="3"/>
  <c r="W9" i="23"/>
  <c r="H11" i="34"/>
  <c r="M20" i="2"/>
  <c r="AA29" i="6"/>
  <c r="G35" i="6"/>
  <c r="G33" i="6"/>
  <c r="F26" i="25"/>
  <c r="H21" i="25" s="1"/>
  <c r="H26" i="25" s="1"/>
  <c r="W12" i="27"/>
  <c r="Y25" i="24"/>
  <c r="Y11" i="23"/>
  <c r="X39" i="26"/>
  <c r="Y37" i="24" s="1"/>
  <c r="J24" i="26"/>
  <c r="J39" i="26" s="1"/>
  <c r="J41" i="26" s="1"/>
  <c r="G16" i="16"/>
  <c r="G18" i="16" s="1"/>
  <c r="G58" i="3"/>
  <c r="G63" i="3"/>
  <c r="G51" i="3"/>
  <c r="I58" i="3"/>
  <c r="K51" i="3"/>
  <c r="K63" i="3"/>
  <c r="M58" i="3"/>
  <c r="I63" i="3"/>
  <c r="I51" i="3"/>
  <c r="K58" i="3"/>
  <c r="M51" i="3"/>
  <c r="M63" i="3"/>
  <c r="V17" i="25"/>
  <c r="F17" i="25"/>
  <c r="I37" i="18"/>
  <c r="I40" i="18" s="1"/>
  <c r="W55" i="22"/>
  <c r="G55" i="22"/>
  <c r="G57" i="22" s="1"/>
  <c r="M42" i="24"/>
  <c r="Q42" i="24" s="1"/>
  <c r="U42" i="24" s="1"/>
  <c r="K42" i="24"/>
  <c r="O42" i="24" s="1"/>
  <c r="S42" i="24" s="1"/>
  <c r="G17" i="13"/>
  <c r="Y9" i="23"/>
  <c r="M11" i="7"/>
  <c r="K44" i="3"/>
  <c r="I44" i="3"/>
  <c r="I37" i="6"/>
  <c r="I14" i="4"/>
  <c r="I12" i="2" s="1"/>
  <c r="M14" i="4"/>
  <c r="M12" i="2" s="1"/>
  <c r="K14" i="4"/>
  <c r="I57" i="9"/>
  <c r="M18" i="2" s="1"/>
  <c r="G9" i="23"/>
  <c r="G13" i="23" s="1"/>
  <c r="G15" i="23" s="1"/>
  <c r="I17" i="6" l="1"/>
  <c r="I13" i="6" s="1"/>
  <c r="I15" i="6" s="1"/>
  <c r="I33" i="6"/>
  <c r="K11" i="7"/>
  <c r="A78" i="3"/>
  <c r="A79" i="3" s="1"/>
  <c r="A80" i="3" s="1"/>
  <c r="A81" i="3" s="1"/>
  <c r="K21" i="7"/>
  <c r="A33" i="27"/>
  <c r="A34" i="27" s="1"/>
  <c r="A35" i="27" s="1"/>
  <c r="A36" i="27" s="1"/>
  <c r="A37" i="27" s="1"/>
  <c r="A38" i="27" s="1"/>
  <c r="A39" i="27" s="1"/>
  <c r="A40" i="27" s="1"/>
  <c r="A41" i="27" s="1"/>
  <c r="W44" i="24"/>
  <c r="G32" i="18"/>
  <c r="G34" i="18" s="1"/>
  <c r="Y37" i="18"/>
  <c r="Y40" i="18" s="1"/>
  <c r="Y42" i="18" s="1"/>
  <c r="Y15" i="18" s="1"/>
  <c r="Y44" i="24"/>
  <c r="E62" i="13"/>
  <c r="I21" i="27"/>
  <c r="I37" i="27" s="1"/>
  <c r="I39" i="27" s="1"/>
  <c r="I41" i="27" s="1"/>
  <c r="K43" i="24"/>
  <c r="G44" i="24"/>
  <c r="M35" i="6"/>
  <c r="M17" i="6"/>
  <c r="M136" i="17"/>
  <c r="M137" i="17" s="1"/>
  <c r="M165" i="17" s="1"/>
  <c r="M243" i="17" s="1"/>
  <c r="M244" i="17" s="1"/>
  <c r="A71" i="34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V26" i="25"/>
  <c r="X26" i="25" s="1"/>
  <c r="W18" i="22"/>
  <c r="W22" i="2" s="1"/>
  <c r="Y18" i="22"/>
  <c r="Y22" i="2" s="1"/>
  <c r="W32" i="18"/>
  <c r="W34" i="18" s="1"/>
  <c r="W14" i="18" s="1"/>
  <c r="G60" i="13"/>
  <c r="AC17" i="6"/>
  <c r="O33" i="6"/>
  <c r="O37" i="6"/>
  <c r="O17" i="6"/>
  <c r="Q35" i="6"/>
  <c r="AC35" i="6"/>
  <c r="AC33" i="6"/>
  <c r="Q37" i="6"/>
  <c r="I16" i="20"/>
  <c r="K37" i="24"/>
  <c r="G37" i="24"/>
  <c r="F41" i="26"/>
  <c r="G13" i="20" s="1"/>
  <c r="G16" i="20" s="1"/>
  <c r="W37" i="24"/>
  <c r="X41" i="26"/>
  <c r="Y13" i="20" s="1"/>
  <c r="Y16" i="20" s="1"/>
  <c r="I37" i="24"/>
  <c r="J58" i="13"/>
  <c r="K11" i="27"/>
  <c r="K21" i="27" s="1"/>
  <c r="K37" i="27" s="1"/>
  <c r="K39" i="27" s="1"/>
  <c r="K41" i="27" s="1"/>
  <c r="K41" i="23"/>
  <c r="K43" i="23" s="1"/>
  <c r="W13" i="23"/>
  <c r="W15" i="23" s="1"/>
  <c r="M41" i="23"/>
  <c r="M43" i="23" s="1"/>
  <c r="M11" i="27"/>
  <c r="M22" i="2"/>
  <c r="M17" i="27"/>
  <c r="G11" i="27"/>
  <c r="G21" i="27" s="1"/>
  <c r="G37" i="27" s="1"/>
  <c r="G39" i="27" s="1"/>
  <c r="G41" i="27" s="1"/>
  <c r="G24" i="24"/>
  <c r="L31" i="21"/>
  <c r="K15" i="20" s="1"/>
  <c r="L164" i="17"/>
  <c r="L165" i="17" s="1"/>
  <c r="L166" i="17" s="1"/>
  <c r="G72" i="16" s="1"/>
  <c r="L136" i="17"/>
  <c r="L137" i="17" s="1"/>
  <c r="G62" i="16" s="1"/>
  <c r="N134" i="17"/>
  <c r="N164" i="17" s="1"/>
  <c r="M37" i="6"/>
  <c r="M33" i="6"/>
  <c r="G39" i="6"/>
  <c r="M42" i="17"/>
  <c r="N189" i="17"/>
  <c r="N22" i="17"/>
  <c r="L211" i="17"/>
  <c r="N211" i="17" s="1"/>
  <c r="M269" i="17"/>
  <c r="K15" i="24"/>
  <c r="I16" i="24"/>
  <c r="M15" i="24"/>
  <c r="M41" i="17"/>
  <c r="M62" i="17" s="1"/>
  <c r="N62" i="17" s="1"/>
  <c r="L42" i="17"/>
  <c r="L24" i="17"/>
  <c r="L25" i="17" s="1"/>
  <c r="N25" i="17" s="1"/>
  <c r="M12" i="16" s="1"/>
  <c r="L63" i="17"/>
  <c r="L64" i="17" s="1"/>
  <c r="G32" i="16" s="1"/>
  <c r="L190" i="17"/>
  <c r="L191" i="17" s="1"/>
  <c r="L192" i="17" s="1"/>
  <c r="G144" i="16" s="1"/>
  <c r="L43" i="17"/>
  <c r="L44" i="17" s="1"/>
  <c r="G22" i="16" s="1"/>
  <c r="N212" i="17"/>
  <c r="M213" i="17"/>
  <c r="M214" i="17" s="1"/>
  <c r="Q17" i="6"/>
  <c r="M9" i="23"/>
  <c r="M13" i="23" s="1"/>
  <c r="M15" i="23" s="1"/>
  <c r="I41" i="2"/>
  <c r="I47" i="2" s="1"/>
  <c r="M41" i="2"/>
  <c r="M47" i="2" s="1"/>
  <c r="K18" i="2"/>
  <c r="K41" i="2" s="1"/>
  <c r="K47" i="2" s="1"/>
  <c r="AA33" i="6"/>
  <c r="AA37" i="6"/>
  <c r="AA35" i="6"/>
  <c r="AA17" i="6"/>
  <c r="F28" i="25"/>
  <c r="Y13" i="23"/>
  <c r="Y15" i="23" s="1"/>
  <c r="K13" i="20"/>
  <c r="G14" i="19"/>
  <c r="G16" i="19" s="1"/>
  <c r="I26" i="20"/>
  <c r="I33" i="20" s="1"/>
  <c r="G26" i="16"/>
  <c r="I50" i="22"/>
  <c r="I55" i="22" s="1"/>
  <c r="G23" i="22"/>
  <c r="J21" i="25"/>
  <c r="J26" i="25" s="1"/>
  <c r="L21" i="25" s="1"/>
  <c r="L26" i="25" s="1"/>
  <c r="N21" i="25" s="1"/>
  <c r="I12" i="16"/>
  <c r="I14" i="16"/>
  <c r="G14" i="18"/>
  <c r="I29" i="18"/>
  <c r="I32" i="18" s="1"/>
  <c r="X17" i="25"/>
  <c r="M43" i="24"/>
  <c r="Y50" i="22"/>
  <c r="Y55" i="22" s="1"/>
  <c r="Y57" i="22" s="1"/>
  <c r="Y23" i="22" s="1"/>
  <c r="W57" i="22"/>
  <c r="W23" i="22" s="1"/>
  <c r="W13" i="20"/>
  <c r="W16" i="20" s="1"/>
  <c r="K37" i="18"/>
  <c r="K40" i="18" s="1"/>
  <c r="I42" i="18"/>
  <c r="I15" i="18" s="1"/>
  <c r="H12" i="25"/>
  <c r="H17" i="25" s="1"/>
  <c r="H28" i="25" s="1"/>
  <c r="G32" i="19"/>
  <c r="I33" i="19" s="1"/>
  <c r="M66" i="3"/>
  <c r="M70" i="3" s="1"/>
  <c r="M64" i="3"/>
  <c r="I64" i="3"/>
  <c r="I66" i="3"/>
  <c r="I70" i="3" s="1"/>
  <c r="K64" i="3"/>
  <c r="K66" i="3"/>
  <c r="K70" i="3" s="1"/>
  <c r="G66" i="3"/>
  <c r="G70" i="3" s="1"/>
  <c r="G10" i="24" s="1"/>
  <c r="G64" i="3"/>
  <c r="I16" i="16"/>
  <c r="I39" i="6"/>
  <c r="K12" i="2"/>
  <c r="M166" i="17" l="1"/>
  <c r="A112" i="34"/>
  <c r="A113" i="34" s="1"/>
  <c r="A114" i="34" s="1"/>
  <c r="A115" i="34" s="1"/>
  <c r="A116" i="34" s="1"/>
  <c r="A117" i="34" s="1"/>
  <c r="A118" i="34" s="1"/>
  <c r="A119" i="34" s="1"/>
  <c r="A120" i="34" s="1"/>
  <c r="I44" i="24"/>
  <c r="Y29" i="18"/>
  <c r="Y32" i="18" s="1"/>
  <c r="Y34" i="18" s="1"/>
  <c r="Y14" i="18" s="1"/>
  <c r="V28" i="25"/>
  <c r="W32" i="19" s="1"/>
  <c r="X28" i="25"/>
  <c r="Y32" i="19" s="1"/>
  <c r="G37" i="22"/>
  <c r="G21" i="22" s="1"/>
  <c r="G24" i="2"/>
  <c r="G26" i="24" s="1"/>
  <c r="AC13" i="6"/>
  <c r="AA13" i="6"/>
  <c r="Q39" i="6"/>
  <c r="I9" i="23"/>
  <c r="I13" i="23" s="1"/>
  <c r="I15" i="23" s="1"/>
  <c r="O39" i="6"/>
  <c r="M44" i="24"/>
  <c r="Q43" i="24"/>
  <c r="K44" i="24"/>
  <c r="O43" i="24"/>
  <c r="M16" i="24"/>
  <c r="Q15" i="24"/>
  <c r="K16" i="24"/>
  <c r="O15" i="24"/>
  <c r="AC39" i="6"/>
  <c r="K24" i="2"/>
  <c r="K26" i="24" s="1"/>
  <c r="G18" i="20"/>
  <c r="I11" i="20" s="1"/>
  <c r="I18" i="20" s="1"/>
  <c r="I31" i="22"/>
  <c r="I35" i="22" s="1"/>
  <c r="K50" i="22"/>
  <c r="K55" i="22" s="1"/>
  <c r="K57" i="22" s="1"/>
  <c r="K23" i="22" s="1"/>
  <c r="I57" i="22"/>
  <c r="I23" i="22" s="1"/>
  <c r="K16" i="20"/>
  <c r="L213" i="17"/>
  <c r="L214" i="17" s="1"/>
  <c r="G154" i="16" s="1"/>
  <c r="M39" i="6"/>
  <c r="M21" i="27"/>
  <c r="M37" i="27" s="1"/>
  <c r="M39" i="27" s="1"/>
  <c r="M41" i="27" s="1"/>
  <c r="N137" i="17"/>
  <c r="M62" i="16" s="1"/>
  <c r="N42" i="17"/>
  <c r="M43" i="17"/>
  <c r="M44" i="17" s="1"/>
  <c r="N44" i="17" s="1"/>
  <c r="M22" i="16" s="1"/>
  <c r="L244" i="17"/>
  <c r="N244" i="17" s="1"/>
  <c r="M112" i="16" s="1"/>
  <c r="G122" i="16"/>
  <c r="N166" i="17"/>
  <c r="M72" i="16" s="1"/>
  <c r="G28" i="16"/>
  <c r="W45" i="22"/>
  <c r="Y40" i="22" s="1"/>
  <c r="Y45" i="22" s="1"/>
  <c r="Y47" i="22" s="1"/>
  <c r="Y22" i="22" s="1"/>
  <c r="G45" i="22"/>
  <c r="I40" i="22" s="1"/>
  <c r="N61" i="17"/>
  <c r="N41" i="17"/>
  <c r="M190" i="17"/>
  <c r="K9" i="23"/>
  <c r="K13" i="23" s="1"/>
  <c r="K15" i="23" s="1"/>
  <c r="I24" i="2"/>
  <c r="I26" i="24" s="1"/>
  <c r="AA39" i="6"/>
  <c r="G34" i="19"/>
  <c r="G36" i="19" s="1"/>
  <c r="K26" i="20"/>
  <c r="I14" i="19"/>
  <c r="I16" i="19" s="1"/>
  <c r="G12" i="24"/>
  <c r="G18" i="24" s="1"/>
  <c r="G11" i="2"/>
  <c r="G13" i="2" s="1"/>
  <c r="M11" i="2"/>
  <c r="M13" i="2" s="1"/>
  <c r="M33" i="2" s="1"/>
  <c r="M39" i="2" s="1"/>
  <c r="M10" i="24"/>
  <c r="M12" i="24" s="1"/>
  <c r="J12" i="25"/>
  <c r="J17" i="25" s="1"/>
  <c r="I32" i="19"/>
  <c r="K42" i="18"/>
  <c r="K15" i="18" s="1"/>
  <c r="M37" i="18"/>
  <c r="M40" i="18" s="1"/>
  <c r="I34" i="18"/>
  <c r="I14" i="18" s="1"/>
  <c r="K29" i="18"/>
  <c r="K32" i="18" s="1"/>
  <c r="K10" i="24"/>
  <c r="K12" i="24" s="1"/>
  <c r="K11" i="2"/>
  <c r="K13" i="2" s="1"/>
  <c r="K33" i="2" s="1"/>
  <c r="K39" i="2" s="1"/>
  <c r="I10" i="24"/>
  <c r="I12" i="24" s="1"/>
  <c r="I18" i="24" s="1"/>
  <c r="I11" i="2"/>
  <c r="I18" i="16"/>
  <c r="I26" i="16" l="1"/>
  <c r="I106" i="16"/>
  <c r="K106" i="16" s="1"/>
  <c r="O106" i="16" s="1"/>
  <c r="O104" i="16" s="1"/>
  <c r="M104" i="16" s="1"/>
  <c r="I104" i="16"/>
  <c r="K104" i="16" s="1"/>
  <c r="Y28" i="22"/>
  <c r="Y25" i="19" s="1"/>
  <c r="I20" i="13"/>
  <c r="J20" i="13" s="1"/>
  <c r="AA15" i="6"/>
  <c r="AC15" i="6"/>
  <c r="M18" i="24"/>
  <c r="G24" i="18"/>
  <c r="G26" i="18" s="1"/>
  <c r="G25" i="2"/>
  <c r="G26" i="2" s="1"/>
  <c r="K33" i="20"/>
  <c r="M26" i="20" s="1"/>
  <c r="M33" i="20" s="1"/>
  <c r="G47" i="22"/>
  <c r="G22" i="22" s="1"/>
  <c r="M24" i="2"/>
  <c r="M25" i="2" s="1"/>
  <c r="M26" i="2" s="1"/>
  <c r="Q16" i="24"/>
  <c r="Q18" i="24" s="1"/>
  <c r="U15" i="24"/>
  <c r="U16" i="24" s="1"/>
  <c r="U18" i="24" s="1"/>
  <c r="K18" i="24"/>
  <c r="Q44" i="24"/>
  <c r="U43" i="24"/>
  <c r="U44" i="24" s="1"/>
  <c r="S15" i="24"/>
  <c r="S16" i="24" s="1"/>
  <c r="S18" i="24" s="1"/>
  <c r="O16" i="24"/>
  <c r="O18" i="24" s="1"/>
  <c r="S43" i="24"/>
  <c r="S44" i="24" s="1"/>
  <c r="O44" i="24"/>
  <c r="N214" i="17"/>
  <c r="M154" i="16" s="1"/>
  <c r="I25" i="2"/>
  <c r="I21" i="24" s="1"/>
  <c r="I38" i="24" s="1"/>
  <c r="I40" i="24" s="1"/>
  <c r="I46" i="24" s="1"/>
  <c r="I48" i="24" s="1"/>
  <c r="K25" i="2"/>
  <c r="K26" i="2" s="1"/>
  <c r="K28" i="16"/>
  <c r="K18" i="16"/>
  <c r="K16" i="16" s="1"/>
  <c r="O16" i="16" s="1"/>
  <c r="W18" i="20"/>
  <c r="W22" i="20" s="1"/>
  <c r="W11" i="19" s="1"/>
  <c r="G22" i="20"/>
  <c r="G11" i="19" s="1"/>
  <c r="G19" i="19" s="1"/>
  <c r="I37" i="22"/>
  <c r="I21" i="22" s="1"/>
  <c r="K31" i="22"/>
  <c r="K35" i="22" s="1"/>
  <c r="M50" i="22"/>
  <c r="M55" i="22" s="1"/>
  <c r="O50" i="22" s="1"/>
  <c r="M42" i="18"/>
  <c r="M15" i="18" s="1"/>
  <c r="O37" i="18"/>
  <c r="O40" i="18" s="1"/>
  <c r="W47" i="22"/>
  <c r="W22" i="22" s="1"/>
  <c r="W28" i="22" s="1"/>
  <c r="G112" i="16"/>
  <c r="N269" i="17"/>
  <c r="M122" i="16" s="1"/>
  <c r="L301" i="17"/>
  <c r="M63" i="17"/>
  <c r="M64" i="17" s="1"/>
  <c r="N64" i="17" s="1"/>
  <c r="M32" i="16" s="1"/>
  <c r="I22" i="16"/>
  <c r="I24" i="16"/>
  <c r="I45" i="22"/>
  <c r="K40" i="22" s="1"/>
  <c r="N190" i="17"/>
  <c r="M191" i="17"/>
  <c r="M192" i="17" s="1"/>
  <c r="N192" i="17" s="1"/>
  <c r="M144" i="16" s="1"/>
  <c r="I13" i="2"/>
  <c r="I33" i="2" s="1"/>
  <c r="I39" i="2" s="1"/>
  <c r="W24" i="18"/>
  <c r="Y21" i="18" s="1"/>
  <c r="Y24" i="18" s="1"/>
  <c r="Y26" i="18" s="1"/>
  <c r="Y13" i="18" s="1"/>
  <c r="Y17" i="18" s="1"/>
  <c r="G158" i="16" s="1"/>
  <c r="G160" i="16" s="1"/>
  <c r="I154" i="16" s="1"/>
  <c r="Y33" i="19"/>
  <c r="Y34" i="19" s="1"/>
  <c r="Y36" i="19" s="1"/>
  <c r="W34" i="19"/>
  <c r="W36" i="19" s="1"/>
  <c r="I34" i="19"/>
  <c r="I36" i="19" s="1"/>
  <c r="K33" i="19"/>
  <c r="K34" i="18"/>
  <c r="K14" i="18" s="1"/>
  <c r="M29" i="18"/>
  <c r="M32" i="18" s="1"/>
  <c r="L12" i="25"/>
  <c r="L17" i="25" s="1"/>
  <c r="J28" i="25"/>
  <c r="K11" i="20"/>
  <c r="I22" i="20"/>
  <c r="G13" i="18" l="1"/>
  <c r="G17" i="18" s="1"/>
  <c r="G36" i="16" s="1"/>
  <c r="G38" i="16" s="1"/>
  <c r="G28" i="22"/>
  <c r="G25" i="19" s="1"/>
  <c r="I12" i="13"/>
  <c r="I21" i="18"/>
  <c r="I24" i="18" s="1"/>
  <c r="I26" i="18" s="1"/>
  <c r="I13" i="18" s="1"/>
  <c r="I17" i="18" s="1"/>
  <c r="G46" i="16" s="1"/>
  <c r="G48" i="16" s="1"/>
  <c r="A130" i="34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G21" i="24"/>
  <c r="G38" i="24" s="1"/>
  <c r="G40" i="24" s="1"/>
  <c r="G46" i="24" s="1"/>
  <c r="G48" i="24" s="1"/>
  <c r="G27" i="23" s="1"/>
  <c r="K14" i="19"/>
  <c r="K16" i="19" s="1"/>
  <c r="O55" i="22"/>
  <c r="Q50" i="22" s="1"/>
  <c r="O26" i="20"/>
  <c r="Y11" i="20"/>
  <c r="Y18" i="20" s="1"/>
  <c r="Y22" i="20" s="1"/>
  <c r="Y11" i="19" s="1"/>
  <c r="K21" i="24"/>
  <c r="G21" i="19"/>
  <c r="G23" i="19" s="1"/>
  <c r="K14" i="16"/>
  <c r="K12" i="16"/>
  <c r="O12" i="16" s="1"/>
  <c r="O14" i="16" s="1"/>
  <c r="M18" i="16"/>
  <c r="G36" i="20"/>
  <c r="K18" i="20"/>
  <c r="W25" i="19"/>
  <c r="K37" i="22"/>
  <c r="K21" i="22" s="1"/>
  <c r="K28" i="22" s="1"/>
  <c r="M31" i="22"/>
  <c r="M35" i="22" s="1"/>
  <c r="M34" i="18"/>
  <c r="M14" i="18" s="1"/>
  <c r="O29" i="18"/>
  <c r="O32" i="18" s="1"/>
  <c r="O42" i="18"/>
  <c r="O15" i="18" s="1"/>
  <c r="Q37" i="18"/>
  <c r="Q40" i="18" s="1"/>
  <c r="L28" i="25"/>
  <c r="N12" i="25"/>
  <c r="N17" i="25" s="1"/>
  <c r="M14" i="19"/>
  <c r="M16" i="19" s="1"/>
  <c r="M301" i="17"/>
  <c r="N301" i="17" s="1"/>
  <c r="M132" i="16" s="1"/>
  <c r="G132" i="16"/>
  <c r="I28" i="16"/>
  <c r="I47" i="22"/>
  <c r="I22" i="22" s="1"/>
  <c r="I28" i="22" s="1"/>
  <c r="K45" i="22"/>
  <c r="I156" i="16"/>
  <c r="W26" i="18"/>
  <c r="W13" i="18" s="1"/>
  <c r="W17" i="18" s="1"/>
  <c r="G148" i="16" s="1"/>
  <c r="G150" i="16" s="1"/>
  <c r="I144" i="16" s="1"/>
  <c r="I158" i="16"/>
  <c r="I26" i="2"/>
  <c r="K32" i="19"/>
  <c r="I20" i="19"/>
  <c r="I11" i="19"/>
  <c r="I19" i="19" s="1"/>
  <c r="I36" i="20"/>
  <c r="K22" i="16"/>
  <c r="O22" i="16" s="1"/>
  <c r="K24" i="16"/>
  <c r="K26" i="16"/>
  <c r="O26" i="16" s="1"/>
  <c r="M28" i="16"/>
  <c r="M21" i="24"/>
  <c r="I36" i="16" l="1"/>
  <c r="I34" i="16"/>
  <c r="I32" i="16"/>
  <c r="G28" i="19"/>
  <c r="G39" i="19" s="1"/>
  <c r="K38" i="16" s="1"/>
  <c r="K21" i="18"/>
  <c r="K24" i="18" s="1"/>
  <c r="M21" i="18" s="1"/>
  <c r="I46" i="16"/>
  <c r="I42" i="16"/>
  <c r="I44" i="16"/>
  <c r="K25" i="19"/>
  <c r="I25" i="19"/>
  <c r="A143" i="34"/>
  <c r="A144" i="34" s="1"/>
  <c r="A145" i="34" s="1"/>
  <c r="A146" i="34" s="1"/>
  <c r="A147" i="34" s="1"/>
  <c r="O57" i="22"/>
  <c r="M11" i="20"/>
  <c r="K22" i="20"/>
  <c r="Q55" i="22"/>
  <c r="S50" i="22" s="1"/>
  <c r="I23" i="13"/>
  <c r="J23" i="13" s="1"/>
  <c r="I22" i="13"/>
  <c r="J22" i="13" s="1"/>
  <c r="I24" i="13"/>
  <c r="J24" i="13" s="1"/>
  <c r="M40" i="22"/>
  <c r="M45" i="22" s="1"/>
  <c r="O40" i="22" s="1"/>
  <c r="P12" i="25"/>
  <c r="P17" i="25" s="1"/>
  <c r="M37" i="22"/>
  <c r="M21" i="22" s="1"/>
  <c r="M28" i="22" s="1"/>
  <c r="O31" i="22"/>
  <c r="O35" i="22" s="1"/>
  <c r="Q31" i="22" s="1"/>
  <c r="Q42" i="18"/>
  <c r="Q15" i="18" s="1"/>
  <c r="S37" i="18"/>
  <c r="S40" i="18" s="1"/>
  <c r="M32" i="19"/>
  <c r="K34" i="19"/>
  <c r="K36" i="19" s="1"/>
  <c r="M33" i="19"/>
  <c r="O34" i="18"/>
  <c r="O14" i="18" s="1"/>
  <c r="Q29" i="18"/>
  <c r="Q32" i="18" s="1"/>
  <c r="I160" i="16"/>
  <c r="K47" i="22"/>
  <c r="I148" i="16"/>
  <c r="I146" i="16"/>
  <c r="M14" i="16"/>
  <c r="O24" i="16"/>
  <c r="K20" i="19"/>
  <c r="I21" i="19"/>
  <c r="I23" i="19" s="1"/>
  <c r="I38" i="16" l="1"/>
  <c r="I28" i="19"/>
  <c r="I39" i="19" s="1"/>
  <c r="K48" i="16" s="1"/>
  <c r="M48" i="16" s="1"/>
  <c r="G24" i="14"/>
  <c r="G21" i="14"/>
  <c r="K32" i="16"/>
  <c r="O32" i="16" s="1"/>
  <c r="G29" i="23" s="1"/>
  <c r="G31" i="23" s="1"/>
  <c r="I48" i="16"/>
  <c r="A148" i="34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K26" i="18"/>
  <c r="K13" i="18" s="1"/>
  <c r="K17" i="18" s="1"/>
  <c r="G56" i="16" s="1"/>
  <c r="M24" i="18"/>
  <c r="O21" i="18" s="1"/>
  <c r="M25" i="19"/>
  <c r="Q57" i="22"/>
  <c r="S55" i="22"/>
  <c r="U50" i="22" s="1"/>
  <c r="O45" i="22"/>
  <c r="G23" i="14"/>
  <c r="G22" i="14"/>
  <c r="I21" i="13"/>
  <c r="H25" i="13"/>
  <c r="K11" i="19"/>
  <c r="K19" i="19" s="1"/>
  <c r="M20" i="19" s="1"/>
  <c r="M16" i="20"/>
  <c r="M18" i="20" s="1"/>
  <c r="M22" i="20" s="1"/>
  <c r="R12" i="25"/>
  <c r="R17" i="25" s="1"/>
  <c r="K36" i="20"/>
  <c r="Q35" i="22"/>
  <c r="S31" i="22" s="1"/>
  <c r="O37" i="22"/>
  <c r="O21" i="22" s="1"/>
  <c r="O28" i="22" s="1"/>
  <c r="K34" i="16"/>
  <c r="K36" i="16"/>
  <c r="O36" i="16" s="1"/>
  <c r="M38" i="16"/>
  <c r="M34" i="19"/>
  <c r="M36" i="19" s="1"/>
  <c r="O33" i="19"/>
  <c r="Q34" i="18"/>
  <c r="Q14" i="18" s="1"/>
  <c r="S29" i="18"/>
  <c r="S32" i="18" s="1"/>
  <c r="S42" i="18"/>
  <c r="S15" i="18" s="1"/>
  <c r="U37" i="18"/>
  <c r="U40" i="18" s="1"/>
  <c r="U42" i="18" s="1"/>
  <c r="U15" i="18" s="1"/>
  <c r="I150" i="16"/>
  <c r="M24" i="16"/>
  <c r="O34" i="16" l="1"/>
  <c r="A183" i="34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M26" i="18"/>
  <c r="M13" i="18" s="1"/>
  <c r="M17" i="18" s="1"/>
  <c r="G66" i="16" s="1"/>
  <c r="G58" i="16"/>
  <c r="I56" i="16" s="1"/>
  <c r="O24" i="18"/>
  <c r="Q21" i="18" s="1"/>
  <c r="S57" i="22"/>
  <c r="U55" i="22"/>
  <c r="U57" i="22" s="1"/>
  <c r="O47" i="22"/>
  <c r="Q40" i="22"/>
  <c r="O25" i="19"/>
  <c r="J21" i="13"/>
  <c r="J25" i="13" s="1"/>
  <c r="I25" i="13"/>
  <c r="K21" i="19"/>
  <c r="K23" i="19" s="1"/>
  <c r="K28" i="19" s="1"/>
  <c r="K39" i="19" s="1"/>
  <c r="M11" i="19"/>
  <c r="M36" i="20"/>
  <c r="O11" i="20"/>
  <c r="O18" i="20" s="1"/>
  <c r="T12" i="25"/>
  <c r="T17" i="25" s="1"/>
  <c r="Q37" i="22"/>
  <c r="Q21" i="22" s="1"/>
  <c r="Q28" i="22" s="1"/>
  <c r="S35" i="22"/>
  <c r="K44" i="16"/>
  <c r="K46" i="16"/>
  <c r="O46" i="16" s="1"/>
  <c r="K42" i="16"/>
  <c r="O42" i="16" s="1"/>
  <c r="I29" i="23" s="1"/>
  <c r="I31" i="23" s="1"/>
  <c r="S34" i="18"/>
  <c r="S14" i="18" s="1"/>
  <c r="U29" i="18"/>
  <c r="U32" i="18" s="1"/>
  <c r="U34" i="18" s="1"/>
  <c r="U14" i="18" s="1"/>
  <c r="M34" i="16" l="1"/>
  <c r="G33" i="23"/>
  <c r="G35" i="23" s="1"/>
  <c r="M19" i="19"/>
  <c r="O20" i="19" s="1"/>
  <c r="I54" i="16"/>
  <c r="I52" i="16"/>
  <c r="O26" i="18"/>
  <c r="O13" i="18" s="1"/>
  <c r="O17" i="18" s="1"/>
  <c r="G76" i="16" s="1"/>
  <c r="G68" i="16"/>
  <c r="I66" i="16" s="1"/>
  <c r="Q24" i="18"/>
  <c r="S21" i="18" s="1"/>
  <c r="Q45" i="22"/>
  <c r="S40" i="22" s="1"/>
  <c r="K58" i="16"/>
  <c r="K56" i="16" s="1"/>
  <c r="O56" i="16" s="1"/>
  <c r="O22" i="20"/>
  <c r="Q11" i="20"/>
  <c r="Q18" i="20" s="1"/>
  <c r="Q22" i="20" s="1"/>
  <c r="Q11" i="19" s="1"/>
  <c r="A219" i="34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40" i="34" s="1"/>
  <c r="Q25" i="19"/>
  <c r="S37" i="22"/>
  <c r="S21" i="22" s="1"/>
  <c r="S28" i="22" s="1"/>
  <c r="U31" i="22"/>
  <c r="U35" i="22" s="1"/>
  <c r="U37" i="22" s="1"/>
  <c r="U21" i="22" s="1"/>
  <c r="U28" i="22" s="1"/>
  <c r="O44" i="16"/>
  <c r="G37" i="23"/>
  <c r="G39" i="23" s="1"/>
  <c r="M21" i="19" l="1"/>
  <c r="M23" i="19" s="1"/>
  <c r="M28" i="19" s="1"/>
  <c r="M39" i="19" s="1"/>
  <c r="Q26" i="18"/>
  <c r="Q13" i="18" s="1"/>
  <c r="Q17" i="18" s="1"/>
  <c r="G116" i="16" s="1"/>
  <c r="S24" i="18"/>
  <c r="U21" i="18" s="1"/>
  <c r="U24" i="18" s="1"/>
  <c r="U26" i="18" s="1"/>
  <c r="U13" i="18" s="1"/>
  <c r="U17" i="18" s="1"/>
  <c r="G136" i="16" s="1"/>
  <c r="I64" i="16"/>
  <c r="I62" i="16"/>
  <c r="I58" i="16"/>
  <c r="A241" i="34"/>
  <c r="M58" i="16"/>
  <c r="K54" i="16"/>
  <c r="Q47" i="22"/>
  <c r="S45" i="22"/>
  <c r="U40" i="22" s="1"/>
  <c r="K52" i="16"/>
  <c r="O52" i="16" s="1"/>
  <c r="O54" i="16" s="1"/>
  <c r="O11" i="19"/>
  <c r="S11" i="20"/>
  <c r="S18" i="20" s="1"/>
  <c r="S22" i="20" s="1"/>
  <c r="S11" i="19" s="1"/>
  <c r="U25" i="19"/>
  <c r="S25" i="19"/>
  <c r="M44" i="16"/>
  <c r="K68" i="16" l="1"/>
  <c r="M68" i="16" s="1"/>
  <c r="I68" i="16"/>
  <c r="S26" i="18"/>
  <c r="S13" i="18" s="1"/>
  <c r="S17" i="18" s="1"/>
  <c r="G126" i="16" s="1"/>
  <c r="M54" i="16"/>
  <c r="S47" i="22"/>
  <c r="U45" i="22"/>
  <c r="U47" i="22" s="1"/>
  <c r="K29" i="23"/>
  <c r="K31" i="23" s="1"/>
  <c r="K33" i="23"/>
  <c r="K35" i="23" s="1"/>
  <c r="U11" i="20"/>
  <c r="U18" i="20" s="1"/>
  <c r="U22" i="20" s="1"/>
  <c r="U11" i="19" s="1"/>
  <c r="A242" i="34"/>
  <c r="A243" i="34" s="1"/>
  <c r="A244" i="34" s="1"/>
  <c r="A245" i="34" s="1"/>
  <c r="K62" i="16" l="1"/>
  <c r="O62" i="16" s="1"/>
  <c r="M29" i="23" s="1"/>
  <c r="M31" i="23" s="1"/>
  <c r="K64" i="16"/>
  <c r="K66" i="16"/>
  <c r="O66" i="16" s="1"/>
  <c r="A246" i="34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K37" i="23"/>
  <c r="K39" i="23" s="1"/>
  <c r="O16" i="2"/>
  <c r="O11" i="2"/>
  <c r="O13" i="2" s="1"/>
  <c r="O64" i="16" l="1"/>
  <c r="M33" i="23" s="1"/>
  <c r="M37" i="23" s="1"/>
  <c r="M39" i="23" s="1"/>
  <c r="O10" i="23"/>
  <c r="O13" i="23" s="1"/>
  <c r="O15" i="23" s="1"/>
  <c r="O33" i="20"/>
  <c r="M64" i="16" l="1"/>
  <c r="M35" i="23"/>
  <c r="O36" i="20"/>
  <c r="Q26" i="20"/>
  <c r="O14" i="19"/>
  <c r="O16" i="19" s="1"/>
  <c r="O19" i="19" s="1"/>
  <c r="Q20" i="19" l="1"/>
  <c r="O21" i="19"/>
  <c r="O23" i="19" s="1"/>
  <c r="O28" i="19" s="1"/>
  <c r="G138" i="16" l="1"/>
  <c r="I134" i="16" l="1"/>
  <c r="G78" i="16"/>
  <c r="I74" i="16" s="1"/>
  <c r="G118" i="16"/>
  <c r="I132" i="16"/>
  <c r="I136" i="16"/>
  <c r="G128" i="16"/>
  <c r="I114" i="16" l="1"/>
  <c r="I112" i="16"/>
  <c r="I116" i="16"/>
  <c r="I138" i="16"/>
  <c r="I76" i="16"/>
  <c r="I72" i="16"/>
  <c r="I122" i="16"/>
  <c r="I126" i="16"/>
  <c r="I124" i="16"/>
  <c r="I78" i="16" l="1"/>
  <c r="I118" i="16"/>
  <c r="I128" i="16"/>
  <c r="U21" i="2" l="1"/>
  <c r="N26" i="25"/>
  <c r="O12" i="27"/>
  <c r="S21" i="2"/>
  <c r="U12" i="27" l="1"/>
  <c r="U25" i="24"/>
  <c r="S12" i="27"/>
  <c r="S25" i="24"/>
  <c r="O21" i="27"/>
  <c r="Q21" i="2"/>
  <c r="N28" i="25"/>
  <c r="O32" i="19" s="1"/>
  <c r="P21" i="25"/>
  <c r="P26" i="25" s="1"/>
  <c r="O37" i="27" l="1"/>
  <c r="O39" i="27" s="1"/>
  <c r="Q12" i="27"/>
  <c r="Q25" i="24"/>
  <c r="O34" i="19"/>
  <c r="O36" i="19" s="1"/>
  <c r="O39" i="19" s="1"/>
  <c r="Q33" i="19"/>
  <c r="R21" i="25"/>
  <c r="R26" i="25" s="1"/>
  <c r="P28" i="25"/>
  <c r="Q32" i="19" s="1"/>
  <c r="K78" i="16" l="1"/>
  <c r="K72" i="16" s="1"/>
  <c r="O72" i="16" s="1"/>
  <c r="O41" i="27"/>
  <c r="T21" i="25"/>
  <c r="T26" i="25" s="1"/>
  <c r="T28" i="25" s="1"/>
  <c r="U32" i="19" s="1"/>
  <c r="R28" i="25"/>
  <c r="S32" i="19" s="1"/>
  <c r="U33" i="19" s="1"/>
  <c r="S33" i="19"/>
  <c r="Q34" i="19"/>
  <c r="Q36" i="19" s="1"/>
  <c r="K74" i="16" l="1"/>
  <c r="M78" i="16"/>
  <c r="K76" i="16"/>
  <c r="O76" i="16" s="1"/>
  <c r="O74" i="16" s="1"/>
  <c r="O29" i="23"/>
  <c r="O31" i="23" s="1"/>
  <c r="O24" i="2"/>
  <c r="U34" i="19"/>
  <c r="U36" i="19" s="1"/>
  <c r="S34" i="19"/>
  <c r="S36" i="19" s="1"/>
  <c r="O26" i="24" l="1"/>
  <c r="O25" i="2"/>
  <c r="O33" i="23"/>
  <c r="O35" i="23" s="1"/>
  <c r="M74" i="16"/>
  <c r="O37" i="23" l="1"/>
  <c r="O39" i="23" s="1"/>
  <c r="O26" i="2"/>
  <c r="O21" i="24"/>
  <c r="Q43" i="8" l="1"/>
  <c r="Q45" i="8" l="1"/>
  <c r="U13" i="7" s="1"/>
  <c r="U11" i="7" l="1"/>
  <c r="R74" i="3"/>
  <c r="R81" i="3" s="1"/>
  <c r="U19" i="7"/>
  <c r="Q17" i="2" s="1"/>
  <c r="Q11" i="23" s="1"/>
  <c r="U21" i="7" l="1"/>
  <c r="Y25" i="6"/>
  <c r="Y11" i="7"/>
  <c r="W25" i="6"/>
  <c r="U27" i="6"/>
  <c r="U29" i="6" s="1"/>
  <c r="W11" i="7"/>
  <c r="U33" i="6" l="1"/>
  <c r="W27" i="6"/>
  <c r="W29" i="6" s="1"/>
  <c r="Y27" i="6"/>
  <c r="Y29" i="6" s="1"/>
  <c r="U37" i="6"/>
  <c r="Q11" i="5"/>
  <c r="Q13" i="5" s="1"/>
  <c r="Q22" i="5" s="1"/>
  <c r="U35" i="6"/>
  <c r="W35" i="6" l="1"/>
  <c r="U39" i="6"/>
  <c r="Q27" i="5"/>
  <c r="Q16" i="2" s="1"/>
  <c r="W33" i="6"/>
  <c r="Y33" i="6"/>
  <c r="Y35" i="6"/>
  <c r="S11" i="5"/>
  <c r="S13" i="5" s="1"/>
  <c r="S22" i="5" s="1"/>
  <c r="W37" i="6"/>
  <c r="Y37" i="6"/>
  <c r="U11" i="5"/>
  <c r="U13" i="5" s="1"/>
  <c r="U22" i="5" s="1"/>
  <c r="Q10" i="23" l="1"/>
  <c r="Q13" i="23" s="1"/>
  <c r="Q15" i="23" s="1"/>
  <c r="U27" i="5"/>
  <c r="U16" i="2" s="1"/>
  <c r="S27" i="5"/>
  <c r="S16" i="2" s="1"/>
  <c r="W39" i="6"/>
  <c r="Y39" i="6"/>
  <c r="S10" i="23" l="1"/>
  <c r="S13" i="23" s="1"/>
  <c r="S15" i="23" s="1"/>
  <c r="U10" i="23"/>
  <c r="U13" i="23" s="1"/>
  <c r="U15" i="23" s="1"/>
  <c r="M38" i="24" l="1"/>
  <c r="M40" i="24" s="1"/>
  <c r="M46" i="24" s="1"/>
  <c r="M48" i="24" s="1"/>
  <c r="O38" i="24"/>
  <c r="O40" i="24" s="1"/>
  <c r="O46" i="24" s="1"/>
  <c r="O48" i="24" s="1"/>
  <c r="K38" i="24"/>
  <c r="K40" i="24" s="1"/>
  <c r="K46" i="24" s="1"/>
  <c r="K48" i="24" s="1"/>
  <c r="I27" i="23" l="1"/>
  <c r="M27" i="23"/>
  <c r="K27" i="23"/>
  <c r="O27" i="23"/>
  <c r="J12" i="13" l="1"/>
  <c r="I14" i="13" l="1"/>
  <c r="J14" i="13" s="1"/>
  <c r="I15" i="13"/>
  <c r="J15" i="13" s="1"/>
  <c r="I16" i="13"/>
  <c r="J16" i="13" s="1"/>
  <c r="G15" i="14" l="1"/>
  <c r="G16" i="14"/>
  <c r="G13" i="14"/>
  <c r="G14" i="14"/>
  <c r="I12" i="14"/>
  <c r="I13" i="13"/>
  <c r="H17" i="13"/>
  <c r="G12" i="14"/>
  <c r="E17" i="14" l="1"/>
  <c r="J13" i="13"/>
  <c r="J17" i="13" s="1"/>
  <c r="I17" i="13"/>
  <c r="G17" i="14"/>
  <c r="I16" i="14"/>
  <c r="J16" i="14" s="1"/>
  <c r="I14" i="14"/>
  <c r="J14" i="14" s="1"/>
  <c r="I13" i="14" l="1"/>
  <c r="J13" i="14" s="1"/>
  <c r="I15" i="14"/>
  <c r="J15" i="14" s="1"/>
  <c r="G14" i="36"/>
  <c r="G15" i="36"/>
  <c r="G16" i="36"/>
  <c r="G13" i="36" l="1"/>
  <c r="H17" i="14"/>
  <c r="G12" i="36" l="1"/>
  <c r="J12" i="14"/>
  <c r="I17" i="14"/>
  <c r="E17" i="36" l="1"/>
  <c r="G17" i="36"/>
  <c r="J17" i="14"/>
  <c r="I15" i="36" l="1"/>
  <c r="J15" i="36" s="1"/>
  <c r="I16" i="36"/>
  <c r="J16" i="36" s="1"/>
  <c r="I12" i="36"/>
  <c r="I14" i="36"/>
  <c r="J14" i="36" s="1"/>
  <c r="I13" i="36" l="1"/>
  <c r="J13" i="36" s="1"/>
  <c r="H17" i="36"/>
  <c r="J12" i="36"/>
  <c r="I17" i="36" l="1"/>
  <c r="J17" i="36"/>
  <c r="I32" i="13" l="1"/>
  <c r="H44" i="13"/>
  <c r="I44" i="13" l="1"/>
  <c r="J32" i="13"/>
  <c r="J44" i="13" s="1"/>
  <c r="G32" i="14"/>
  <c r="E44" i="14"/>
  <c r="G44" i="14" l="1"/>
  <c r="I34" i="14" l="1"/>
  <c r="J34" i="14" s="1"/>
  <c r="I37" i="14"/>
  <c r="J37" i="14" s="1"/>
  <c r="I33" i="14"/>
  <c r="J33" i="14" s="1"/>
  <c r="H44" i="14"/>
  <c r="I32" i="14"/>
  <c r="I35" i="14"/>
  <c r="J35" i="14" s="1"/>
  <c r="I43" i="14"/>
  <c r="J43" i="14" s="1"/>
  <c r="I40" i="14"/>
  <c r="J40" i="14" s="1"/>
  <c r="I36" i="14"/>
  <c r="J36" i="14" s="1"/>
  <c r="G43" i="36" l="1"/>
  <c r="G36" i="36"/>
  <c r="G32" i="36"/>
  <c r="G33" i="36"/>
  <c r="G37" i="36"/>
  <c r="G40" i="36"/>
  <c r="G35" i="36"/>
  <c r="I44" i="14"/>
  <c r="J32" i="14"/>
  <c r="G34" i="36"/>
  <c r="E44" i="36" l="1"/>
  <c r="G44" i="36"/>
  <c r="J44" i="14"/>
  <c r="I37" i="36" l="1"/>
  <c r="J37" i="36" s="1"/>
  <c r="I35" i="36"/>
  <c r="J35" i="36" s="1"/>
  <c r="I33" i="36"/>
  <c r="J33" i="36" s="1"/>
  <c r="I36" i="36"/>
  <c r="J36" i="36" s="1"/>
  <c r="I40" i="36"/>
  <c r="J40" i="36" s="1"/>
  <c r="I43" i="36"/>
  <c r="J43" i="36" s="1"/>
  <c r="I34" i="36"/>
  <c r="J34" i="36" s="1"/>
  <c r="I32" i="36" l="1"/>
  <c r="H44" i="36"/>
  <c r="H29" i="13"/>
  <c r="H60" i="13" s="1"/>
  <c r="I28" i="13"/>
  <c r="I29" i="13" s="1"/>
  <c r="I60" i="13" s="1"/>
  <c r="J32" i="36" l="1"/>
  <c r="I44" i="36"/>
  <c r="E29" i="36"/>
  <c r="G28" i="14"/>
  <c r="E29" i="14"/>
  <c r="J28" i="13"/>
  <c r="J44" i="36" l="1"/>
  <c r="G28" i="36"/>
  <c r="J28" i="36" s="1"/>
  <c r="G29" i="14"/>
  <c r="J28" i="14"/>
  <c r="J29" i="13"/>
  <c r="J60" i="13" s="1"/>
  <c r="G29" i="36" l="1"/>
  <c r="W13" i="12"/>
  <c r="Q9" i="12"/>
  <c r="Q13" i="12" s="1"/>
  <c r="J29" i="36"/>
  <c r="J29" i="14"/>
  <c r="Y13" i="12" l="1"/>
  <c r="W28" i="20"/>
  <c r="Q28" i="20"/>
  <c r="Q33" i="20" s="1"/>
  <c r="Q20" i="2"/>
  <c r="W14" i="12" l="1"/>
  <c r="W33" i="20"/>
  <c r="W20" i="2"/>
  <c r="S26" i="20"/>
  <c r="Q14" i="19"/>
  <c r="Q16" i="19" s="1"/>
  <c r="Q19" i="19" s="1"/>
  <c r="Q36" i="20"/>
  <c r="Y28" i="20"/>
  <c r="Y20" i="2" s="1"/>
  <c r="Q24" i="24"/>
  <c r="Q41" i="23"/>
  <c r="Q43" i="23" s="1"/>
  <c r="Q11" i="27"/>
  <c r="Q21" i="27" l="1"/>
  <c r="Y14" i="12"/>
  <c r="Y24" i="24"/>
  <c r="Y41" i="23"/>
  <c r="Y43" i="23" s="1"/>
  <c r="Y11" i="27"/>
  <c r="Y21" i="27" s="1"/>
  <c r="Y37" i="27" s="1"/>
  <c r="Y39" i="27" s="1"/>
  <c r="Y41" i="27" s="1"/>
  <c r="S20" i="19"/>
  <c r="Q21" i="19"/>
  <c r="Q23" i="19" s="1"/>
  <c r="Q28" i="19" s="1"/>
  <c r="Q39" i="19" s="1"/>
  <c r="K118" i="16" s="1"/>
  <c r="Y26" i="20"/>
  <c r="Y33" i="20" s="1"/>
  <c r="W36" i="20"/>
  <c r="W14" i="19"/>
  <c r="W16" i="19" s="1"/>
  <c r="W19" i="19" s="1"/>
  <c r="W41" i="23"/>
  <c r="W43" i="23" s="1"/>
  <c r="W24" i="24"/>
  <c r="W11" i="27"/>
  <c r="W21" i="27" s="1"/>
  <c r="W37" i="27" s="1"/>
  <c r="W39" i="27" s="1"/>
  <c r="W41" i="27" s="1"/>
  <c r="Q37" i="27" l="1"/>
  <c r="W24" i="2"/>
  <c r="W26" i="24" s="1"/>
  <c r="Y24" i="2"/>
  <c r="Y26" i="24" s="1"/>
  <c r="Y14" i="19"/>
  <c r="Y16" i="19" s="1"/>
  <c r="Y19" i="19" s="1"/>
  <c r="Y36" i="20"/>
  <c r="K114" i="16"/>
  <c r="K116" i="16"/>
  <c r="O116" i="16" s="1"/>
  <c r="M118" i="16"/>
  <c r="K112" i="16"/>
  <c r="O112" i="16" s="1"/>
  <c r="W21" i="19"/>
  <c r="W23" i="19" s="1"/>
  <c r="W28" i="19" s="1"/>
  <c r="W39" i="19" s="1"/>
  <c r="K150" i="16" s="1"/>
  <c r="Y20" i="19"/>
  <c r="Q39" i="27" l="1"/>
  <c r="O114" i="16"/>
  <c r="M114" i="16" s="1"/>
  <c r="Y25" i="2"/>
  <c r="Y11" i="2" s="1"/>
  <c r="W25" i="2"/>
  <c r="Y21" i="19"/>
  <c r="Y23" i="19" s="1"/>
  <c r="Y28" i="19" s="1"/>
  <c r="Y39" i="19" s="1"/>
  <c r="K160" i="16" s="1"/>
  <c r="M160" i="16" s="1"/>
  <c r="M150" i="16"/>
  <c r="K144" i="16"/>
  <c r="O144" i="16" s="1"/>
  <c r="K148" i="16"/>
  <c r="O148" i="16" s="1"/>
  <c r="K146" i="16"/>
  <c r="Q29" i="23"/>
  <c r="Q31" i="23" s="1"/>
  <c r="Q41" i="27" l="1"/>
  <c r="Y21" i="24"/>
  <c r="Y38" i="24" s="1"/>
  <c r="Y40" i="24" s="1"/>
  <c r="Y46" i="24" s="1"/>
  <c r="W11" i="2"/>
  <c r="AA70" i="3" s="1"/>
  <c r="W21" i="24"/>
  <c r="W38" i="24" s="1"/>
  <c r="W40" i="24" s="1"/>
  <c r="W46" i="24" s="1"/>
  <c r="K154" i="16"/>
  <c r="O154" i="16" s="1"/>
  <c r="Y29" i="23" s="1"/>
  <c r="Y31" i="23" s="1"/>
  <c r="K156" i="16"/>
  <c r="K158" i="16"/>
  <c r="O158" i="16" s="1"/>
  <c r="Y13" i="2"/>
  <c r="Y26" i="2" s="1"/>
  <c r="AD70" i="3"/>
  <c r="Q33" i="23"/>
  <c r="O146" i="16"/>
  <c r="W29" i="23"/>
  <c r="W31" i="23" s="1"/>
  <c r="Q23" i="23" l="1"/>
  <c r="S19" i="23"/>
  <c r="Q24" i="2"/>
  <c r="W13" i="2"/>
  <c r="W26" i="2" s="1"/>
  <c r="O156" i="16"/>
  <c r="M146" i="16"/>
  <c r="W33" i="23"/>
  <c r="AA72" i="3"/>
  <c r="AA74" i="3" s="1"/>
  <c r="AA81" i="3" s="1"/>
  <c r="W10" i="24"/>
  <c r="W12" i="24" s="1"/>
  <c r="W18" i="24" s="1"/>
  <c r="W48" i="24" s="1"/>
  <c r="W27" i="23" s="1"/>
  <c r="Y10" i="24"/>
  <c r="Y12" i="24" s="1"/>
  <c r="Y18" i="24" s="1"/>
  <c r="Y48" i="24" s="1"/>
  <c r="Y27" i="23" s="1"/>
  <c r="AD72" i="3"/>
  <c r="AD74" i="3" s="1"/>
  <c r="AD81" i="3" s="1"/>
  <c r="Q35" i="23"/>
  <c r="Q37" i="23"/>
  <c r="Q39" i="23" s="1"/>
  <c r="Q26" i="24" l="1"/>
  <c r="Q25" i="2"/>
  <c r="Y33" i="23"/>
  <c r="Y37" i="23" s="1"/>
  <c r="Y39" i="23" s="1"/>
  <c r="M156" i="16"/>
  <c r="W35" i="23"/>
  <c r="W37" i="23"/>
  <c r="W39" i="23" s="1"/>
  <c r="Q26" i="2" l="1"/>
  <c r="Q21" i="24"/>
  <c r="Q38" i="24" s="1"/>
  <c r="Q40" i="24" s="1"/>
  <c r="Q46" i="24" s="1"/>
  <c r="Q48" i="24" s="1"/>
  <c r="Q27" i="23" s="1"/>
  <c r="Y35" i="23"/>
  <c r="E25" i="14"/>
  <c r="G20" i="14"/>
  <c r="E60" i="14" l="1"/>
  <c r="E62" i="14" s="1"/>
  <c r="G25" i="14"/>
  <c r="G60" i="14" s="1"/>
  <c r="I22" i="14" l="1"/>
  <c r="J22" i="14" s="1"/>
  <c r="G22" i="36"/>
  <c r="I23" i="14"/>
  <c r="J23" i="14" s="1"/>
  <c r="G23" i="36"/>
  <c r="G24" i="36"/>
  <c r="G21" i="36"/>
  <c r="I21" i="14"/>
  <c r="J21" i="14" s="1"/>
  <c r="I24" i="14"/>
  <c r="J24" i="14" s="1"/>
  <c r="H25" i="14" l="1"/>
  <c r="I20" i="14"/>
  <c r="H60" i="14" l="1"/>
  <c r="I25" i="14"/>
  <c r="I60" i="14" s="1"/>
  <c r="J20" i="14"/>
  <c r="J25" i="14" l="1"/>
  <c r="J60" i="14" s="1"/>
  <c r="S9" i="12" s="1"/>
  <c r="S13" i="12" s="1"/>
  <c r="I24" i="36" l="1"/>
  <c r="J24" i="36" s="1"/>
  <c r="I23" i="36"/>
  <c r="J23" i="36" s="1"/>
  <c r="I21" i="36"/>
  <c r="J21" i="36" s="1"/>
  <c r="S28" i="20"/>
  <c r="S33" i="20" s="1"/>
  <c r="S20" i="2"/>
  <c r="S41" i="23" l="1"/>
  <c r="S43" i="23" s="1"/>
  <c r="S24" i="24"/>
  <c r="S11" i="27"/>
  <c r="S21" i="27" s="1"/>
  <c r="S37" i="27" s="1"/>
  <c r="S39" i="27" s="1"/>
  <c r="S41" i="27" s="1"/>
  <c r="S36" i="20"/>
  <c r="S14" i="19"/>
  <c r="S16" i="19" s="1"/>
  <c r="S19" i="19" s="1"/>
  <c r="U26" i="20"/>
  <c r="H25" i="36" l="1"/>
  <c r="H60" i="36" s="1"/>
  <c r="I20" i="36"/>
  <c r="U20" i="19"/>
  <c r="S21" i="19"/>
  <c r="S23" i="19" s="1"/>
  <c r="S28" i="19" s="1"/>
  <c r="S39" i="19" s="1"/>
  <c r="K128" i="16" s="1"/>
  <c r="S24" i="2"/>
  <c r="I22" i="36"/>
  <c r="E25" i="36"/>
  <c r="G20" i="36"/>
  <c r="G25" i="36" s="1"/>
  <c r="S23" i="23" l="1"/>
  <c r="I25" i="36"/>
  <c r="I60" i="36" s="1"/>
  <c r="K126" i="16"/>
  <c r="O126" i="16" s="1"/>
  <c r="K124" i="16"/>
  <c r="M128" i="16"/>
  <c r="K122" i="16"/>
  <c r="O122" i="16" s="1"/>
  <c r="S26" i="24"/>
  <c r="S25" i="2"/>
  <c r="J22" i="36"/>
  <c r="E60" i="36"/>
  <c r="E62" i="36" s="1"/>
  <c r="G60" i="36"/>
  <c r="J20" i="36"/>
  <c r="S21" i="24" l="1"/>
  <c r="S38" i="24" s="1"/>
  <c r="S40" i="24" s="1"/>
  <c r="S46" i="24" s="1"/>
  <c r="S48" i="24" s="1"/>
  <c r="S27" i="23" s="1"/>
  <c r="S26" i="2"/>
  <c r="S29" i="23"/>
  <c r="S31" i="23" s="1"/>
  <c r="O124" i="16"/>
  <c r="J25" i="36"/>
  <c r="J60" i="36" s="1"/>
  <c r="U9" i="12" s="1"/>
  <c r="U13" i="12" s="1"/>
  <c r="M124" i="16" l="1"/>
  <c r="S33" i="23"/>
  <c r="U28" i="20"/>
  <c r="U33" i="20" s="1"/>
  <c r="U20" i="2"/>
  <c r="S35" i="23" l="1"/>
  <c r="S37" i="23"/>
  <c r="S39" i="23" s="1"/>
  <c r="U41" i="23"/>
  <c r="U43" i="23" s="1"/>
  <c r="U24" i="24"/>
  <c r="U11" i="27"/>
  <c r="U21" i="27" s="1"/>
  <c r="U37" i="27" s="1"/>
  <c r="U39" i="27" s="1"/>
  <c r="U36" i="20"/>
  <c r="U14" i="19"/>
  <c r="U16" i="19" s="1"/>
  <c r="U19" i="19" s="1"/>
  <c r="U21" i="19" s="1"/>
  <c r="U23" i="19" s="1"/>
  <c r="U28" i="19" s="1"/>
  <c r="U39" i="19" s="1"/>
  <c r="K138" i="16" s="1"/>
  <c r="K136" i="16" l="1"/>
  <c r="O136" i="16" s="1"/>
  <c r="K132" i="16"/>
  <c r="O132" i="16" s="1"/>
  <c r="M138" i="16"/>
  <c r="K134" i="16"/>
  <c r="U19" i="23"/>
  <c r="U41" i="27"/>
  <c r="U23" i="23" l="1"/>
  <c r="U24" i="2"/>
  <c r="O134" i="16"/>
  <c r="U29" i="23"/>
  <c r="U31" i="23" s="1"/>
  <c r="M134" i="16" l="1"/>
  <c r="U33" i="23"/>
  <c r="U26" i="24"/>
  <c r="U25" i="2"/>
  <c r="U21" i="24" l="1"/>
  <c r="U38" i="24" s="1"/>
  <c r="U40" i="24" s="1"/>
  <c r="U46" i="24" s="1"/>
  <c r="U48" i="24" s="1"/>
  <c r="U27" i="23" s="1"/>
  <c r="U26" i="2"/>
  <c r="U37" i="23"/>
  <c r="U39" i="23" s="1"/>
  <c r="U35" i="23"/>
</calcChain>
</file>

<file path=xl/sharedStrings.xml><?xml version="1.0" encoding="utf-8"?>
<sst xmlns="http://schemas.openxmlformats.org/spreadsheetml/2006/main" count="2749" uniqueCount="991">
  <si>
    <t>2011 Actual</t>
  </si>
  <si>
    <t>Page 1 of 5</t>
  </si>
  <si>
    <t>Page 2 of 5</t>
  </si>
  <si>
    <t>Page 3 of 5</t>
  </si>
  <si>
    <t>Page 4 of 5</t>
  </si>
  <si>
    <t>Page 5 of 5</t>
  </si>
  <si>
    <t>71800 - Provision for Uncollectible Accounts</t>
  </si>
  <si>
    <t>L.4 / L.3</t>
  </si>
  <si>
    <t>2008 Actual</t>
  </si>
  <si>
    <t>S</t>
  </si>
  <si>
    <t>2010 Actual</t>
  </si>
  <si>
    <t>Fish Lake License Renewal Costs / Other Deferred Costs</t>
  </si>
  <si>
    <t>2009 Actual</t>
  </si>
  <si>
    <t xml:space="preserve">S </t>
  </si>
  <si>
    <t>V</t>
  </si>
  <si>
    <t>Approved</t>
  </si>
  <si>
    <t>O&amp;M</t>
  </si>
  <si>
    <t>L.2 x L.6</t>
  </si>
  <si>
    <t>L.3 x L.7</t>
  </si>
  <si>
    <t xml:space="preserve">Shortfall Rider J </t>
  </si>
  <si>
    <t>Purchase Power Expense ($000s)</t>
  </si>
  <si>
    <t>Purchases (MWh)</t>
  </si>
  <si>
    <t>Regulatory Phase II</t>
  </si>
  <si>
    <t>72200 - Administration Corporate</t>
  </si>
  <si>
    <t>Meter Services</t>
  </si>
  <si>
    <t>($000's)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</si>
  <si>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</si>
  <si>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</si>
  <si>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</si>
  <si>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</si>
  <si>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</si>
  <si>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</si>
  <si>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</si>
  <si>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</si>
  <si>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</si>
  <si>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</si>
  <si>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</si>
  <si>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</si>
  <si>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</si>
  <si>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</si>
  <si>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</si>
  <si>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</si>
  <si>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</si>
  <si>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</si>
  <si>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</si>
  <si>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Long-term debt</t>
  </si>
  <si>
    <t>Common stock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</si>
  <si>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</si>
  <si>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</si>
  <si>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</si>
  <si>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</si>
  <si>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</si>
  <si>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</si>
  <si>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</si>
  <si>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</si>
  <si>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</si>
  <si>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</si>
  <si>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</si>
  <si>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</si>
  <si>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</si>
  <si>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</si>
  <si>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</si>
  <si>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</si>
  <si>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</si>
  <si>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</si>
  <si>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</si>
  <si>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</si>
  <si>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</si>
  <si>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</si>
  <si>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</si>
  <si>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</si>
  <si>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</si>
  <si>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</si>
  <si>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</si>
  <si>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</si>
  <si>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</si>
  <si>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</si>
  <si>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</si>
  <si>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</si>
  <si>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</si>
  <si>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</si>
  <si>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</si>
  <si>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</si>
  <si>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</si>
  <si>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</si>
  <si>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</si>
  <si>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</si>
  <si>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</si>
  <si>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</si>
  <si>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</si>
  <si>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</si>
  <si>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</si>
  <si>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</si>
  <si>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</si>
  <si>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</si>
  <si>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</si>
  <si>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</si>
  <si>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</si>
  <si>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</si>
  <si>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</si>
  <si>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</si>
  <si>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</si>
  <si>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</si>
  <si>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Cost Rate *</t>
  </si>
  <si>
    <t>87200 - Vehicle Depreciation</t>
  </si>
  <si>
    <t>Computation of Rate Base</t>
  </si>
  <si>
    <t>Property, Plant and Equipment</t>
  </si>
  <si>
    <t>Gross Rate Base</t>
  </si>
  <si>
    <t>Net Rate Base</t>
  </si>
  <si>
    <t>($000)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</si>
  <si>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</si>
  <si>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</si>
  <si>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</si>
  <si>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</si>
  <si>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</si>
  <si>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</si>
  <si>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</si>
  <si>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</si>
  <si>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Salvage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</si>
  <si>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</si>
  <si>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</si>
  <si>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</si>
  <si>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</si>
  <si>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</si>
  <si>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</si>
  <si>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</si>
  <si>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</si>
  <si>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</si>
  <si>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</si>
  <si>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</si>
  <si>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</si>
  <si>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</si>
  <si>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</si>
  <si>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</si>
  <si>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</si>
  <si>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</si>
  <si>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</si>
  <si>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</si>
  <si>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</si>
  <si>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</si>
  <si>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</si>
  <si>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</si>
  <si>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</si>
  <si>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</si>
  <si>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</si>
  <si>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</si>
  <si>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</si>
  <si>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</si>
  <si>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</si>
  <si>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</si>
  <si>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</si>
  <si>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</si>
  <si>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</si>
  <si>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</si>
  <si>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 xml:space="preserve">     New Extensions</t>
  </si>
  <si>
    <t xml:space="preserve">     Distribution Improvements</t>
  </si>
  <si>
    <t xml:space="preserve">     Meters</t>
  </si>
  <si>
    <t xml:space="preserve">     Tools, Instruments &amp; Equipment</t>
  </si>
  <si>
    <t xml:space="preserve">     Office Furniture &amp; Equipment</t>
  </si>
  <si>
    <t xml:space="preserve">     Office Computer Equipment</t>
  </si>
  <si>
    <t xml:space="preserve">     Communication Equipment</t>
  </si>
  <si>
    <t xml:space="preserve">     Transportation Equipment</t>
  </si>
  <si>
    <t xml:space="preserve">     Land and Buildings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</si>
  <si>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</si>
  <si>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</si>
  <si>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</si>
  <si>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</si>
  <si>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</si>
  <si>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</si>
  <si>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</si>
  <si>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</si>
  <si>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</si>
  <si>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</si>
  <si>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</si>
  <si>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 xml:space="preserve">     Street and Sentinel Lights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</si>
  <si>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</si>
  <si>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</si>
  <si>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</si>
  <si>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</si>
  <si>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</si>
  <si>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</si>
  <si>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</si>
  <si>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</si>
  <si>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</si>
  <si>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</si>
  <si>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</si>
  <si>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</si>
  <si>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</si>
  <si>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</si>
  <si>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</si>
  <si>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</si>
  <si>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</si>
  <si>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</si>
  <si>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</si>
  <si>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</si>
  <si>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</si>
  <si>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</si>
  <si>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</si>
  <si>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</si>
  <si>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</si>
  <si>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</si>
  <si>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</si>
  <si>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</si>
  <si>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</si>
  <si>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</si>
  <si>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</si>
  <si>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</si>
  <si>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</si>
  <si>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</si>
  <si>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</si>
  <si>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</si>
  <si>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</si>
  <si>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</si>
  <si>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</si>
  <si>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</si>
  <si>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</si>
  <si>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</si>
  <si>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</si>
  <si>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</si>
  <si>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</si>
  <si>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</si>
  <si>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</si>
  <si>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</si>
  <si>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</si>
  <si>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</si>
  <si>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</si>
  <si>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</si>
  <si>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</si>
  <si>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</si>
  <si>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</si>
  <si>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</si>
  <si>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</si>
  <si>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</si>
  <si>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</si>
  <si>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</si>
  <si>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</si>
  <si>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</si>
  <si>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</si>
  <si>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</si>
  <si>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Plant Maintenance Reserve Amortization</t>
  </si>
  <si>
    <t>Plant Maintenance Reserve Charges</t>
  </si>
  <si>
    <t>Diesel Fuel</t>
  </si>
  <si>
    <t>Diesel Generation and Fuel Summary</t>
  </si>
  <si>
    <t>Plant Maintenance Reserve Costs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</si>
  <si>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</si>
  <si>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</si>
  <si>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</si>
  <si>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</si>
  <si>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</si>
  <si>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</si>
  <si>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</si>
  <si>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</si>
  <si>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</si>
  <si>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</si>
  <si>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</si>
  <si>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</si>
  <si>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</si>
  <si>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</si>
  <si>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</si>
  <si>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</si>
  <si>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</si>
  <si>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</si>
  <si>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</si>
  <si>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</si>
  <si>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</si>
  <si>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</si>
  <si>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</si>
  <si>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</si>
  <si>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</si>
  <si>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</si>
  <si>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</si>
  <si>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</si>
  <si>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</si>
  <si>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</si>
  <si>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</si>
  <si>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</si>
  <si>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</si>
  <si>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</si>
  <si>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</si>
  <si>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</si>
  <si>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</si>
  <si>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</si>
  <si>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</si>
  <si>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</si>
  <si>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71300 - Customer Billing &amp; Accounting</t>
  </si>
  <si>
    <t xml:space="preserve">  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</si>
  <si>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</si>
  <si>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</si>
  <si>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</si>
  <si>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</si>
  <si>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</si>
  <si>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</si>
  <si>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</si>
  <si>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</si>
  <si>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</si>
  <si>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</si>
  <si>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</si>
  <si>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</si>
  <si>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</si>
  <si>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</si>
  <si>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</si>
  <si>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</si>
  <si>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</si>
  <si>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</si>
  <si>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</si>
  <si>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</si>
  <si>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</si>
  <si>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</si>
  <si>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</si>
  <si>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 xml:space="preserve">     Transformers and Regulators</t>
  </si>
  <si>
    <t>Material Management</t>
  </si>
  <si>
    <t>2006 Actuals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</si>
  <si>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</si>
  <si>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</si>
  <si>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</si>
  <si>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</si>
  <si>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</si>
  <si>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</si>
  <si>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</si>
  <si>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</si>
  <si>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S.1 L.13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</si>
  <si>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</si>
  <si>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</si>
  <si>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</si>
  <si>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</si>
  <si>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</si>
  <si>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</si>
  <si>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</si>
  <si>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</si>
  <si>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</si>
  <si>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</si>
  <si>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</si>
  <si>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</si>
  <si>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</si>
  <si>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</si>
  <si>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</si>
  <si>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</si>
  <si>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</si>
  <si>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S.1.1 L.14</t>
  </si>
  <si>
    <t>Computer Equipment</t>
  </si>
  <si>
    <t>(MW.h )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</si>
  <si>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</si>
  <si>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</si>
  <si>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</si>
  <si>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</si>
  <si>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</si>
  <si>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</si>
  <si>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</si>
  <si>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</si>
  <si>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</si>
  <si>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Yukon Electrical Company Limited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</si>
  <si>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</si>
  <si>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</si>
  <si>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</si>
  <si>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</si>
  <si>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</si>
  <si>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</si>
  <si>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</si>
  <si>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</si>
  <si>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Billing:</t>
  </si>
  <si>
    <t>New N60 Billing Systems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</si>
  <si>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</si>
  <si>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</si>
  <si>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</si>
  <si>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</si>
  <si>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</si>
  <si>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</si>
  <si>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</si>
  <si>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</si>
  <si>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</si>
  <si>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</si>
  <si>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</si>
  <si>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</si>
  <si>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S.3.2 L.8 &amp; 9</t>
  </si>
  <si>
    <t>S.4.1 L.1</t>
  </si>
  <si>
    <t>S.3.2 L.10</t>
  </si>
  <si>
    <t>C</t>
  </si>
  <si>
    <t>Deferred Pension and Regulatory Asset/Liability</t>
  </si>
  <si>
    <t>2007 Actual</t>
  </si>
  <si>
    <t>D</t>
  </si>
  <si>
    <t>E</t>
  </si>
  <si>
    <t>L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</si>
  <si>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</si>
  <si>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</si>
  <si>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</si>
  <si>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</si>
  <si>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</si>
  <si>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</si>
  <si>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</si>
  <si>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</si>
  <si>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</si>
  <si>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</si>
  <si>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</si>
  <si>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</si>
  <si>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</si>
  <si>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Diesel Plant Major Overhaul Costs</t>
  </si>
  <si>
    <t xml:space="preserve">Fish Lake License Renewal Costs </t>
  </si>
  <si>
    <t>Fish Lake Costs</t>
  </si>
  <si>
    <t>Cumulative Eligible Captial</t>
  </si>
  <si>
    <t>Other</t>
  </si>
  <si>
    <t>Fish Lake Amortization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</si>
  <si>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</si>
  <si>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</si>
  <si>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</si>
  <si>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</si>
  <si>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</si>
  <si>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</si>
  <si>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</si>
  <si>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</si>
  <si>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</si>
  <si>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</si>
  <si>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</si>
  <si>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</si>
  <si>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</si>
  <si>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</si>
  <si>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TOTAL REVENUES</t>
  </si>
  <si>
    <t>S.5.1 L.49</t>
  </si>
  <si>
    <t>72200 - Administrative Corporate</t>
  </si>
  <si>
    <t>T</t>
  </si>
  <si>
    <t>U</t>
  </si>
  <si>
    <t>S.8.2 L.18</t>
  </si>
  <si>
    <t>S.8.2 L.36</t>
  </si>
  <si>
    <t>S.8.6 L.14</t>
  </si>
  <si>
    <t>Inventory Pool Costs Capitalized</t>
  </si>
  <si>
    <t>S.10.1 L.17</t>
  </si>
  <si>
    <t>S.10.1 L.8</t>
  </si>
  <si>
    <t>Watson Lake</t>
  </si>
  <si>
    <t>Beaver Creek</t>
  </si>
  <si>
    <t>Destruction Bay</t>
  </si>
  <si>
    <t>Old Crow</t>
  </si>
  <si>
    <t>Pelly Crossing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</si>
  <si>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</si>
  <si>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</si>
  <si>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</si>
  <si>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</si>
  <si>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</si>
  <si>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</si>
  <si>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</si>
  <si>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</si>
  <si>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</si>
  <si>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Pension &amp; OPEB payments</t>
  </si>
  <si>
    <t>Rate Increase from Existing Rates</t>
  </si>
  <si>
    <t>Net Rate Increase ($000s)</t>
  </si>
  <si>
    <t>% Rate Increase over Existing Rates</t>
  </si>
  <si>
    <t>YECL Primary Retail Revenue</t>
  </si>
  <si>
    <t>Total YEC/YECL Retail Revenue Primary Rates ($000s)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</si>
  <si>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</si>
  <si>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</si>
  <si>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</si>
  <si>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</si>
  <si>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</si>
  <si>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</si>
  <si>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</si>
  <si>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</si>
  <si>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Add: Fish Lake Costs</t>
  </si>
  <si>
    <t>S.8.8 L.34</t>
  </si>
  <si>
    <t>S.4.1 L.6</t>
  </si>
  <si>
    <t>S.8.4 L.8</t>
  </si>
  <si>
    <t xml:space="preserve">Fish Lake Licence Reserve </t>
  </si>
  <si>
    <t xml:space="preserve">      Internal Combustion</t>
  </si>
  <si>
    <t>Note 1</t>
  </si>
  <si>
    <t>GRA</t>
  </si>
  <si>
    <t>Per YUB Filing</t>
  </si>
  <si>
    <t>Variances to YUB Filings:</t>
  </si>
  <si>
    <t xml:space="preserve">The RFID costs for 2009 were booked as credit to Revenue </t>
  </si>
  <si>
    <t>Line 4:</t>
  </si>
  <si>
    <t>Lines 7:9</t>
  </si>
  <si>
    <t>Non-Utility O&amp;M</t>
  </si>
  <si>
    <t>Non-Allowable O&amp;M</t>
  </si>
  <si>
    <t>Fuel Variance Debited to Expense (Fuel)</t>
  </si>
  <si>
    <t>RFID Costs booked to O&amp;M (per FAS-71)</t>
  </si>
  <si>
    <t>Fuel Variance classified as Revenue in YUB filing</t>
  </si>
  <si>
    <t>Per YUB Filing (Net O&amp;M - see below *)</t>
  </si>
  <si>
    <t>* YUB filing (Net O&amp;M)</t>
  </si>
  <si>
    <t>Per YUB Filing Utility Revenue</t>
  </si>
  <si>
    <t>Difference due to classification to contributions</t>
  </si>
  <si>
    <t>Line 13</t>
  </si>
  <si>
    <t>Line 12:</t>
  </si>
  <si>
    <t>Net Negative Salvage Costs</t>
  </si>
  <si>
    <t>Rounding</t>
  </si>
  <si>
    <t xml:space="preserve">Deemed Rider F </t>
  </si>
  <si>
    <t>GHL</t>
  </si>
  <si>
    <t>Contributions</t>
  </si>
  <si>
    <t>F/S</t>
  </si>
  <si>
    <t>CIS</t>
  </si>
  <si>
    <t>Rider J</t>
  </si>
  <si>
    <t>2012 Actual</t>
  </si>
  <si>
    <t xml:space="preserve">     Software</t>
  </si>
  <si>
    <t>S. 4.2 L.32</t>
  </si>
  <si>
    <t>2013 - 2015 General Rate Application</t>
  </si>
  <si>
    <t>Dismantling Costs</t>
  </si>
  <si>
    <t xml:space="preserve">      Hydro</t>
  </si>
  <si>
    <t>Street Lights</t>
  </si>
  <si>
    <t>Proposed</t>
  </si>
  <si>
    <t>Charitable Donations</t>
  </si>
  <si>
    <t>Deferred Charges</t>
  </si>
  <si>
    <t xml:space="preserve">Note 1 - Major Diesel Overhauls are classified as Property Plant and Equipment for 2011  </t>
  </si>
  <si>
    <t>Note 2 - Fish Lake License costs are classified as Intangible Property Plant and Equipment for 2010.</t>
  </si>
  <si>
    <t>Less: Rate Case (Write-off) Credit</t>
  </si>
  <si>
    <t>Calculation of Depreciation Expense 2013</t>
  </si>
  <si>
    <t>Calculation of Depreciation Expense 2014</t>
  </si>
  <si>
    <t>Add: Costs</t>
  </si>
  <si>
    <t>Less: Write-off</t>
  </si>
  <si>
    <t>Line Transformers</t>
  </si>
  <si>
    <t>Software</t>
  </si>
  <si>
    <t xml:space="preserve">     Meters - AMR</t>
  </si>
  <si>
    <t>Closing</t>
  </si>
  <si>
    <t>Industrial</t>
  </si>
  <si>
    <t>Standby Units</t>
  </si>
  <si>
    <t xml:space="preserve">Pelly Crossing </t>
  </si>
  <si>
    <t>Costs increase in 2014 mainly due to the addition of an environmental</t>
  </si>
  <si>
    <t>Costs increase in 2011 mainly due to increased maintenance</t>
  </si>
  <si>
    <t xml:space="preserve">Costs increase in 2013 due to higher costs for after-hours </t>
  </si>
  <si>
    <t>Costs increase in 2012 mainly due to a major repair</t>
  </si>
  <si>
    <t>required for the shipyards park transformer ($67).</t>
  </si>
  <si>
    <t>for streetlight repairs.</t>
  </si>
  <si>
    <t>Costs increase in 2012 due to increased overall activity</t>
  </si>
  <si>
    <t xml:space="preserve">Costs increase in 2013 due to inflation and increased </t>
  </si>
  <si>
    <t xml:space="preserve">Costs decrease in 2011 mainly due to lower vehicle usage </t>
  </si>
  <si>
    <t>Pelly Crossing (Standby as of 2009)</t>
  </si>
  <si>
    <t>Note 1:</t>
  </si>
  <si>
    <t xml:space="preserve">After Hours - Call Answering </t>
  </si>
  <si>
    <t>volume of customer credit card payments ($22).</t>
  </si>
  <si>
    <t>Insurance costs increase in 2011 due to absence of</t>
  </si>
  <si>
    <t>and Distribution line insurance coverage starting July 1, 2014.</t>
  </si>
  <si>
    <t>reduction in line insurance removed July 1, 2014.</t>
  </si>
  <si>
    <t xml:space="preserve">Costs increase in 2013 to reflect an average expected </t>
  </si>
  <si>
    <t>relocation expense for the year.</t>
  </si>
  <si>
    <t>483 20</t>
  </si>
  <si>
    <t>Pelly Crossing Deferral Account</t>
  </si>
  <si>
    <t>Watson Lake LNG Study Costs</t>
  </si>
  <si>
    <t>Phase I</t>
  </si>
  <si>
    <t>Depreciation Expert</t>
  </si>
  <si>
    <t>Legal Expenses</t>
  </si>
  <si>
    <t>ATCO Electric Disbursements</t>
  </si>
  <si>
    <t>Yukon Electrical Disbursements</t>
  </si>
  <si>
    <t>Board Costs</t>
  </si>
  <si>
    <t>Phase II</t>
  </si>
  <si>
    <t>S2.1 L.51</t>
  </si>
  <si>
    <t>The Yukon Electrical Company Limited</t>
  </si>
  <si>
    <t>2013 Test Period</t>
  </si>
  <si>
    <t>2014 Test Period</t>
  </si>
  <si>
    <t>2015 Test Period</t>
  </si>
  <si>
    <t>2008 GRA Approved</t>
  </si>
  <si>
    <t>2009 GRA Approved</t>
  </si>
  <si>
    <t>Schedule of Debt Capital Employed and Embedded Cost 2008 - 2012</t>
  </si>
  <si>
    <t>S.2.2 L.6</t>
  </si>
  <si>
    <t>Fuel Information</t>
  </si>
  <si>
    <t>S.2.1 L.51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</si>
  <si>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</si>
  <si>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</si>
  <si>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</si>
  <si>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</si>
  <si>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</si>
  <si>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</si>
  <si>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</si>
  <si>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</si>
  <si>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</si>
  <si>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S.8.1 L.5, 10, 15, 20, 25, 30, 35, 40, 45, 50</t>
  </si>
  <si>
    <t>L.52 - L.53</t>
  </si>
  <si>
    <t xml:space="preserve">     Fish Lake Water License Renewal</t>
  </si>
  <si>
    <t>S.9.1 L.33</t>
  </si>
  <si>
    <t xml:space="preserve">     Demand Side Management Costs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</si>
  <si>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</si>
  <si>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</si>
  <si>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</si>
  <si>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</si>
  <si>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</si>
  <si>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Alowance for Doubtful Accounts</t>
  </si>
  <si>
    <t>Plant Maintenance Write-off</t>
  </si>
  <si>
    <t>Fish Lake Water License Write-off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</si>
  <si>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</si>
  <si>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</si>
  <si>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</si>
  <si>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</si>
  <si>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</si>
  <si>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</si>
  <si>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</si>
  <si>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</si>
  <si>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S.1.1 L.17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</si>
  <si>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</si>
  <si>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</si>
  <si>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</si>
  <si>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</si>
  <si>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</si>
  <si>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</si>
  <si>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</si>
  <si>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>allocation ($40) and lower labour allocation ($30) due to the</t>
  </si>
  <si>
    <t>Costs increase in 2011 mainly due to costs related to maintain</t>
  </si>
  <si>
    <t xml:space="preserve">connectivity to the Hydro Grid while Yukon Energy  performed capital </t>
  </si>
  <si>
    <t>labour and fringe ($18).</t>
  </si>
  <si>
    <t>Costs increase in 2012 mainly due to increased maintenance</t>
  </si>
  <si>
    <t xml:space="preserve">for unit 2 related to the generator and flywheel ($57) offset by </t>
  </si>
  <si>
    <t>lower labour and fringe ($15).</t>
  </si>
  <si>
    <t xml:space="preserve">Costs increase in 2012 due to higher costs for fringe benefits </t>
  </si>
  <si>
    <t>use of temporary meter readers and more estimates.</t>
  </si>
  <si>
    <t>Costs decrease in 2013 due to lower regulatory costs.</t>
  </si>
  <si>
    <t>experience credits and increase costs for the policy.</t>
  </si>
  <si>
    <t>Costs increase in 2012 due to required safety programs for staff.</t>
  </si>
  <si>
    <t xml:space="preserve">Costs increase in 2012 mainly due to Regulatory intervention costs </t>
  </si>
  <si>
    <t>Costs decrease in 2011 due to lower audit fees ($22).</t>
  </si>
  <si>
    <t xml:space="preserve">for YEC Phase I ($103) and higher bank fees from higher </t>
  </si>
  <si>
    <t>Costs increase in 2012 due  to higher audit fees ($48) and higher</t>
  </si>
  <si>
    <t>employee association and other costs for bargaining ($19).</t>
  </si>
  <si>
    <t xml:space="preserve">due to pension funding ($15) and higher after-hours call </t>
  </si>
  <si>
    <t>due to pension funding ($60).</t>
  </si>
  <si>
    <t>Costs increase in 2012 due to higher costs for various services,</t>
  </si>
  <si>
    <t>Costs increase in 2013 due to labour and fringe for increases for inspection</t>
  </si>
  <si>
    <t xml:space="preserve">64600 - Diesel Generation </t>
  </si>
  <si>
    <t>LNG Storage and Vapourization Skid</t>
  </si>
  <si>
    <t>S.8.6 L.10</t>
  </si>
  <si>
    <t>S. 8.6 L.6</t>
  </si>
  <si>
    <t>S. 8.6 L.19</t>
  </si>
  <si>
    <t>492 00</t>
  </si>
  <si>
    <t>493 00</t>
  </si>
  <si>
    <t>496 00</t>
  </si>
  <si>
    <t>Demand Side Management</t>
  </si>
  <si>
    <t>491 00</t>
  </si>
  <si>
    <t>Other Deferrals and Studies Costs</t>
  </si>
  <si>
    <t>Other Deferrals and Studies Wite-off</t>
  </si>
  <si>
    <t>S.8.8 L. 52,60,68</t>
  </si>
  <si>
    <t>Rate changed in July 2011 from 0.0684 to 0.0830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</si>
  <si>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</si>
  <si>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</si>
  <si>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</si>
  <si>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</si>
  <si>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</si>
  <si>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</si>
  <si>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</si>
  <si>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</si>
  <si>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</si>
  <si>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S.8.8 L.23</t>
  </si>
  <si>
    <t>S.8.4 L.28</t>
  </si>
  <si>
    <t>Work in progress, Beginning of Year</t>
  </si>
  <si>
    <t>Total Capital Expenditures</t>
  </si>
  <si>
    <t>Less: Transfers to Rate Base</t>
  </si>
  <si>
    <t>Work in Progress, End of Year</t>
  </si>
  <si>
    <t>S.8.6 L.5</t>
  </si>
  <si>
    <t>S.9.1 L.35</t>
  </si>
  <si>
    <t>S.8.12 L.11</t>
  </si>
  <si>
    <t>S.8.8 L. 53,61,69</t>
  </si>
  <si>
    <t>(L.32*L.36)/365</t>
  </si>
  <si>
    <t>S.8.11 L.40</t>
  </si>
  <si>
    <t>(L.22+L.26)/2</t>
  </si>
  <si>
    <t xml:space="preserve">Less: Fish Lake Write-off </t>
  </si>
  <si>
    <t>IFRS Opening Balance Reclass to PP&amp;E</t>
  </si>
  <si>
    <t>S.8.8 L.45</t>
  </si>
  <si>
    <t>S.8.8 L.36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</si>
  <si>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</si>
  <si>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</si>
  <si>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</si>
  <si>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</si>
  <si>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</si>
  <si>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</si>
  <si>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 8.8 L.33+L.43</t>
  </si>
  <si>
    <t>S.7.2, 7.3, 7.4 L.51</t>
  </si>
  <si>
    <t>S.7.2, 7.3, 7.4 L.53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</si>
  <si>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</si>
  <si>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</si>
  <si>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</si>
  <si>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</si>
  <si>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</si>
  <si>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</si>
  <si>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</si>
  <si>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</si>
  <si>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</si>
  <si>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</si>
  <si>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Add: Major Overhaul Costs</t>
  </si>
  <si>
    <t xml:space="preserve">Less: Major Overhaul Write-off </t>
  </si>
  <si>
    <t>Long-Term Debt</t>
  </si>
  <si>
    <t>Common Stock</t>
  </si>
  <si>
    <t>S.8.2 L.19</t>
  </si>
  <si>
    <t>S.8.2 L.42</t>
  </si>
  <si>
    <t>S.8.2 L.63</t>
  </si>
  <si>
    <t>S.8.2 L.85</t>
  </si>
  <si>
    <t>S.8.2 L.107</t>
  </si>
  <si>
    <t>S.8.3 L.23</t>
  </si>
  <si>
    <t>S.8.3 L.48</t>
  </si>
  <si>
    <t>S.8.3 L.73</t>
  </si>
  <si>
    <t>S.8.2 L.126</t>
  </si>
  <si>
    <t>S.8.2 L.148</t>
  </si>
  <si>
    <t>S. 7.2, 7.3,7.4 L.51</t>
  </si>
  <si>
    <t>S.7.5 L. 51</t>
  </si>
  <si>
    <t>S. 7.1 L. 2</t>
  </si>
  <si>
    <t>S.8.8 L.10</t>
  </si>
  <si>
    <t>S.2.1 L.46</t>
  </si>
  <si>
    <t>S.2.1 L.50</t>
  </si>
  <si>
    <t>Fuel</t>
  </si>
  <si>
    <t>S.8.8 L.34 / S.9.1 L. 22</t>
  </si>
  <si>
    <t>Net Plant in Service</t>
  </si>
  <si>
    <t>YEC Firm Revenue</t>
  </si>
  <si>
    <t>Costs increase in 2012 due to environmental costs related to the</t>
  </si>
  <si>
    <t>W</t>
  </si>
  <si>
    <t>X</t>
  </si>
  <si>
    <t>Y</t>
  </si>
  <si>
    <t>Z</t>
  </si>
  <si>
    <t>AA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</si>
  <si>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</si>
  <si>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</si>
  <si>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</si>
  <si>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</si>
  <si>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</si>
  <si>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</si>
  <si>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</si>
  <si>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</si>
  <si>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S.8.8 L.24 + L.25</t>
  </si>
  <si>
    <t>material and equipment ($70), and higher fringe costs</t>
  </si>
  <si>
    <t>management services ($7).</t>
  </si>
  <si>
    <t>Costs increase in 2012 due to increased overall activity ($89)</t>
  </si>
  <si>
    <t>and costs for Arctic Winter Games (AWG) support ($25).</t>
  </si>
  <si>
    <t>due to pension funding.</t>
  </si>
  <si>
    <t>Costs decrease in 2012 due to lower relocations.</t>
  </si>
  <si>
    <t>and lower employee association costs for collective bargaining ($8).</t>
  </si>
  <si>
    <t>The Fuel Variance for 2008 was not recalculated for the 2008 approved prices as the rate increase Rider calculation based on the Feb 19, 2009 Decision 2009-02 was implemented in 2009 and trued up the cumulative 2008 impacts.</t>
  </si>
  <si>
    <t>Other Retirements Less Than $20,000</t>
  </si>
  <si>
    <t xml:space="preserve">  Distribution (continued)</t>
  </si>
  <si>
    <t>Fish Lake water licence process.</t>
  </si>
  <si>
    <t>Costs increase in 2011 mainly due to overall higher contractor costs</t>
  </si>
  <si>
    <t>Costs increase in 2012 mainly due to overall higher contractor costs</t>
  </si>
  <si>
    <t>result of weather and contractor availability.</t>
  </si>
  <si>
    <t xml:space="preserve">Costs decrease in 2011 due to brushing activities deferred to 2012 as a </t>
  </si>
  <si>
    <t xml:space="preserve">Costs increase in 2012 due to lag from 2011 as a result of weather and </t>
  </si>
  <si>
    <t>contractor availability.</t>
  </si>
  <si>
    <t>Costs decrease in 2013 due to reduction in costs for AWG ($25) and</t>
  </si>
  <si>
    <t>for the addition of a Senior Corporate Communications Advisor.</t>
  </si>
  <si>
    <t xml:space="preserve">Costs increase in 2012 mainly due to higher fringe costs </t>
  </si>
  <si>
    <t>Costs increase in 2013 due to additional labour from a Power Line</t>
  </si>
  <si>
    <t>Technician Apprentice and a Customer Service Advisor, as well as inflation.</t>
  </si>
  <si>
    <t>Intervener Costs</t>
  </si>
  <si>
    <t>S. 8.9 L.8, L.15</t>
  </si>
  <si>
    <t>Financial Reporting and Regulatory Support</t>
  </si>
  <si>
    <t>Licence - Fish Lake</t>
  </si>
  <si>
    <t>Costs increase 2012 mainly due to additional, temporary meter reader position</t>
  </si>
  <si>
    <t>added to assist with meter reading.</t>
  </si>
  <si>
    <t>Costs increase in 2013 mainly due to higher labour for meter reading as a result of</t>
  </si>
  <si>
    <t>the reclassification of a temporary meter reader position to full-time.  This resulted in</t>
  </si>
  <si>
    <t>Costs decrease in 2011 mainly due to a reduction in Regulatory costs</t>
  </si>
  <si>
    <t xml:space="preserve">Costs decrease in 2014 mainly due to the removal of Transmission </t>
  </si>
  <si>
    <t xml:space="preserve">Costs decrease in 2015 mainly due to the full year effect of the </t>
  </si>
  <si>
    <t>Rates and Terms &amp; Conditions</t>
  </si>
  <si>
    <t>maintenance on the system  i.e.  'Aishihik Bypass' project ($114).</t>
  </si>
  <si>
    <t>for unit 2 governor and bearings ($24) as well as increased</t>
  </si>
  <si>
    <t>for maintenance for various  overhauls and repairs.</t>
  </si>
  <si>
    <t>for maintenance for various overhauls and repairs.</t>
  </si>
  <si>
    <t xml:space="preserve">Costs increase from 2010 to 2011 mainly due to the addition of a Financial  </t>
  </si>
  <si>
    <t>from the Prior year Phase II proceeding ($113K).</t>
  </si>
  <si>
    <t>Costs increase in 2012 mainly due to addition of a Corporate Accountant and</t>
  </si>
  <si>
    <t>Manager position to support the accounting, finance and regulatory functions.</t>
  </si>
  <si>
    <t>General Property and Equipment:</t>
  </si>
  <si>
    <t>Additions to Property</t>
  </si>
  <si>
    <t>Analyst ($78), higher ITEK-IT Costs ($38), and higher Head Office costs ($31)</t>
  </si>
  <si>
    <t>Costs increase in 2014 mainly due to higher costs for Collective Bargaining.</t>
  </si>
  <si>
    <t>Costs decrease in 2013 due to lower employee association costs.</t>
  </si>
  <si>
    <t>S.5.2 L.3</t>
  </si>
  <si>
    <t>S.5.2 L.21</t>
  </si>
  <si>
    <t>S.5.2 L.55</t>
  </si>
  <si>
    <t>S.5.2 L.66</t>
  </si>
  <si>
    <t>S.5.2 L.75</t>
  </si>
  <si>
    <t>S.5.2 L.88</t>
  </si>
  <si>
    <t>S.5.2 L.100</t>
  </si>
  <si>
    <t>S.5.2 L.106</t>
  </si>
  <si>
    <t>S.5.2 L.120</t>
  </si>
  <si>
    <t>S.5.2 L.126</t>
  </si>
  <si>
    <t>S.5.2 L.141</t>
  </si>
  <si>
    <t>S.8.4 L. 27</t>
  </si>
  <si>
    <t>Governance, HR, and Health &amp; Safety</t>
  </si>
  <si>
    <t>Payroll, Use of Systems and IT</t>
  </si>
  <si>
    <t>ES&amp;G &amp; Other Deductible Costs</t>
  </si>
  <si>
    <t>S.10.1 L.31</t>
  </si>
  <si>
    <t>IFRS Opening Balance Reclass to Accumulated Dep.</t>
  </si>
  <si>
    <t>Fish Lake Water Licence Costs</t>
  </si>
  <si>
    <t>Less: Adjustment for Board Order 2009-2</t>
  </si>
  <si>
    <t>% Rate Increase Over Existing Rates</t>
  </si>
  <si>
    <t>Less:  Impact of Higher Fuel Costs Recovered Through Rider F</t>
  </si>
  <si>
    <t>Affiliate Charges included in Operations and Maintenance Expenses</t>
  </si>
  <si>
    <t>Costs increase in 2013 mainly due to the full year impact of additional positions</t>
  </si>
  <si>
    <t>ATCO I-Tek (ITBS)</t>
  </si>
  <si>
    <t>S.5.2 L.198</t>
  </si>
  <si>
    <t>S.5.2 L.210</t>
  </si>
  <si>
    <t>S.5.2 L.222</t>
  </si>
  <si>
    <t>S.5.2 L.228</t>
  </si>
  <si>
    <t>S.5.2 L.233</t>
  </si>
  <si>
    <t>S.5.2 L.241</t>
  </si>
  <si>
    <t>Costs increase in 2014 mainly due to the one-time costs for Phase II process ($76)</t>
  </si>
  <si>
    <t xml:space="preserve">added in 2012 ($135), inflation ($71), increased costs for HR ($35), as well as 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</si>
  <si>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</si>
  <si>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</si>
  <si>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</si>
  <si>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</si>
  <si>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</si>
  <si>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</si>
  <si>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</si>
  <si>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</si>
  <si>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</si>
  <si>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</si>
  <si>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</si>
  <si>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</si>
  <si>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</si>
  <si>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</si>
  <si>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Litres Consumed  ('000s)</t>
  </si>
  <si>
    <t>L0</t>
  </si>
  <si>
    <t>L3</t>
  </si>
  <si>
    <t>Fuel Holders, Producers, &amp; Acc. Equipment - Other</t>
  </si>
  <si>
    <t>Inventory (Three-Year Average)</t>
  </si>
  <si>
    <t>Costs increase from 2011 to 2013 due to a 0.6 FTE addition in mid-2011</t>
  </si>
  <si>
    <t>Calculation of Depreciation Expense 2015</t>
  </si>
  <si>
    <t>Structures and Improvements - Other</t>
  </si>
  <si>
    <t>Add: Costs/AFUDC</t>
  </si>
  <si>
    <t>Deferred Charges Write-off</t>
  </si>
  <si>
    <t>Revised Schedule 8.2</t>
  </si>
  <si>
    <t>Revised Schedule 8.3</t>
  </si>
  <si>
    <t>Revised Schedule 8.1</t>
  </si>
  <si>
    <t>Revised Schedule 8.8</t>
  </si>
  <si>
    <t>Effective July 1, 2014 - December 31, 2014</t>
  </si>
  <si>
    <t>2013 Component (A)</t>
  </si>
  <si>
    <r>
      <t>2013 Rider R Collections</t>
    </r>
    <r>
      <rPr>
        <b/>
        <vertAlign val="superscript"/>
        <sz val="10"/>
        <rFont val="Arial"/>
        <family val="2"/>
      </rPr>
      <t xml:space="preserve"> (1)</t>
    </r>
  </si>
  <si>
    <t xml:space="preserve">Total 2013 Rider Collections </t>
  </si>
  <si>
    <t>2014 Component (B)</t>
  </si>
  <si>
    <t>Revenue Shortfall/(Surplus) ($000s)</t>
  </si>
  <si>
    <r>
      <t>2014 Rider R Collections</t>
    </r>
    <r>
      <rPr>
        <b/>
        <vertAlign val="superscript"/>
        <sz val="10"/>
        <rFont val="Arial"/>
        <family val="2"/>
      </rPr>
      <t xml:space="preserve"> (1)</t>
    </r>
  </si>
  <si>
    <t xml:space="preserve">Total 2014 Rider Collections </t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</si>
  <si>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6.5% Rider R per Board Order 2013-05</t>
    </r>
  </si>
  <si>
    <t>Determination of the Rate Adjustment Rider R</t>
  </si>
  <si>
    <t>Effective January 1, 2015</t>
  </si>
  <si>
    <t>Rate Adjustment Rider R effective January 1, 2015</t>
  </si>
  <si>
    <t>2013/2014 Rate Adjustment Rider R effective July 1, 2014</t>
  </si>
  <si>
    <t>Revised Schedule 2.1</t>
  </si>
  <si>
    <t>Revised Schedule 1.1</t>
  </si>
  <si>
    <t>Revised Schedule 2.2</t>
  </si>
  <si>
    <t>Revised Schedule 3.1</t>
  </si>
  <si>
    <t>Revised Schedule 3.2</t>
  </si>
  <si>
    <t>Revised Schedule 4.1</t>
  </si>
  <si>
    <t>Revised Schedule 4.2</t>
  </si>
  <si>
    <t>Revised Schedule 5.1</t>
  </si>
  <si>
    <t>Revised Schedule 5.2</t>
  </si>
  <si>
    <t>Revised Schedule 5.3</t>
  </si>
  <si>
    <t>Revised Schedule 7.1</t>
  </si>
  <si>
    <t>Revised Schedule 7.2</t>
  </si>
  <si>
    <t>Revised Schedule 7.3</t>
  </si>
  <si>
    <t>Revised Schedule 7.4</t>
  </si>
  <si>
    <t>Revised Schedule 7.5</t>
  </si>
  <si>
    <t>Revised Schedule 8.4</t>
  </si>
  <si>
    <t>Revised Schedule 8.5</t>
  </si>
  <si>
    <t>Revised Schedule 8.6</t>
  </si>
  <si>
    <t>Revised Schedule 8.7</t>
  </si>
  <si>
    <t>Demand Side Management Program Costs</t>
  </si>
  <si>
    <t>L. 29</t>
  </si>
  <si>
    <t>L. 39</t>
  </si>
  <si>
    <t>L. 49</t>
  </si>
  <si>
    <t>L. 57</t>
  </si>
  <si>
    <t>L. 65</t>
  </si>
  <si>
    <t>L. 73</t>
  </si>
  <si>
    <t>L. 80</t>
  </si>
  <si>
    <t>Revised Schedule 8.9</t>
  </si>
  <si>
    <t>Revised Schedule 8.10</t>
  </si>
  <si>
    <t>Revised Schedule 8.11</t>
  </si>
  <si>
    <t>L. 25 + L.26</t>
  </si>
  <si>
    <t>L. 36</t>
  </si>
  <si>
    <t>L. 46</t>
  </si>
  <si>
    <t>L. 54</t>
  </si>
  <si>
    <t>L. 62</t>
  </si>
  <si>
    <t>L. 70</t>
  </si>
  <si>
    <t>(L.32+L.37)/2</t>
  </si>
  <si>
    <t>(L.42+L.47)/2</t>
  </si>
  <si>
    <t>(L.52+L.55)/2</t>
  </si>
  <si>
    <t>(L.60+L.63)/2</t>
  </si>
  <si>
    <t>(L.68+L.71)/2</t>
  </si>
  <si>
    <t>(L.76+L.78)/2</t>
  </si>
  <si>
    <t>Revised Schedule 8.12</t>
  </si>
  <si>
    <t>Revised Schedule 9.1</t>
  </si>
  <si>
    <t>Revised Schedule 10.1</t>
  </si>
  <si>
    <t>S. 8.8 L. 24</t>
  </si>
  <si>
    <t>S.8.8 L.20</t>
  </si>
  <si>
    <t>2013 Retail Revenue Requirement</t>
  </si>
  <si>
    <t>2013 Retail Revenue on Existing Rates</t>
  </si>
  <si>
    <t>Revised Schedule 12.1</t>
  </si>
  <si>
    <t>Schedule 12.2</t>
  </si>
  <si>
    <t>(2) - (3)</t>
  </si>
  <si>
    <t>(6)+(7)</t>
  </si>
  <si>
    <t>(4) - (8) - (9)</t>
  </si>
  <si>
    <t>(12) - (13)</t>
  </si>
  <si>
    <t>sum (16-19)</t>
  </si>
  <si>
    <t>(14)-(20)-(36)</t>
  </si>
  <si>
    <t>(10)+(22)</t>
  </si>
  <si>
    <t>(25)+(26)</t>
  </si>
  <si>
    <t>(23)/(27)*100</t>
  </si>
  <si>
    <t>Rider F 2013-2015 (Receivable from) / Payable to Customers Actual History</t>
  </si>
  <si>
    <t>January 1, 2013  - June 30, 2014</t>
  </si>
  <si>
    <t>Month</t>
  </si>
  <si>
    <t>Collections</t>
  </si>
  <si>
    <r>
      <t>Variance</t>
    </r>
    <r>
      <rPr>
        <b/>
        <vertAlign val="superscript"/>
        <sz val="10"/>
        <rFont val="Arial"/>
        <family val="2"/>
      </rPr>
      <t xml:space="preserve"> (1)</t>
    </r>
  </si>
  <si>
    <r>
      <t>Variance</t>
    </r>
    <r>
      <rPr>
        <b/>
        <vertAlign val="superscript"/>
        <sz val="10"/>
        <rFont val="Arial"/>
        <family val="2"/>
      </rPr>
      <t xml:space="preserve"> (2)</t>
    </r>
  </si>
  <si>
    <t>Rider F</t>
  </si>
  <si>
    <t>Transfer</t>
  </si>
  <si>
    <t>Transferred</t>
  </si>
  <si>
    <t>Original</t>
  </si>
  <si>
    <t>Revised</t>
  </si>
  <si>
    <t>Collection</t>
  </si>
  <si>
    <t>from YEC</t>
  </si>
  <si>
    <t>to Rider R</t>
  </si>
  <si>
    <t>(A)</t>
  </si>
  <si>
    <t>(B)</t>
  </si>
  <si>
    <t>(C)</t>
  </si>
  <si>
    <t>(D)</t>
  </si>
  <si>
    <t>(E)</t>
  </si>
  <si>
    <t>(F)</t>
  </si>
  <si>
    <t>(G)</t>
  </si>
  <si>
    <t>May-14(3)</t>
  </si>
  <si>
    <t>Jun-14(3)</t>
  </si>
  <si>
    <t>Notes:</t>
  </si>
  <si>
    <t>(1)</t>
  </si>
  <si>
    <t>Using 08/09 GRA fuel prices and heat rates</t>
  </si>
  <si>
    <t>(2)</t>
  </si>
  <si>
    <t>Using 13-15 GRA fuel prices and heat rates</t>
  </si>
  <si>
    <t>(3)</t>
  </si>
  <si>
    <t>Projected using GRA assumptions</t>
  </si>
  <si>
    <t>S12.3 L.14</t>
  </si>
  <si>
    <r>
      <t xml:space="preserve">YECL Jul-Dec 2013 Actual </t>
    </r>
    <r>
      <rPr>
        <sz val="10"/>
        <rFont val="Arial"/>
        <family val="2"/>
      </rPr>
      <t>Rider R Collections</t>
    </r>
  </si>
  <si>
    <r>
      <t xml:space="preserve">YEC Jul-Dec 2013 Actual </t>
    </r>
    <r>
      <rPr>
        <sz val="10"/>
        <rFont val="Arial"/>
        <family val="2"/>
      </rPr>
      <t>Rider R Collections</t>
    </r>
  </si>
  <si>
    <t>S12.3 L.22</t>
  </si>
  <si>
    <t>2013 Rider F Collections Transfer</t>
  </si>
  <si>
    <t>Net 2013 Revenue Shortfall/(Surplus)</t>
  </si>
  <si>
    <t>2014 Retail Revenue Requirement</t>
  </si>
  <si>
    <t>2014 Retail Revenue on Existing Rates</t>
  </si>
  <si>
    <t>Revenue Shortfall/(Surplus)</t>
  </si>
  <si>
    <t>YECL Jan 1 - Apr 30, 2014 Actual Rider R Collections</t>
  </si>
  <si>
    <t xml:space="preserve">YEC Jan 1 - Apr 30, 2014 Actual Rider R Collections </t>
  </si>
  <si>
    <t>YECL May 1 - Jun 30 2014 Forecast Rider R Collections</t>
  </si>
  <si>
    <t xml:space="preserve">YEC May 1  - Jun 30, 2014 Forecast Rider R Collections </t>
  </si>
  <si>
    <t>2014 Rider F Collections Transfer</t>
  </si>
  <si>
    <t>Net 2014 Revenue Shortfall/(Surplus)</t>
  </si>
  <si>
    <t>Primary Sales Revenues for Period Which Shortfall is to be Collected/Refunded</t>
  </si>
  <si>
    <t>Total Primary Sales Revenues</t>
  </si>
  <si>
    <t>(6)/(10)*100</t>
  </si>
  <si>
    <t>YECL: Jul 1/14 - Dec 31/14</t>
  </si>
  <si>
    <t xml:space="preserve">YEC: Jul 1/14 - Dec 31/14 </t>
  </si>
  <si>
    <t>Total 2013 and 2014 Net Revenue Shortfall  (A)+(B)</t>
  </si>
  <si>
    <t>Schedule 12.3</t>
  </si>
  <si>
    <t>2015 Retail Revenue Requirement</t>
  </si>
  <si>
    <t>2015 Retail Revenues on Existing Rates</t>
  </si>
  <si>
    <t>Revenue Shortfall</t>
  </si>
  <si>
    <t>2015 Primary Sales Revenues on Existing Rates</t>
  </si>
  <si>
    <t>YECL: Jan 1/15 - Dec 31/15</t>
  </si>
  <si>
    <t>YEC: Jan 1/15 - Dec 31/15</t>
  </si>
  <si>
    <t xml:space="preserve">and maintenance ($60) as well as various Fish Lake other costs </t>
  </si>
  <si>
    <t xml:space="preserve">technician position ($48) and related fringe costs ($13) offset by lower </t>
  </si>
  <si>
    <t>Costs increase in 2015 due to full year impact of environmental technician</t>
  </si>
  <si>
    <t>position added in 2014 added to the compliment ($58), higher costs for Fish</t>
  </si>
  <si>
    <t>Costs increase in 2013 mainly due to inflation ($12) offset by reduction in</t>
  </si>
  <si>
    <t>Costs increase in 2014 and 2015 mainly due to inflation.</t>
  </si>
  <si>
    <t xml:space="preserve"> pension expense ($22) and reduced labour and other costs.</t>
  </si>
  <si>
    <t>S.5.2 L.32</t>
  </si>
  <si>
    <t>S.5.2 L.42</t>
  </si>
  <si>
    <t>Costs decrease in 2013 mainly due to inflation ($23) less reduction in pension</t>
  </si>
  <si>
    <t>other costs for Fish Lake monitoring ($20) and reduced pension funding ($8).</t>
  </si>
  <si>
    <t>Lake licence requirements ($13) and inflation ($8).</t>
  </si>
  <si>
    <t>call management services due to higher usage ($29) and inflation ($5), less</t>
  </si>
  <si>
    <t>Costs increases in 2014 and 2015 mainly due to inflation.</t>
  </si>
  <si>
    <t xml:space="preserve">Cost increase in 2013 mainly due to inflation ($39) less reduction in pension ($100). </t>
  </si>
  <si>
    <t>lower other costs ($7), as well as lower pension funding ($11).</t>
  </si>
  <si>
    <t>streetlight repair activity, less reduction in pension expense.</t>
  </si>
  <si>
    <t>as a result of the water licence ($106), less reduction in pension expense ($10).</t>
  </si>
  <si>
    <t>expense ($27).</t>
  </si>
  <si>
    <t>reduction in pension expense ($18).</t>
  </si>
  <si>
    <t xml:space="preserve">Costs increase in 2013 mainly due to an additional Customer Service Advisor ($11), </t>
  </si>
  <si>
    <t>inflation ($17) and increased costs for billing system service requests ($15), less</t>
  </si>
  <si>
    <t>higher benefits and lower vacancy. As well, pension expense was reduced ($33)</t>
  </si>
  <si>
    <t>reduction in pension expense ($15).</t>
  </si>
  <si>
    <t>S.5.2 L.156</t>
  </si>
  <si>
    <t>Costs increase in 2012 mainly due to higher fringe costs for pension funding.</t>
  </si>
  <si>
    <t>S.5.2 L.162</t>
  </si>
  <si>
    <t>Costs increase in 2013 mainly due to mid-year addition of Customer Service Advisor,</t>
  </si>
  <si>
    <t>less reduction in pension expense ($18).</t>
  </si>
  <si>
    <t>Cost increase in 2014 mainly due to full year impact of CSA position added in 2013.</t>
  </si>
  <si>
    <t>S.5.2 L.171</t>
  </si>
  <si>
    <t>S.5.2 L.180</t>
  </si>
  <si>
    <t>less reduction in pension expense ($10).</t>
  </si>
  <si>
    <t>rates and terms &amp; conditions support ($25), less reduced pension expense ($63).</t>
  </si>
  <si>
    <t>and inflation. Costs decrease in 2015 due to no Phase II costs offset by inflation and</t>
  </si>
  <si>
    <t>elimination of Corporate Accountant position.</t>
  </si>
  <si>
    <t xml:space="preserve"> payment of the Northern Travel Allowance.</t>
  </si>
  <si>
    <t>Costs increase in 2013 due to a change in policy for employee benefits for</t>
  </si>
  <si>
    <t xml:space="preserve">Determination of the Rate Adjustment Rider R </t>
  </si>
  <si>
    <t>L.54 + L.55</t>
  </si>
  <si>
    <t>L.54 / L.56</t>
  </si>
  <si>
    <t>Page 2 of 2</t>
  </si>
  <si>
    <t>Page 1 of 2</t>
  </si>
  <si>
    <t>Page 4 of 4</t>
  </si>
  <si>
    <t>Page 3 of 4</t>
  </si>
  <si>
    <t>Page 2 of 4</t>
  </si>
  <si>
    <t>Page 1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</si>
</sst>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#,##0.0_);\(#,##0.0\)"/>
    <numFmt numFmtId="172" formatCode="0.000%"/>
    <numFmt numFmtId="173" formatCode="#,##0\ ;\(#,##0\)"/>
    <numFmt numFmtId="174" formatCode="_(* #,##0.0000_);_(* \(#,##0.0000\);_(* &quot;-&quot;??_);_(@_)"/>
    <numFmt numFmtId="175" formatCode="_(* #,##0.00000_);_(* \(#,##0.00000\);_(* &quot;-&quot;??_);_(@_)"/>
    <numFmt numFmtId="176" formatCode="_-* #,##0.000_-;\-* #,##0.000_-;_-* &quot;-&quot;??_-;_-@_-"/>
    <numFmt numFmtId="177" formatCode="_-* #,##0.0000_-;\-* #,##0.0000_-;_-* &quot;-&quot;??_-;_-@_-"/>
    <numFmt numFmtId="178" formatCode="_-* #,##0_-;\-* #,##0_-;_-* &quot;-&quot;??_-;_-@_-"/>
    <numFmt numFmtId="179" formatCode="_(* #,##0_);_(* \(#,##0\);_(* &quot;-&quot;?_);_(@_)"/>
    <numFmt numFmtId="180" formatCode="_-&quot;$&quot;* #,##0_-;\-&quot;$&quot;* #,##0_-;_-&quot;$&quot;* &quot;-&quot;??_-;_-@_-"/>
    <numFmt numFmtId="181" formatCode="#,##0.00000000000_);\(#,##0.00000000000\)"/>
    <numFmt numFmtId="182" formatCode="#,##0.0"/>
    <numFmt numFmtId="183" formatCode="_([$€-2]* #,##0.00_);_([$€-2]* \(#,##0.00\);_([$€-2]* &quot;-&quot;??_)"/>
    <numFmt numFmtId="184" formatCode="#,##0.00000_);[Red]\(#,##0.00000\)"/>
    <numFmt numFmtId="185" formatCode="#,##0.00000000000"/>
    <numFmt numFmtId="186" formatCode="#,##0.000_);\(#,##0.000\)"/>
    <numFmt numFmtId="187" formatCode="_(* #,##0.000_);_(* \(#,##0.000\);_(* &quot;-&quot;_);_(@_)"/>
    <numFmt numFmtId="188" formatCode="0.0000%"/>
    <numFmt numFmtId="189" formatCode="_(&quot;$&quot;* #,##0_);_(&quot;$&quot;* \(#,##0\);_(&quot;$&quot;* &quot;-&quot;??_);_(@_)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color rgb="FF0070C0"/>
      <name val="Arial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b/>
      <sz val="14"/>
      <name val="Arial"/>
      <family val="2"/>
    </font>
    <font>
      <u/>
      <sz val="9"/>
      <name val="Arial"/>
      <family val="2"/>
    </font>
    <font>
      <sz val="8"/>
      <color theme="3" tint="0.3999755851924192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MS Sans Serif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u/>
      <sz val="10"/>
      <name val="Arial"/>
      <family val="2"/>
    </font>
    <font>
      <sz val="8.5"/>
      <color indexed="10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83" fontId="22" fillId="0" borderId="0" applyNumberFormat="0" applyFill="0" applyBorder="0" applyAlignment="0" applyProtection="0"/>
    <xf numFmtId="183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3" fontId="2" fillId="0" borderId="0"/>
    <xf numFmtId="165" fontId="34" fillId="0" borderId="0" applyFont="0" applyFill="0" applyBorder="0" applyAlignment="0" applyProtection="0"/>
    <xf numFmtId="0" fontId="35" fillId="3" borderId="0" applyNumberFormat="0" applyBorder="0" applyAlignment="0" applyProtection="0"/>
    <xf numFmtId="0" fontId="2" fillId="0" borderId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42" fillId="5" borderId="0" applyNumberFormat="0" applyBorder="0" applyAlignment="0" applyProtection="0"/>
    <xf numFmtId="0" fontId="43" fillId="22" borderId="13" applyNumberFormat="0" applyAlignment="0" applyProtection="0"/>
    <xf numFmtId="0" fontId="44" fillId="23" borderId="14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8" fillId="0" borderId="0" applyFont="0" applyFill="0" applyBorder="0" applyAlignment="0" applyProtection="0"/>
    <xf numFmtId="4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" borderId="0" applyNumberFormat="0" applyBorder="0" applyAlignment="0" applyProtection="0"/>
    <xf numFmtId="0" fontId="47" fillId="0" borderId="15" applyNumberFormat="0" applyFill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49" fillId="0" borderId="0" applyNumberFormat="0" applyFill="0" applyBorder="0" applyAlignment="0" applyProtection="0"/>
    <xf numFmtId="0" fontId="50" fillId="9" borderId="13" applyNumberFormat="0" applyAlignment="0" applyProtection="0"/>
    <xf numFmtId="0" fontId="51" fillId="0" borderId="18" applyNumberFormat="0" applyFill="0" applyAlignment="0" applyProtection="0"/>
    <xf numFmtId="0" fontId="52" fillId="24" borderId="0" applyNumberFormat="0" applyBorder="0" applyAlignment="0" applyProtection="0"/>
    <xf numFmtId="0" fontId="2" fillId="0" borderId="0"/>
    <xf numFmtId="0" fontId="1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7" fillId="0" borderId="0"/>
    <xf numFmtId="0" fontId="2" fillId="25" borderId="19" applyNumberFormat="0" applyFont="0" applyAlignment="0" applyProtection="0"/>
    <xf numFmtId="0" fontId="53" fillId="22" borderId="20" applyNumberFormat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 applyNumberFormat="0" applyFont="0" applyFill="0" applyBorder="0" applyAlignment="0"/>
    <xf numFmtId="0" fontId="2" fillId="0" borderId="0"/>
    <xf numFmtId="0" fontId="3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856">
    <xf numFmtId="0" fontId="0" fillId="0" borderId="0" xfId="0"/>
    <xf numFmtId="0" fontId="3" fillId="0" borderId="0" xfId="0" applyNumberFormat="1" applyFont="1"/>
    <xf numFmtId="0" fontId="0" fillId="0" borderId="0" xfId="0" applyFill="1"/>
    <xf numFmtId="0" fontId="0" fillId="0" borderId="0" xfId="0" applyBorder="1"/>
    <xf numFmtId="169" fontId="2" fillId="0" borderId="0" xfId="1" applyNumberForma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11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37" fontId="16" fillId="0" borderId="0" xfId="0" applyNumberFormat="1" applyFont="1" applyFill="1"/>
    <xf numFmtId="0" fontId="16" fillId="0" borderId="0" xfId="0" applyFont="1" applyFill="1" applyAlignment="1">
      <alignment horizontal="center"/>
    </xf>
    <xf numFmtId="14" fontId="16" fillId="0" borderId="0" xfId="0" applyNumberFormat="1" applyFont="1" applyFill="1" applyAlignment="1">
      <alignment horizontal="center"/>
    </xf>
    <xf numFmtId="37" fontId="16" fillId="0" borderId="1" xfId="0" applyNumberFormat="1" applyFont="1" applyFill="1" applyBorder="1"/>
    <xf numFmtId="10" fontId="16" fillId="0" borderId="2" xfId="0" applyNumberFormat="1" applyFont="1" applyFill="1" applyBorder="1"/>
    <xf numFmtId="10" fontId="16" fillId="0" borderId="1" xfId="0" applyNumberFormat="1" applyFont="1" applyFill="1" applyBorder="1"/>
    <xf numFmtId="37" fontId="16" fillId="0" borderId="3" xfId="0" applyNumberFormat="1" applyFont="1" applyFill="1" applyBorder="1"/>
    <xf numFmtId="10" fontId="16" fillId="0" borderId="4" xfId="0" applyNumberFormat="1" applyFont="1" applyFill="1" applyBorder="1"/>
    <xf numFmtId="169" fontId="2" fillId="0" borderId="0" xfId="1" applyNumberFormat="1" applyFont="1" applyFill="1"/>
    <xf numFmtId="0" fontId="0" fillId="0" borderId="0" xfId="0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left" indent="2"/>
    </xf>
    <xf numFmtId="43" fontId="11" fillId="0" borderId="0" xfId="1" applyFont="1"/>
    <xf numFmtId="169" fontId="11" fillId="0" borderId="0" xfId="1" applyNumberFormat="1" applyFont="1"/>
    <xf numFmtId="0" fontId="5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Border="1"/>
    <xf numFmtId="43" fontId="11" fillId="0" borderId="0" xfId="1" applyFont="1" applyFill="1"/>
    <xf numFmtId="169" fontId="11" fillId="0" borderId="0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169" fontId="2" fillId="0" borderId="1" xfId="1" applyNumberFormat="1" applyFill="1" applyBorder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37" fontId="3" fillId="0" borderId="0" xfId="0" applyNumberFormat="1" applyFont="1"/>
    <xf numFmtId="39" fontId="11" fillId="0" borderId="0" xfId="0" applyNumberFormat="1" applyFont="1"/>
    <xf numFmtId="37" fontId="11" fillId="0" borderId="0" xfId="0" applyNumberFormat="1" applyFont="1" applyBorder="1"/>
    <xf numFmtId="0" fontId="11" fillId="0" borderId="0" xfId="0" applyFont="1" applyAlignment="1">
      <alignment horizontal="left" indent="1"/>
    </xf>
    <xf numFmtId="0" fontId="9" fillId="0" borderId="0" xfId="0" applyFont="1" applyFill="1"/>
    <xf numFmtId="169" fontId="11" fillId="0" borderId="1" xfId="1" applyNumberFormat="1" applyFont="1" applyBorder="1"/>
    <xf numFmtId="37" fontId="0" fillId="0" borderId="0" xfId="0" applyNumberFormat="1" applyFill="1"/>
    <xf numFmtId="37" fontId="11" fillId="0" borderId="0" xfId="0" applyNumberFormat="1" applyFont="1" applyFill="1"/>
    <xf numFmtId="0" fontId="4" fillId="0" borderId="0" xfId="0" applyFont="1" applyAlignment="1">
      <alignment horizontal="right"/>
    </xf>
    <xf numFmtId="0" fontId="11" fillId="0" borderId="0" xfId="0" applyFont="1" applyBorder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11" fillId="0" borderId="0" xfId="0" applyFont="1" applyFill="1"/>
    <xf numFmtId="0" fontId="5" fillId="0" borderId="0" xfId="0" quotePrefix="1" applyFont="1" applyAlignment="1">
      <alignment horizontal="left"/>
    </xf>
    <xf numFmtId="14" fontId="5" fillId="0" borderId="0" xfId="0" applyNumberFormat="1" applyFont="1" applyAlignment="1">
      <alignment horizontal="centerContinuous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centerContinuous"/>
    </xf>
    <xf numFmtId="37" fontId="11" fillId="0" borderId="0" xfId="0" applyNumberFormat="1" applyFont="1"/>
    <xf numFmtId="37" fontId="11" fillId="0" borderId="0" xfId="1" applyNumberFormat="1" applyFo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69" fontId="11" fillId="0" borderId="0" xfId="1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/>
    <xf numFmtId="0" fontId="11" fillId="0" borderId="0" xfId="0" applyFont="1" applyFill="1" applyAlignment="1">
      <alignment horizontal="left" indent="2"/>
    </xf>
    <xf numFmtId="0" fontId="5" fillId="0" borderId="0" xfId="0" applyFont="1" applyFill="1"/>
    <xf numFmtId="0" fontId="11" fillId="0" borderId="0" xfId="0" applyFont="1" applyBorder="1" applyAlignment="1"/>
    <xf numFmtId="0" fontId="7" fillId="0" borderId="0" xfId="0" applyFont="1" applyFill="1" applyAlignment="1">
      <alignment horizontal="centerContinuous"/>
    </xf>
    <xf numFmtId="0" fontId="9" fillId="0" borderId="0" xfId="0" applyFont="1" applyAlignment="1">
      <alignment horizontal="centerContinuous"/>
    </xf>
    <xf numFmtId="0" fontId="7" fillId="0" borderId="0" xfId="0" applyFont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9" fontId="11" fillId="0" borderId="0" xfId="1" applyNumberFormat="1" applyFont="1" applyFill="1" applyBorder="1"/>
    <xf numFmtId="10" fontId="11" fillId="0" borderId="0" xfId="0" applyNumberFormat="1" applyFont="1" applyFill="1" applyBorder="1"/>
    <xf numFmtId="173" fontId="4" fillId="0" borderId="0" xfId="0" applyNumberFormat="1" applyFont="1" applyFill="1" applyBorder="1" applyAlignment="1">
      <alignment horizontal="center"/>
    </xf>
    <xf numFmtId="169" fontId="11" fillId="0" borderId="0" xfId="1" applyNumberFormat="1" applyFont="1" applyAlignment="1">
      <alignment horizontal="center"/>
    </xf>
    <xf numFmtId="169" fontId="11" fillId="0" borderId="0" xfId="1" applyNumberFormat="1" applyFont="1" applyFill="1" applyAlignment="1">
      <alignment horizontal="center"/>
    </xf>
    <xf numFmtId="169" fontId="11" fillId="0" borderId="1" xfId="1" applyNumberFormat="1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169" fontId="11" fillId="0" borderId="0" xfId="0" applyNumberFormat="1" applyFont="1"/>
    <xf numFmtId="0" fontId="11" fillId="0" borderId="0" xfId="0" applyFont="1" applyAlignment="1">
      <alignment horizontal="left"/>
    </xf>
    <xf numFmtId="169" fontId="9" fillId="0" borderId="0" xfId="1" applyNumberFormat="1" applyFont="1" applyFill="1" applyBorder="1"/>
    <xf numFmtId="0" fontId="19" fillId="0" borderId="0" xfId="0" applyFont="1"/>
    <xf numFmtId="39" fontId="11" fillId="0" borderId="0" xfId="0" applyNumberFormat="1" applyFont="1" applyFill="1"/>
    <xf numFmtId="0" fontId="11" fillId="0" borderId="0" xfId="0" applyFont="1" applyFill="1"/>
    <xf numFmtId="37" fontId="11" fillId="0" borderId="0" xfId="0" applyNumberFormat="1" applyFont="1" applyFill="1" applyBorder="1"/>
    <xf numFmtId="1" fontId="11" fillId="0" borderId="0" xfId="0" applyNumberFormat="1" applyFont="1" applyFill="1"/>
    <xf numFmtId="183" fontId="16" fillId="0" borderId="0" xfId="0" applyNumberFormat="1" applyFont="1" applyFill="1" applyAlignment="1">
      <alignment horizontal="center"/>
    </xf>
    <xf numFmtId="174" fontId="11" fillId="0" borderId="0" xfId="1" applyNumberFormat="1" applyFont="1" applyFill="1"/>
    <xf numFmtId="0" fontId="12" fillId="0" borderId="0" xfId="0" applyFont="1" applyFill="1" applyBorder="1"/>
    <xf numFmtId="39" fontId="11" fillId="0" borderId="0" xfId="0" applyNumberFormat="1" applyFont="1" applyFill="1" applyBorder="1"/>
    <xf numFmtId="0" fontId="11" fillId="0" borderId="0" xfId="0" applyFont="1" applyFill="1" applyBorder="1"/>
    <xf numFmtId="170" fontId="11" fillId="0" borderId="0" xfId="4" applyNumberFormat="1" applyFont="1" applyFill="1" applyBorder="1"/>
    <xf numFmtId="174" fontId="11" fillId="0" borderId="0" xfId="1" applyNumberFormat="1" applyFont="1" applyFill="1" applyBorder="1"/>
    <xf numFmtId="0" fontId="5" fillId="0" borderId="0" xfId="0" applyFont="1" applyAlignment="1"/>
    <xf numFmtId="169" fontId="0" fillId="0" borderId="0" xfId="0" applyNumberFormat="1"/>
    <xf numFmtId="0" fontId="5" fillId="0" borderId="0" xfId="0" applyFont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indent="2"/>
    </xf>
    <xf numFmtId="41" fontId="11" fillId="0" borderId="0" xfId="0" applyNumberFormat="1" applyFont="1"/>
    <xf numFmtId="41" fontId="11" fillId="0" borderId="0" xfId="0" applyNumberFormat="1" applyFont="1" applyBorder="1"/>
    <xf numFmtId="0" fontId="11" fillId="0" borderId="0" xfId="0" applyFont="1" applyAlignment="1"/>
    <xf numFmtId="169" fontId="11" fillId="0" borderId="4" xfId="0" applyNumberFormat="1" applyFont="1" applyBorder="1"/>
    <xf numFmtId="179" fontId="11" fillId="0" borderId="0" xfId="1" applyNumberFormat="1" applyFont="1" applyFill="1" applyAlignment="1">
      <alignment horizontal="right"/>
    </xf>
    <xf numFmtId="179" fontId="5" fillId="0" borderId="0" xfId="1" applyNumberFormat="1" applyFont="1" applyFill="1" applyBorder="1" applyAlignment="1">
      <alignment horizontal="right"/>
    </xf>
    <xf numFmtId="179" fontId="11" fillId="0" borderId="1" xfId="1" applyNumberFormat="1" applyFont="1" applyFill="1" applyBorder="1" applyAlignment="1">
      <alignment horizontal="right"/>
    </xf>
    <xf numFmtId="179" fontId="11" fillId="0" borderId="0" xfId="1" applyNumberFormat="1" applyFont="1" applyFill="1" applyBorder="1" applyAlignment="1">
      <alignment horizontal="right"/>
    </xf>
    <xf numFmtId="179" fontId="11" fillId="0" borderId="7" xfId="1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169" fontId="11" fillId="0" borderId="1" xfId="0" applyNumberFormat="1" applyFont="1" applyBorder="1"/>
    <xf numFmtId="169" fontId="11" fillId="0" borderId="0" xfId="0" applyNumberFormat="1" applyFont="1" applyBorder="1"/>
    <xf numFmtId="180" fontId="11" fillId="0" borderId="0" xfId="2" applyNumberFormat="1" applyFont="1"/>
    <xf numFmtId="41" fontId="12" fillId="0" borderId="0" xfId="2" applyNumberFormat="1" applyFont="1" applyBorder="1"/>
    <xf numFmtId="41" fontId="11" fillId="0" borderId="0" xfId="2" applyNumberFormat="1" applyFont="1" applyFill="1" applyBorder="1"/>
    <xf numFmtId="169" fontId="11" fillId="0" borderId="0" xfId="0" applyNumberFormat="1" applyFont="1" applyFill="1"/>
    <xf numFmtId="169" fontId="11" fillId="0" borderId="0" xfId="0" applyNumberFormat="1" applyFont="1" applyFill="1" applyBorder="1"/>
    <xf numFmtId="169" fontId="11" fillId="0" borderId="1" xfId="0" applyNumberFormat="1" applyFont="1" applyFill="1" applyBorder="1"/>
    <xf numFmtId="44" fontId="24" fillId="0" borderId="0" xfId="0" applyNumberFormat="1" applyFont="1" applyAlignment="1">
      <alignment horizontal="left"/>
    </xf>
    <xf numFmtId="169" fontId="11" fillId="0" borderId="3" xfId="0" applyNumberFormat="1" applyFont="1" applyBorder="1"/>
    <xf numFmtId="178" fontId="11" fillId="0" borderId="0" xfId="1" applyNumberFormat="1" applyFont="1"/>
    <xf numFmtId="178" fontId="11" fillId="0" borderId="0" xfId="1" applyNumberFormat="1" applyFont="1" applyFill="1"/>
    <xf numFmtId="178" fontId="12" fillId="0" borderId="0" xfId="1" applyNumberFormat="1" applyFont="1" applyFill="1"/>
    <xf numFmtId="178" fontId="11" fillId="0" borderId="0" xfId="1" applyNumberFormat="1" applyFont="1" applyFill="1" applyBorder="1"/>
    <xf numFmtId="178" fontId="11" fillId="0" borderId="6" xfId="1" applyNumberFormat="1" applyFont="1" applyBorder="1"/>
    <xf numFmtId="178" fontId="11" fillId="0" borderId="6" xfId="1" applyNumberFormat="1" applyFont="1" applyFill="1" applyBorder="1"/>
    <xf numFmtId="178" fontId="11" fillId="0" borderId="0" xfId="1" applyNumberFormat="1" applyFont="1" applyBorder="1"/>
    <xf numFmtId="178" fontId="11" fillId="0" borderId="1" xfId="1" applyNumberFormat="1" applyFont="1" applyBorder="1"/>
    <xf numFmtId="178" fontId="12" fillId="0" borderId="0" xfId="1" applyNumberFormat="1" applyFont="1" applyFill="1" applyBorder="1"/>
    <xf numFmtId="173" fontId="11" fillId="0" borderId="0" xfId="1" applyNumberFormat="1" applyFont="1" applyFill="1"/>
    <xf numFmtId="173" fontId="11" fillId="0" borderId="0" xfId="0" applyNumberFormat="1" applyFont="1" applyFill="1"/>
    <xf numFmtId="173" fontId="11" fillId="0" borderId="7" xfId="0" applyNumberFormat="1" applyFont="1" applyFill="1" applyBorder="1"/>
    <xf numFmtId="173" fontId="11" fillId="0" borderId="0" xfId="0" applyNumberFormat="1" applyFont="1" applyFill="1" applyBorder="1"/>
    <xf numFmtId="173" fontId="11" fillId="0" borderId="2" xfId="0" applyNumberFormat="1" applyFont="1" applyFill="1" applyBorder="1"/>
    <xf numFmtId="165" fontId="11" fillId="0" borderId="0" xfId="1" applyNumberFormat="1" applyFont="1" applyFill="1"/>
    <xf numFmtId="165" fontId="9" fillId="0" borderId="0" xfId="1" applyNumberFormat="1" applyFont="1" applyFill="1"/>
    <xf numFmtId="165" fontId="11" fillId="0" borderId="0" xfId="0" applyNumberFormat="1" applyFont="1" applyFill="1"/>
    <xf numFmtId="165" fontId="9" fillId="0" borderId="0" xfId="0" applyNumberFormat="1" applyFont="1"/>
    <xf numFmtId="165" fontId="9" fillId="0" borderId="0" xfId="0" applyNumberFormat="1" applyFont="1" applyFill="1"/>
    <xf numFmtId="165" fontId="11" fillId="0" borderId="0" xfId="1" applyNumberFormat="1" applyFont="1" applyFill="1" applyBorder="1"/>
    <xf numFmtId="165" fontId="11" fillId="0" borderId="7" xfId="1" applyNumberFormat="1" applyFont="1" applyFill="1" applyBorder="1"/>
    <xf numFmtId="165" fontId="11" fillId="0" borderId="7" xfId="0" applyNumberFormat="1" applyFont="1" applyFill="1" applyBorder="1"/>
    <xf numFmtId="165" fontId="11" fillId="0" borderId="1" xfId="0" applyNumberFormat="1" applyFont="1" applyFill="1" applyBorder="1"/>
    <xf numFmtId="165" fontId="11" fillId="0" borderId="5" xfId="0" applyNumberFormat="1" applyFont="1" applyFill="1" applyBorder="1"/>
    <xf numFmtId="0" fontId="21" fillId="0" borderId="0" xfId="0" applyFont="1" applyFill="1"/>
    <xf numFmtId="165" fontId="0" fillId="0" borderId="0" xfId="1" applyNumberFormat="1" applyFont="1" applyFill="1"/>
    <xf numFmtId="165" fontId="6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65" fontId="0" fillId="0" borderId="0" xfId="0" applyNumberFormat="1" applyFill="1"/>
    <xf numFmtId="165" fontId="11" fillId="0" borderId="4" xfId="1" applyNumberFormat="1" applyFont="1" applyFill="1" applyBorder="1"/>
    <xf numFmtId="165" fontId="11" fillId="0" borderId="0" xfId="0" applyNumberFormat="1" applyFont="1"/>
    <xf numFmtId="9" fontId="11" fillId="0" borderId="0" xfId="1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6" fillId="0" borderId="0" xfId="0" applyNumberFormat="1" applyFont="1" applyFill="1"/>
    <xf numFmtId="179" fontId="6" fillId="0" borderId="0" xfId="0" applyNumberFormat="1" applyFont="1" applyFill="1" applyBorder="1"/>
    <xf numFmtId="179" fontId="6" fillId="0" borderId="0" xfId="1" applyNumberFormat="1" applyFont="1" applyFill="1"/>
    <xf numFmtId="0" fontId="6" fillId="0" borderId="0" xfId="0" applyFont="1" applyFill="1" applyAlignment="1">
      <alignment horizontal="left" indent="2"/>
    </xf>
    <xf numFmtId="179" fontId="6" fillId="0" borderId="1" xfId="1" quotePrefix="1" applyNumberFormat="1" applyFont="1" applyFill="1" applyBorder="1" applyAlignment="1">
      <alignment horizontal="right"/>
    </xf>
    <xf numFmtId="179" fontId="4" fillId="0" borderId="0" xfId="0" applyNumberFormat="1" applyFont="1" applyFill="1" applyBorder="1"/>
    <xf numFmtId="179" fontId="6" fillId="0" borderId="1" xfId="1" applyNumberFormat="1" applyFont="1" applyFill="1" applyBorder="1"/>
    <xf numFmtId="179" fontId="6" fillId="0" borderId="0" xfId="1" applyNumberFormat="1" applyFont="1" applyFill="1" applyBorder="1"/>
    <xf numFmtId="179" fontId="6" fillId="0" borderId="7" xfId="1" applyNumberFormat="1" applyFont="1" applyFill="1" applyBorder="1"/>
    <xf numFmtId="169" fontId="2" fillId="0" borderId="0" xfId="1" applyNumberFormat="1" applyFill="1" applyBorder="1"/>
    <xf numFmtId="0" fontId="0" fillId="0" borderId="0" xfId="0" applyFill="1" applyAlignment="1">
      <alignment horizontal="center"/>
    </xf>
    <xf numFmtId="169" fontId="11" fillId="0" borderId="0" xfId="0" applyNumberFormat="1" applyFont="1"/>
    <xf numFmtId="165" fontId="11" fillId="0" borderId="1" xfId="1" applyNumberFormat="1" applyFont="1" applyFill="1" applyBorder="1"/>
    <xf numFmtId="178" fontId="11" fillId="0" borderId="1" xfId="1" applyNumberFormat="1" applyFont="1" applyFill="1" applyBorder="1"/>
    <xf numFmtId="0" fontId="5" fillId="0" borderId="1" xfId="0" applyFont="1" applyBorder="1" applyAlignment="1"/>
    <xf numFmtId="0" fontId="11" fillId="0" borderId="0" xfId="0" applyFont="1" applyFill="1" applyAlignment="1">
      <alignment horizontal="left" indent="1"/>
    </xf>
    <xf numFmtId="0" fontId="12" fillId="0" borderId="0" xfId="0" applyFont="1" applyFill="1"/>
    <xf numFmtId="0" fontId="7" fillId="0" borderId="0" xfId="0" applyFont="1" applyFill="1"/>
    <xf numFmtId="0" fontId="4" fillId="0" borderId="0" xfId="0" applyFont="1" applyAlignment="1">
      <alignment horizontal="center"/>
    </xf>
    <xf numFmtId="0" fontId="26" fillId="0" borderId="0" xfId="0" applyFont="1"/>
    <xf numFmtId="41" fontId="11" fillId="0" borderId="5" xfId="2" applyNumberFormat="1" applyFont="1" applyBorder="1" applyAlignment="1">
      <alignment horizontal="left"/>
    </xf>
    <xf numFmtId="2" fontId="11" fillId="0" borderId="5" xfId="0" applyNumberFormat="1" applyFont="1" applyBorder="1"/>
    <xf numFmtId="43" fontId="11" fillId="0" borderId="1" xfId="1" applyNumberFormat="1" applyFont="1" applyBorder="1"/>
    <xf numFmtId="0" fontId="5" fillId="0" borderId="0" xfId="0" applyFont="1" applyAlignment="1">
      <alignment horizontal="left"/>
    </xf>
    <xf numFmtId="0" fontId="19" fillId="0" borderId="0" xfId="0" applyFont="1" applyFill="1"/>
    <xf numFmtId="0" fontId="5" fillId="0" borderId="0" xfId="0" applyFont="1" applyFill="1" applyAlignment="1">
      <alignment horizontal="center"/>
    </xf>
    <xf numFmtId="0" fontId="20" fillId="0" borderId="0" xfId="0" applyFont="1"/>
    <xf numFmtId="173" fontId="5" fillId="0" borderId="0" xfId="0" applyNumberFormat="1" applyFont="1" applyFill="1" applyBorder="1" applyAlignment="1"/>
    <xf numFmtId="173" fontId="5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right" indent="2"/>
    </xf>
    <xf numFmtId="167" fontId="5" fillId="0" borderId="0" xfId="0" applyNumberFormat="1" applyFont="1" applyFill="1" applyAlignment="1">
      <alignment horizontal="center"/>
    </xf>
    <xf numFmtId="170" fontId="11" fillId="0" borderId="0" xfId="0" applyNumberFormat="1" applyFont="1" applyBorder="1"/>
    <xf numFmtId="43" fontId="11" fillId="0" borderId="0" xfId="1" applyNumberFormat="1" applyFont="1" applyFill="1" applyAlignment="1">
      <alignment horizontal="right"/>
    </xf>
    <xf numFmtId="178" fontId="11" fillId="0" borderId="3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left" indent="6"/>
    </xf>
    <xf numFmtId="0" fontId="5" fillId="0" borderId="0" xfId="0" applyFont="1" applyBorder="1" applyAlignment="1">
      <alignment horizontal="center"/>
    </xf>
    <xf numFmtId="169" fontId="11" fillId="0" borderId="0" xfId="0" applyNumberFormat="1" applyFont="1" applyFill="1"/>
    <xf numFmtId="0" fontId="19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 indent="2"/>
    </xf>
    <xf numFmtId="1" fontId="9" fillId="0" borderId="0" xfId="0" applyNumberFormat="1" applyFont="1" applyFill="1"/>
    <xf numFmtId="0" fontId="5" fillId="0" borderId="0" xfId="0" applyFont="1" applyFill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0" fillId="0" borderId="0" xfId="0" applyFill="1"/>
    <xf numFmtId="41" fontId="11" fillId="0" borderId="5" xfId="2" applyNumberFormat="1" applyFont="1" applyFill="1" applyBorder="1" applyAlignment="1">
      <alignment horizontal="left"/>
    </xf>
    <xf numFmtId="2" fontId="11" fillId="0" borderId="5" xfId="0" applyNumberFormat="1" applyFont="1" applyFill="1" applyBorder="1"/>
    <xf numFmtId="180" fontId="11" fillId="0" borderId="0" xfId="2" applyNumberFormat="1" applyFont="1" applyFill="1"/>
    <xf numFmtId="43" fontId="11" fillId="0" borderId="1" xfId="1" applyNumberFormat="1" applyFont="1" applyFill="1" applyBorder="1"/>
    <xf numFmtId="43" fontId="11" fillId="0" borderId="0" xfId="1" applyFont="1" applyFill="1" applyBorder="1"/>
    <xf numFmtId="175" fontId="11" fillId="0" borderId="0" xfId="1" applyNumberFormat="1" applyFont="1" applyFill="1" applyBorder="1"/>
    <xf numFmtId="0" fontId="5" fillId="0" borderId="0" xfId="0" applyFont="1" applyFill="1" applyAlignment="1">
      <alignment horizontal="left" indent="1"/>
    </xf>
    <xf numFmtId="176" fontId="11" fillId="0" borderId="0" xfId="1" applyNumberFormat="1" applyFont="1" applyFill="1" applyBorder="1"/>
    <xf numFmtId="178" fontId="14" fillId="0" borderId="1" xfId="0" applyNumberFormat="1" applyFont="1" applyFill="1" applyBorder="1"/>
    <xf numFmtId="9" fontId="11" fillId="0" borderId="0" xfId="4" applyFont="1" applyFill="1"/>
    <xf numFmtId="170" fontId="11" fillId="0" borderId="1" xfId="0" applyNumberFormat="1" applyFont="1" applyBorder="1"/>
    <xf numFmtId="0" fontId="11" fillId="0" borderId="0" xfId="0" applyFont="1" applyAlignment="1">
      <alignment horizontal="left" indent="2"/>
    </xf>
    <xf numFmtId="10" fontId="11" fillId="0" borderId="1" xfId="4" applyNumberFormat="1" applyFont="1" applyFill="1" applyBorder="1"/>
    <xf numFmtId="168" fontId="11" fillId="0" borderId="0" xfId="1" applyNumberFormat="1" applyFont="1" applyFill="1"/>
    <xf numFmtId="168" fontId="11" fillId="0" borderId="1" xfId="1" applyNumberFormat="1" applyFont="1" applyFill="1" applyBorder="1"/>
    <xf numFmtId="168" fontId="11" fillId="0" borderId="0" xfId="0" applyNumberFormat="1" applyFont="1" applyFill="1" applyBorder="1"/>
    <xf numFmtId="168" fontId="11" fillId="0" borderId="0" xfId="0" applyNumberFormat="1" applyFont="1" applyFill="1"/>
    <xf numFmtId="43" fontId="11" fillId="0" borderId="0" xfId="0" applyNumberFormat="1" applyFont="1" applyFill="1"/>
    <xf numFmtId="0" fontId="11" fillId="0" borderId="0" xfId="0" applyFont="1" applyFill="1" applyAlignment="1"/>
    <xf numFmtId="173" fontId="11" fillId="0" borderId="1" xfId="0" applyNumberFormat="1" applyFont="1" applyFill="1" applyBorder="1"/>
    <xf numFmtId="0" fontId="11" fillId="0" borderId="0" xfId="0" applyFont="1" applyFill="1" applyAlignment="1"/>
    <xf numFmtId="168" fontId="11" fillId="0" borderId="0" xfId="1" applyNumberFormat="1" applyFont="1" applyFill="1" applyBorder="1"/>
    <xf numFmtId="171" fontId="11" fillId="0" borderId="0" xfId="0" applyNumberFormat="1" applyFont="1" applyFill="1"/>
    <xf numFmtId="37" fontId="11" fillId="0" borderId="5" xfId="0" applyNumberFormat="1" applyFont="1" applyFill="1" applyBorder="1"/>
    <xf numFmtId="43" fontId="11" fillId="0" borderId="0" xfId="1" applyNumberFormat="1" applyFont="1" applyFill="1" applyBorder="1"/>
    <xf numFmtId="0" fontId="11" fillId="0" borderId="0" xfId="0" applyFont="1" applyBorder="1" applyAlignment="1">
      <alignment horizontal="center"/>
    </xf>
    <xf numFmtId="181" fontId="11" fillId="0" borderId="0" xfId="0" applyNumberFormat="1" applyFont="1"/>
    <xf numFmtId="0" fontId="11" fillId="0" borderId="0" xfId="0" applyFont="1" applyFill="1" applyBorder="1" applyAlignment="1">
      <alignment horizontal="left" indent="2"/>
    </xf>
    <xf numFmtId="0" fontId="19" fillId="0" borderId="0" xfId="0" applyFont="1" applyFill="1" applyBorder="1" applyAlignment="1">
      <alignment horizontal="left" indent="2"/>
    </xf>
    <xf numFmtId="178" fontId="12" fillId="0" borderId="0" xfId="1" applyNumberFormat="1" applyFont="1" applyBorder="1"/>
    <xf numFmtId="178" fontId="11" fillId="0" borderId="0" xfId="0" applyNumberFormat="1" applyFont="1"/>
    <xf numFmtId="2" fontId="19" fillId="0" borderId="0" xfId="0" applyNumberFormat="1" applyFont="1"/>
    <xf numFmtId="37" fontId="11" fillId="0" borderId="1" xfId="0" applyNumberFormat="1" applyFont="1" applyBorder="1"/>
    <xf numFmtId="183" fontId="11" fillId="0" borderId="0" xfId="0" applyNumberFormat="1" applyFont="1" applyFill="1" applyBorder="1" applyAlignment="1">
      <alignment horizontal="left" indent="2"/>
    </xf>
    <xf numFmtId="170" fontId="11" fillId="0" borderId="4" xfId="4" applyNumberFormat="1" applyFont="1" applyBorder="1"/>
    <xf numFmtId="0" fontId="11" fillId="0" borderId="0" xfId="0" applyFont="1" applyBorder="1" applyAlignment="1">
      <alignment horizontal="center"/>
    </xf>
    <xf numFmtId="181" fontId="11" fillId="0" borderId="0" xfId="0" applyNumberFormat="1" applyFont="1" applyBorder="1"/>
    <xf numFmtId="0" fontId="11" fillId="0" borderId="0" xfId="0" applyFont="1" applyAlignment="1"/>
    <xf numFmtId="181" fontId="5" fillId="0" borderId="0" xfId="0" applyNumberFormat="1" applyFont="1"/>
    <xf numFmtId="181" fontId="11" fillId="0" borderId="0" xfId="0" applyNumberFormat="1" applyFont="1" applyAlignment="1"/>
    <xf numFmtId="181" fontId="5" fillId="0" borderId="0" xfId="0" applyNumberFormat="1" applyFont="1" applyFill="1"/>
    <xf numFmtId="181" fontId="23" fillId="0" borderId="0" xfId="0" applyNumberFormat="1" applyFont="1"/>
    <xf numFmtId="0" fontId="23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10" fontId="11" fillId="0" borderId="0" xfId="4" applyNumberFormat="1" applyFont="1" applyFill="1" applyBorder="1"/>
    <xf numFmtId="10" fontId="11" fillId="0" borderId="0" xfId="4" applyNumberFormat="1" applyFont="1" applyFill="1"/>
    <xf numFmtId="37" fontId="14" fillId="0" borderId="1" xfId="0" applyNumberFormat="1" applyFont="1" applyFill="1" applyBorder="1"/>
    <xf numFmtId="37" fontId="11" fillId="0" borderId="0" xfId="1" applyNumberFormat="1" applyFont="1" applyFill="1"/>
    <xf numFmtId="37" fontId="11" fillId="0" borderId="0" xfId="0" applyNumberFormat="1" applyFont="1" applyFill="1"/>
    <xf numFmtId="37" fontId="3" fillId="0" borderId="0" xfId="0" applyNumberFormat="1" applyFont="1" applyFill="1"/>
    <xf numFmtId="0" fontId="15" fillId="0" borderId="0" xfId="0" applyFont="1" applyFill="1" applyAlignment="1">
      <alignment horizontal="center"/>
    </xf>
    <xf numFmtId="37" fontId="16" fillId="0" borderId="0" xfId="0" applyNumberFormat="1" applyFont="1" applyFill="1" applyBorder="1"/>
    <xf numFmtId="10" fontId="16" fillId="0" borderId="0" xfId="0" applyNumberFormat="1" applyFont="1" applyFill="1"/>
    <xf numFmtId="172" fontId="16" fillId="0" borderId="0" xfId="0" applyNumberFormat="1" applyFont="1" applyFill="1"/>
    <xf numFmtId="39" fontId="16" fillId="0" borderId="0" xfId="0" applyNumberFormat="1" applyFont="1" applyFill="1"/>
    <xf numFmtId="0" fontId="16" fillId="0" borderId="0" xfId="0" applyFont="1" applyFill="1"/>
    <xf numFmtId="0" fontId="17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0" fontId="15" fillId="0" borderId="1" xfId="0" applyFont="1" applyFill="1" applyBorder="1" applyAlignment="1">
      <alignment horizontal="center"/>
    </xf>
    <xf numFmtId="10" fontId="16" fillId="0" borderId="0" xfId="4" applyNumberFormat="1" applyFont="1" applyFill="1" applyBorder="1" applyAlignment="1">
      <alignment horizontal="right"/>
    </xf>
    <xf numFmtId="10" fontId="16" fillId="0" borderId="0" xfId="0" applyNumberFormat="1" applyFont="1" applyFill="1" applyBorder="1"/>
    <xf numFmtId="173" fontId="11" fillId="0" borderId="5" xfId="0" applyNumberFormat="1" applyFont="1" applyFill="1" applyBorder="1"/>
    <xf numFmtId="165" fontId="6" fillId="0" borderId="7" xfId="1" applyNumberFormat="1" applyFont="1" applyFill="1" applyBorder="1"/>
    <xf numFmtId="165" fontId="0" fillId="0" borderId="7" xfId="1" applyNumberFormat="1" applyFont="1" applyFill="1" applyBorder="1"/>
    <xf numFmtId="3" fontId="0" fillId="0" borderId="0" xfId="0" applyNumberFormat="1"/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179" fontId="11" fillId="0" borderId="0" xfId="1" applyNumberFormat="1" applyFont="1" applyAlignment="1">
      <alignment horizontal="right"/>
    </xf>
    <xf numFmtId="4" fontId="11" fillId="0" borderId="0" xfId="0" applyNumberFormat="1" applyFont="1"/>
    <xf numFmtId="4" fontId="11" fillId="0" borderId="0" xfId="0" applyNumberFormat="1" applyFont="1" applyFill="1"/>
    <xf numFmtId="182" fontId="11" fillId="0" borderId="0" xfId="0" applyNumberFormat="1" applyFont="1"/>
    <xf numFmtId="182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3" fontId="11" fillId="0" borderId="0" xfId="1" applyNumberFormat="1" applyFont="1" applyFill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Fill="1"/>
    <xf numFmtId="4" fontId="11" fillId="0" borderId="0" xfId="0" applyNumberFormat="1" applyFont="1" applyFill="1" applyAlignment="1">
      <alignment horizontal="center"/>
    </xf>
    <xf numFmtId="182" fontId="11" fillId="0" borderId="0" xfId="0" applyNumberFormat="1" applyFont="1" applyFill="1" applyAlignment="1">
      <alignment horizontal="center"/>
    </xf>
    <xf numFmtId="0" fontId="11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center"/>
    </xf>
    <xf numFmtId="37" fontId="11" fillId="0" borderId="0" xfId="1" applyNumberFormat="1" applyFont="1" applyBorder="1"/>
    <xf numFmtId="37" fontId="14" fillId="0" borderId="0" xfId="1" applyNumberFormat="1" applyFont="1" applyFill="1" applyBorder="1"/>
    <xf numFmtId="37" fontId="11" fillId="0" borderId="0" xfId="1" applyNumberFormat="1" applyFont="1" applyFill="1" applyBorder="1"/>
    <xf numFmtId="169" fontId="11" fillId="0" borderId="5" xfId="1" applyNumberFormat="1" applyFont="1" applyFill="1" applyBorder="1"/>
    <xf numFmtId="176" fontId="11" fillId="0" borderId="0" xfId="1" applyNumberFormat="1" applyFont="1" applyFill="1"/>
    <xf numFmtId="41" fontId="11" fillId="0" borderId="5" xfId="2" applyNumberFormat="1" applyFont="1" applyFill="1" applyBorder="1"/>
    <xf numFmtId="0" fontId="11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 indent="1"/>
    </xf>
    <xf numFmtId="169" fontId="11" fillId="0" borderId="3" xfId="0" applyNumberFormat="1" applyFont="1" applyFill="1" applyBorder="1"/>
    <xf numFmtId="41" fontId="11" fillId="0" borderId="0" xfId="0" applyNumberFormat="1" applyFont="1" applyFill="1"/>
    <xf numFmtId="169" fontId="11" fillId="0" borderId="0" xfId="0" quotePrefix="1" applyNumberFormat="1" applyFont="1"/>
    <xf numFmtId="169" fontId="11" fillId="0" borderId="4" xfId="0" applyNumberFormat="1" applyFont="1" applyFill="1" applyBorder="1"/>
    <xf numFmtId="37" fontId="11" fillId="0" borderId="2" xfId="0" applyNumberFormat="1" applyFont="1" applyFill="1" applyBorder="1"/>
    <xf numFmtId="178" fontId="11" fillId="0" borderId="0" xfId="0" applyNumberFormat="1" applyFont="1" applyFill="1"/>
    <xf numFmtId="165" fontId="6" fillId="0" borderId="4" xfId="0" applyNumberFormat="1" applyFont="1" applyFill="1" applyBorder="1"/>
    <xf numFmtId="41" fontId="11" fillId="0" borderId="0" xfId="0" applyNumberFormat="1" applyFont="1" applyFill="1" applyBorder="1"/>
    <xf numFmtId="169" fontId="11" fillId="0" borderId="4" xfId="1" applyNumberFormat="1" applyFont="1" applyFill="1" applyBorder="1"/>
    <xf numFmtId="170" fontId="11" fillId="0" borderId="0" xfId="0" applyNumberFormat="1" applyFont="1" applyFill="1" applyBorder="1"/>
    <xf numFmtId="170" fontId="11" fillId="0" borderId="1" xfId="0" applyNumberFormat="1" applyFont="1" applyFill="1" applyBorder="1"/>
    <xf numFmtId="37" fontId="11" fillId="0" borderId="1" xfId="0" applyNumberFormat="1" applyFont="1" applyFill="1" applyBorder="1"/>
    <xf numFmtId="0" fontId="16" fillId="0" borderId="0" xfId="0" applyFont="1" applyFill="1" applyBorder="1"/>
    <xf numFmtId="169" fontId="11" fillId="0" borderId="0" xfId="0" quotePrefix="1" applyNumberFormat="1" applyFont="1" applyFill="1"/>
    <xf numFmtId="0" fontId="7" fillId="0" borderId="0" xfId="0" applyFont="1" applyFill="1"/>
    <xf numFmtId="170" fontId="11" fillId="0" borderId="2" xfId="4" applyNumberFormat="1" applyFont="1" applyFill="1" applyBorder="1"/>
    <xf numFmtId="0" fontId="20" fillId="0" borderId="0" xfId="0" applyFont="1" applyFill="1"/>
    <xf numFmtId="0" fontId="5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14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/>
    <xf numFmtId="170" fontId="12" fillId="0" borderId="0" xfId="0" applyNumberFormat="1" applyFont="1" applyFill="1"/>
    <xf numFmtId="170" fontId="11" fillId="0" borderId="0" xfId="1" applyNumberFormat="1" applyFont="1" applyFill="1"/>
    <xf numFmtId="0" fontId="5" fillId="0" borderId="0" xfId="0" applyFont="1" applyFill="1"/>
    <xf numFmtId="37" fontId="11" fillId="0" borderId="0" xfId="0" applyNumberFormat="1" applyFont="1" applyFill="1"/>
    <xf numFmtId="0" fontId="11" fillId="0" borderId="0" xfId="0" applyFont="1" applyFill="1" applyAlignment="1">
      <alignment horizontal="left" indent="1"/>
    </xf>
    <xf numFmtId="178" fontId="11" fillId="0" borderId="0" xfId="0" applyNumberFormat="1" applyFont="1" applyFill="1"/>
    <xf numFmtId="178" fontId="11" fillId="0" borderId="1" xfId="0" applyNumberFormat="1" applyFont="1" applyFill="1" applyBorder="1"/>
    <xf numFmtId="178" fontId="11" fillId="0" borderId="0" xfId="0" applyNumberFormat="1" applyFont="1" applyFill="1" applyAlignment="1">
      <alignment horizontal="center"/>
    </xf>
    <xf numFmtId="37" fontId="11" fillId="0" borderId="0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centerContinuous"/>
    </xf>
    <xf numFmtId="2" fontId="11" fillId="0" borderId="0" xfId="0" applyNumberFormat="1" applyFont="1" applyFill="1" applyBorder="1"/>
    <xf numFmtId="0" fontId="5" fillId="0" borderId="0" xfId="0" applyFont="1"/>
    <xf numFmtId="184" fontId="11" fillId="0" borderId="0" xfId="0" applyNumberFormat="1" applyFont="1"/>
    <xf numFmtId="178" fontId="11" fillId="0" borderId="0" xfId="0" applyNumberFormat="1" applyFont="1" applyFill="1" applyBorder="1"/>
    <xf numFmtId="178" fontId="27" fillId="0" borderId="0" xfId="1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7" fontId="7" fillId="0" borderId="0" xfId="0" applyNumberFormat="1" applyFont="1" applyFill="1"/>
    <xf numFmtId="0" fontId="28" fillId="0" borderId="0" xfId="0" applyFont="1" applyFill="1" applyAlignment="1">
      <alignment horizontal="center"/>
    </xf>
    <xf numFmtId="37" fontId="28" fillId="0" borderId="0" xfId="0" applyNumberFormat="1" applyFont="1" applyFill="1"/>
    <xf numFmtId="178" fontId="28" fillId="0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left"/>
    </xf>
    <xf numFmtId="169" fontId="27" fillId="0" borderId="0" xfId="1" applyNumberFormat="1" applyFont="1" applyFill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11" fillId="0" borderId="1" xfId="0" applyFont="1" applyFill="1" applyBorder="1"/>
    <xf numFmtId="169" fontId="11" fillId="0" borderId="0" xfId="0" applyNumberFormat="1" applyFont="1" applyFill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Fill="1" applyBorder="1"/>
    <xf numFmtId="183" fontId="5" fillId="0" borderId="0" xfId="10" applyFont="1" applyAlignment="1">
      <alignment horizontal="right"/>
    </xf>
    <xf numFmtId="165" fontId="11" fillId="0" borderId="2" xfId="1" applyNumberFormat="1" applyFont="1" applyFill="1" applyBorder="1"/>
    <xf numFmtId="0" fontId="5" fillId="0" borderId="1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Fill="1"/>
    <xf numFmtId="0" fontId="25" fillId="0" borderId="0" xfId="0" applyFont="1" applyFill="1" applyAlignment="1">
      <alignment horizontal="center"/>
    </xf>
    <xf numFmtId="165" fontId="11" fillId="0" borderId="0" xfId="0" applyNumberFormat="1" applyFont="1" applyFill="1"/>
    <xf numFmtId="0" fontId="1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2" fillId="0" borderId="0" xfId="0" applyFont="1"/>
    <xf numFmtId="3" fontId="2" fillId="0" borderId="0" xfId="0" applyNumberFormat="1" applyFont="1" applyFill="1"/>
    <xf numFmtId="179" fontId="6" fillId="0" borderId="0" xfId="1" quotePrefix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1" fontId="5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0" borderId="0" xfId="0" applyFont="1" applyFill="1"/>
    <xf numFmtId="0" fontId="5" fillId="0" borderId="0" xfId="0" applyFont="1" applyAlignment="1">
      <alignment horizontal="center"/>
    </xf>
    <xf numFmtId="170" fontId="0" fillId="0" borderId="0" xfId="0" applyNumberFormat="1" applyFill="1"/>
    <xf numFmtId="170" fontId="0" fillId="0" borderId="1" xfId="4" applyNumberFormat="1" applyFont="1" applyFill="1" applyBorder="1"/>
    <xf numFmtId="0" fontId="2" fillId="0" borderId="0" xfId="0" applyFont="1" applyFill="1"/>
    <xf numFmtId="0" fontId="25" fillId="0" borderId="0" xfId="0" applyFont="1" applyFill="1" applyBorder="1"/>
    <xf numFmtId="0" fontId="25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177" fontId="11" fillId="0" borderId="0" xfId="1" applyNumberFormat="1" applyFont="1" applyFill="1"/>
    <xf numFmtId="174" fontId="11" fillId="0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left" indent="2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31" fillId="0" borderId="0" xfId="0" applyFont="1"/>
    <xf numFmtId="175" fontId="6" fillId="0" borderId="0" xfId="0" applyNumberFormat="1" applyFont="1" applyFill="1"/>
    <xf numFmtId="169" fontId="2" fillId="0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/>
    <xf numFmtId="167" fontId="11" fillId="0" borderId="0" xfId="0" applyNumberFormat="1" applyFont="1"/>
    <xf numFmtId="167" fontId="11" fillId="0" borderId="0" xfId="0" applyNumberFormat="1" applyFont="1" applyFill="1"/>
    <xf numFmtId="3" fontId="32" fillId="0" borderId="0" xfId="0" applyNumberFormat="1" applyFont="1" applyFill="1" applyBorder="1"/>
    <xf numFmtId="185" fontId="0" fillId="0" borderId="0" xfId="0" applyNumberFormat="1"/>
    <xf numFmtId="0" fontId="5" fillId="0" borderId="0" xfId="0" applyFont="1" applyFill="1" applyAlignment="1">
      <alignment horizontal="center"/>
    </xf>
    <xf numFmtId="169" fontId="11" fillId="2" borderId="0" xfId="1" applyNumberFormat="1" applyFont="1" applyFill="1"/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1" fillId="0" borderId="0" xfId="0" applyNumberFormat="1" applyFont="1"/>
    <xf numFmtId="0" fontId="9" fillId="0" borderId="0" xfId="0" applyNumberFormat="1" applyFont="1"/>
    <xf numFmtId="0" fontId="11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7" fillId="0" borderId="0" xfId="0" applyNumberFormat="1" applyFont="1"/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indent="2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11" fillId="0" borderId="0" xfId="0" applyNumberFormat="1" applyFont="1"/>
    <xf numFmtId="0" fontId="11" fillId="0" borderId="0" xfId="0" applyNumberFormat="1" applyFont="1" applyFill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36" fillId="0" borderId="0" xfId="12" applyFont="1" applyFill="1" applyBorder="1"/>
    <xf numFmtId="0" fontId="5" fillId="0" borderId="0" xfId="0" applyFont="1" applyFill="1" applyAlignment="1">
      <alignment horizontal="center"/>
    </xf>
    <xf numFmtId="0" fontId="2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Continuous"/>
    </xf>
    <xf numFmtId="0" fontId="4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0" fontId="11" fillId="0" borderId="0" xfId="0" applyNumberFormat="1" applyFont="1" applyFill="1"/>
    <xf numFmtId="165" fontId="11" fillId="0" borderId="0" xfId="0" applyNumberFormat="1" applyFont="1" applyFill="1" applyBorder="1"/>
    <xf numFmtId="165" fontId="11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 applyFill="1" applyBorder="1"/>
    <xf numFmtId="10" fontId="2" fillId="0" borderId="0" xfId="0" applyNumberFormat="1" applyFont="1" applyFill="1"/>
    <xf numFmtId="0" fontId="4" fillId="0" borderId="0" xfId="0" quotePrefix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Fill="1" applyAlignment="1">
      <alignment horizontal="center" wrapText="1"/>
    </xf>
    <xf numFmtId="0" fontId="5" fillId="0" borderId="0" xfId="0" quotePrefix="1" applyFont="1" applyAlignment="1">
      <alignment horizontal="center"/>
    </xf>
    <xf numFmtId="169" fontId="11" fillId="0" borderId="7" xfId="0" applyNumberFormat="1" applyFont="1" applyFill="1" applyBorder="1"/>
    <xf numFmtId="183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9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/>
    <xf numFmtId="165" fontId="2" fillId="0" borderId="2" xfId="1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0" xfId="0" applyFont="1" applyFill="1" applyAlignment="1">
      <alignment horizontal="left"/>
    </xf>
    <xf numFmtId="168" fontId="2" fillId="0" borderId="0" xfId="1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left"/>
    </xf>
    <xf numFmtId="15" fontId="4" fillId="0" borderId="0" xfId="0" applyNumberFormat="1" applyFont="1" applyFill="1" applyAlignment="1">
      <alignment horizontal="center"/>
    </xf>
    <xf numFmtId="169" fontId="4" fillId="0" borderId="0" xfId="1" applyNumberFormat="1" applyFont="1" applyFill="1" applyBorder="1"/>
    <xf numFmtId="178" fontId="11" fillId="0" borderId="4" xfId="0" applyNumberFormat="1" applyFont="1" applyFill="1" applyBorder="1"/>
    <xf numFmtId="37" fontId="11" fillId="0" borderId="4" xfId="0" applyNumberFormat="1" applyFont="1" applyBorder="1"/>
    <xf numFmtId="178" fontId="11" fillId="0" borderId="4" xfId="0" applyNumberFormat="1" applyFont="1" applyBorder="1"/>
    <xf numFmtId="37" fontId="11" fillId="0" borderId="3" xfId="0" applyNumberFormat="1" applyFont="1" applyFill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0" xfId="0" applyFont="1" applyFill="1" applyAlignment="1">
      <alignment horizontal="left" wrapText="1"/>
    </xf>
    <xf numFmtId="169" fontId="2" fillId="0" borderId="0" xfId="1" applyNumberFormat="1" applyFont="1" applyFill="1" applyBorder="1"/>
    <xf numFmtId="165" fontId="2" fillId="0" borderId="0" xfId="1" applyNumberFormat="1" applyFill="1"/>
    <xf numFmtId="169" fontId="59" fillId="0" borderId="0" xfId="0" applyNumberFormat="1" applyFont="1" applyFill="1"/>
    <xf numFmtId="0" fontId="59" fillId="0" borderId="0" xfId="0" applyFont="1" applyFill="1"/>
    <xf numFmtId="0" fontId="59" fillId="0" borderId="0" xfId="0" applyFont="1"/>
    <xf numFmtId="0" fontId="60" fillId="0" borderId="0" xfId="0" applyFont="1"/>
    <xf numFmtId="9" fontId="59" fillId="0" borderId="0" xfId="4" applyFont="1" applyFill="1"/>
    <xf numFmtId="0" fontId="11" fillId="0" borderId="0" xfId="0" quotePrefix="1" applyFont="1" applyFill="1" applyAlignment="1">
      <alignment horizontal="left" indent="2"/>
    </xf>
    <xf numFmtId="3" fontId="61" fillId="0" borderId="0" xfId="0" applyNumberFormat="1" applyFont="1" applyFill="1"/>
    <xf numFmtId="169" fontId="11" fillId="0" borderId="12" xfId="0" applyNumberFormat="1" applyFont="1" applyFill="1" applyBorder="1"/>
    <xf numFmtId="0" fontId="11" fillId="0" borderId="0" xfId="0" quotePrefix="1" applyFont="1" applyFill="1" applyAlignment="1">
      <alignment horizontal="left"/>
    </xf>
    <xf numFmtId="0" fontId="62" fillId="0" borderId="0" xfId="0" applyFont="1" applyFill="1"/>
    <xf numFmtId="0" fontId="62" fillId="0" borderId="0" xfId="0" applyFont="1" applyFill="1" applyBorder="1" applyAlignment="1">
      <alignment horizontal="center"/>
    </xf>
    <xf numFmtId="0" fontId="63" fillId="0" borderId="0" xfId="0" applyFont="1" applyFill="1"/>
    <xf numFmtId="15" fontId="63" fillId="0" borderId="0" xfId="0" applyNumberFormat="1" applyFont="1" applyFill="1" applyAlignment="1">
      <alignment horizontal="left"/>
    </xf>
    <xf numFmtId="0" fontId="63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81" fontId="11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11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11" fillId="0" borderId="0" xfId="1" applyNumberFormat="1" applyFont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64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/>
    <xf numFmtId="169" fontId="4" fillId="0" borderId="5" xfId="1" applyNumberFormat="1" applyFont="1" applyFill="1" applyBorder="1"/>
    <xf numFmtId="0" fontId="25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5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38" fontId="3" fillId="0" borderId="0" xfId="0" applyNumberFormat="1" applyFont="1" applyFill="1"/>
    <xf numFmtId="10" fontId="3" fillId="0" borderId="0" xfId="4" applyNumberFormat="1" applyFont="1" applyFill="1"/>
    <xf numFmtId="38" fontId="3" fillId="0" borderId="1" xfId="0" applyNumberFormat="1" applyFont="1" applyFill="1" applyBorder="1"/>
    <xf numFmtId="10" fontId="3" fillId="0" borderId="1" xfId="4" applyNumberFormat="1" applyFont="1" applyFill="1" applyBorder="1"/>
    <xf numFmtId="165" fontId="3" fillId="0" borderId="1" xfId="0" applyNumberFormat="1" applyFont="1" applyFill="1" applyBorder="1"/>
    <xf numFmtId="165" fontId="3" fillId="0" borderId="0" xfId="0" applyNumberFormat="1" applyFont="1" applyFill="1" applyBorder="1"/>
    <xf numFmtId="38" fontId="3" fillId="0" borderId="5" xfId="0" applyNumberFormat="1" applyFont="1" applyFill="1" applyBorder="1"/>
    <xf numFmtId="9" fontId="3" fillId="0" borderId="5" xfId="4" applyNumberFormat="1" applyFont="1" applyFill="1" applyBorder="1"/>
    <xf numFmtId="10" fontId="3" fillId="0" borderId="5" xfId="4" applyNumberFormat="1" applyFont="1" applyFill="1" applyBorder="1"/>
    <xf numFmtId="38" fontId="3" fillId="0" borderId="0" xfId="0" applyNumberFormat="1" applyFont="1" applyFill="1" applyBorder="1"/>
    <xf numFmtId="170" fontId="3" fillId="0" borderId="5" xfId="4" applyNumberFormat="1" applyFont="1" applyFill="1" applyBorder="1"/>
    <xf numFmtId="38" fontId="3" fillId="0" borderId="0" xfId="0" applyNumberFormat="1" applyFont="1" applyFill="1" applyAlignment="1">
      <alignment horizontal="center"/>
    </xf>
    <xf numFmtId="10" fontId="2" fillId="0" borderId="0" xfId="4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0" fontId="62" fillId="0" borderId="0" xfId="0" applyNumberFormat="1" applyFont="1" applyFill="1"/>
    <xf numFmtId="0" fontId="62" fillId="0" borderId="8" xfId="0" applyFont="1" applyFill="1" applyBorder="1"/>
    <xf numFmtId="0" fontId="62" fillId="0" borderId="0" xfId="0" applyFont="1" applyFill="1" applyAlignment="1">
      <alignment horizontal="right"/>
    </xf>
    <xf numFmtId="10" fontId="62" fillId="0" borderId="0" xfId="0" applyNumberFormat="1" applyFont="1" applyFill="1" applyAlignment="1">
      <alignment horizontal="center"/>
    </xf>
    <xf numFmtId="0" fontId="63" fillId="0" borderId="8" xfId="0" applyFont="1" applyFill="1" applyBorder="1" applyAlignment="1">
      <alignment horizontal="center"/>
    </xf>
    <xf numFmtId="10" fontId="63" fillId="0" borderId="0" xfId="0" applyNumberFormat="1" applyFont="1" applyFill="1" applyAlignment="1">
      <alignment horizontal="center"/>
    </xf>
    <xf numFmtId="0" fontId="25" fillId="0" borderId="0" xfId="0" applyFont="1"/>
    <xf numFmtId="4" fontId="62" fillId="0" borderId="0" xfId="0" applyNumberFormat="1" applyFont="1" applyFill="1"/>
    <xf numFmtId="10" fontId="65" fillId="0" borderId="0" xfId="0" applyNumberFormat="1" applyFont="1" applyFill="1"/>
    <xf numFmtId="0" fontId="66" fillId="0" borderId="0" xfId="0" applyFont="1" applyFill="1" applyAlignment="1">
      <alignment horizontal="right"/>
    </xf>
    <xf numFmtId="0" fontId="66" fillId="0" borderId="0" xfId="0" applyFont="1" applyFill="1" applyAlignment="1">
      <alignment horizontal="center"/>
    </xf>
    <xf numFmtId="0" fontId="66" fillId="0" borderId="0" xfId="0" applyFont="1" applyFill="1" applyAlignment="1">
      <alignment horizontal="centerContinuous"/>
    </xf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66" fillId="0" borderId="0" xfId="0" applyFont="1" applyFill="1"/>
    <xf numFmtId="0" fontId="21" fillId="0" borderId="0" xfId="0" applyFont="1"/>
    <xf numFmtId="0" fontId="11" fillId="0" borderId="0" xfId="0" applyFont="1" applyFill="1" applyBorder="1" applyAlignment="1">
      <alignment horizontal="centerContinuous"/>
    </xf>
    <xf numFmtId="15" fontId="66" fillId="0" borderId="0" xfId="0" applyNumberFormat="1" applyFont="1" applyFill="1" applyAlignment="1">
      <alignment horizontal="left"/>
    </xf>
    <xf numFmtId="15" fontId="66" fillId="0" borderId="10" xfId="0" applyNumberFormat="1" applyFont="1" applyFill="1" applyBorder="1" applyAlignment="1">
      <alignment horizontal="left"/>
    </xf>
    <xf numFmtId="0" fontId="66" fillId="0" borderId="0" xfId="0" applyFont="1" applyFill="1" applyBorder="1" applyAlignment="1">
      <alignment horizontal="center"/>
    </xf>
    <xf numFmtId="0" fontId="66" fillId="0" borderId="10" xfId="0" applyFont="1" applyFill="1" applyBorder="1" applyAlignment="1">
      <alignment horizontal="center"/>
    </xf>
    <xf numFmtId="15" fontId="66" fillId="0" borderId="0" xfId="0" applyNumberFormat="1" applyFont="1" applyFill="1" applyBorder="1" applyAlignment="1">
      <alignment horizontal="center"/>
    </xf>
    <xf numFmtId="15" fontId="66" fillId="0" borderId="0" xfId="0" applyNumberFormat="1" applyFont="1" applyFill="1" applyAlignment="1">
      <alignment horizontal="center"/>
    </xf>
    <xf numFmtId="0" fontId="66" fillId="0" borderId="1" xfId="0" applyFont="1" applyFill="1" applyBorder="1" applyAlignment="1">
      <alignment horizontal="center"/>
    </xf>
    <xf numFmtId="0" fontId="66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69" fontId="21" fillId="0" borderId="0" xfId="1" applyNumberFormat="1" applyFont="1" applyFill="1" applyBorder="1" applyAlignment="1">
      <alignment horizontal="right"/>
    </xf>
    <xf numFmtId="165" fontId="21" fillId="0" borderId="0" xfId="1" applyNumberFormat="1" applyFont="1" applyFill="1" applyBorder="1"/>
    <xf numFmtId="165" fontId="21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37" fontId="21" fillId="0" borderId="0" xfId="0" applyNumberFormat="1" applyFont="1" applyFill="1"/>
    <xf numFmtId="0" fontId="21" fillId="0" borderId="0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69" fontId="21" fillId="0" borderId="9" xfId="1" applyNumberFormat="1" applyFont="1" applyFill="1" applyBorder="1" applyAlignment="1">
      <alignment horizontal="right"/>
    </xf>
    <xf numFmtId="165" fontId="21" fillId="0" borderId="1" xfId="1" applyNumberFormat="1" applyFont="1" applyFill="1" applyBorder="1" applyAlignment="1">
      <alignment horizontal="right"/>
    </xf>
    <xf numFmtId="165" fontId="21" fillId="0" borderId="1" xfId="0" applyNumberFormat="1" applyFont="1" applyFill="1" applyBorder="1"/>
    <xf numFmtId="168" fontId="21" fillId="0" borderId="0" xfId="1" applyNumberFormat="1" applyFont="1" applyFill="1" applyBorder="1" applyAlignment="1">
      <alignment horizontal="center"/>
    </xf>
    <xf numFmtId="165" fontId="21" fillId="0" borderId="2" xfId="1" applyNumberFormat="1" applyFont="1" applyFill="1" applyBorder="1" applyAlignment="1">
      <alignment horizontal="right"/>
    </xf>
    <xf numFmtId="165" fontId="21" fillId="0" borderId="1" xfId="1" applyNumberFormat="1" applyFont="1" applyFill="1" applyBorder="1"/>
    <xf numFmtId="169" fontId="21" fillId="0" borderId="1" xfId="1" applyNumberFormat="1" applyFont="1" applyFill="1" applyBorder="1" applyAlignment="1">
      <alignment horizontal="right"/>
    </xf>
    <xf numFmtId="0" fontId="21" fillId="0" borderId="0" xfId="0" applyFont="1" applyFill="1" applyBorder="1" applyAlignment="1"/>
    <xf numFmtId="0" fontId="21" fillId="0" borderId="10" xfId="0" applyFont="1" applyFill="1" applyBorder="1"/>
    <xf numFmtId="165" fontId="21" fillId="0" borderId="0" xfId="1" applyNumberFormat="1" applyFont="1" applyFill="1"/>
    <xf numFmtId="0" fontId="21" fillId="0" borderId="1" xfId="0" applyFont="1" applyFill="1" applyBorder="1"/>
    <xf numFmtId="0" fontId="21" fillId="0" borderId="11" xfId="0" applyFont="1" applyFill="1" applyBorder="1"/>
    <xf numFmtId="0" fontId="21" fillId="0" borderId="0" xfId="0" applyNumberFormat="1" applyFont="1"/>
    <xf numFmtId="169" fontId="21" fillId="0" borderId="22" xfId="1" applyNumberFormat="1" applyFont="1" applyFill="1" applyBorder="1" applyAlignment="1">
      <alignment horizontal="right"/>
    </xf>
    <xf numFmtId="165" fontId="21" fillId="0" borderId="0" xfId="0" applyNumberFormat="1" applyFont="1" applyFill="1" applyBorder="1"/>
    <xf numFmtId="165" fontId="21" fillId="0" borderId="5" xfId="1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165" fontId="67" fillId="0" borderId="0" xfId="0" applyNumberFormat="1" applyFont="1" applyFill="1"/>
    <xf numFmtId="0" fontId="67" fillId="0" borderId="0" xfId="0" applyFont="1" applyFill="1"/>
    <xf numFmtId="10" fontId="21" fillId="0" borderId="0" xfId="4" applyNumberFormat="1" applyFont="1" applyFill="1" applyBorder="1" applyAlignment="1">
      <alignment horizontal="center"/>
    </xf>
    <xf numFmtId="2" fontId="21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15" fontId="4" fillId="0" borderId="8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9" fontId="2" fillId="0" borderId="0" xfId="4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9" fontId="2" fillId="0" borderId="1" xfId="4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center"/>
    </xf>
    <xf numFmtId="169" fontId="2" fillId="0" borderId="2" xfId="1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right"/>
    </xf>
    <xf numFmtId="10" fontId="2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1" fontId="2" fillId="0" borderId="8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right"/>
    </xf>
    <xf numFmtId="10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/>
    <xf numFmtId="1" fontId="2" fillId="0" borderId="9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/>
    <xf numFmtId="4" fontId="2" fillId="0" borderId="0" xfId="0" applyNumberFormat="1" applyFont="1" applyFill="1" applyBorder="1"/>
    <xf numFmtId="10" fontId="22" fillId="0" borderId="0" xfId="0" applyNumberFormat="1" applyFont="1" applyFill="1"/>
    <xf numFmtId="169" fontId="2" fillId="0" borderId="5" xfId="1" applyNumberFormat="1" applyFont="1" applyFill="1" applyBorder="1" applyAlignment="1">
      <alignment horizontal="right"/>
    </xf>
    <xf numFmtId="0" fontId="60" fillId="0" borderId="0" xfId="0" applyFont="1" applyFill="1"/>
    <xf numFmtId="165" fontId="11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68" fillId="0" borderId="0" xfId="0" applyNumberFormat="1" applyFont="1" applyFill="1"/>
    <xf numFmtId="0" fontId="5" fillId="0" borderId="0" xfId="0" applyFont="1" applyFill="1" applyAlignment="1">
      <alignment horizontal="center"/>
    </xf>
    <xf numFmtId="167" fontId="9" fillId="0" borderId="0" xfId="1" applyNumberFormat="1" applyFont="1" applyFill="1" applyBorder="1"/>
    <xf numFmtId="165" fontId="59" fillId="0" borderId="0" xfId="4" applyNumberFormat="1" applyFont="1" applyFill="1"/>
    <xf numFmtId="165" fontId="7" fillId="0" borderId="0" xfId="0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7" fontId="11" fillId="0" borderId="0" xfId="1" applyNumberFormat="1" applyFont="1" applyFill="1" applyBorder="1"/>
    <xf numFmtId="167" fontId="11" fillId="0" borderId="1" xfId="1" applyNumberFormat="1" applyFont="1" applyFill="1" applyBorder="1"/>
    <xf numFmtId="167" fontId="11" fillId="0" borderId="1" xfId="0" applyNumberFormat="1" applyFont="1" applyFill="1" applyBorder="1"/>
    <xf numFmtId="167" fontId="11" fillId="0" borderId="0" xfId="0" applyNumberFormat="1" applyFont="1" applyFill="1" applyBorder="1"/>
    <xf numFmtId="167" fontId="11" fillId="0" borderId="3" xfId="0" applyNumberFormat="1" applyFont="1" applyFill="1" applyBorder="1"/>
    <xf numFmtId="167" fontId="11" fillId="0" borderId="0" xfId="1" applyNumberFormat="1" applyFont="1"/>
    <xf numFmtId="167" fontId="11" fillId="0" borderId="0" xfId="1" applyNumberFormat="1" applyFont="1" applyFill="1"/>
    <xf numFmtId="165" fontId="11" fillId="0" borderId="0" xfId="1" applyNumberFormat="1" applyFont="1"/>
    <xf numFmtId="165" fontId="11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/>
    <xf numFmtId="165" fontId="11" fillId="0" borderId="0" xfId="4" applyNumberFormat="1" applyFont="1"/>
    <xf numFmtId="165" fontId="11" fillId="0" borderId="1" xfId="11" applyNumberFormat="1" applyFont="1" applyBorder="1"/>
    <xf numFmtId="165" fontId="3" fillId="0" borderId="0" xfId="0" applyNumberFormat="1" applyFont="1" applyBorder="1"/>
    <xf numFmtId="165" fontId="11" fillId="0" borderId="1" xfId="0" applyNumberFormat="1" applyFont="1" applyBorder="1"/>
    <xf numFmtId="0" fontId="21" fillId="0" borderId="0" xfId="0" applyNumberFormat="1" applyFont="1" applyAlignment="1">
      <alignment horizontal="center"/>
    </xf>
    <xf numFmtId="165" fontId="16" fillId="0" borderId="0" xfId="0" applyNumberFormat="1" applyFont="1" applyFill="1"/>
    <xf numFmtId="165" fontId="16" fillId="0" borderId="1" xfId="0" applyNumberFormat="1" applyFont="1" applyFill="1" applyBorder="1"/>
    <xf numFmtId="165" fontId="16" fillId="0" borderId="3" xfId="0" applyNumberFormat="1" applyFont="1" applyFill="1" applyBorder="1"/>
    <xf numFmtId="165" fontId="16" fillId="0" borderId="0" xfId="0" applyNumberFormat="1" applyFont="1" applyFill="1" applyBorder="1"/>
    <xf numFmtId="167" fontId="16" fillId="0" borderId="0" xfId="0" applyNumberFormat="1" applyFont="1" applyFill="1" applyBorder="1"/>
    <xf numFmtId="167" fontId="16" fillId="0" borderId="0" xfId="0" applyNumberFormat="1" applyFont="1" applyFill="1"/>
    <xf numFmtId="0" fontId="4" fillId="0" borderId="0" xfId="0" applyFont="1" applyBorder="1" applyAlignment="1">
      <alignment horizontal="center"/>
    </xf>
    <xf numFmtId="165" fontId="11" fillId="0" borderId="0" xfId="1" applyNumberFormat="1" applyFont="1" applyBorder="1"/>
    <xf numFmtId="165" fontId="12" fillId="0" borderId="0" xfId="1" applyNumberFormat="1" applyFont="1" applyFill="1" applyBorder="1"/>
    <xf numFmtId="165" fontId="12" fillId="0" borderId="0" xfId="1" applyNumberFormat="1" applyFont="1" applyBorder="1"/>
    <xf numFmtId="165" fontId="11" fillId="0" borderId="1" xfId="1" applyNumberFormat="1" applyFont="1" applyBorder="1"/>
    <xf numFmtId="43" fontId="11" fillId="0" borderId="0" xfId="1" applyNumberFormat="1" applyFont="1" applyFill="1"/>
    <xf numFmtId="167" fontId="11" fillId="0" borderId="5" xfId="1" applyNumberFormat="1" applyFont="1" applyFill="1" applyBorder="1"/>
    <xf numFmtId="43" fontId="11" fillId="0" borderId="6" xfId="1" applyNumberFormat="1" applyFont="1" applyFill="1" applyBorder="1"/>
    <xf numFmtId="170" fontId="11" fillId="0" borderId="0" xfId="0" applyNumberFormat="1" applyFont="1" applyFill="1"/>
    <xf numFmtId="187" fontId="11" fillId="0" borderId="0" xfId="0" applyNumberFormat="1" applyFont="1"/>
    <xf numFmtId="165" fontId="11" fillId="0" borderId="4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5" fontId="11" fillId="0" borderId="0" xfId="4" applyNumberFormat="1" applyFont="1" applyFill="1"/>
    <xf numFmtId="165" fontId="11" fillId="0" borderId="1" xfId="11" applyNumberFormat="1" applyFont="1" applyFill="1" applyBorder="1"/>
    <xf numFmtId="170" fontId="11" fillId="0" borderId="4" xfId="4" applyNumberFormat="1" applyFont="1" applyFill="1" applyBorder="1"/>
    <xf numFmtId="167" fontId="9" fillId="0" borderId="0" xfId="0" applyNumberFormat="1" applyFont="1"/>
    <xf numFmtId="169" fontId="11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5" xfId="1" applyNumberFormat="1" applyFont="1" applyFill="1" applyBorder="1" applyAlignment="1">
      <alignment horizontal="right"/>
    </xf>
    <xf numFmtId="10" fontId="21" fillId="0" borderId="2" xfId="4" applyNumberFormat="1" applyFont="1" applyFill="1" applyBorder="1" applyAlignment="1">
      <alignment horizontal="center"/>
    </xf>
    <xf numFmtId="10" fontId="21" fillId="0" borderId="0" xfId="4" applyNumberFormat="1" applyFont="1" applyFill="1" applyAlignment="1">
      <alignment horizontal="center"/>
    </xf>
    <xf numFmtId="10" fontId="21" fillId="0" borderId="1" xfId="4" applyNumberFormat="1" applyFont="1" applyFill="1" applyBorder="1" applyAlignment="1">
      <alignment horizontal="center"/>
    </xf>
    <xf numFmtId="0" fontId="2" fillId="0" borderId="0" xfId="83" applyFont="1"/>
    <xf numFmtId="0" fontId="2" fillId="0" borderId="0" xfId="83"/>
    <xf numFmtId="0" fontId="16" fillId="0" borderId="0" xfId="83" applyFont="1" applyAlignment="1">
      <alignment horizontal="center"/>
    </xf>
    <xf numFmtId="0" fontId="4" fillId="0" borderId="0" xfId="84" applyFont="1" applyFill="1" applyAlignment="1">
      <alignment horizontal="right"/>
    </xf>
    <xf numFmtId="0" fontId="4" fillId="0" borderId="0" xfId="83" applyFont="1" applyAlignment="1">
      <alignment horizontal="centerContinuous"/>
    </xf>
    <xf numFmtId="0" fontId="30" fillId="0" borderId="0" xfId="83" applyFont="1" applyAlignment="1">
      <alignment horizontal="centerContinuous"/>
    </xf>
    <xf numFmtId="0" fontId="4" fillId="0" borderId="0" xfId="83" applyFont="1" applyFill="1" applyAlignment="1">
      <alignment horizontal="centerContinuous"/>
    </xf>
    <xf numFmtId="0" fontId="5" fillId="0" borderId="0" xfId="83" applyFont="1" applyAlignment="1">
      <alignment horizontal="centerContinuous"/>
    </xf>
    <xf numFmtId="0" fontId="4" fillId="0" borderId="0" xfId="83" applyFont="1"/>
    <xf numFmtId="0" fontId="2" fillId="0" borderId="0" xfId="83" applyFont="1" applyAlignment="1">
      <alignment horizontal="center"/>
    </xf>
    <xf numFmtId="0" fontId="2" fillId="0" borderId="0" xfId="83" applyAlignment="1">
      <alignment horizontal="center"/>
    </xf>
    <xf numFmtId="0" fontId="2" fillId="0" borderId="0" xfId="83" applyFont="1" applyAlignment="1">
      <alignment horizontal="left" indent="2"/>
    </xf>
    <xf numFmtId="186" fontId="70" fillId="0" borderId="0" xfId="85" applyNumberFormat="1" applyFont="1"/>
    <xf numFmtId="37" fontId="71" fillId="0" borderId="0" xfId="85" applyNumberFormat="1" applyFont="1"/>
    <xf numFmtId="37" fontId="2" fillId="0" borderId="0" xfId="85" applyNumberFormat="1" applyFont="1"/>
    <xf numFmtId="186" fontId="71" fillId="0" borderId="0" xfId="85" applyNumberFormat="1" applyFont="1" applyBorder="1"/>
    <xf numFmtId="0" fontId="4" fillId="0" borderId="0" xfId="83" applyFont="1" applyAlignment="1">
      <alignment horizontal="left" indent="2"/>
    </xf>
    <xf numFmtId="0" fontId="4" fillId="0" borderId="0" xfId="83" applyFont="1" applyAlignment="1"/>
    <xf numFmtId="186" fontId="22" fillId="0" borderId="0" xfId="85" applyNumberFormat="1" applyFont="1"/>
    <xf numFmtId="37" fontId="2" fillId="0" borderId="1" xfId="85" applyNumberFormat="1" applyFont="1" applyFill="1" applyBorder="1"/>
    <xf numFmtId="37" fontId="71" fillId="0" borderId="0" xfId="85" applyNumberFormat="1" applyFont="1" applyBorder="1"/>
    <xf numFmtId="0" fontId="4" fillId="0" borderId="0" xfId="83" applyFont="1" applyAlignment="1">
      <alignment horizontal="left"/>
    </xf>
    <xf numFmtId="188" fontId="71" fillId="0" borderId="0" xfId="4" applyNumberFormat="1" applyFont="1" applyBorder="1"/>
    <xf numFmtId="0" fontId="2" fillId="0" borderId="0" xfId="83" applyBorder="1"/>
    <xf numFmtId="186" fontId="69" fillId="0" borderId="0" xfId="85" applyNumberFormat="1" applyFont="1" applyBorder="1"/>
    <xf numFmtId="0" fontId="58" fillId="0" borderId="0" xfId="83" applyFont="1"/>
    <xf numFmtId="37" fontId="4" fillId="0" borderId="0" xfId="85" applyNumberFormat="1" applyFont="1"/>
    <xf numFmtId="37" fontId="2" fillId="0" borderId="0" xfId="85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44" fontId="24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 indent="6"/>
    </xf>
    <xf numFmtId="0" fontId="5" fillId="0" borderId="0" xfId="0" applyFont="1" applyFill="1" applyAlignment="1" applyProtection="1">
      <alignment horizontal="centerContinuous"/>
      <protection locked="0"/>
    </xf>
    <xf numFmtId="0" fontId="18" fillId="0" borderId="0" xfId="0" applyFont="1" applyFill="1" applyBorder="1"/>
    <xf numFmtId="0" fontId="2" fillId="0" borderId="0" xfId="83" applyAlignment="1">
      <alignment horizontal="centerContinuous"/>
    </xf>
    <xf numFmtId="0" fontId="16" fillId="0" borderId="0" xfId="83" applyFont="1" applyAlignment="1">
      <alignment horizontal="centerContinuous"/>
    </xf>
    <xf numFmtId="0" fontId="2" fillId="0" borderId="0" xfId="84" applyFont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3" fillId="0" borderId="5" xfId="0" applyNumberFormat="1" applyFont="1" applyFill="1" applyBorder="1"/>
    <xf numFmtId="165" fontId="68" fillId="0" borderId="0" xfId="0" applyNumberFormat="1" applyFont="1" applyFill="1"/>
    <xf numFmtId="0" fontId="15" fillId="0" borderId="0" xfId="0" applyFont="1" applyFill="1" applyAlignment="1">
      <alignment horizontal="centerContinuous"/>
    </xf>
    <xf numFmtId="0" fontId="17" fillId="0" borderId="0" xfId="0" quotePrefix="1" applyFont="1" applyFill="1" applyAlignment="1">
      <alignment horizontal="left"/>
    </xf>
    <xf numFmtId="0" fontId="15" fillId="0" borderId="0" xfId="0" applyFont="1" applyFill="1" applyBorder="1" applyAlignment="1">
      <alignment horizontal="center"/>
    </xf>
    <xf numFmtId="15" fontId="15" fillId="0" borderId="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83" fontId="16" fillId="0" borderId="0" xfId="0" quotePrefix="1" applyNumberFormat="1" applyFont="1" applyFill="1" applyAlignment="1">
      <alignment horizontal="center"/>
    </xf>
    <xf numFmtId="39" fontId="16" fillId="0" borderId="0" xfId="0" applyNumberFormat="1" applyFont="1" applyFill="1" applyBorder="1"/>
    <xf numFmtId="0" fontId="16" fillId="0" borderId="0" xfId="0" quotePrefix="1" applyFont="1" applyFill="1" applyAlignment="1">
      <alignment horizontal="center"/>
    </xf>
    <xf numFmtId="10" fontId="16" fillId="0" borderId="1" xfId="4" applyNumberFormat="1" applyFont="1" applyFill="1" applyBorder="1"/>
    <xf numFmtId="165" fontId="16" fillId="0" borderId="0" xfId="1" applyNumberFormat="1" applyFont="1" applyFill="1" applyBorder="1"/>
    <xf numFmtId="0" fontId="25" fillId="0" borderId="0" xfId="0" applyFont="1" applyBorder="1"/>
    <xf numFmtId="179" fontId="25" fillId="0" borderId="0" xfId="1" applyNumberFormat="1" applyFont="1" applyAlignment="1">
      <alignment horizontal="right"/>
    </xf>
    <xf numFmtId="179" fontId="25" fillId="0" borderId="0" xfId="1" applyNumberFormat="1" applyFont="1" applyFill="1" applyAlignment="1">
      <alignment horizontal="right"/>
    </xf>
    <xf numFmtId="179" fontId="3" fillId="0" borderId="0" xfId="1" applyNumberFormat="1" applyFont="1" applyAlignment="1">
      <alignment horizontal="right"/>
    </xf>
    <xf numFmtId="179" fontId="3" fillId="0" borderId="0" xfId="1" applyNumberFormat="1" applyFont="1" applyFill="1" applyAlignment="1">
      <alignment horizontal="right"/>
    </xf>
    <xf numFmtId="169" fontId="3" fillId="0" borderId="0" xfId="0" applyNumberFormat="1" applyFont="1" applyFill="1"/>
    <xf numFmtId="179" fontId="3" fillId="0" borderId="0" xfId="0" applyNumberFormat="1" applyFont="1" applyFill="1"/>
    <xf numFmtId="43" fontId="3" fillId="0" borderId="0" xfId="1" applyNumberFormat="1" applyFont="1" applyFill="1" applyAlignment="1">
      <alignment horizontal="right"/>
    </xf>
    <xf numFmtId="1" fontId="7" fillId="0" borderId="0" xfId="0" applyNumberFormat="1" applyFont="1" applyFill="1"/>
    <xf numFmtId="10" fontId="4" fillId="0" borderId="4" xfId="4" applyNumberFormat="1" applyFont="1" applyBorder="1"/>
    <xf numFmtId="0" fontId="2" fillId="0" borderId="0" xfId="86"/>
    <xf numFmtId="0" fontId="4" fillId="0" borderId="0" xfId="83" applyFont="1" applyAlignment="1">
      <alignment horizontal="center"/>
    </xf>
    <xf numFmtId="0" fontId="4" fillId="0" borderId="0" xfId="86" applyFont="1" applyAlignment="1">
      <alignment horizontal="center"/>
    </xf>
    <xf numFmtId="0" fontId="2" fillId="0" borderId="1" xfId="86" applyBorder="1"/>
    <xf numFmtId="0" fontId="4" fillId="0" borderId="1" xfId="86" applyFont="1" applyBorder="1" applyAlignment="1">
      <alignment horizontal="center"/>
    </xf>
    <xf numFmtId="0" fontId="2" fillId="0" borderId="0" xfId="86" applyAlignment="1">
      <alignment horizontal="center"/>
    </xf>
    <xf numFmtId="17" fontId="2" fillId="0" borderId="0" xfId="86" applyNumberFormat="1"/>
    <xf numFmtId="189" fontId="2" fillId="0" borderId="0" xfId="87" applyNumberFormat="1"/>
    <xf numFmtId="169" fontId="6" fillId="0" borderId="0" xfId="7" applyNumberFormat="1"/>
    <xf numFmtId="189" fontId="2" fillId="0" borderId="0" xfId="86" applyNumberFormat="1"/>
    <xf numFmtId="189" fontId="2" fillId="0" borderId="1" xfId="87" applyNumberFormat="1" applyBorder="1"/>
    <xf numFmtId="189" fontId="2" fillId="0" borderId="0" xfId="87" applyNumberFormat="1" applyBorder="1"/>
    <xf numFmtId="189" fontId="2" fillId="0" borderId="0" xfId="87" applyNumberFormat="1" applyFill="1" applyBorder="1"/>
    <xf numFmtId="17" fontId="2" fillId="0" borderId="0" xfId="86" applyNumberFormat="1" applyFont="1" applyAlignment="1">
      <alignment horizontal="right"/>
    </xf>
    <xf numFmtId="189" fontId="2" fillId="0" borderId="0" xfId="86" applyNumberFormat="1" applyFill="1"/>
    <xf numFmtId="189" fontId="2" fillId="0" borderId="1" xfId="87" applyNumberFormat="1" applyFill="1" applyBorder="1"/>
    <xf numFmtId="0" fontId="2" fillId="0" borderId="0" xfId="86" quotePrefix="1" applyAlignment="1">
      <alignment horizontal="right"/>
    </xf>
    <xf numFmtId="0" fontId="2" fillId="0" borderId="0" xfId="86" applyAlignment="1">
      <alignment horizontal="centerContinuous"/>
    </xf>
    <xf numFmtId="0" fontId="4" fillId="0" borderId="0" xfId="86" applyFont="1" applyAlignment="1">
      <alignment horizontal="centerContinuous"/>
    </xf>
    <xf numFmtId="0" fontId="4" fillId="0" borderId="0" xfId="86" applyFont="1" applyAlignment="1">
      <alignment horizontal="right"/>
    </xf>
    <xf numFmtId="0" fontId="2" fillId="0" borderId="0" xfId="83" applyFont="1" applyFill="1" applyAlignment="1">
      <alignment horizontal="center"/>
    </xf>
    <xf numFmtId="0" fontId="4" fillId="0" borderId="0" xfId="83" applyFont="1" applyFill="1" applyAlignment="1">
      <alignment horizontal="left" indent="1"/>
    </xf>
    <xf numFmtId="0" fontId="16" fillId="0" borderId="0" xfId="83" applyFont="1" applyFill="1" applyAlignment="1">
      <alignment horizontal="center"/>
    </xf>
    <xf numFmtId="37" fontId="71" fillId="0" borderId="0" xfId="85" applyNumberFormat="1" applyFont="1" applyFill="1" applyBorder="1"/>
    <xf numFmtId="0" fontId="2" fillId="0" borderId="0" xfId="83" applyFill="1"/>
    <xf numFmtId="165" fontId="2" fillId="0" borderId="0" xfId="85" applyNumberFormat="1" applyFont="1"/>
    <xf numFmtId="165" fontId="2" fillId="0" borderId="0" xfId="85" applyNumberFormat="1" applyFont="1" applyFill="1" applyBorder="1"/>
    <xf numFmtId="165" fontId="2" fillId="0" borderId="1" xfId="85" applyNumberFormat="1" applyFont="1" applyFill="1" applyBorder="1"/>
    <xf numFmtId="165" fontId="4" fillId="0" borderId="0" xfId="85" applyNumberFormat="1" applyFont="1" applyBorder="1"/>
    <xf numFmtId="165" fontId="2" fillId="0" borderId="0" xfId="85" applyNumberFormat="1" applyFont="1" applyFill="1"/>
    <xf numFmtId="0" fontId="2" fillId="0" borderId="0" xfId="83" applyFont="1" applyFill="1"/>
    <xf numFmtId="165" fontId="2" fillId="0" borderId="0" xfId="85" applyNumberFormat="1" applyFont="1" applyFill="1" applyBorder="1" applyAlignment="1">
      <alignment horizontal="center"/>
    </xf>
    <xf numFmtId="165" fontId="2" fillId="0" borderId="1" xfId="85" applyNumberFormat="1" applyFont="1" applyFill="1" applyBorder="1" applyAlignment="1">
      <alignment horizontal="center"/>
    </xf>
    <xf numFmtId="186" fontId="69" fillId="0" borderId="0" xfId="85" applyNumberFormat="1" applyFont="1" applyFill="1" applyBorder="1"/>
    <xf numFmtId="0" fontId="4" fillId="0" borderId="0" xfId="83" applyFont="1" applyBorder="1" applyAlignment="1">
      <alignment horizontal="center"/>
    </xf>
    <xf numFmtId="0" fontId="4" fillId="0" borderId="1" xfId="8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86" applyFont="1" applyAlignment="1">
      <alignment horizontal="center"/>
    </xf>
  </cellXfs>
  <cellStyles count="88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[0]" xfId="11" builtinId="6"/>
    <cellStyle name="Comma 2" xfId="8"/>
    <cellStyle name="Comma 2 2" xfId="43"/>
    <cellStyle name="Comma 2 3" xfId="44"/>
    <cellStyle name="Comma 2 4" xfId="42"/>
    <cellStyle name="Comma 3" xfId="45"/>
    <cellStyle name="Comma 4" xfId="46"/>
    <cellStyle name="Comma 5" xfId="47"/>
    <cellStyle name="Comma 6" xfId="48"/>
    <cellStyle name="Comma 7" xfId="49"/>
    <cellStyle name="Comma 8" xfId="50"/>
    <cellStyle name="Comma 9" xfId="41"/>
    <cellStyle name="Currency" xfId="2" builtinId="4"/>
    <cellStyle name="Currency 2" xfId="52"/>
    <cellStyle name="Currency 3" xfId="53"/>
    <cellStyle name="Currency 4" xfId="54"/>
    <cellStyle name="Currency 5" xfId="51"/>
    <cellStyle name="Currency_2003-10-17 franchise tax schedules 2" xfId="85"/>
    <cellStyle name="Currency_Book5" xfId="87"/>
    <cellStyle name="Euro" xfId="3"/>
    <cellStyle name="Explanatory Text 2" xfId="55"/>
    <cellStyle name="Good" xfId="12" builtinId="26" customBuiltin="1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 customBuiltin="1"/>
    <cellStyle name="Normal 2" xfId="7"/>
    <cellStyle name="Normal 2 2" xfId="65"/>
    <cellStyle name="Normal 2 3" xfId="64"/>
    <cellStyle name="Normal 3" xfId="10"/>
    <cellStyle name="Normal 3 2" xfId="67"/>
    <cellStyle name="Normal 3 3" xfId="66"/>
    <cellStyle name="Normal 4" xfId="68"/>
    <cellStyle name="Normal 4 2" xfId="69"/>
    <cellStyle name="Normal 5" xfId="70"/>
    <cellStyle name="Normal 6" xfId="71"/>
    <cellStyle name="Normal 7" xfId="13"/>
    <cellStyle name="Normal_2003-10-17 franchise tax schedules 2" xfId="83"/>
    <cellStyle name="Normal_Schedule 11.3 (working)" xfId="86"/>
    <cellStyle name="Normal_Schedules 11.1 - 11.3" xfId="84"/>
    <cellStyle name="Note 2" xfId="72"/>
    <cellStyle name="Output 2" xfId="73"/>
    <cellStyle name="Percent" xfId="4" builtinId="5"/>
    <cellStyle name="Percent 2" xfId="9"/>
    <cellStyle name="Percent 2 2" xfId="75"/>
    <cellStyle name="Percent 2 3" xfId="74"/>
    <cellStyle name="Percent 3" xfId="76"/>
    <cellStyle name="Percent(2)" xfId="5"/>
    <cellStyle name="Red" xfId="6"/>
    <cellStyle name="Red 2" xfId="77"/>
    <cellStyle name="Title 2" xfId="78"/>
    <cellStyle name="Total 2" xfId="79"/>
    <cellStyle name="Warning Text 2" xfId="80"/>
    <cellStyle name="waslotus" xfId="81"/>
    <cellStyle name="wk1_xls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Z80"/>
  <sheetViews>
    <sheetView view="pageBreakPreview" zoomScale="90" zoomScaleNormal="85" zoomScaleSheetLayoutView="90" workbookViewId="0">
      <selection activeCell="Y68" sqref="Y68"/>
    </sheetView>
  </sheetViews>
  <sheetFormatPr defaultColWidth="7.5703125" defaultRowHeight="15" x14ac:dyDescent="0.2"/>
  <cols>
    <col min="1" max="1" width="7.85546875" style="481" customWidth="1"/>
    <col min="2" max="2" width="2.7109375" style="481" customWidth="1"/>
    <col min="3" max="3" width="48.85546875" style="481" customWidth="1"/>
    <col min="4" max="4" width="2.7109375" style="481" customWidth="1"/>
    <col min="5" max="5" width="26" style="481" bestFit="1" customWidth="1"/>
    <col min="6" max="6" width="2.7109375" style="481" customWidth="1"/>
    <col min="7" max="7" width="13.7109375" style="481" customWidth="1"/>
    <col min="8" max="8" width="2.7109375" style="481" customWidth="1"/>
    <col min="9" max="9" width="13.7109375" style="481" customWidth="1"/>
    <col min="10" max="10" width="2.7109375" style="481" customWidth="1"/>
    <col min="11" max="11" width="13.7109375" style="481" customWidth="1"/>
    <col min="12" max="12" width="2.7109375" style="481" customWidth="1"/>
    <col min="13" max="13" width="13.7109375" style="481" customWidth="1"/>
    <col min="14" max="14" width="2.7109375" style="481" customWidth="1"/>
    <col min="15" max="15" width="13.7109375" style="481" customWidth="1"/>
    <col min="16" max="16" width="2.7109375" style="481" customWidth="1"/>
    <col min="17" max="17" width="13.7109375" style="481" customWidth="1"/>
    <col min="18" max="18" width="2.7109375" style="481" customWidth="1"/>
    <col min="19" max="19" width="13.7109375" style="481" customWidth="1"/>
    <col min="20" max="20" width="2.7109375" style="481" customWidth="1"/>
    <col min="21" max="21" width="13.7109375" style="481" customWidth="1"/>
    <col min="22" max="22" width="2.7109375" style="481" customWidth="1"/>
    <col min="23" max="23" width="13.7109375" style="481" customWidth="1"/>
    <col min="24" max="24" width="2.7109375" style="481" customWidth="1"/>
    <col min="25" max="25" width="13.7109375" style="481" customWidth="1"/>
    <col min="26" max="26" width="2.7109375" style="481" customWidth="1"/>
    <col min="27" max="16384" width="7.5703125" style="481"/>
  </cols>
  <sheetData>
    <row r="1" spans="1:26" ht="15.75" x14ac:dyDescent="0.25">
      <c r="A1" s="370" t="s">
        <v>539</v>
      </c>
      <c r="B1" s="370"/>
      <c r="C1" s="351"/>
      <c r="D1" s="351"/>
      <c r="E1" s="351"/>
      <c r="F1" s="351"/>
      <c r="G1" s="351"/>
      <c r="H1" s="351"/>
      <c r="I1" s="351"/>
      <c r="J1" s="351"/>
      <c r="K1" s="351"/>
      <c r="L1" s="41"/>
      <c r="M1" s="351"/>
      <c r="N1" s="351"/>
      <c r="O1" s="351"/>
      <c r="P1" s="41"/>
      <c r="Q1" s="41"/>
      <c r="R1" s="41"/>
      <c r="S1" s="41"/>
      <c r="T1" s="41"/>
      <c r="U1" s="41"/>
      <c r="V1" s="41"/>
      <c r="W1" s="41"/>
      <c r="X1" s="41"/>
      <c r="Y1" s="41"/>
      <c r="Z1" s="66" t="s">
        <v>827</v>
      </c>
    </row>
    <row r="2" spans="1:26" ht="15.75" x14ac:dyDescent="0.25">
      <c r="A2" s="370" t="s">
        <v>489</v>
      </c>
      <c r="B2" s="370"/>
      <c r="C2" s="351"/>
      <c r="D2" s="351"/>
      <c r="E2" s="351"/>
      <c r="F2" s="351"/>
      <c r="G2" s="351"/>
      <c r="H2" s="351"/>
      <c r="I2" s="351"/>
      <c r="J2" s="351"/>
      <c r="K2" s="351"/>
      <c r="L2" s="41"/>
      <c r="M2" s="351"/>
      <c r="N2" s="351"/>
      <c r="O2" s="35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6" ht="15.75" x14ac:dyDescent="0.25">
      <c r="A3" s="370" t="s">
        <v>47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41"/>
      <c r="M3" s="351"/>
      <c r="N3" s="351"/>
      <c r="O3" s="35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6" ht="15.75" x14ac:dyDescent="0.25">
      <c r="A4" s="370" t="s">
        <v>33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41"/>
      <c r="M4" s="351"/>
      <c r="N4" s="351"/>
      <c r="O4" s="35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ht="15.75" x14ac:dyDescent="0.25">
      <c r="A5" s="370"/>
      <c r="B5" s="351"/>
      <c r="C5" s="351"/>
      <c r="D5" s="351"/>
      <c r="E5" s="351"/>
      <c r="F5" s="419"/>
      <c r="G5" s="419"/>
      <c r="H5" s="419"/>
      <c r="I5" s="419"/>
      <c r="J5" s="419"/>
      <c r="K5" s="419"/>
      <c r="M5" s="419"/>
      <c r="N5" s="419"/>
      <c r="O5" s="419"/>
    </row>
    <row r="6" spans="1:26" ht="15.75" x14ac:dyDescent="0.25">
      <c r="A6" s="507"/>
      <c r="B6" s="507"/>
      <c r="C6" s="507"/>
      <c r="D6" s="507"/>
      <c r="E6" s="507"/>
      <c r="F6" s="346"/>
      <c r="G6" s="419"/>
      <c r="H6" s="419"/>
      <c r="I6" s="419"/>
      <c r="J6" s="419"/>
      <c r="K6" s="419"/>
      <c r="M6" s="419"/>
      <c r="N6" s="419"/>
      <c r="O6" s="419"/>
      <c r="Q6" s="504"/>
      <c r="U6" s="504"/>
      <c r="W6" s="504" t="s">
        <v>461</v>
      </c>
      <c r="Y6" s="504" t="s">
        <v>461</v>
      </c>
      <c r="Z6" s="401"/>
    </row>
    <row r="7" spans="1:26" ht="15.75" x14ac:dyDescent="0.25">
      <c r="A7" s="507" t="s">
        <v>34</v>
      </c>
      <c r="B7" s="507"/>
      <c r="C7" s="507"/>
      <c r="D7" s="507"/>
      <c r="E7" s="507" t="s">
        <v>35</v>
      </c>
      <c r="F7" s="507"/>
      <c r="G7" s="507" t="s">
        <v>26</v>
      </c>
      <c r="H7" s="507"/>
      <c r="I7" s="507" t="s">
        <v>26</v>
      </c>
      <c r="J7" s="507"/>
      <c r="K7" s="507" t="s">
        <v>26</v>
      </c>
      <c r="L7" s="504"/>
      <c r="M7" s="507" t="s">
        <v>26</v>
      </c>
      <c r="N7" s="507"/>
      <c r="O7" s="507" t="s">
        <v>26</v>
      </c>
      <c r="P7" s="504"/>
      <c r="Q7" s="844" t="s">
        <v>330</v>
      </c>
      <c r="R7" s="844"/>
      <c r="S7" s="844"/>
      <c r="T7" s="844"/>
      <c r="U7" s="844"/>
      <c r="V7" s="504"/>
      <c r="W7" s="230" t="s">
        <v>15</v>
      </c>
      <c r="X7" s="504"/>
      <c r="Y7" s="230" t="s">
        <v>15</v>
      </c>
      <c r="Z7" s="230"/>
    </row>
    <row r="8" spans="1:26" ht="15.75" x14ac:dyDescent="0.25">
      <c r="A8" s="505" t="s">
        <v>36</v>
      </c>
      <c r="B8" s="507"/>
      <c r="C8" s="505" t="s">
        <v>178</v>
      </c>
      <c r="D8" s="507"/>
      <c r="E8" s="505" t="s">
        <v>37</v>
      </c>
      <c r="F8" s="346"/>
      <c r="G8" s="470">
        <v>2008</v>
      </c>
      <c r="H8" s="506"/>
      <c r="I8" s="470">
        <v>2009</v>
      </c>
      <c r="J8" s="506"/>
      <c r="K8" s="470">
        <v>2010</v>
      </c>
      <c r="L8" s="474"/>
      <c r="M8" s="470">
        <v>2011</v>
      </c>
      <c r="N8" s="475"/>
      <c r="O8" s="470">
        <v>2012</v>
      </c>
      <c r="P8" s="474"/>
      <c r="Q8" s="470">
        <v>2013</v>
      </c>
      <c r="R8" s="474"/>
      <c r="S8" s="470">
        <v>2014</v>
      </c>
      <c r="T8" s="474"/>
      <c r="U8" s="470">
        <v>2015</v>
      </c>
      <c r="V8" s="474"/>
      <c r="W8" s="473">
        <v>2008</v>
      </c>
      <c r="X8" s="474"/>
      <c r="Y8" s="473">
        <v>2009</v>
      </c>
      <c r="Z8" s="230"/>
    </row>
    <row r="9" spans="1:26" x14ac:dyDescent="0.2">
      <c r="A9" s="419"/>
      <c r="B9" s="419"/>
      <c r="C9" s="419"/>
      <c r="D9" s="419"/>
      <c r="E9" s="419"/>
      <c r="F9" s="419"/>
      <c r="G9" s="419"/>
      <c r="H9" s="419"/>
      <c r="I9" s="419"/>
      <c r="J9" s="419"/>
      <c r="K9" s="419"/>
      <c r="M9" s="419"/>
      <c r="N9" s="419"/>
      <c r="O9" s="419"/>
      <c r="Z9" s="401"/>
    </row>
    <row r="10" spans="1:26" ht="15.75" x14ac:dyDescent="0.25">
      <c r="A10" s="472">
        <v>1</v>
      </c>
      <c r="B10" s="419"/>
      <c r="C10" s="360" t="s">
        <v>210</v>
      </c>
      <c r="D10" s="419"/>
      <c r="E10" s="117"/>
      <c r="F10" s="361"/>
      <c r="G10" s="419"/>
      <c r="H10" s="419"/>
      <c r="I10" s="419"/>
      <c r="J10" s="419"/>
      <c r="K10" s="419"/>
      <c r="M10" s="419"/>
      <c r="N10" s="419"/>
      <c r="O10" s="419"/>
      <c r="W10" s="75"/>
      <c r="Y10" s="75"/>
      <c r="Z10" s="401"/>
    </row>
    <row r="11" spans="1:26" x14ac:dyDescent="0.2">
      <c r="A11" s="472">
        <f t="shared" ref="A11:A18" si="0">A10+1</f>
        <v>2</v>
      </c>
      <c r="B11" s="419"/>
      <c r="C11" s="362" t="s">
        <v>218</v>
      </c>
      <c r="D11" s="419"/>
      <c r="E11" s="117" t="s">
        <v>548</v>
      </c>
      <c r="F11" s="361"/>
      <c r="G11" s="363">
        <f>+S2.1!G70</f>
        <v>44824</v>
      </c>
      <c r="H11" s="363"/>
      <c r="I11" s="363">
        <f>+S2.1!I70</f>
        <v>42724.938999999998</v>
      </c>
      <c r="J11" s="363"/>
      <c r="K11" s="363">
        <f>+S2.1!K70</f>
        <v>44554.658000000003</v>
      </c>
      <c r="L11" s="271"/>
      <c r="M11" s="363">
        <f>+S2.1!M70</f>
        <v>45883.552100000001</v>
      </c>
      <c r="N11" s="363"/>
      <c r="O11" s="363">
        <f>+S2.1!O70</f>
        <v>49922.952310000001</v>
      </c>
      <c r="P11" s="271"/>
      <c r="Q11" s="170">
        <f>+S2.1!R70</f>
        <v>49811.56</v>
      </c>
      <c r="R11" s="170"/>
      <c r="S11" s="170">
        <f>+S2.1!U70</f>
        <v>53472.67</v>
      </c>
      <c r="T11" s="170"/>
      <c r="U11" s="170">
        <f>+S2.1!X70</f>
        <v>55183.199999999997</v>
      </c>
      <c r="V11" s="271"/>
      <c r="W11" s="75">
        <f>W25-W12</f>
        <v>44021.283350000303</v>
      </c>
      <c r="X11" s="271"/>
      <c r="Y11" s="271">
        <f>Y25-Y12</f>
        <v>44437.077197817271</v>
      </c>
      <c r="Z11" s="321"/>
    </row>
    <row r="12" spans="1:26" x14ac:dyDescent="0.2">
      <c r="A12" s="472">
        <f t="shared" si="0"/>
        <v>3</v>
      </c>
      <c r="B12" s="419"/>
      <c r="C12" s="362" t="s">
        <v>550</v>
      </c>
      <c r="D12" s="419"/>
      <c r="E12" s="117" t="s">
        <v>546</v>
      </c>
      <c r="F12" s="361"/>
      <c r="G12" s="364">
        <f>+S2.2!G14</f>
        <v>902.0066599999999</v>
      </c>
      <c r="H12" s="363"/>
      <c r="I12" s="364">
        <f>+S2.2!I14</f>
        <v>908.88315</v>
      </c>
      <c r="J12" s="363"/>
      <c r="K12" s="364">
        <f>S2.2!K14</f>
        <v>1010.47749</v>
      </c>
      <c r="L12" s="363"/>
      <c r="M12" s="364">
        <f>S2.2!M14</f>
        <v>1099.40569</v>
      </c>
      <c r="N12" s="374"/>
      <c r="O12" s="364">
        <f>+S2.2!O14</f>
        <v>1252.4270000000001</v>
      </c>
      <c r="P12" s="271"/>
      <c r="Q12" s="161">
        <f>+S2.2!Q14</f>
        <v>1277.4755400000001</v>
      </c>
      <c r="R12" s="170"/>
      <c r="S12" s="161">
        <f>+S2.2!S14</f>
        <v>1249.6899852000001</v>
      </c>
      <c r="T12" s="170"/>
      <c r="U12" s="161">
        <f>+S2.2!U14</f>
        <v>1274.6837849040003</v>
      </c>
      <c r="V12" s="271"/>
      <c r="W12" s="287">
        <f>+S2.2!W14</f>
        <v>810</v>
      </c>
      <c r="X12" s="271"/>
      <c r="Y12" s="249">
        <f>+S2.2!Y14</f>
        <v>827</v>
      </c>
      <c r="Z12" s="322"/>
    </row>
    <row r="13" spans="1:26" ht="15.75" x14ac:dyDescent="0.25">
      <c r="A13" s="472">
        <f t="shared" si="0"/>
        <v>4</v>
      </c>
      <c r="B13" s="419"/>
      <c r="C13" s="360" t="s">
        <v>215</v>
      </c>
      <c r="D13" s="419"/>
      <c r="E13" s="117"/>
      <c r="F13" s="286"/>
      <c r="G13" s="140">
        <f>SUM(G11:G12)</f>
        <v>45726.006659999999</v>
      </c>
      <c r="H13" s="363"/>
      <c r="I13" s="140">
        <f>SUM(I11:I12)</f>
        <v>43633.82215</v>
      </c>
      <c r="J13" s="363"/>
      <c r="K13" s="140">
        <f>SUM(K11:K12)</f>
        <v>45565.135490000001</v>
      </c>
      <c r="L13" s="363"/>
      <c r="M13" s="140">
        <f>SUM(M11:M12)</f>
        <v>46982.95779</v>
      </c>
      <c r="N13" s="140"/>
      <c r="O13" s="140">
        <f>SUM(O11:O12)</f>
        <v>51175.379310000004</v>
      </c>
      <c r="P13" s="271"/>
      <c r="Q13" s="153">
        <f>SUM(Q11:Q12)</f>
        <v>51089.035539999997</v>
      </c>
      <c r="R13" s="170"/>
      <c r="S13" s="153">
        <f>SUM(S11:S12)</f>
        <v>54722.359985199997</v>
      </c>
      <c r="T13" s="170"/>
      <c r="U13" s="153">
        <f>SUM(U11:U12)</f>
        <v>56457.883784903999</v>
      </c>
      <c r="V13" s="271"/>
      <c r="W13" s="76">
        <f>SUM(W11:W12)</f>
        <v>44831.283350000303</v>
      </c>
      <c r="X13" s="271"/>
      <c r="Y13" s="139">
        <f>SUM(Y11:Y12)</f>
        <v>45264.077197817271</v>
      </c>
      <c r="Z13" s="321"/>
    </row>
    <row r="14" spans="1:26" x14ac:dyDescent="0.2">
      <c r="A14" s="472">
        <f t="shared" si="0"/>
        <v>5</v>
      </c>
      <c r="B14" s="419"/>
      <c r="C14" s="419"/>
      <c r="D14" s="419"/>
      <c r="E14" s="379"/>
      <c r="F14" s="380"/>
      <c r="G14" s="381"/>
      <c r="H14" s="381"/>
      <c r="I14" s="381"/>
      <c r="J14" s="381"/>
      <c r="K14" s="381"/>
      <c r="L14" s="381"/>
      <c r="M14" s="381"/>
      <c r="N14" s="363"/>
      <c r="O14" s="381"/>
      <c r="P14" s="271"/>
      <c r="Q14" s="709"/>
      <c r="R14" s="170"/>
      <c r="S14" s="709"/>
      <c r="T14" s="170"/>
      <c r="U14" s="709"/>
      <c r="V14" s="271"/>
      <c r="W14" s="75" t="s">
        <v>28</v>
      </c>
      <c r="X14" s="271"/>
      <c r="Y14" s="271" t="s">
        <v>28</v>
      </c>
      <c r="Z14" s="321"/>
    </row>
    <row r="15" spans="1:26" ht="15.75" x14ac:dyDescent="0.25">
      <c r="A15" s="472">
        <f t="shared" si="0"/>
        <v>6</v>
      </c>
      <c r="B15" s="419"/>
      <c r="C15" s="360" t="s">
        <v>216</v>
      </c>
      <c r="D15" s="419"/>
      <c r="E15" s="117"/>
      <c r="F15" s="361"/>
      <c r="G15" s="363"/>
      <c r="H15" s="363"/>
      <c r="I15" s="363"/>
      <c r="J15" s="363"/>
      <c r="K15" s="363"/>
      <c r="L15" s="363"/>
      <c r="M15" s="363"/>
      <c r="N15" s="363"/>
      <c r="O15" s="363"/>
      <c r="P15" s="271"/>
      <c r="Q15" s="170"/>
      <c r="R15" s="170"/>
      <c r="S15" s="170"/>
      <c r="T15" s="170"/>
      <c r="U15" s="170"/>
      <c r="V15" s="271"/>
      <c r="W15" s="75"/>
      <c r="X15" s="271"/>
      <c r="Y15" s="271"/>
      <c r="Z15" s="321"/>
    </row>
    <row r="16" spans="1:26" x14ac:dyDescent="0.2">
      <c r="A16" s="472">
        <f t="shared" si="0"/>
        <v>7</v>
      </c>
      <c r="B16" s="419"/>
      <c r="C16" s="362" t="s">
        <v>551</v>
      </c>
      <c r="D16" s="419"/>
      <c r="E16" s="117" t="s">
        <v>549</v>
      </c>
      <c r="F16" s="361"/>
      <c r="G16" s="140">
        <v>24157</v>
      </c>
      <c r="H16" s="140"/>
      <c r="I16" s="140">
        <f>+S3.1!I27</f>
        <v>23211</v>
      </c>
      <c r="J16" s="140"/>
      <c r="K16" s="140">
        <f>+S3.1!K27</f>
        <v>23462</v>
      </c>
      <c r="L16" s="140"/>
      <c r="M16" s="140">
        <f>S3.1!M27</f>
        <v>24093</v>
      </c>
      <c r="N16" s="140"/>
      <c r="O16" s="140">
        <f>+S3.1!O27</f>
        <v>26923.073719999997</v>
      </c>
      <c r="P16" s="139"/>
      <c r="Q16" s="705">
        <f>+S3.1!Q27</f>
        <v>24857.873488240668</v>
      </c>
      <c r="R16" s="705"/>
      <c r="S16" s="705">
        <f>+S3.1!S27</f>
        <v>26066.066994949357</v>
      </c>
      <c r="T16" s="705"/>
      <c r="U16" s="705">
        <f>+S3.1!U27</f>
        <v>26633.64227260906</v>
      </c>
      <c r="V16" s="139"/>
      <c r="W16" s="76">
        <f>S3.1!W27</f>
        <v>24121.34669996368</v>
      </c>
      <c r="X16" s="139"/>
      <c r="Y16" s="139">
        <f>S3.1!Y27</f>
        <v>23840.825063281893</v>
      </c>
      <c r="Z16" s="321"/>
    </row>
    <row r="17" spans="1:26" x14ac:dyDescent="0.2">
      <c r="A17" s="472">
        <f t="shared" si="0"/>
        <v>8</v>
      </c>
      <c r="B17" s="419"/>
      <c r="C17" s="362" t="s">
        <v>687</v>
      </c>
      <c r="D17" s="419"/>
      <c r="E17" s="117" t="s">
        <v>456</v>
      </c>
      <c r="F17" s="361"/>
      <c r="G17" s="140">
        <f>+S4.1!K19</f>
        <v>6603.13</v>
      </c>
      <c r="H17" s="140"/>
      <c r="I17" s="140">
        <f>+S4.1!M19</f>
        <v>3757.9479999999999</v>
      </c>
      <c r="J17" s="140"/>
      <c r="K17" s="140">
        <f>+S4.1!O19</f>
        <v>5146.3510000000006</v>
      </c>
      <c r="L17" s="140"/>
      <c r="M17" s="140">
        <f>S4.1!Q19</f>
        <v>5539</v>
      </c>
      <c r="N17" s="140"/>
      <c r="O17" s="140">
        <f>+S4.1!S19</f>
        <v>5637</v>
      </c>
      <c r="Q17" s="705">
        <f>+S4.1!U19</f>
        <v>6610.9961069884821</v>
      </c>
      <c r="R17" s="170"/>
      <c r="S17" s="705">
        <f>+S4.1!W19</f>
        <v>6700.5623420348602</v>
      </c>
      <c r="T17" s="170"/>
      <c r="U17" s="705">
        <f>+S4.1!Y19</f>
        <v>6703.6940606104627</v>
      </c>
      <c r="V17" s="140"/>
      <c r="W17" s="288">
        <f>+S4.1!AA19</f>
        <v>5828.7308712466902</v>
      </c>
      <c r="X17" s="140"/>
      <c r="Y17" s="140">
        <f>+S4.1!AC19</f>
        <v>5396.8141513462342</v>
      </c>
      <c r="Z17" s="323"/>
    </row>
    <row r="18" spans="1:26" x14ac:dyDescent="0.2">
      <c r="A18" s="472">
        <f t="shared" si="0"/>
        <v>9</v>
      </c>
      <c r="B18" s="419"/>
      <c r="C18" s="362" t="s">
        <v>552</v>
      </c>
      <c r="D18" s="419"/>
      <c r="E18" s="117" t="s">
        <v>416</v>
      </c>
      <c r="F18" s="361"/>
      <c r="G18" s="140">
        <v>8593.406930000001</v>
      </c>
      <c r="H18" s="140"/>
      <c r="I18" s="140">
        <v>9474</v>
      </c>
      <c r="J18" s="140"/>
      <c r="K18" s="140">
        <f>+'S5.1 '!G57</f>
        <v>9624.8402999999998</v>
      </c>
      <c r="L18" s="140"/>
      <c r="M18" s="140">
        <f>+'S5.1 '!I57</f>
        <v>9798.9852110000011</v>
      </c>
      <c r="N18" s="140"/>
      <c r="O18" s="140">
        <f>+'S5.1 '!K57</f>
        <v>11058.881460000001</v>
      </c>
      <c r="P18" s="140"/>
      <c r="Q18" s="153">
        <f>+'S5.1 '!M57</f>
        <v>11604.296718754196</v>
      </c>
      <c r="R18" s="153"/>
      <c r="S18" s="153">
        <f>+'S5.1 '!O57</f>
        <v>11882.009819358864</v>
      </c>
      <c r="T18" s="153"/>
      <c r="U18" s="153">
        <f>+'S5.1 '!Q57</f>
        <v>11943.970204561667</v>
      </c>
      <c r="V18" s="140"/>
      <c r="W18" s="153">
        <v>8643.7362243139341</v>
      </c>
      <c r="X18" s="140"/>
      <c r="Y18" s="139">
        <v>8826.2882775481448</v>
      </c>
      <c r="Z18" s="321"/>
    </row>
    <row r="19" spans="1:26" x14ac:dyDescent="0.2">
      <c r="A19" s="472">
        <v>11</v>
      </c>
      <c r="B19" s="419"/>
      <c r="C19" s="362" t="s">
        <v>270</v>
      </c>
      <c r="D19" s="419"/>
      <c r="E19" s="365" t="s">
        <v>556</v>
      </c>
      <c r="F19" s="361"/>
      <c r="G19" s="140">
        <v>231</v>
      </c>
      <c r="H19" s="140"/>
      <c r="I19" s="140">
        <v>239</v>
      </c>
      <c r="J19" s="140"/>
      <c r="K19" s="140">
        <v>230</v>
      </c>
      <c r="L19" s="140"/>
      <c r="M19" s="140">
        <v>235</v>
      </c>
      <c r="N19" s="140"/>
      <c r="O19" s="140">
        <v>249.7</v>
      </c>
      <c r="P19" s="140"/>
      <c r="Q19" s="153">
        <f>+O19*1.03</f>
        <v>257.19099999999997</v>
      </c>
      <c r="R19" s="153"/>
      <c r="S19" s="153">
        <f>+Q19*1.03</f>
        <v>264.90672999999998</v>
      </c>
      <c r="T19" s="153"/>
      <c r="U19" s="153">
        <f>+S19*1.03</f>
        <v>272.85393189999996</v>
      </c>
      <c r="V19" s="140"/>
      <c r="W19" s="288">
        <v>244.45627912500004</v>
      </c>
      <c r="X19" s="140"/>
      <c r="Y19" s="140">
        <v>254.23453029000007</v>
      </c>
      <c r="Z19" s="323"/>
    </row>
    <row r="20" spans="1:26" x14ac:dyDescent="0.2">
      <c r="A20" s="472">
        <v>12</v>
      </c>
      <c r="B20" s="419"/>
      <c r="C20" s="362" t="s">
        <v>30</v>
      </c>
      <c r="D20" s="419"/>
      <c r="E20" s="117" t="s">
        <v>337</v>
      </c>
      <c r="F20" s="361"/>
      <c r="G20" s="140">
        <f>+S7.1!G13</f>
        <v>3181</v>
      </c>
      <c r="H20" s="140"/>
      <c r="I20" s="140">
        <f>+S7.1!I13</f>
        <v>3446</v>
      </c>
      <c r="J20" s="140"/>
      <c r="K20" s="140">
        <f>+S7.1!K13</f>
        <v>3683</v>
      </c>
      <c r="L20" s="140"/>
      <c r="M20" s="140">
        <f>+S7.1!M13</f>
        <v>4128.9309999999996</v>
      </c>
      <c r="N20" s="140"/>
      <c r="O20" s="140">
        <f>+S7.1!O13</f>
        <v>4192.46</v>
      </c>
      <c r="P20" s="140"/>
      <c r="Q20" s="153">
        <f>+S7.1!Q13</f>
        <v>4520.1229999999996</v>
      </c>
      <c r="R20" s="153"/>
      <c r="S20" s="153">
        <f>+S7.1!S13</f>
        <v>5252.1229999999996</v>
      </c>
      <c r="T20" s="153"/>
      <c r="U20" s="153">
        <f>+S7.1!U13</f>
        <v>5778.1229999999996</v>
      </c>
      <c r="V20" s="140"/>
      <c r="W20" s="288">
        <f>'S8.6 '!W28</f>
        <v>3354</v>
      </c>
      <c r="X20" s="140"/>
      <c r="Y20" s="140">
        <f>'S8.6 '!Y28</f>
        <v>3661</v>
      </c>
      <c r="Z20" s="323"/>
    </row>
    <row r="21" spans="1:26" x14ac:dyDescent="0.2">
      <c r="A21" s="472">
        <v>13</v>
      </c>
      <c r="B21" s="419"/>
      <c r="C21" s="362" t="s">
        <v>553</v>
      </c>
      <c r="D21" s="419"/>
      <c r="E21" s="117" t="s">
        <v>557</v>
      </c>
      <c r="F21" s="361"/>
      <c r="G21" s="79">
        <f>-S8.12!F23</f>
        <v>-980</v>
      </c>
      <c r="H21" s="79"/>
      <c r="I21" s="79">
        <f>-S8.12!H23</f>
        <v>-1133</v>
      </c>
      <c r="J21" s="79"/>
      <c r="K21" s="79">
        <f>-S8.12!J23</f>
        <v>-1221</v>
      </c>
      <c r="L21" s="79"/>
      <c r="M21" s="79">
        <f>-S8.12!L23</f>
        <v>-1289</v>
      </c>
      <c r="N21" s="79"/>
      <c r="O21" s="79">
        <f>-S8.12!N23</f>
        <v>-1371</v>
      </c>
      <c r="P21" s="79"/>
      <c r="Q21" s="153">
        <f>-S8.12!P23</f>
        <v>-1443.8472317999999</v>
      </c>
      <c r="R21" s="153"/>
      <c r="S21" s="153">
        <f>-S8.12!R23</f>
        <v>-1557.3059278000001</v>
      </c>
      <c r="T21" s="153"/>
      <c r="U21" s="153">
        <f>-S8.12!T23</f>
        <v>-1749.2004482</v>
      </c>
      <c r="V21" s="79"/>
      <c r="W21" s="288">
        <f>-S8.12!V23</f>
        <v>-962.98672464899994</v>
      </c>
      <c r="X21" s="79"/>
      <c r="Y21" s="79">
        <f>-S8.12!X23</f>
        <v>-1028.0848246490009</v>
      </c>
      <c r="Z21" s="323"/>
    </row>
    <row r="22" spans="1:26" x14ac:dyDescent="0.2">
      <c r="A22" s="472">
        <v>14</v>
      </c>
      <c r="B22" s="419"/>
      <c r="C22" s="362" t="s">
        <v>554</v>
      </c>
      <c r="D22" s="419"/>
      <c r="E22" s="117" t="s">
        <v>684</v>
      </c>
      <c r="F22" s="361"/>
      <c r="G22" s="140">
        <f>-'S8.8 '!G18</f>
        <v>871</v>
      </c>
      <c r="H22" s="140"/>
      <c r="I22" s="140">
        <f>-'S8.8 '!I18</f>
        <v>438</v>
      </c>
      <c r="J22" s="140"/>
      <c r="K22" s="140">
        <f>-'S8.8 '!K18</f>
        <v>291</v>
      </c>
      <c r="L22" s="140"/>
      <c r="M22" s="140">
        <f>-'S8.8 '!M18</f>
        <v>150</v>
      </c>
      <c r="N22" s="140"/>
      <c r="O22" s="140">
        <f>-'S8.8 '!O18</f>
        <v>150</v>
      </c>
      <c r="P22" s="140"/>
      <c r="Q22" s="153">
        <f>-'S8.8 '!Q18</f>
        <v>18</v>
      </c>
      <c r="R22" s="153"/>
      <c r="S22" s="153">
        <f>-'S8.8 '!S18</f>
        <v>18</v>
      </c>
      <c r="T22" s="153"/>
      <c r="U22" s="153">
        <f>-'S8.8 '!U18</f>
        <v>17</v>
      </c>
      <c r="V22" s="140"/>
      <c r="W22" s="288">
        <f>-'S8.8 '!W18</f>
        <v>427</v>
      </c>
      <c r="X22" s="140"/>
      <c r="Y22" s="140">
        <f>-'S8.8 '!Y18</f>
        <v>427</v>
      </c>
      <c r="Z22" s="323"/>
    </row>
    <row r="23" spans="1:26" ht="30" x14ac:dyDescent="0.2">
      <c r="A23" s="472">
        <v>15</v>
      </c>
      <c r="B23" s="419"/>
      <c r="C23" s="362" t="s">
        <v>100</v>
      </c>
      <c r="D23" s="419"/>
      <c r="E23" s="509" t="s">
        <v>558</v>
      </c>
      <c r="F23" s="361"/>
      <c r="G23" s="140">
        <f>+S8.1!O38</f>
        <v>3163</v>
      </c>
      <c r="H23" s="140"/>
      <c r="I23" s="140">
        <f>+S8.1!O48</f>
        <v>4191</v>
      </c>
      <c r="J23" s="140"/>
      <c r="K23" s="140">
        <f>+S8.1!O58</f>
        <v>4071</v>
      </c>
      <c r="L23" s="140"/>
      <c r="M23" s="140">
        <f>+S8.1!O68</f>
        <v>4266</v>
      </c>
      <c r="N23" s="140"/>
      <c r="O23" s="140">
        <f>+S8.1!O78</f>
        <v>4642</v>
      </c>
      <c r="P23" s="139"/>
      <c r="Q23" s="705">
        <f>+S8.1!O118</f>
        <v>5080</v>
      </c>
      <c r="R23" s="705"/>
      <c r="S23" s="705">
        <f>+S8.1!O128</f>
        <v>5936</v>
      </c>
      <c r="T23" s="705"/>
      <c r="U23" s="705">
        <f>+S8.1!O138</f>
        <v>6545</v>
      </c>
      <c r="V23" s="139"/>
      <c r="W23" s="76">
        <f>S8.1!$O$150</f>
        <v>3519</v>
      </c>
      <c r="X23" s="139"/>
      <c r="Y23" s="139">
        <f>S8.1!$O$160</f>
        <v>3675</v>
      </c>
      <c r="Z23" s="321"/>
    </row>
    <row r="24" spans="1:26" x14ac:dyDescent="0.2">
      <c r="A24" s="472">
        <v>16</v>
      </c>
      <c r="B24" s="419"/>
      <c r="C24" s="362" t="s">
        <v>555</v>
      </c>
      <c r="D24" s="419"/>
      <c r="E24" s="117" t="s">
        <v>768</v>
      </c>
      <c r="F24" s="361"/>
      <c r="G24" s="79">
        <f>+S10.1!G41</f>
        <v>-94</v>
      </c>
      <c r="H24" s="140"/>
      <c r="I24" s="79">
        <f>+S10.1!I41</f>
        <v>10</v>
      </c>
      <c r="J24" s="140"/>
      <c r="K24" s="79">
        <f>+S10.1!K41</f>
        <v>278</v>
      </c>
      <c r="L24" s="140"/>
      <c r="M24" s="79">
        <f>+S10.1!M41</f>
        <v>61</v>
      </c>
      <c r="N24" s="79"/>
      <c r="O24" s="79">
        <f>+S10.1!O41</f>
        <v>-307</v>
      </c>
      <c r="P24" s="140"/>
      <c r="Q24" s="153">
        <f>+S10.1!Q41</f>
        <v>-416</v>
      </c>
      <c r="R24" s="153"/>
      <c r="S24" s="153">
        <f>+S10.1!S41</f>
        <v>160</v>
      </c>
      <c r="T24" s="153"/>
      <c r="U24" s="153">
        <f>+S10.1!U41</f>
        <v>313</v>
      </c>
      <c r="V24" s="140"/>
      <c r="W24" s="288">
        <f>+S10.1!W41</f>
        <v>-344</v>
      </c>
      <c r="X24" s="140"/>
      <c r="Y24" s="140">
        <f>S10.1!Y41</f>
        <v>211</v>
      </c>
      <c r="Z24" s="323"/>
    </row>
    <row r="25" spans="1:26" ht="16.5" thickBot="1" x14ac:dyDescent="0.3">
      <c r="A25" s="472">
        <v>17</v>
      </c>
      <c r="B25" s="419"/>
      <c r="C25" s="360" t="s">
        <v>217</v>
      </c>
      <c r="D25" s="419"/>
      <c r="E25" s="117"/>
      <c r="F25" s="366"/>
      <c r="G25" s="530">
        <f>SUM(G16:G24)</f>
        <v>45725.536930000002</v>
      </c>
      <c r="H25" s="363"/>
      <c r="I25" s="530">
        <f>SUM(I16:I24)</f>
        <v>43633.948000000004</v>
      </c>
      <c r="J25" s="363"/>
      <c r="K25" s="530">
        <f>SUM(K16:K24)</f>
        <v>45565.191300000006</v>
      </c>
      <c r="L25" s="363"/>
      <c r="M25" s="530">
        <f>SUM(M16:M24)</f>
        <v>46982.916210999996</v>
      </c>
      <c r="N25" s="374"/>
      <c r="O25" s="530">
        <f>SUM(O16:O24)</f>
        <v>51175.115179999993</v>
      </c>
      <c r="P25" s="363"/>
      <c r="Q25" s="730">
        <f>SUM(Q16:Q24)</f>
        <v>51088.633082183347</v>
      </c>
      <c r="R25" s="406"/>
      <c r="S25" s="730">
        <f>SUM(S16:S24)</f>
        <v>54722.362958543083</v>
      </c>
      <c r="T25" s="406"/>
      <c r="U25" s="730">
        <f>SUM(U16:U24)</f>
        <v>56458.083021481187</v>
      </c>
      <c r="V25" s="363"/>
      <c r="W25" s="531">
        <f>SUM(W16:W24)</f>
        <v>44831.283350000303</v>
      </c>
      <c r="X25" s="363"/>
      <c r="Y25" s="532">
        <f>SUM(Y16:Y24)</f>
        <v>45264.077197817271</v>
      </c>
      <c r="Z25" s="321"/>
    </row>
    <row r="26" spans="1:26" ht="15.75" hidden="1" thickTop="1" x14ac:dyDescent="0.2">
      <c r="G26" s="375">
        <f>+G25-G13</f>
        <v>-0.46972999999707099</v>
      </c>
      <c r="H26" s="375"/>
      <c r="I26" s="390">
        <f>+I25-I13</f>
        <v>0.12585000000399305</v>
      </c>
      <c r="J26" s="375"/>
      <c r="K26" s="390">
        <f>+K25-K13</f>
        <v>5.5810000005294569E-2</v>
      </c>
      <c r="L26" s="375"/>
      <c r="M26" s="28">
        <f>+M25-M13</f>
        <v>-4.1579000004276168E-2</v>
      </c>
      <c r="N26" s="28"/>
      <c r="O26" s="28">
        <f>+O25-O13</f>
        <v>-0.26413000001048204</v>
      </c>
      <c r="P26" s="28"/>
      <c r="Q26" s="28">
        <f>+Q25-Q13</f>
        <v>-0.40245781664998503</v>
      </c>
      <c r="R26" s="28"/>
      <c r="S26" s="28">
        <f>+S25-S13</f>
        <v>2.973343085614033E-3</v>
      </c>
      <c r="T26" s="28"/>
      <c r="U26" s="28">
        <f>+U25-U13</f>
        <v>0.19923657718754839</v>
      </c>
      <c r="W26" s="28">
        <f>+W25-W13</f>
        <v>0</v>
      </c>
      <c r="Y26" s="28">
        <f>+Y25-Y13</f>
        <v>0</v>
      </c>
      <c r="Z26" s="401"/>
    </row>
    <row r="27" spans="1:26" ht="15.75" hidden="1" thickTop="1" x14ac:dyDescent="0.2">
      <c r="G27" s="363"/>
      <c r="H27" s="419"/>
      <c r="I27" s="363"/>
      <c r="J27" s="419"/>
      <c r="K27" s="363"/>
      <c r="L27" s="419"/>
      <c r="M27" s="363"/>
      <c r="N27" s="363"/>
      <c r="O27" s="363"/>
      <c r="Z27" s="401"/>
    </row>
    <row r="28" spans="1:26" ht="15.75" hidden="1" thickTop="1" x14ac:dyDescent="0.2">
      <c r="G28" s="363"/>
      <c r="H28" s="419"/>
      <c r="I28" s="363"/>
      <c r="J28" s="419"/>
      <c r="K28" s="363"/>
      <c r="L28" s="419"/>
      <c r="M28" s="419" t="s">
        <v>462</v>
      </c>
      <c r="N28" s="363"/>
      <c r="O28" s="79">
        <v>48915</v>
      </c>
      <c r="Q28" s="481" t="s">
        <v>483</v>
      </c>
      <c r="Z28" s="401"/>
    </row>
    <row r="29" spans="1:26" ht="15.75" hidden="1" thickTop="1" x14ac:dyDescent="0.2">
      <c r="G29" s="419"/>
      <c r="H29" s="419"/>
      <c r="I29" s="419"/>
      <c r="J29" s="419"/>
      <c r="K29" s="419"/>
      <c r="L29" s="419"/>
      <c r="M29" s="419"/>
      <c r="N29" s="419"/>
      <c r="O29" s="79">
        <v>-12</v>
      </c>
      <c r="Q29" s="481" t="s">
        <v>480</v>
      </c>
      <c r="W29" s="139">
        <v>-49922844.420000002</v>
      </c>
    </row>
    <row r="30" spans="1:26" ht="16.5" hidden="1" thickTop="1" x14ac:dyDescent="0.25">
      <c r="C30" s="388" t="s">
        <v>463</v>
      </c>
      <c r="I30" s="271"/>
      <c r="K30" s="419"/>
      <c r="N30" s="419"/>
      <c r="O30" s="79">
        <v>-402</v>
      </c>
      <c r="Q30" s="481" t="s">
        <v>481</v>
      </c>
      <c r="W30" s="139">
        <v>-1252156.1000000001</v>
      </c>
    </row>
    <row r="31" spans="1:26" ht="15.75" hidden="1" thickTop="1" x14ac:dyDescent="0.2">
      <c r="G31" s="373"/>
      <c r="I31" s="79"/>
      <c r="K31" s="419"/>
      <c r="M31" s="419"/>
      <c r="N31" s="419"/>
      <c r="O31" s="79">
        <v>-228</v>
      </c>
      <c r="Q31" s="481" t="s">
        <v>480</v>
      </c>
      <c r="W31" s="139">
        <v>26922306.68</v>
      </c>
    </row>
    <row r="32" spans="1:26" ht="16.5" hidden="1" thickTop="1" x14ac:dyDescent="0.25">
      <c r="C32" s="389"/>
      <c r="G32" s="373"/>
      <c r="I32" s="79"/>
      <c r="K32" s="79"/>
      <c r="M32" s="363"/>
      <c r="N32" s="419"/>
      <c r="O32" s="95">
        <v>-1289</v>
      </c>
      <c r="Q32" s="481" t="s">
        <v>482</v>
      </c>
      <c r="W32" s="139">
        <v>5631993.6900000004</v>
      </c>
    </row>
    <row r="33" spans="3:23" ht="15.75" hidden="1" thickTop="1" x14ac:dyDescent="0.2">
      <c r="C33" s="481" t="s">
        <v>465</v>
      </c>
      <c r="I33" s="79">
        <f>+I13</f>
        <v>43633.82215</v>
      </c>
      <c r="K33" s="363">
        <f>+K13</f>
        <v>45565.135490000001</v>
      </c>
      <c r="M33" s="363">
        <f>+M13</f>
        <v>46982.95779</v>
      </c>
      <c r="N33" s="419"/>
      <c r="O33" s="79">
        <f>SUM(O28:O32)</f>
        <v>46984</v>
      </c>
      <c r="Q33" s="271"/>
      <c r="W33" s="139">
        <v>11063881.460000001</v>
      </c>
    </row>
    <row r="34" spans="3:23" ht="15.75" hidden="1" thickTop="1" x14ac:dyDescent="0.2">
      <c r="C34" s="481" t="s">
        <v>471</v>
      </c>
      <c r="I34" s="79">
        <v>584</v>
      </c>
      <c r="K34" s="79">
        <v>-489</v>
      </c>
      <c r="M34" s="79">
        <v>610</v>
      </c>
      <c r="N34" s="419"/>
      <c r="O34" s="481">
        <v>610</v>
      </c>
      <c r="W34" s="139">
        <v>249771.07</v>
      </c>
    </row>
    <row r="35" spans="3:23" ht="15.75" hidden="1" thickTop="1" x14ac:dyDescent="0.2">
      <c r="C35" s="481" t="s">
        <v>464</v>
      </c>
      <c r="I35" s="90">
        <v>147</v>
      </c>
      <c r="J35" s="401"/>
      <c r="K35" s="407"/>
      <c r="L35" s="401"/>
      <c r="M35" s="79">
        <v>183</v>
      </c>
      <c r="N35" s="407"/>
      <c r="O35" s="419">
        <v>402</v>
      </c>
      <c r="W35" s="139">
        <v>4192459.96</v>
      </c>
    </row>
    <row r="36" spans="3:23" ht="15.75" hidden="1" thickTop="1" x14ac:dyDescent="0.2">
      <c r="C36" s="481" t="s">
        <v>301</v>
      </c>
      <c r="I36" s="90"/>
      <c r="K36" s="407"/>
      <c r="M36" s="79">
        <v>160</v>
      </c>
      <c r="N36" s="419"/>
      <c r="O36" s="419">
        <v>12</v>
      </c>
      <c r="W36" s="139">
        <v>-1370879.28</v>
      </c>
    </row>
    <row r="37" spans="3:23" ht="15.75" hidden="1" thickTop="1" x14ac:dyDescent="0.2">
      <c r="C37" s="481" t="s">
        <v>478</v>
      </c>
      <c r="I37" s="90"/>
      <c r="J37" s="401"/>
      <c r="K37" s="407"/>
      <c r="L37" s="401"/>
      <c r="M37" s="79">
        <v>62</v>
      </c>
      <c r="N37" s="407"/>
      <c r="O37" s="407">
        <v>183</v>
      </c>
      <c r="Q37" s="481" t="s">
        <v>484</v>
      </c>
      <c r="S37" s="79">
        <v>43405</v>
      </c>
      <c r="W37" s="139">
        <v>150000.18</v>
      </c>
    </row>
    <row r="38" spans="3:23" ht="15.75" hidden="1" thickTop="1" x14ac:dyDescent="0.2">
      <c r="C38" s="481" t="s">
        <v>479</v>
      </c>
      <c r="I38" s="95"/>
      <c r="K38" s="393"/>
      <c r="M38" s="95">
        <v>1</v>
      </c>
      <c r="N38" s="419"/>
      <c r="O38" s="419">
        <v>160</v>
      </c>
      <c r="Q38" s="481" t="s">
        <v>485</v>
      </c>
      <c r="S38" s="79">
        <v>2479</v>
      </c>
      <c r="W38" s="139">
        <v>-329708.86</v>
      </c>
    </row>
    <row r="39" spans="3:23" ht="15.75" hidden="1" thickTop="1" x14ac:dyDescent="0.2">
      <c r="C39" s="481" t="s">
        <v>474</v>
      </c>
      <c r="I39" s="79">
        <f>+I33+I34+I35</f>
        <v>44364.82215</v>
      </c>
      <c r="K39" s="363">
        <f>+K33+K34</f>
        <v>45076.135490000001</v>
      </c>
      <c r="M39" s="363">
        <f>SUM(M33:M38)</f>
        <v>47998.95779</v>
      </c>
      <c r="N39" s="419"/>
      <c r="O39" s="95">
        <v>62</v>
      </c>
      <c r="Q39" s="481" t="s">
        <v>399</v>
      </c>
      <c r="S39" s="95">
        <v>1099</v>
      </c>
      <c r="W39" s="139">
        <v>-4665175.620000002</v>
      </c>
    </row>
    <row r="40" spans="3:23" ht="15.75" hidden="1" thickTop="1" x14ac:dyDescent="0.2">
      <c r="I40" s="79"/>
      <c r="K40" s="419"/>
      <c r="M40" s="419"/>
      <c r="N40" s="419"/>
      <c r="O40" s="394">
        <f>SUM(O33:O39)</f>
        <v>48413</v>
      </c>
      <c r="S40" s="387">
        <f>SUM(S37:S39)</f>
        <v>46983</v>
      </c>
      <c r="W40" s="139">
        <v>-2759377.8300000019</v>
      </c>
    </row>
    <row r="41" spans="3:23" ht="15.75" hidden="1" thickTop="1" x14ac:dyDescent="0.2">
      <c r="C41" s="481" t="s">
        <v>466</v>
      </c>
      <c r="I41" s="79">
        <f>+I16+I17+I18</f>
        <v>36442.948000000004</v>
      </c>
      <c r="K41" s="79">
        <f>+K16+K17+K18</f>
        <v>38233.191300000006</v>
      </c>
      <c r="M41" s="79">
        <f>+M16+M17+M18</f>
        <v>39430.985210999999</v>
      </c>
      <c r="N41" s="419"/>
      <c r="O41" s="419"/>
      <c r="W41" s="139"/>
    </row>
    <row r="42" spans="3:23" ht="15.75" hidden="1" thickTop="1" x14ac:dyDescent="0.2">
      <c r="C42" s="481" t="s">
        <v>469</v>
      </c>
      <c r="I42" s="79">
        <v>584</v>
      </c>
      <c r="K42" s="79">
        <v>-489</v>
      </c>
      <c r="M42" s="79">
        <v>610</v>
      </c>
      <c r="N42" s="419"/>
      <c r="O42" s="394"/>
    </row>
    <row r="43" spans="3:23" ht="15.75" hidden="1" thickTop="1" x14ac:dyDescent="0.2">
      <c r="C43" s="481" t="s">
        <v>470</v>
      </c>
      <c r="I43" s="90">
        <v>147</v>
      </c>
      <c r="J43" s="401"/>
      <c r="K43" s="407"/>
      <c r="L43" s="401"/>
      <c r="M43" s="90">
        <v>183</v>
      </c>
      <c r="N43" s="419"/>
      <c r="O43" s="419"/>
    </row>
    <row r="44" spans="3:23" ht="15.75" hidden="1" thickTop="1" x14ac:dyDescent="0.2">
      <c r="C44" s="481" t="s">
        <v>301</v>
      </c>
      <c r="I44" s="90"/>
      <c r="J44" s="401"/>
      <c r="K44" s="407"/>
      <c r="L44" s="401"/>
      <c r="M44" s="90">
        <v>160</v>
      </c>
      <c r="N44" s="419"/>
      <c r="O44" s="419"/>
    </row>
    <row r="45" spans="3:23" ht="15.75" hidden="1" thickTop="1" x14ac:dyDescent="0.2">
      <c r="C45" s="481" t="s">
        <v>478</v>
      </c>
      <c r="I45" s="90"/>
      <c r="J45" s="401"/>
      <c r="K45" s="407"/>
      <c r="L45" s="401"/>
      <c r="M45" s="90">
        <v>62</v>
      </c>
      <c r="N45" s="419"/>
      <c r="O45" s="419"/>
    </row>
    <row r="46" spans="3:23" ht="15.75" hidden="1" thickTop="1" x14ac:dyDescent="0.2">
      <c r="C46" s="481" t="s">
        <v>479</v>
      </c>
      <c r="I46" s="95">
        <v>-1</v>
      </c>
      <c r="K46" s="95">
        <v>-1</v>
      </c>
      <c r="M46" s="95">
        <v>236</v>
      </c>
      <c r="N46" s="419"/>
      <c r="O46" s="419"/>
    </row>
    <row r="47" spans="3:23" ht="15.75" hidden="1" thickTop="1" x14ac:dyDescent="0.2">
      <c r="C47" s="481" t="s">
        <v>472</v>
      </c>
      <c r="I47" s="79">
        <f>+I41+I42+I43+I46</f>
        <v>37172.948000000004</v>
      </c>
      <c r="K47" s="79">
        <f>+K41+K42+K43+K46</f>
        <v>37743.191300000006</v>
      </c>
      <c r="M47" s="79">
        <f>SUM(M41:M46)</f>
        <v>40681.985210999999</v>
      </c>
      <c r="N47" s="419"/>
      <c r="O47" s="394"/>
      <c r="Q47" s="387"/>
    </row>
    <row r="48" spans="3:23" ht="15.75" hidden="1" thickTop="1" x14ac:dyDescent="0.2">
      <c r="I48" s="79"/>
      <c r="K48" s="79"/>
      <c r="M48" s="79"/>
      <c r="N48" s="419"/>
      <c r="O48" s="394"/>
      <c r="Q48" s="387"/>
    </row>
    <row r="49" spans="3:15" ht="15.75" hidden="1" thickTop="1" x14ac:dyDescent="0.2">
      <c r="C49" s="481" t="s">
        <v>473</v>
      </c>
      <c r="K49" s="140"/>
      <c r="M49" s="140"/>
      <c r="N49" s="419"/>
      <c r="O49" s="419"/>
    </row>
    <row r="50" spans="3:15" ht="15.75" hidden="1" thickTop="1" x14ac:dyDescent="0.2">
      <c r="C50" s="392" t="s">
        <v>16</v>
      </c>
      <c r="I50" s="79">
        <v>37291</v>
      </c>
      <c r="K50" s="79">
        <v>37976</v>
      </c>
      <c r="M50" s="79">
        <v>41097</v>
      </c>
      <c r="N50" s="419"/>
      <c r="O50" s="419"/>
    </row>
    <row r="51" spans="3:15" ht="15.75" hidden="1" thickTop="1" x14ac:dyDescent="0.2">
      <c r="C51" s="392" t="s">
        <v>468</v>
      </c>
      <c r="I51" s="79">
        <v>-15</v>
      </c>
      <c r="K51" s="450">
        <v>-7</v>
      </c>
      <c r="M51" s="79">
        <v>-54</v>
      </c>
      <c r="N51" s="419"/>
      <c r="O51" s="419"/>
    </row>
    <row r="52" spans="3:15" ht="15.75" hidden="1" thickTop="1" x14ac:dyDescent="0.2">
      <c r="C52" s="392" t="s">
        <v>467</v>
      </c>
      <c r="I52" s="95">
        <v>-103</v>
      </c>
      <c r="K52" s="95">
        <v>-226</v>
      </c>
      <c r="M52" s="95">
        <v>-361</v>
      </c>
      <c r="N52" s="419"/>
      <c r="O52" s="419"/>
    </row>
    <row r="53" spans="3:15" ht="15.75" hidden="1" thickTop="1" x14ac:dyDescent="0.2">
      <c r="I53" s="387">
        <f>SUM(I50:I52)</f>
        <v>37173</v>
      </c>
      <c r="K53" s="387">
        <f>SUM(K50:K52)</f>
        <v>37743</v>
      </c>
      <c r="M53" s="387">
        <f>SUM(M50:M52)</f>
        <v>40682</v>
      </c>
      <c r="N53" s="419"/>
      <c r="O53" s="394"/>
    </row>
    <row r="54" spans="3:15" ht="15.75" hidden="1" thickTop="1" x14ac:dyDescent="0.2">
      <c r="K54" s="419"/>
      <c r="M54" s="419"/>
      <c r="N54" s="419"/>
      <c r="O54" s="419"/>
    </row>
    <row r="55" spans="3:15" ht="15.75" hidden="1" thickTop="1" x14ac:dyDescent="0.2">
      <c r="C55" s="481" t="s">
        <v>477</v>
      </c>
      <c r="I55" s="271">
        <f>+I20</f>
        <v>3446</v>
      </c>
      <c r="K55" s="419"/>
      <c r="M55" s="394"/>
      <c r="N55" s="419"/>
      <c r="O55" s="419"/>
    </row>
    <row r="56" spans="3:15" ht="15.75" hidden="1" thickTop="1" x14ac:dyDescent="0.2">
      <c r="C56" s="481" t="s">
        <v>475</v>
      </c>
      <c r="I56" s="95">
        <v>-135</v>
      </c>
      <c r="K56" s="419"/>
      <c r="M56" s="419"/>
      <c r="N56" s="419"/>
      <c r="O56" s="419"/>
    </row>
    <row r="57" spans="3:15" ht="15.75" hidden="1" thickTop="1" x14ac:dyDescent="0.2">
      <c r="C57" s="481" t="s">
        <v>462</v>
      </c>
      <c r="I57" s="387">
        <f>+I55+I56</f>
        <v>3311</v>
      </c>
      <c r="K57" s="419"/>
      <c r="M57" s="419"/>
      <c r="N57" s="419"/>
      <c r="O57" s="419"/>
    </row>
    <row r="58" spans="3:15" ht="15.75" hidden="1" thickTop="1" x14ac:dyDescent="0.2">
      <c r="K58" s="419"/>
      <c r="M58" s="419"/>
      <c r="N58" s="419"/>
      <c r="O58" s="419"/>
    </row>
    <row r="59" spans="3:15" ht="15.75" hidden="1" thickTop="1" x14ac:dyDescent="0.2">
      <c r="C59" s="481" t="s">
        <v>476</v>
      </c>
      <c r="I59" s="387">
        <f>+I21</f>
        <v>-1133</v>
      </c>
      <c r="K59" s="419"/>
      <c r="M59" s="419"/>
      <c r="N59" s="419"/>
      <c r="O59" s="419"/>
    </row>
    <row r="60" spans="3:15" ht="15.75" hidden="1" thickTop="1" x14ac:dyDescent="0.2">
      <c r="C60" s="481" t="s">
        <v>475</v>
      </c>
      <c r="I60" s="391">
        <v>135</v>
      </c>
      <c r="K60" s="419"/>
      <c r="M60" s="419"/>
      <c r="N60" s="419"/>
      <c r="O60" s="419"/>
    </row>
    <row r="61" spans="3:15" ht="15.75" hidden="1" thickTop="1" x14ac:dyDescent="0.2">
      <c r="C61" s="481" t="s">
        <v>462</v>
      </c>
      <c r="I61" s="387">
        <f>+I59+I60</f>
        <v>-998</v>
      </c>
      <c r="K61" s="419"/>
      <c r="M61" s="419"/>
      <c r="N61" s="419"/>
      <c r="O61" s="419"/>
    </row>
    <row r="62" spans="3:15" ht="15.75" thickTop="1" x14ac:dyDescent="0.2">
      <c r="K62" s="419"/>
      <c r="M62" s="419"/>
      <c r="N62" s="419"/>
      <c r="O62" s="419"/>
    </row>
    <row r="63" spans="3:15" x14ac:dyDescent="0.2">
      <c r="K63" s="419"/>
      <c r="M63" s="419"/>
      <c r="N63" s="419"/>
      <c r="O63" s="419"/>
    </row>
    <row r="64" spans="3:15" x14ac:dyDescent="0.2">
      <c r="K64" s="419"/>
      <c r="M64" s="419"/>
      <c r="N64" s="419"/>
      <c r="O64" s="419"/>
    </row>
    <row r="65" spans="11:15" x14ac:dyDescent="0.2">
      <c r="K65" s="419"/>
      <c r="M65" s="419"/>
      <c r="N65" s="419"/>
      <c r="O65" s="419"/>
    </row>
    <row r="66" spans="11:15" x14ac:dyDescent="0.2">
      <c r="K66" s="419"/>
      <c r="M66" s="419"/>
      <c r="N66" s="419"/>
      <c r="O66" s="419"/>
    </row>
    <row r="67" spans="11:15" x14ac:dyDescent="0.2">
      <c r="K67" s="419"/>
      <c r="M67" s="419"/>
      <c r="N67" s="419"/>
      <c r="O67" s="419"/>
    </row>
    <row r="68" spans="11:15" x14ac:dyDescent="0.2">
      <c r="K68" s="419"/>
      <c r="M68" s="419"/>
      <c r="N68" s="419"/>
      <c r="O68" s="419"/>
    </row>
    <row r="69" spans="11:15" x14ac:dyDescent="0.2">
      <c r="K69" s="419"/>
      <c r="M69" s="419"/>
      <c r="N69" s="419"/>
      <c r="O69" s="419"/>
    </row>
    <row r="70" spans="11:15" x14ac:dyDescent="0.2">
      <c r="K70" s="419"/>
      <c r="M70" s="419"/>
      <c r="N70" s="419"/>
      <c r="O70" s="419"/>
    </row>
    <row r="71" spans="11:15" x14ac:dyDescent="0.2">
      <c r="K71" s="419"/>
      <c r="M71" s="419"/>
      <c r="N71" s="419"/>
      <c r="O71" s="419"/>
    </row>
    <row r="72" spans="11:15" x14ac:dyDescent="0.2">
      <c r="K72" s="419"/>
      <c r="M72" s="419"/>
      <c r="N72" s="419"/>
      <c r="O72" s="419"/>
    </row>
    <row r="73" spans="11:15" x14ac:dyDescent="0.2">
      <c r="K73" s="419"/>
      <c r="M73" s="419"/>
      <c r="N73" s="419"/>
      <c r="O73" s="419"/>
    </row>
    <row r="74" spans="11:15" x14ac:dyDescent="0.2">
      <c r="K74" s="419"/>
      <c r="M74" s="419"/>
      <c r="N74" s="419"/>
      <c r="O74" s="419"/>
    </row>
    <row r="75" spans="11:15" x14ac:dyDescent="0.2">
      <c r="K75" s="419"/>
      <c r="M75" s="419"/>
      <c r="N75" s="419"/>
      <c r="O75" s="419"/>
    </row>
    <row r="76" spans="11:15" x14ac:dyDescent="0.2">
      <c r="K76" s="419"/>
      <c r="M76" s="419"/>
      <c r="N76" s="419"/>
      <c r="O76" s="419"/>
    </row>
    <row r="77" spans="11:15" x14ac:dyDescent="0.2">
      <c r="K77" s="419"/>
      <c r="M77" s="419"/>
      <c r="N77" s="419"/>
      <c r="O77" s="419"/>
    </row>
    <row r="78" spans="11:15" x14ac:dyDescent="0.2">
      <c r="K78" s="419"/>
      <c r="M78" s="419"/>
      <c r="N78" s="419"/>
      <c r="O78" s="419"/>
    </row>
    <row r="79" spans="11:15" x14ac:dyDescent="0.2">
      <c r="K79" s="419"/>
      <c r="M79" s="419"/>
      <c r="N79" s="419"/>
      <c r="O79" s="419"/>
    </row>
    <row r="80" spans="11:15" x14ac:dyDescent="0.2">
      <c r="K80" s="419"/>
      <c r="M80" s="419"/>
      <c r="N80" s="419"/>
      <c r="O80" s="419"/>
    </row>
  </sheetData>
  <customSheetViews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2"/>
      <headerFooter alignWithMargins="0"/>
    </customSheetView>
  </customSheetViews>
  <mergeCells count="1">
    <mergeCell ref="Q7:U7"/>
  </mergeCells>
  <phoneticPr fontId="8" type="noConversion"/>
  <printOptions horizontalCentered="1"/>
  <pageMargins left="0.5" right="0.5" top="0.75" bottom="0.75" header="0.5" footer="0.5"/>
  <pageSetup scale="50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view="pageBreakPreview" zoomScale="70" zoomScaleNormal="70" zoomScaleSheetLayoutView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M35" sqref="M35"/>
    </sheetView>
  </sheetViews>
  <sheetFormatPr defaultColWidth="7.5703125" defaultRowHeight="12.75" x14ac:dyDescent="0.2"/>
  <cols>
    <col min="1" max="1" width="8.5703125" style="19" customWidth="1"/>
    <col min="2" max="2" width="2.7109375" style="19" customWidth="1"/>
    <col min="3" max="3" width="49.140625" style="19" customWidth="1"/>
    <col min="4" max="4" width="22.140625" style="19" customWidth="1"/>
    <col min="5" max="5" width="45.7109375" style="19" bestFit="1" customWidth="1"/>
    <col min="6" max="6" width="2" style="19" customWidth="1"/>
    <col min="7" max="7" width="12.28515625" style="67" customWidth="1"/>
    <col min="8" max="8" width="2.140625" style="67" customWidth="1"/>
    <col min="9" max="16" width="10.7109375" style="81" customWidth="1"/>
    <col min="17" max="17" width="2.85546875" style="81" customWidth="1"/>
    <col min="18" max="18" width="12.7109375" style="19" bestFit="1" customWidth="1"/>
    <col min="19" max="19" width="2.5703125" style="81" customWidth="1"/>
    <col min="20" max="20" width="15.7109375" style="19" customWidth="1"/>
    <col min="21" max="21" width="1.85546875" style="19" customWidth="1"/>
    <col min="22" max="16384" width="7.5703125" style="19"/>
  </cols>
  <sheetData>
    <row r="1" spans="1:21" ht="15.75" x14ac:dyDescent="0.25">
      <c r="A1" s="40" t="s">
        <v>539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98" t="s">
        <v>835</v>
      </c>
    </row>
    <row r="2" spans="1:21" ht="15.75" x14ac:dyDescent="0.25">
      <c r="A2" s="40" t="s">
        <v>489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/>
    </row>
    <row r="3" spans="1:21" ht="15.75" x14ac:dyDescent="0.25">
      <c r="A3" s="40" t="s">
        <v>774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1" s="14" customFormat="1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1" s="14" customFormat="1" ht="15.75" x14ac:dyDescent="0.25">
      <c r="A5" s="30"/>
      <c r="B5" s="12"/>
      <c r="C5" s="12"/>
      <c r="D5" s="12"/>
      <c r="E5" s="12"/>
      <c r="F5" s="12"/>
      <c r="G5" s="12"/>
      <c r="H5" s="12"/>
      <c r="I5" s="60"/>
      <c r="J5" s="60"/>
      <c r="K5" s="60"/>
      <c r="L5" s="60"/>
      <c r="M5" s="60"/>
      <c r="N5" s="60"/>
      <c r="O5" s="60"/>
      <c r="P5" s="60"/>
      <c r="Q5" s="60"/>
      <c r="R5" s="9" t="s">
        <v>461</v>
      </c>
      <c r="S5" s="60"/>
      <c r="T5" s="9" t="s">
        <v>461</v>
      </c>
    </row>
    <row r="6" spans="1:21" s="14" customFormat="1" ht="15.75" x14ac:dyDescent="0.25">
      <c r="A6" s="383" t="s">
        <v>34</v>
      </c>
      <c r="B6" s="383"/>
      <c r="C6" s="383"/>
      <c r="D6" s="383"/>
      <c r="E6" s="383"/>
      <c r="F6" s="383"/>
      <c r="G6" s="384" t="s">
        <v>35</v>
      </c>
      <c r="H6" s="383"/>
      <c r="I6" s="383" t="s">
        <v>26</v>
      </c>
      <c r="J6" s="383" t="s">
        <v>26</v>
      </c>
      <c r="K6" s="383" t="s">
        <v>26</v>
      </c>
      <c r="L6" s="383" t="s">
        <v>26</v>
      </c>
      <c r="M6" s="436" t="s">
        <v>26</v>
      </c>
      <c r="N6" s="844" t="s">
        <v>330</v>
      </c>
      <c r="O6" s="844"/>
      <c r="P6" s="844"/>
      <c r="Q6" s="383"/>
      <c r="R6" s="9" t="s">
        <v>15</v>
      </c>
      <c r="S6" s="9"/>
      <c r="T6" s="9" t="s">
        <v>15</v>
      </c>
    </row>
    <row r="7" spans="1:21" s="14" customFormat="1" ht="15.75" x14ac:dyDescent="0.25">
      <c r="A7" s="16" t="s">
        <v>36</v>
      </c>
      <c r="B7" s="383"/>
      <c r="C7" s="16" t="s">
        <v>228</v>
      </c>
      <c r="D7" s="535" t="s">
        <v>219</v>
      </c>
      <c r="E7" s="535" t="s">
        <v>220</v>
      </c>
      <c r="F7" s="73"/>
      <c r="G7" s="34" t="s">
        <v>37</v>
      </c>
      <c r="H7" s="383"/>
      <c r="I7" s="461">
        <v>2008</v>
      </c>
      <c r="J7" s="461">
        <v>2009</v>
      </c>
      <c r="K7" s="461">
        <v>2010</v>
      </c>
      <c r="L7" s="461">
        <v>2011</v>
      </c>
      <c r="M7" s="461">
        <v>2012</v>
      </c>
      <c r="N7" s="461">
        <v>2013</v>
      </c>
      <c r="O7" s="461">
        <v>2014</v>
      </c>
      <c r="P7" s="461">
        <v>2015</v>
      </c>
      <c r="Q7" s="462"/>
      <c r="R7" s="461">
        <v>2008</v>
      </c>
      <c r="S7" s="454"/>
      <c r="T7" s="451">
        <v>2009</v>
      </c>
      <c r="U7" s="454"/>
    </row>
    <row r="8" spans="1:21" s="14" customFormat="1" ht="15" x14ac:dyDescent="0.2">
      <c r="A8" s="13"/>
      <c r="B8" s="13"/>
      <c r="C8" s="13"/>
      <c r="D8" s="482"/>
      <c r="E8" s="13"/>
      <c r="F8" s="13"/>
      <c r="G8" s="17"/>
      <c r="H8" s="17"/>
      <c r="I8" s="60"/>
      <c r="J8" s="60"/>
      <c r="K8" s="60"/>
      <c r="L8" s="60"/>
      <c r="M8" s="60"/>
      <c r="N8" s="60"/>
      <c r="O8" s="60"/>
      <c r="P8" s="60"/>
      <c r="Q8" s="60"/>
      <c r="S8" s="60"/>
    </row>
    <row r="9" spans="1:21" s="14" customFormat="1" ht="15" x14ac:dyDescent="0.2">
      <c r="A9" s="482">
        <v>1</v>
      </c>
      <c r="B9" s="13"/>
      <c r="C9" s="102" t="s">
        <v>230</v>
      </c>
      <c r="D9" s="100"/>
      <c r="E9" s="13"/>
      <c r="F9" s="13"/>
      <c r="G9" s="17"/>
      <c r="H9" s="17"/>
      <c r="I9" s="157"/>
      <c r="J9" s="157"/>
      <c r="K9" s="157"/>
      <c r="L9" s="157"/>
      <c r="M9" s="157"/>
      <c r="N9" s="157"/>
      <c r="O9" s="157"/>
      <c r="P9" s="157"/>
      <c r="Q9" s="157"/>
      <c r="R9" s="156"/>
      <c r="S9" s="157"/>
      <c r="T9" s="156"/>
    </row>
    <row r="10" spans="1:21" s="14" customFormat="1" ht="15" x14ac:dyDescent="0.2">
      <c r="A10" s="482">
        <f t="shared" ref="A10:A20" si="0">A9+1</f>
        <v>2</v>
      </c>
      <c r="B10" s="13"/>
      <c r="C10" s="233" t="s">
        <v>432</v>
      </c>
      <c r="D10" s="369" t="s">
        <v>221</v>
      </c>
      <c r="E10" s="77" t="s">
        <v>224</v>
      </c>
      <c r="F10" s="77"/>
      <c r="G10" s="78"/>
      <c r="H10" s="78"/>
      <c r="I10" s="153">
        <v>31.10791</v>
      </c>
      <c r="J10" s="153">
        <v>30.58239</v>
      </c>
      <c r="K10" s="153">
        <v>38.905759999999994</v>
      </c>
      <c r="L10" s="153">
        <v>45.766589999999994</v>
      </c>
      <c r="M10" s="153">
        <v>47.572800000000001</v>
      </c>
      <c r="N10" s="153">
        <v>48.689629199999999</v>
      </c>
      <c r="O10" s="153">
        <v>50.393766221999989</v>
      </c>
      <c r="P10" s="153">
        <v>52.157548039769985</v>
      </c>
      <c r="Q10" s="153"/>
      <c r="R10" s="153">
        <v>33</v>
      </c>
      <c r="T10" s="153">
        <v>34</v>
      </c>
    </row>
    <row r="11" spans="1:21" s="14" customFormat="1" ht="15" x14ac:dyDescent="0.2">
      <c r="A11" s="482">
        <f t="shared" si="0"/>
        <v>3</v>
      </c>
      <c r="B11" s="13"/>
      <c r="C11" s="233" t="s">
        <v>88</v>
      </c>
      <c r="D11" s="369" t="s">
        <v>221</v>
      </c>
      <c r="E11" s="104" t="s">
        <v>521</v>
      </c>
      <c r="F11" s="77"/>
      <c r="G11" s="78"/>
      <c r="H11" s="78"/>
      <c r="I11" s="153">
        <v>26.523100000000003</v>
      </c>
      <c r="J11" s="153">
        <v>26.522400000000001</v>
      </c>
      <c r="K11" s="153">
        <v>30.651</v>
      </c>
      <c r="L11" s="153">
        <v>29.31</v>
      </c>
      <c r="M11" s="153">
        <v>34.248930000000001</v>
      </c>
      <c r="N11" s="153">
        <v>61.726777799999994</v>
      </c>
      <c r="O11" s="153">
        <v>63.887215022999989</v>
      </c>
      <c r="P11" s="153">
        <v>66.123267548804989</v>
      </c>
      <c r="Q11" s="153"/>
      <c r="R11" s="153">
        <v>26</v>
      </c>
      <c r="T11" s="153">
        <v>26</v>
      </c>
    </row>
    <row r="12" spans="1:21" s="14" customFormat="1" ht="15" x14ac:dyDescent="0.2">
      <c r="A12" s="482">
        <f t="shared" si="0"/>
        <v>4</v>
      </c>
      <c r="B12" s="77"/>
      <c r="C12" s="233" t="s">
        <v>94</v>
      </c>
      <c r="D12" s="369" t="s">
        <v>222</v>
      </c>
      <c r="E12" s="77" t="s">
        <v>24</v>
      </c>
      <c r="F12" s="77"/>
      <c r="G12" s="78"/>
      <c r="H12" s="78"/>
      <c r="I12" s="158">
        <v>46.33372</v>
      </c>
      <c r="J12" s="158">
        <v>36.089260000000003</v>
      </c>
      <c r="K12" s="158">
        <v>10.45224</v>
      </c>
      <c r="L12" s="158">
        <v>12.946380000000001</v>
      </c>
      <c r="M12" s="158">
        <v>32.679250000000003</v>
      </c>
      <c r="N12" s="158">
        <v>25.493106067536615</v>
      </c>
      <c r="O12" s="158">
        <v>26.002968188887348</v>
      </c>
      <c r="P12" s="158">
        <v>26.523027552665098</v>
      </c>
      <c r="Q12" s="158"/>
      <c r="R12" s="158">
        <v>38</v>
      </c>
      <c r="S12" s="60"/>
      <c r="T12" s="158">
        <v>39</v>
      </c>
      <c r="U12" s="60"/>
    </row>
    <row r="13" spans="1:21" s="60" customFormat="1" ht="15" x14ac:dyDescent="0.2">
      <c r="A13" s="482">
        <f t="shared" si="0"/>
        <v>5</v>
      </c>
      <c r="B13" s="77"/>
      <c r="C13" s="233" t="s">
        <v>97</v>
      </c>
      <c r="D13" s="369" t="s">
        <v>222</v>
      </c>
      <c r="E13" s="77" t="s">
        <v>223</v>
      </c>
      <c r="F13" s="77"/>
      <c r="G13" s="78"/>
      <c r="H13" s="78"/>
      <c r="I13" s="158">
        <v>11.93248</v>
      </c>
      <c r="J13" s="158">
        <v>8.9421599999999994</v>
      </c>
      <c r="K13" s="158">
        <v>9.1150200000000012</v>
      </c>
      <c r="L13" s="158">
        <v>6.7343399999999995</v>
      </c>
      <c r="M13" s="158">
        <v>5.7969300000000006</v>
      </c>
      <c r="N13" s="158">
        <v>7.5307360267200014</v>
      </c>
      <c r="O13" s="158">
        <v>7.6813507472544016</v>
      </c>
      <c r="P13" s="158">
        <v>7.8349777621994896</v>
      </c>
      <c r="Q13" s="158"/>
      <c r="R13" s="158">
        <v>15</v>
      </c>
      <c r="T13" s="158">
        <v>16</v>
      </c>
    </row>
    <row r="14" spans="1:21" s="60" customFormat="1" ht="15" x14ac:dyDescent="0.2">
      <c r="A14" s="482">
        <f t="shared" si="0"/>
        <v>6</v>
      </c>
      <c r="B14" s="77"/>
      <c r="C14" s="233" t="s">
        <v>608</v>
      </c>
      <c r="D14" s="369" t="s">
        <v>222</v>
      </c>
      <c r="E14" s="77" t="s">
        <v>609</v>
      </c>
      <c r="F14" s="77"/>
      <c r="G14" s="78"/>
      <c r="H14" s="78"/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/>
      <c r="R14" s="158"/>
      <c r="T14" s="158">
        <v>0</v>
      </c>
    </row>
    <row r="15" spans="1:21" s="60" customFormat="1" ht="15" x14ac:dyDescent="0.2">
      <c r="A15" s="482">
        <f t="shared" si="0"/>
        <v>7</v>
      </c>
      <c r="B15" s="77"/>
      <c r="C15" s="233" t="s">
        <v>97</v>
      </c>
      <c r="D15" s="536" t="s">
        <v>342</v>
      </c>
      <c r="E15" s="77" t="s">
        <v>226</v>
      </c>
      <c r="F15" s="77"/>
      <c r="G15" s="78"/>
      <c r="H15" s="78"/>
      <c r="I15" s="153">
        <v>357.53751000000005</v>
      </c>
      <c r="J15" s="153">
        <v>391.82313000000005</v>
      </c>
      <c r="K15" s="153">
        <v>390.92674</v>
      </c>
      <c r="L15" s="153">
        <v>428.53678000000002</v>
      </c>
      <c r="M15" s="153">
        <v>457.60261000000003</v>
      </c>
      <c r="N15" s="153">
        <v>462.45992857825001</v>
      </c>
      <c r="O15" s="153">
        <v>477.76694787848874</v>
      </c>
      <c r="P15" s="153">
        <v>493.60971285423585</v>
      </c>
      <c r="Q15" s="153"/>
      <c r="R15" s="153">
        <v>325</v>
      </c>
      <c r="T15" s="153">
        <v>320</v>
      </c>
    </row>
    <row r="16" spans="1:21" s="60" customFormat="1" ht="15" x14ac:dyDescent="0.2">
      <c r="A16" s="482">
        <f t="shared" si="0"/>
        <v>8</v>
      </c>
      <c r="B16" s="13"/>
      <c r="C16" s="233" t="s">
        <v>95</v>
      </c>
      <c r="D16" s="369" t="s">
        <v>776</v>
      </c>
      <c r="E16" s="77" t="s">
        <v>227</v>
      </c>
      <c r="F16" s="77"/>
      <c r="G16" s="78"/>
      <c r="H16" s="78"/>
      <c r="I16" s="153">
        <v>400.49772000000002</v>
      </c>
      <c r="J16" s="153">
        <v>519.29550999999992</v>
      </c>
      <c r="K16" s="153">
        <v>508.35571000000004</v>
      </c>
      <c r="L16" s="153">
        <v>519.26297</v>
      </c>
      <c r="M16" s="153">
        <v>519.34424999999999</v>
      </c>
      <c r="N16" s="153">
        <v>545.62471779999998</v>
      </c>
      <c r="O16" s="153">
        <v>556.53721215600001</v>
      </c>
      <c r="P16" s="153">
        <v>575.37766393087691</v>
      </c>
      <c r="Q16" s="153"/>
      <c r="R16" s="153">
        <v>411</v>
      </c>
      <c r="S16" s="14"/>
      <c r="T16" s="153">
        <v>442</v>
      </c>
      <c r="U16" s="14"/>
    </row>
    <row r="17" spans="1:21" s="60" customFormat="1" ht="15" x14ac:dyDescent="0.2">
      <c r="A17" s="482">
        <f t="shared" si="0"/>
        <v>9</v>
      </c>
      <c r="B17" s="13"/>
      <c r="C17" s="82"/>
      <c r="D17" s="369"/>
      <c r="E17" s="77"/>
      <c r="F17" s="77"/>
      <c r="G17" s="78"/>
      <c r="H17" s="78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4"/>
      <c r="T17" s="153"/>
      <c r="U17" s="14"/>
    </row>
    <row r="18" spans="1:21" s="14" customFormat="1" ht="15" x14ac:dyDescent="0.2">
      <c r="A18" s="482">
        <f t="shared" si="0"/>
        <v>10</v>
      </c>
      <c r="B18" s="13"/>
      <c r="C18" s="215" t="s">
        <v>231</v>
      </c>
      <c r="D18" s="369"/>
      <c r="E18" s="77"/>
      <c r="F18" s="77"/>
      <c r="G18" s="78"/>
      <c r="H18" s="78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T18" s="153"/>
    </row>
    <row r="19" spans="1:21" s="14" customFormat="1" ht="15" x14ac:dyDescent="0.2">
      <c r="A19" s="482">
        <f t="shared" si="0"/>
        <v>11</v>
      </c>
      <c r="B19" s="13"/>
      <c r="C19" s="233" t="s">
        <v>97</v>
      </c>
      <c r="D19" s="100" t="s">
        <v>221</v>
      </c>
      <c r="E19" s="419" t="s">
        <v>765</v>
      </c>
      <c r="I19" s="158">
        <v>130.63823000000002</v>
      </c>
      <c r="J19" s="158">
        <v>153.42157999999998</v>
      </c>
      <c r="K19" s="158">
        <v>146.81858000000003</v>
      </c>
      <c r="L19" s="158">
        <v>159.08717000000001</v>
      </c>
      <c r="M19" s="158">
        <v>90.826509999999999</v>
      </c>
      <c r="N19" s="158">
        <v>136.517707</v>
      </c>
      <c r="O19" s="158">
        <v>141.295826745</v>
      </c>
      <c r="P19" s="158">
        <v>146.24118068107498</v>
      </c>
      <c r="Q19" s="158"/>
      <c r="R19" s="158">
        <v>110</v>
      </c>
      <c r="S19" s="158"/>
      <c r="T19" s="158">
        <v>114</v>
      </c>
    </row>
    <row r="20" spans="1:21" s="14" customFormat="1" ht="15" x14ac:dyDescent="0.2">
      <c r="A20" s="482">
        <f t="shared" si="0"/>
        <v>12</v>
      </c>
      <c r="B20" s="13"/>
      <c r="C20" s="233" t="s">
        <v>97</v>
      </c>
      <c r="D20" s="100" t="s">
        <v>221</v>
      </c>
      <c r="E20" s="419" t="s">
        <v>22</v>
      </c>
      <c r="I20" s="158">
        <v>0</v>
      </c>
      <c r="J20" s="158">
        <v>0</v>
      </c>
      <c r="K20" s="158">
        <v>66.13758</v>
      </c>
      <c r="L20" s="158">
        <v>0</v>
      </c>
      <c r="M20" s="158">
        <v>0</v>
      </c>
      <c r="N20" s="158">
        <v>0</v>
      </c>
      <c r="O20" s="158">
        <v>76</v>
      </c>
      <c r="P20" s="158">
        <v>0</v>
      </c>
      <c r="Q20" s="158"/>
      <c r="R20" s="158">
        <v>12</v>
      </c>
      <c r="S20" s="158"/>
      <c r="T20" s="158">
        <v>3</v>
      </c>
    </row>
    <row r="21" spans="1:21" s="14" customFormat="1" ht="15" x14ac:dyDescent="0.2">
      <c r="A21" s="482">
        <f t="shared" ref="A21:A28" si="1">+A20+1</f>
        <v>13</v>
      </c>
      <c r="B21" s="13"/>
      <c r="C21" s="233" t="s">
        <v>97</v>
      </c>
      <c r="D21" s="100" t="s">
        <v>221</v>
      </c>
      <c r="E21" s="419" t="s">
        <v>739</v>
      </c>
      <c r="I21" s="158"/>
      <c r="J21" s="158">
        <v>39.055070000000001</v>
      </c>
      <c r="K21" s="158">
        <v>0</v>
      </c>
      <c r="L21" s="158">
        <v>15.218729999999999</v>
      </c>
      <c r="M21" s="158">
        <v>15.04875</v>
      </c>
      <c r="N21" s="158">
        <v>40</v>
      </c>
      <c r="O21" s="158">
        <v>41.400000000000006</v>
      </c>
      <c r="P21" s="158">
        <v>41.616</v>
      </c>
      <c r="Q21" s="158"/>
      <c r="R21" s="158"/>
      <c r="S21" s="158"/>
      <c r="T21" s="158"/>
    </row>
    <row r="22" spans="1:21" s="14" customFormat="1" ht="15" x14ac:dyDescent="0.2">
      <c r="A22" s="482">
        <f t="shared" si="1"/>
        <v>14</v>
      </c>
      <c r="B22" s="13"/>
      <c r="C22" s="233" t="s">
        <v>97</v>
      </c>
      <c r="D22" s="100" t="s">
        <v>221</v>
      </c>
      <c r="E22" s="419" t="s">
        <v>730</v>
      </c>
      <c r="I22" s="158">
        <v>30.94153</v>
      </c>
      <c r="J22" s="158">
        <v>37.703209999999999</v>
      </c>
      <c r="K22" s="158">
        <v>45.998740000000005</v>
      </c>
      <c r="L22" s="158">
        <v>115.31828000000002</v>
      </c>
      <c r="M22" s="158">
        <v>447.85717</v>
      </c>
      <c r="N22" s="158">
        <v>614.43505000000005</v>
      </c>
      <c r="O22" s="158">
        <v>635.94027674999995</v>
      </c>
      <c r="P22" s="158">
        <v>502.1981864362499</v>
      </c>
      <c r="Q22" s="158"/>
      <c r="R22" s="158">
        <v>87</v>
      </c>
      <c r="S22" s="158"/>
      <c r="T22" s="158">
        <v>73</v>
      </c>
    </row>
    <row r="23" spans="1:21" s="14" customFormat="1" ht="15" x14ac:dyDescent="0.2">
      <c r="A23" s="482">
        <f t="shared" si="1"/>
        <v>15</v>
      </c>
      <c r="B23" s="13"/>
      <c r="C23" s="233" t="s">
        <v>97</v>
      </c>
      <c r="D23" s="100" t="s">
        <v>221</v>
      </c>
      <c r="E23" s="419" t="s">
        <v>766</v>
      </c>
      <c r="I23" s="158">
        <v>13.565400000000002</v>
      </c>
      <c r="J23" s="158">
        <v>16.61993</v>
      </c>
      <c r="K23" s="158">
        <v>18.400739999999999</v>
      </c>
      <c r="L23" s="158">
        <v>18.890309999999996</v>
      </c>
      <c r="M23" s="158">
        <v>44.386679999999998</v>
      </c>
      <c r="N23" s="158">
        <v>45.743993000000003</v>
      </c>
      <c r="O23" s="158">
        <v>47.030032755000001</v>
      </c>
      <c r="P23" s="158">
        <v>48.361083901424998</v>
      </c>
      <c r="Q23" s="158"/>
      <c r="R23" s="203">
        <v>16</v>
      </c>
      <c r="S23" s="158"/>
      <c r="T23" s="203">
        <v>19</v>
      </c>
      <c r="U23" s="156" t="s">
        <v>28</v>
      </c>
    </row>
    <row r="24" spans="1:21" s="14" customFormat="1" ht="15.75" x14ac:dyDescent="0.25">
      <c r="A24" s="482">
        <f t="shared" si="1"/>
        <v>16</v>
      </c>
      <c r="B24" s="13"/>
      <c r="C24" s="82"/>
      <c r="D24" s="369"/>
      <c r="E24" s="220" t="s">
        <v>225</v>
      </c>
      <c r="F24" s="83"/>
      <c r="G24" s="221" t="s">
        <v>28</v>
      </c>
      <c r="H24" s="94"/>
      <c r="I24" s="399">
        <f>SUM(I19:I23)</f>
        <v>175.14516000000003</v>
      </c>
      <c r="J24" s="399">
        <f t="shared" ref="J24:T24" si="2">SUM(J19:J23)</f>
        <v>246.79978999999997</v>
      </c>
      <c r="K24" s="399">
        <f t="shared" si="2"/>
        <v>277.35563999999999</v>
      </c>
      <c r="L24" s="399">
        <f t="shared" si="2"/>
        <v>308.51449000000002</v>
      </c>
      <c r="M24" s="399">
        <f t="shared" si="2"/>
        <v>598.11910999999998</v>
      </c>
      <c r="N24" s="399">
        <f t="shared" si="2"/>
        <v>836.69675000000007</v>
      </c>
      <c r="O24" s="399">
        <f t="shared" si="2"/>
        <v>941.66613624999991</v>
      </c>
      <c r="P24" s="399">
        <f t="shared" si="2"/>
        <v>738.41645101874985</v>
      </c>
      <c r="Q24" s="158"/>
      <c r="R24" s="399">
        <f t="shared" si="2"/>
        <v>225</v>
      </c>
      <c r="T24" s="399">
        <f t="shared" si="2"/>
        <v>209</v>
      </c>
    </row>
    <row r="25" spans="1:21" s="14" customFormat="1" ht="15" customHeight="1" x14ac:dyDescent="0.25">
      <c r="A25" s="482">
        <f t="shared" si="1"/>
        <v>17</v>
      </c>
      <c r="B25" s="13"/>
      <c r="C25" s="82"/>
      <c r="D25" s="369"/>
      <c r="E25" s="220"/>
      <c r="F25" s="83"/>
      <c r="G25" s="385"/>
      <c r="H25" s="94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T25" s="158"/>
    </row>
    <row r="26" spans="1:21" s="14" customFormat="1" ht="15" customHeight="1" x14ac:dyDescent="0.2">
      <c r="A26" s="482">
        <f t="shared" si="1"/>
        <v>18</v>
      </c>
      <c r="B26" s="13"/>
      <c r="C26" s="82" t="s">
        <v>97</v>
      </c>
      <c r="D26" s="369" t="s">
        <v>221</v>
      </c>
      <c r="E26" s="77" t="s">
        <v>310</v>
      </c>
      <c r="F26" s="82"/>
      <c r="G26" s="78"/>
      <c r="H26" s="94"/>
      <c r="I26" s="158">
        <v>7.5189899999999996</v>
      </c>
      <c r="J26" s="158">
        <v>7.5290600000000003</v>
      </c>
      <c r="K26" s="158">
        <v>9.7513199999999998</v>
      </c>
      <c r="L26" s="158">
        <v>10.04871</v>
      </c>
      <c r="M26" s="158">
        <v>3.3001300000000002</v>
      </c>
      <c r="N26" s="158">
        <v>3.1658579999999996</v>
      </c>
      <c r="O26" s="158">
        <v>3.276663029999999</v>
      </c>
      <c r="P26" s="158">
        <v>3.3913462360499991</v>
      </c>
      <c r="Q26" s="158"/>
      <c r="R26" s="158">
        <v>0</v>
      </c>
      <c r="T26" s="158">
        <v>0</v>
      </c>
    </row>
    <row r="27" spans="1:21" s="14" customFormat="1" ht="15" customHeight="1" x14ac:dyDescent="0.2">
      <c r="A27" s="482">
        <f t="shared" si="1"/>
        <v>19</v>
      </c>
      <c r="B27" s="13"/>
      <c r="C27" s="82"/>
      <c r="D27" s="117"/>
      <c r="E27" s="77"/>
      <c r="F27" s="82"/>
      <c r="G27" s="78"/>
      <c r="H27" s="94"/>
      <c r="I27" s="158"/>
      <c r="J27" s="158"/>
      <c r="K27" s="158"/>
      <c r="L27" s="158"/>
      <c r="M27" s="158"/>
      <c r="N27" s="158"/>
      <c r="O27" s="158"/>
      <c r="P27" s="158"/>
      <c r="Q27" s="158"/>
      <c r="R27" s="60"/>
      <c r="T27" s="60"/>
      <c r="U27" s="14" t="s">
        <v>28</v>
      </c>
    </row>
    <row r="28" spans="1:21" s="14" customFormat="1" ht="15" customHeight="1" thickBot="1" x14ac:dyDescent="0.25">
      <c r="A28" s="482">
        <f t="shared" si="1"/>
        <v>20</v>
      </c>
      <c r="B28" s="13"/>
      <c r="C28" s="13" t="s">
        <v>232</v>
      </c>
      <c r="D28" s="37"/>
      <c r="E28" s="37"/>
      <c r="F28" s="37"/>
      <c r="G28" s="17"/>
      <c r="H28" s="93"/>
      <c r="I28" s="169">
        <f t="shared" ref="I28:O28" si="3">+I24+I16+I15+I13+I12+I11+I10+I26+I14</f>
        <v>1056.5965900000003</v>
      </c>
      <c r="J28" s="169">
        <f t="shared" si="3"/>
        <v>1267.5837000000001</v>
      </c>
      <c r="K28" s="169">
        <f t="shared" si="3"/>
        <v>1275.5134300000002</v>
      </c>
      <c r="L28" s="169">
        <f t="shared" si="3"/>
        <v>1361.1202600000001</v>
      </c>
      <c r="M28" s="169">
        <f t="shared" si="3"/>
        <v>1698.66401</v>
      </c>
      <c r="N28" s="169">
        <f t="shared" si="3"/>
        <v>1991.3875034725068</v>
      </c>
      <c r="O28" s="169">
        <f t="shared" si="3"/>
        <v>2127.21225949563</v>
      </c>
      <c r="P28" s="169">
        <f>+P24+P16+P15+P13+P12+P11+P10+P26+P14</f>
        <v>1963.4339949433522</v>
      </c>
      <c r="Q28" s="158"/>
      <c r="R28" s="169">
        <f>+R10+R11+R12+R13+R15+R16+R24</f>
        <v>1073</v>
      </c>
      <c r="S28" s="158"/>
      <c r="T28" s="169">
        <f>+T10+T11+T12+T13+T15+T16+T24</f>
        <v>1086</v>
      </c>
      <c r="U28" s="156" t="s">
        <v>28</v>
      </c>
    </row>
    <row r="29" spans="1:21" s="14" customFormat="1" ht="15" customHeight="1" thickTop="1" x14ac:dyDescent="0.2">
      <c r="A29" s="6" t="s">
        <v>28</v>
      </c>
      <c r="B29" s="13"/>
      <c r="C29" s="13"/>
      <c r="D29" s="37"/>
      <c r="E29" s="37"/>
      <c r="F29" s="37"/>
      <c r="G29" s="17"/>
      <c r="H29" s="93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</row>
    <row r="30" spans="1:21" s="14" customFormat="1" ht="15" customHeight="1" x14ac:dyDescent="0.2">
      <c r="A30" s="480"/>
      <c r="B30" s="13"/>
      <c r="C30" s="13"/>
      <c r="D30" s="37"/>
      <c r="E30" s="37"/>
      <c r="F30" s="37"/>
      <c r="G30" s="17"/>
      <c r="H30" s="93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 t="s">
        <v>28</v>
      </c>
    </row>
    <row r="31" spans="1:21" s="404" customFormat="1" ht="15" customHeight="1" x14ac:dyDescent="0.2">
      <c r="A31" s="480"/>
      <c r="B31" s="13"/>
      <c r="C31" s="407"/>
      <c r="D31" s="37"/>
      <c r="E31" s="37"/>
      <c r="F31" s="37"/>
      <c r="G31" s="17"/>
      <c r="H31" s="93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14"/>
    </row>
    <row r="32" spans="1:21" s="14" customFormat="1" ht="15" customHeight="1" x14ac:dyDescent="0.2">
      <c r="A32" s="17"/>
      <c r="B32" s="13"/>
      <c r="C32" s="407"/>
      <c r="D32" s="37"/>
      <c r="E32" s="37"/>
      <c r="F32" s="37"/>
      <c r="G32" s="17"/>
      <c r="H32" s="78"/>
      <c r="I32" s="101"/>
      <c r="J32" s="101"/>
      <c r="K32" s="101"/>
      <c r="L32" s="101"/>
      <c r="M32" s="101"/>
      <c r="N32" s="101"/>
      <c r="O32" s="101"/>
      <c r="P32" s="101"/>
      <c r="Q32" s="101"/>
      <c r="R32" s="90"/>
      <c r="S32" s="101"/>
      <c r="T32" s="90"/>
    </row>
    <row r="33" spans="1:20" s="14" customFormat="1" ht="15" customHeight="1" x14ac:dyDescent="0.2">
      <c r="A33" s="17"/>
      <c r="B33" s="13"/>
      <c r="C33" s="407"/>
      <c r="D33" s="37"/>
      <c r="E33" s="37"/>
      <c r="F33" s="37"/>
      <c r="G33" s="17"/>
      <c r="H33" s="78"/>
      <c r="I33" s="101"/>
      <c r="J33" s="101"/>
      <c r="K33" s="101"/>
      <c r="L33" s="101"/>
      <c r="M33" s="101"/>
      <c r="N33" s="101"/>
      <c r="O33" s="101"/>
      <c r="P33" s="101"/>
      <c r="Q33" s="101"/>
      <c r="R33" s="90"/>
      <c r="S33" s="101"/>
      <c r="T33" s="90"/>
    </row>
    <row r="34" spans="1:20" s="14" customFormat="1" ht="15" customHeight="1" x14ac:dyDescent="0.2">
      <c r="A34" s="17"/>
      <c r="B34" s="13"/>
      <c r="C34" s="407"/>
      <c r="D34" s="37"/>
      <c r="E34" s="37"/>
      <c r="F34" s="37"/>
      <c r="G34" s="17"/>
      <c r="H34" s="78"/>
      <c r="I34" s="101"/>
      <c r="J34" s="101"/>
      <c r="K34" s="101"/>
      <c r="L34" s="101"/>
      <c r="M34" s="101"/>
      <c r="N34" s="101"/>
      <c r="O34" s="101"/>
      <c r="P34" s="101"/>
      <c r="Q34" s="101"/>
      <c r="R34" s="90"/>
      <c r="S34" s="101"/>
      <c r="T34" s="90"/>
    </row>
    <row r="35" spans="1:20" s="14" customFormat="1" ht="15" customHeight="1" x14ac:dyDescent="0.2">
      <c r="A35" s="17"/>
      <c r="B35" s="13"/>
      <c r="C35" s="407"/>
      <c r="D35" s="37"/>
      <c r="E35" s="37"/>
      <c r="F35" s="37"/>
      <c r="G35" s="17"/>
      <c r="H35" s="78"/>
      <c r="I35" s="101"/>
      <c r="J35" s="101"/>
      <c r="K35" s="101"/>
      <c r="L35" s="101"/>
      <c r="M35" s="101"/>
      <c r="N35" s="101"/>
      <c r="O35" s="693"/>
      <c r="P35" s="101"/>
      <c r="Q35" s="101"/>
      <c r="R35" s="90"/>
      <c r="S35" s="101"/>
      <c r="T35" s="90"/>
    </row>
    <row r="36" spans="1:20" s="14" customFormat="1" ht="15" customHeight="1" x14ac:dyDescent="0.2">
      <c r="A36" s="17"/>
      <c r="B36" s="13"/>
      <c r="C36" s="407"/>
      <c r="D36" s="37"/>
      <c r="E36" s="37"/>
      <c r="F36" s="37"/>
      <c r="G36" s="17"/>
      <c r="H36" s="78"/>
      <c r="I36" s="101"/>
      <c r="J36" s="101"/>
      <c r="K36" s="101"/>
      <c r="L36" s="101"/>
      <c r="M36" s="101"/>
      <c r="N36" s="101"/>
      <c r="O36" s="101"/>
      <c r="P36" s="101"/>
      <c r="Q36" s="101"/>
      <c r="R36" s="90"/>
      <c r="S36" s="101"/>
      <c r="T36" s="90"/>
    </row>
  </sheetData>
  <mergeCells count="1">
    <mergeCell ref="N6:P6"/>
  </mergeCells>
  <printOptions horizontalCentered="1"/>
  <pageMargins left="0.5" right="0.5" top="0.75" bottom="0.75" header="0.5" footer="0.5"/>
  <pageSetup scale="4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Z25"/>
  <sheetViews>
    <sheetView view="pageBreakPreview" zoomScale="75" zoomScaleNormal="100" zoomScaleSheetLayoutView="75" workbookViewId="0">
      <selection activeCell="K31" sqref="K31"/>
    </sheetView>
  </sheetViews>
  <sheetFormatPr defaultRowHeight="12.75" x14ac:dyDescent="0.2"/>
  <cols>
    <col min="1" max="1" width="9.28515625" style="423" bestFit="1" customWidth="1"/>
    <col min="2" max="2" width="2.28515625" style="423" customWidth="1"/>
    <col min="3" max="3" width="37.5703125" style="423" bestFit="1" customWidth="1"/>
    <col min="4" max="4" width="2.28515625" style="423" customWidth="1"/>
    <col min="5" max="5" width="20.42578125" style="423" bestFit="1" customWidth="1"/>
    <col min="6" max="6" width="3.140625" style="423" customWidth="1"/>
    <col min="7" max="7" width="12" style="423" customWidth="1"/>
    <col min="8" max="8" width="2.28515625" style="423" customWidth="1"/>
    <col min="9" max="9" width="12" style="423" customWidth="1"/>
    <col min="10" max="10" width="2.28515625" style="423" customWidth="1"/>
    <col min="11" max="11" width="12" style="423" customWidth="1"/>
    <col min="12" max="12" width="2.28515625" style="423" customWidth="1"/>
    <col min="13" max="13" width="12" style="423" customWidth="1"/>
    <col min="14" max="14" width="2.28515625" style="423" customWidth="1"/>
    <col min="15" max="15" width="12" style="423" customWidth="1"/>
    <col min="16" max="16" width="2.28515625" style="423" customWidth="1"/>
    <col min="17" max="17" width="12" style="423" customWidth="1"/>
    <col min="18" max="18" width="2.28515625" style="423" customWidth="1"/>
    <col min="19" max="19" width="12" style="423" customWidth="1"/>
    <col min="20" max="20" width="2.28515625" style="423" customWidth="1"/>
    <col min="21" max="21" width="12" style="423" customWidth="1"/>
    <col min="22" max="22" width="2.28515625" style="423" customWidth="1"/>
    <col min="23" max="23" width="12" style="499" customWidth="1"/>
    <col min="24" max="24" width="2.28515625" style="423" customWidth="1"/>
    <col min="25" max="25" width="12" style="423" customWidth="1"/>
    <col min="26" max="26" width="2.28515625" style="423" customWidth="1"/>
    <col min="27" max="16384" width="9.140625" style="423"/>
  </cols>
  <sheetData>
    <row r="1" spans="1:26" s="481" customFormat="1" ht="15.75" customHeight="1" x14ac:dyDescent="0.25">
      <c r="A1" s="40" t="s">
        <v>539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66" t="s">
        <v>836</v>
      </c>
    </row>
    <row r="2" spans="1:26" s="419" customFormat="1" ht="15.75" customHeight="1" x14ac:dyDescent="0.25">
      <c r="A2" s="849" t="s">
        <v>489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0"/>
    </row>
    <row r="3" spans="1:26" s="419" customFormat="1" ht="15.75" customHeight="1" x14ac:dyDescent="0.25">
      <c r="A3" s="849" t="s">
        <v>336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</row>
    <row r="4" spans="1:26" s="419" customFormat="1" ht="15.75" customHeight="1" x14ac:dyDescent="0.25">
      <c r="D4" s="370"/>
      <c r="E4" s="370"/>
      <c r="F4" s="492"/>
      <c r="G4" s="492"/>
      <c r="H4" s="492"/>
      <c r="I4" s="492"/>
      <c r="J4" s="492"/>
      <c r="K4" s="492"/>
      <c r="L4" s="492"/>
      <c r="M4" s="492"/>
      <c r="N4" s="492"/>
      <c r="O4" s="117"/>
      <c r="P4" s="492"/>
      <c r="Q4" s="492"/>
      <c r="R4" s="492"/>
      <c r="S4" s="492"/>
      <c r="T4" s="492"/>
      <c r="U4" s="492"/>
      <c r="V4" s="492"/>
      <c r="W4" s="493"/>
      <c r="Z4" s="80"/>
    </row>
    <row r="5" spans="1:26" s="419" customFormat="1" ht="15.75" customHeight="1" x14ac:dyDescent="0.25">
      <c r="Q5" s="491"/>
      <c r="S5" s="491"/>
      <c r="U5" s="491"/>
      <c r="W5" s="491" t="s">
        <v>461</v>
      </c>
      <c r="Y5" s="491" t="s">
        <v>461</v>
      </c>
    </row>
    <row r="6" spans="1:26" s="419" customFormat="1" ht="15.75" customHeight="1" x14ac:dyDescent="0.25">
      <c r="A6" s="491" t="s">
        <v>34</v>
      </c>
      <c r="B6" s="491"/>
      <c r="C6" s="491"/>
      <c r="D6" s="491"/>
      <c r="E6" s="491" t="s">
        <v>35</v>
      </c>
      <c r="F6" s="481"/>
      <c r="G6" s="491" t="s">
        <v>26</v>
      </c>
      <c r="H6" s="481"/>
      <c r="I6" s="491" t="s">
        <v>26</v>
      </c>
      <c r="J6" s="481"/>
      <c r="K6" s="491" t="s">
        <v>26</v>
      </c>
      <c r="L6" s="481"/>
      <c r="M6" s="491" t="s">
        <v>26</v>
      </c>
      <c r="N6" s="491"/>
      <c r="O6" s="491" t="s">
        <v>26</v>
      </c>
      <c r="P6" s="491"/>
      <c r="Q6" s="844" t="s">
        <v>330</v>
      </c>
      <c r="R6" s="844"/>
      <c r="S6" s="844"/>
      <c r="T6" s="844"/>
      <c r="U6" s="844"/>
      <c r="V6" s="481"/>
      <c r="W6" s="491" t="s">
        <v>15</v>
      </c>
      <c r="X6" s="491"/>
      <c r="Y6" s="491" t="s">
        <v>15</v>
      </c>
    </row>
    <row r="7" spans="1:26" s="419" customFormat="1" ht="15.75" customHeight="1" x14ac:dyDescent="0.25">
      <c r="A7" s="490" t="s">
        <v>36</v>
      </c>
      <c r="B7" s="491"/>
      <c r="C7" s="490" t="s">
        <v>178</v>
      </c>
      <c r="D7" s="491"/>
      <c r="E7" s="490" t="s">
        <v>37</v>
      </c>
      <c r="F7" s="481"/>
      <c r="G7" s="490">
        <v>2008</v>
      </c>
      <c r="H7" s="481"/>
      <c r="I7" s="490">
        <v>2009</v>
      </c>
      <c r="J7" s="481"/>
      <c r="K7" s="490">
        <v>2010</v>
      </c>
      <c r="L7" s="481"/>
      <c r="M7" s="490">
        <v>2011</v>
      </c>
      <c r="N7" s="346"/>
      <c r="O7" s="490">
        <v>2012</v>
      </c>
      <c r="P7" s="346"/>
      <c r="Q7" s="490">
        <v>2013</v>
      </c>
      <c r="R7" s="346"/>
      <c r="S7" s="490">
        <v>2014</v>
      </c>
      <c r="T7" s="346"/>
      <c r="U7" s="490">
        <v>2015</v>
      </c>
      <c r="V7" s="481"/>
      <c r="W7" s="490">
        <v>2008</v>
      </c>
      <c r="X7" s="481"/>
      <c r="Y7" s="490">
        <v>2009</v>
      </c>
    </row>
    <row r="8" spans="1:26" s="419" customFormat="1" ht="15.75" customHeight="1" x14ac:dyDescent="0.2">
      <c r="W8" s="493"/>
    </row>
    <row r="9" spans="1:26" s="419" customFormat="1" ht="15.75" customHeight="1" x14ac:dyDescent="0.2">
      <c r="A9" s="117">
        <v>1</v>
      </c>
      <c r="C9" s="419" t="s">
        <v>332</v>
      </c>
      <c r="E9" s="482" t="s">
        <v>681</v>
      </c>
      <c r="F9" s="406"/>
      <c r="G9" s="406">
        <f>3181-G10-G11</f>
        <v>3585</v>
      </c>
      <c r="H9" s="406"/>
      <c r="I9" s="406">
        <f>(3118+193)-I10-I11+135</f>
        <v>3892</v>
      </c>
      <c r="J9" s="406"/>
      <c r="K9" s="406">
        <f>(3458+225)-K10-K11</f>
        <v>4108</v>
      </c>
      <c r="L9" s="406"/>
      <c r="M9" s="406">
        <f>3942.995+185.936+48-M10</f>
        <v>4558.9309999999996</v>
      </c>
      <c r="N9" s="406"/>
      <c r="O9" s="406">
        <f>3958.81+233.65-O10-O11</f>
        <v>4641.46</v>
      </c>
      <c r="P9" s="406"/>
      <c r="Q9" s="406">
        <f>+S7.2!J60</f>
        <v>4997</v>
      </c>
      <c r="R9" s="406"/>
      <c r="S9" s="406">
        <f>+S7.3!J60</f>
        <v>5736</v>
      </c>
      <c r="T9" s="406"/>
      <c r="U9" s="406">
        <f>+S7.4!J60</f>
        <v>6267</v>
      </c>
      <c r="V9" s="406"/>
      <c r="W9" s="153">
        <v>3760</v>
      </c>
      <c r="X9" s="406"/>
      <c r="Y9" s="406">
        <v>4067</v>
      </c>
    </row>
    <row r="10" spans="1:26" s="419" customFormat="1" ht="15.75" customHeight="1" x14ac:dyDescent="0.2">
      <c r="A10" s="117">
        <v>2</v>
      </c>
      <c r="C10" s="419" t="s">
        <v>333</v>
      </c>
      <c r="E10" s="482" t="s">
        <v>682</v>
      </c>
      <c r="F10" s="406"/>
      <c r="G10" s="406">
        <v>-382</v>
      </c>
      <c r="H10" s="406"/>
      <c r="I10" s="406">
        <v>-382</v>
      </c>
      <c r="J10" s="406"/>
      <c r="K10" s="406">
        <v>-382</v>
      </c>
      <c r="L10" s="406"/>
      <c r="M10" s="406">
        <f>+S7.5!J60</f>
        <v>-382</v>
      </c>
      <c r="N10" s="406"/>
      <c r="O10" s="406">
        <f>+S7.5!L60</f>
        <v>-382</v>
      </c>
      <c r="P10" s="406"/>
      <c r="Q10" s="406">
        <f>+S7.5!O60</f>
        <v>-401.87700000000001</v>
      </c>
      <c r="R10" s="406"/>
      <c r="S10" s="406">
        <f>+S7.5!Q60</f>
        <v>-401.87700000000001</v>
      </c>
      <c r="T10" s="406"/>
      <c r="U10" s="406">
        <f>+S7.5!S60</f>
        <v>-401.87700000000001</v>
      </c>
      <c r="V10" s="406"/>
      <c r="W10" s="153">
        <f>S7.5!U60</f>
        <v>-382</v>
      </c>
      <c r="X10" s="406"/>
      <c r="Y10" s="406">
        <f>S7.5!W60</f>
        <v>-382</v>
      </c>
    </row>
    <row r="11" spans="1:26" s="419" customFormat="1" ht="15.75" customHeight="1" x14ac:dyDescent="0.2">
      <c r="A11" s="117">
        <v>3</v>
      </c>
      <c r="C11" s="419" t="s">
        <v>334</v>
      </c>
      <c r="E11" s="482" t="s">
        <v>657</v>
      </c>
      <c r="F11" s="406"/>
      <c r="G11" s="161">
        <v>-22</v>
      </c>
      <c r="H11" s="406"/>
      <c r="I11" s="161">
        <v>-64</v>
      </c>
      <c r="J11" s="406"/>
      <c r="K11" s="161">
        <v>-43</v>
      </c>
      <c r="L11" s="406"/>
      <c r="M11" s="161">
        <v>-48</v>
      </c>
      <c r="N11" s="494"/>
      <c r="O11" s="161">
        <v>-67</v>
      </c>
      <c r="P11" s="494"/>
      <c r="Q11" s="161">
        <v>-75</v>
      </c>
      <c r="R11" s="494"/>
      <c r="S11" s="161">
        <v>-82</v>
      </c>
      <c r="T11" s="494"/>
      <c r="U11" s="161">
        <v>-87</v>
      </c>
      <c r="V11" s="406"/>
      <c r="W11" s="161">
        <v>-24</v>
      </c>
      <c r="X11" s="406"/>
      <c r="Y11" s="161">
        <v>-24</v>
      </c>
    </row>
    <row r="12" spans="1:26" s="419" customFormat="1" ht="6" customHeight="1" x14ac:dyDescent="0.2">
      <c r="A12" s="117" t="s">
        <v>28</v>
      </c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</row>
    <row r="13" spans="1:26" s="419" customFormat="1" ht="15.75" customHeight="1" thickBot="1" x14ac:dyDescent="0.25">
      <c r="A13" s="117">
        <v>4</v>
      </c>
      <c r="C13" s="419" t="s">
        <v>335</v>
      </c>
      <c r="E13" s="117" t="s">
        <v>317</v>
      </c>
      <c r="F13" s="406"/>
      <c r="G13" s="495">
        <f>SUM(G9:G11)</f>
        <v>3181</v>
      </c>
      <c r="H13" s="406"/>
      <c r="I13" s="495">
        <f>SUM(I9:I11)</f>
        <v>3446</v>
      </c>
      <c r="J13" s="406"/>
      <c r="K13" s="495">
        <f>SUM(K9:K11)</f>
        <v>3683</v>
      </c>
      <c r="L13" s="406"/>
      <c r="M13" s="495">
        <f>SUM(M9:M11)</f>
        <v>4128.9309999999996</v>
      </c>
      <c r="N13" s="494"/>
      <c r="O13" s="495">
        <f>SUM(O9:O11)</f>
        <v>4192.46</v>
      </c>
      <c r="P13" s="494"/>
      <c r="Q13" s="495">
        <f>SUM(Q9:Q11)</f>
        <v>4520.1229999999996</v>
      </c>
      <c r="R13" s="494"/>
      <c r="S13" s="495">
        <f>SUM(S9:S11)</f>
        <v>5252.1229999999996</v>
      </c>
      <c r="T13" s="494"/>
      <c r="U13" s="495">
        <f>SUM(U9:U11)</f>
        <v>5778.1229999999996</v>
      </c>
      <c r="V13" s="406"/>
      <c r="W13" s="495">
        <f>SUM(W9:W11)</f>
        <v>3354</v>
      </c>
      <c r="X13" s="406"/>
      <c r="Y13" s="495">
        <f>SUM(Y9:Y11)</f>
        <v>3661</v>
      </c>
    </row>
    <row r="14" spans="1:26" s="419" customFormat="1" ht="15.75" customHeight="1" thickTop="1" x14ac:dyDescent="0.2">
      <c r="A14" s="117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 t="str">
        <f>IF(W13='S8.6 '!W28,"",'S8.6 '!W28)</f>
        <v/>
      </c>
      <c r="X14" s="406"/>
      <c r="Y14" s="406" t="str">
        <f>IF(Y13='S8.6 '!Y28,"",'S8.6 '!Y28)</f>
        <v/>
      </c>
    </row>
    <row r="15" spans="1:26" s="419" customFormat="1" ht="15" x14ac:dyDescent="0.2">
      <c r="A15" s="117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</row>
    <row r="16" spans="1:26" x14ac:dyDescent="0.2">
      <c r="A16" s="496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497"/>
      <c r="T16" s="497"/>
      <c r="U16" s="497"/>
      <c r="V16" s="497"/>
      <c r="W16" s="497"/>
      <c r="X16" s="497"/>
      <c r="Y16" s="497"/>
    </row>
    <row r="17" spans="1:25" x14ac:dyDescent="0.2">
      <c r="A17" s="496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</row>
    <row r="18" spans="1:25" x14ac:dyDescent="0.2">
      <c r="A18" s="496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497"/>
      <c r="T18" s="497"/>
      <c r="U18" s="497"/>
      <c r="V18" s="497"/>
      <c r="W18" s="497"/>
      <c r="X18" s="497"/>
      <c r="Y18" s="497"/>
    </row>
    <row r="19" spans="1:25" x14ac:dyDescent="0.2">
      <c r="A19" s="496"/>
      <c r="F19" s="497"/>
      <c r="G19" s="497"/>
      <c r="H19" s="497"/>
      <c r="I19" s="497"/>
      <c r="J19" s="497"/>
      <c r="K19" s="497"/>
      <c r="L19" s="497"/>
      <c r="M19" s="498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</row>
    <row r="20" spans="1:25" x14ac:dyDescent="0.2">
      <c r="A20" s="496"/>
      <c r="F20" s="497"/>
      <c r="G20" s="497"/>
      <c r="H20" s="497"/>
      <c r="I20" s="497"/>
      <c r="J20" s="497"/>
      <c r="L20" s="497"/>
      <c r="M20" s="498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497"/>
      <c r="Y20" s="497"/>
    </row>
    <row r="21" spans="1:25" x14ac:dyDescent="0.2">
      <c r="A21" s="496"/>
      <c r="F21" s="497"/>
      <c r="G21" s="497"/>
      <c r="H21" s="497"/>
      <c r="I21" s="497"/>
      <c r="J21" s="497"/>
      <c r="K21" s="497"/>
      <c r="L21" s="497"/>
      <c r="M21" s="498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</row>
    <row r="22" spans="1:25" x14ac:dyDescent="0.2">
      <c r="A22" s="496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</row>
    <row r="23" spans="1:25" x14ac:dyDescent="0.2"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</row>
    <row r="24" spans="1:25" x14ac:dyDescent="0.2"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</row>
    <row r="25" spans="1:25" x14ac:dyDescent="0.2"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7"/>
      <c r="X25" s="497"/>
      <c r="Y25" s="497"/>
    </row>
  </sheetData>
  <customSheetViews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3">
    <mergeCell ref="A2:Y2"/>
    <mergeCell ref="A3:Y3"/>
    <mergeCell ref="Q6:U6"/>
  </mergeCells>
  <phoneticPr fontId="9" type="noConversion"/>
  <printOptions horizontalCentered="1"/>
  <pageMargins left="0.5" right="0.5" top="0.75" bottom="0.75" header="0.5" footer="0.5"/>
  <pageSetup scale="59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62"/>
  <sheetViews>
    <sheetView view="pageBreakPreview" topLeftCell="A4" zoomScale="75" zoomScaleNormal="70" zoomScaleSheetLayoutView="75" workbookViewId="0">
      <selection activeCell="T44" sqref="T44"/>
    </sheetView>
  </sheetViews>
  <sheetFormatPr defaultRowHeight="14.25" x14ac:dyDescent="0.2"/>
  <cols>
    <col min="1" max="1" width="9.140625" style="163"/>
    <col min="2" max="2" width="11.7109375" style="163" customWidth="1"/>
    <col min="3" max="3" width="49.42578125" style="163" bestFit="1" customWidth="1"/>
    <col min="4" max="4" width="10.28515625" style="163" customWidth="1"/>
    <col min="5" max="5" width="15.7109375" style="610" customWidth="1"/>
    <col min="6" max="6" width="15.7109375" style="611" customWidth="1"/>
    <col min="7" max="10" width="15.7109375" style="163" customWidth="1"/>
    <col min="11" max="11" width="2.42578125" style="163" customWidth="1"/>
    <col min="12" max="16384" width="9.140625" style="163"/>
  </cols>
  <sheetData>
    <row r="1" spans="1:11" ht="15.75" x14ac:dyDescent="0.25">
      <c r="A1" s="370" t="s">
        <v>539</v>
      </c>
      <c r="B1" s="370"/>
      <c r="C1" s="370"/>
      <c r="D1" s="370"/>
      <c r="E1" s="370"/>
      <c r="F1" s="370"/>
      <c r="G1" s="370"/>
      <c r="H1" s="370"/>
      <c r="I1" s="351"/>
      <c r="J1" s="351"/>
      <c r="K1" s="80" t="s">
        <v>837</v>
      </c>
    </row>
    <row r="2" spans="1:11" ht="12.75" customHeight="1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51"/>
      <c r="J2" s="351"/>
      <c r="K2" s="419"/>
    </row>
    <row r="3" spans="1:11" ht="12.75" customHeight="1" x14ac:dyDescent="0.25">
      <c r="A3" s="370" t="s">
        <v>499</v>
      </c>
      <c r="B3" s="370"/>
      <c r="C3" s="370"/>
      <c r="D3" s="370"/>
      <c r="E3" s="370"/>
      <c r="F3" s="370"/>
      <c r="G3" s="370"/>
      <c r="H3" s="370"/>
      <c r="I3" s="351"/>
      <c r="J3" s="351"/>
      <c r="K3" s="419"/>
    </row>
    <row r="4" spans="1:11" ht="15.75" x14ac:dyDescent="0.25">
      <c r="A4" s="370" t="s">
        <v>33</v>
      </c>
      <c r="B4" s="370"/>
      <c r="C4" s="351"/>
      <c r="D4" s="351"/>
      <c r="E4" s="614"/>
      <c r="F4" s="351"/>
      <c r="G4" s="351"/>
      <c r="H4" s="351"/>
      <c r="I4" s="370"/>
      <c r="J4" s="351"/>
      <c r="K4" s="419"/>
    </row>
    <row r="5" spans="1:11" x14ac:dyDescent="0.2">
      <c r="J5" s="611"/>
    </row>
    <row r="6" spans="1:11" s="612" customFormat="1" ht="15" x14ac:dyDescent="0.25">
      <c r="C6" s="615"/>
      <c r="D6" s="616"/>
      <c r="E6" s="617">
        <v>2013</v>
      </c>
      <c r="F6" s="608"/>
      <c r="G6" s="608" t="s">
        <v>30</v>
      </c>
      <c r="H6" s="608" t="s">
        <v>113</v>
      </c>
      <c r="I6" s="608" t="s">
        <v>324</v>
      </c>
      <c r="J6" s="608">
        <v>2013</v>
      </c>
    </row>
    <row r="7" spans="1:11" s="612" customFormat="1" ht="15" x14ac:dyDescent="0.25">
      <c r="A7" s="608" t="s">
        <v>34</v>
      </c>
      <c r="B7" s="608" t="s">
        <v>28</v>
      </c>
      <c r="C7" s="608"/>
      <c r="D7" s="618" t="s">
        <v>101</v>
      </c>
      <c r="E7" s="619" t="s">
        <v>321</v>
      </c>
      <c r="F7" s="620" t="s">
        <v>30</v>
      </c>
      <c r="G7" s="608" t="s">
        <v>323</v>
      </c>
      <c r="H7" s="608" t="s">
        <v>328</v>
      </c>
      <c r="I7" s="608" t="s">
        <v>325</v>
      </c>
      <c r="J7" s="608" t="s">
        <v>326</v>
      </c>
    </row>
    <row r="8" spans="1:11" s="612" customFormat="1" ht="15" x14ac:dyDescent="0.25">
      <c r="A8" s="621" t="s">
        <v>36</v>
      </c>
      <c r="B8" s="621" t="s">
        <v>115</v>
      </c>
      <c r="C8" s="621" t="s">
        <v>178</v>
      </c>
      <c r="D8" s="622" t="s">
        <v>37</v>
      </c>
      <c r="E8" s="621" t="s">
        <v>322</v>
      </c>
      <c r="F8" s="621" t="s">
        <v>39</v>
      </c>
      <c r="G8" s="621" t="s">
        <v>41</v>
      </c>
      <c r="H8" s="621" t="s">
        <v>164</v>
      </c>
      <c r="I8" s="621" t="s">
        <v>164</v>
      </c>
      <c r="J8" s="621" t="s">
        <v>30</v>
      </c>
    </row>
    <row r="9" spans="1:11" ht="15" x14ac:dyDescent="0.25">
      <c r="A9" s="623"/>
      <c r="B9" s="623"/>
      <c r="C9" s="623"/>
      <c r="D9" s="618"/>
      <c r="E9" s="623"/>
      <c r="F9" s="623"/>
      <c r="G9" s="623"/>
      <c r="H9" s="610"/>
    </row>
    <row r="10" spans="1:11" ht="15" x14ac:dyDescent="0.25">
      <c r="A10" s="611">
        <v>1</v>
      </c>
      <c r="B10" s="611"/>
      <c r="C10" s="163" t="s">
        <v>362</v>
      </c>
      <c r="D10" s="618"/>
      <c r="E10" s="623"/>
      <c r="F10" s="623"/>
      <c r="G10" s="610"/>
      <c r="H10" s="610"/>
    </row>
    <row r="11" spans="1:11" ht="15" x14ac:dyDescent="0.25">
      <c r="A11" s="611">
        <f>A10+1</f>
        <v>2</v>
      </c>
      <c r="B11" s="713"/>
      <c r="D11" s="618"/>
      <c r="E11" s="624"/>
      <c r="F11" s="650"/>
      <c r="G11" s="625"/>
      <c r="H11" s="626"/>
      <c r="I11" s="627"/>
      <c r="J11" s="627"/>
    </row>
    <row r="12" spans="1:11" ht="15" x14ac:dyDescent="0.25">
      <c r="A12" s="611">
        <f t="shared" ref="A12:A62" si="0">A11+1</f>
        <v>3</v>
      </c>
      <c r="B12" s="713" t="s">
        <v>403</v>
      </c>
      <c r="C12" s="629" t="s">
        <v>363</v>
      </c>
      <c r="D12" s="618"/>
      <c r="E12" s="624">
        <v>262.55786999999998</v>
      </c>
      <c r="F12" s="650">
        <v>2.1836100361417466E-2</v>
      </c>
      <c r="G12" s="625">
        <f>ROUND(E12*F12,0)</f>
        <v>6</v>
      </c>
      <c r="H12" s="626">
        <v>109.52917727031466</v>
      </c>
      <c r="I12" s="627">
        <f>ROUND(H12*F12/2,0)</f>
        <v>1</v>
      </c>
      <c r="J12" s="627">
        <f>I12+G12</f>
        <v>7</v>
      </c>
    </row>
    <row r="13" spans="1:11" ht="15" x14ac:dyDescent="0.25">
      <c r="A13" s="611">
        <f t="shared" si="0"/>
        <v>4</v>
      </c>
      <c r="B13" s="713" t="s">
        <v>404</v>
      </c>
      <c r="C13" s="629" t="s">
        <v>364</v>
      </c>
      <c r="D13" s="618"/>
      <c r="E13" s="624">
        <v>2374.6208199999996</v>
      </c>
      <c r="F13" s="650">
        <v>2.1821370200906437E-2</v>
      </c>
      <c r="G13" s="625">
        <f>ROUND(E13*F13,0)</f>
        <v>52</v>
      </c>
      <c r="H13" s="626">
        <v>990.60167095185511</v>
      </c>
      <c r="I13" s="627">
        <f>ROUND(H13*F13/2,0)</f>
        <v>11</v>
      </c>
      <c r="J13" s="627">
        <f>I13+G13</f>
        <v>63</v>
      </c>
    </row>
    <row r="14" spans="1:11" ht="15" x14ac:dyDescent="0.25">
      <c r="A14" s="611">
        <f t="shared" si="0"/>
        <v>5</v>
      </c>
      <c r="B14" s="713" t="s">
        <v>405</v>
      </c>
      <c r="C14" s="629" t="s">
        <v>365</v>
      </c>
      <c r="D14" s="618"/>
      <c r="E14" s="624">
        <v>2675.6491099999998</v>
      </c>
      <c r="F14" s="650">
        <v>2.4352922804747053E-2</v>
      </c>
      <c r="G14" s="625">
        <f>ROUND(E14*F14,0)</f>
        <v>65</v>
      </c>
      <c r="H14" s="626">
        <v>1116.1792471973879</v>
      </c>
      <c r="I14" s="627">
        <f>ROUND(H14*F14/2,0)</f>
        <v>14</v>
      </c>
      <c r="J14" s="627">
        <f>I14+G14</f>
        <v>79</v>
      </c>
    </row>
    <row r="15" spans="1:11" ht="15" x14ac:dyDescent="0.25">
      <c r="A15" s="611">
        <f t="shared" si="0"/>
        <v>6</v>
      </c>
      <c r="B15" s="713" t="s">
        <v>406</v>
      </c>
      <c r="C15" s="629" t="s">
        <v>366</v>
      </c>
      <c r="D15" s="618"/>
      <c r="E15" s="624">
        <v>157.86416</v>
      </c>
      <c r="F15" s="650">
        <v>2.3412850643236567E-2</v>
      </c>
      <c r="G15" s="625">
        <f>ROUND(E15*F15,0)</f>
        <v>4</v>
      </c>
      <c r="H15" s="626">
        <v>65.854935391078996</v>
      </c>
      <c r="I15" s="627">
        <f>ROUND(H15*F15/2,0)</f>
        <v>1</v>
      </c>
      <c r="J15" s="627">
        <f>I15+G15</f>
        <v>5</v>
      </c>
    </row>
    <row r="16" spans="1:11" ht="15" x14ac:dyDescent="0.25">
      <c r="A16" s="611">
        <f t="shared" si="0"/>
        <v>7</v>
      </c>
      <c r="B16" s="713" t="s">
        <v>407</v>
      </c>
      <c r="C16" s="630" t="s">
        <v>367</v>
      </c>
      <c r="D16" s="622"/>
      <c r="E16" s="631">
        <v>68.656700000000001</v>
      </c>
      <c r="F16" s="650">
        <v>3.703323929055722E-2</v>
      </c>
      <c r="G16" s="625">
        <f>ROUND(E16*F16,0)</f>
        <v>3</v>
      </c>
      <c r="H16" s="632">
        <v>28.640969189363144</v>
      </c>
      <c r="I16" s="633">
        <f>ROUND(H16*F16/2,0)</f>
        <v>1</v>
      </c>
      <c r="J16" s="633">
        <f>I16+G16</f>
        <v>4</v>
      </c>
    </row>
    <row r="17" spans="1:10" ht="15" x14ac:dyDescent="0.25">
      <c r="A17" s="611">
        <f t="shared" si="0"/>
        <v>8</v>
      </c>
      <c r="B17" s="713"/>
      <c r="C17" s="163" t="s">
        <v>389</v>
      </c>
      <c r="D17" s="618"/>
      <c r="E17" s="624">
        <f>SUM(E11:E16)</f>
        <v>5539.3486599999997</v>
      </c>
      <c r="F17" s="740"/>
      <c r="G17" s="635">
        <f>SUM(G11:G16)</f>
        <v>130</v>
      </c>
      <c r="H17" s="626">
        <f>SUM(H11:H16)</f>
        <v>2310.806</v>
      </c>
      <c r="I17" s="626">
        <f>SUM(I11:I16)</f>
        <v>28</v>
      </c>
      <c r="J17" s="626">
        <f>SUM(J11:J16)</f>
        <v>158</v>
      </c>
    </row>
    <row r="18" spans="1:10" ht="15" x14ac:dyDescent="0.25">
      <c r="A18" s="611">
        <f t="shared" si="0"/>
        <v>9</v>
      </c>
      <c r="B18" s="713"/>
      <c r="C18" s="629"/>
      <c r="D18" s="618"/>
      <c r="E18" s="624"/>
      <c r="F18" s="650"/>
      <c r="G18" s="625"/>
      <c r="H18" s="626"/>
      <c r="I18" s="627"/>
      <c r="J18" s="627"/>
    </row>
    <row r="19" spans="1:10" ht="15" x14ac:dyDescent="0.25">
      <c r="A19" s="611">
        <f t="shared" si="0"/>
        <v>10</v>
      </c>
      <c r="B19" s="713"/>
      <c r="C19" s="163" t="s">
        <v>368</v>
      </c>
      <c r="D19" s="618"/>
      <c r="E19" s="624"/>
      <c r="F19" s="650"/>
      <c r="G19" s="625"/>
      <c r="H19" s="626"/>
      <c r="I19" s="627"/>
      <c r="J19" s="627"/>
    </row>
    <row r="20" spans="1:10" ht="15" x14ac:dyDescent="0.25">
      <c r="A20" s="611">
        <f t="shared" si="0"/>
        <v>11</v>
      </c>
      <c r="B20" s="713" t="s">
        <v>250</v>
      </c>
      <c r="C20" s="629" t="s">
        <v>806</v>
      </c>
      <c r="D20" s="618"/>
      <c r="E20" s="624">
        <v>2238.1898700000002</v>
      </c>
      <c r="F20" s="650">
        <v>2.7142344273053121E-2</v>
      </c>
      <c r="G20" s="625">
        <f>ROUND(E20*F20,0)</f>
        <v>61</v>
      </c>
      <c r="H20" s="626">
        <v>438.42401784681124</v>
      </c>
      <c r="I20" s="627">
        <f>ROUND(H20*F20/2,0)</f>
        <v>6</v>
      </c>
      <c r="J20" s="627">
        <f>I20+G20</f>
        <v>67</v>
      </c>
    </row>
    <row r="21" spans="1:10" ht="15" x14ac:dyDescent="0.25">
      <c r="A21" s="611">
        <f t="shared" si="0"/>
        <v>12</v>
      </c>
      <c r="B21" s="713" t="s">
        <v>251</v>
      </c>
      <c r="C21" s="629" t="s">
        <v>802</v>
      </c>
      <c r="D21" s="618"/>
      <c r="E21" s="624">
        <v>3137.8418300000003</v>
      </c>
      <c r="F21" s="650">
        <v>2.9695920013916063E-2</v>
      </c>
      <c r="G21" s="625">
        <f>ROUND(E21*F21,0)</f>
        <v>93</v>
      </c>
      <c r="H21" s="626">
        <v>614.65081265710091</v>
      </c>
      <c r="I21" s="627">
        <f>ROUND(H21*F21/2,0)</f>
        <v>9</v>
      </c>
      <c r="J21" s="627">
        <f>I21+G21</f>
        <v>102</v>
      </c>
    </row>
    <row r="22" spans="1:10" ht="15" x14ac:dyDescent="0.25">
      <c r="A22" s="611">
        <f t="shared" si="0"/>
        <v>13</v>
      </c>
      <c r="B22" s="713" t="s">
        <v>252</v>
      </c>
      <c r="C22" s="629" t="s">
        <v>253</v>
      </c>
      <c r="D22" s="618"/>
      <c r="E22" s="624">
        <v>7270.4879600000004</v>
      </c>
      <c r="F22" s="650">
        <v>3.6936801693020722E-2</v>
      </c>
      <c r="G22" s="625">
        <f>ROUND(E22*F22,0)</f>
        <v>269</v>
      </c>
      <c r="H22" s="626">
        <v>1424.1671744900116</v>
      </c>
      <c r="I22" s="627">
        <f>ROUND(H22*F22/2,0)</f>
        <v>26</v>
      </c>
      <c r="J22" s="627">
        <f>I22+G22</f>
        <v>295</v>
      </c>
    </row>
    <row r="23" spans="1:10" ht="15" x14ac:dyDescent="0.25">
      <c r="A23" s="611">
        <f t="shared" si="0"/>
        <v>14</v>
      </c>
      <c r="B23" s="713" t="s">
        <v>254</v>
      </c>
      <c r="C23" s="629" t="s">
        <v>257</v>
      </c>
      <c r="D23" s="618"/>
      <c r="E23" s="624">
        <v>2076.5138000000002</v>
      </c>
      <c r="F23" s="650">
        <v>2.9442496360968084E-2</v>
      </c>
      <c r="G23" s="625">
        <f>ROUND(E23*F23,0)</f>
        <v>61</v>
      </c>
      <c r="H23" s="626">
        <v>406.75437571806629</v>
      </c>
      <c r="I23" s="627">
        <f>ROUND(H23*F23/2,0)</f>
        <v>6</v>
      </c>
      <c r="J23" s="627">
        <f>I23+G23</f>
        <v>67</v>
      </c>
    </row>
    <row r="24" spans="1:10" ht="15" x14ac:dyDescent="0.25">
      <c r="A24" s="611">
        <f t="shared" si="0"/>
        <v>15</v>
      </c>
      <c r="B24" s="713" t="s">
        <v>255</v>
      </c>
      <c r="C24" s="630" t="s">
        <v>256</v>
      </c>
      <c r="D24" s="622"/>
      <c r="E24" s="631">
        <v>793.64508999999998</v>
      </c>
      <c r="F24" s="650">
        <v>2.7454879107234192E-2</v>
      </c>
      <c r="G24" s="636">
        <f>ROUND(E24*F24,0)</f>
        <v>22</v>
      </c>
      <c r="H24" s="626">
        <v>155.46181928800979</v>
      </c>
      <c r="I24" s="627">
        <f>ROUND(H24*F24/2,0)</f>
        <v>2</v>
      </c>
      <c r="J24" s="627">
        <f>I24+G24</f>
        <v>24</v>
      </c>
    </row>
    <row r="25" spans="1:10" ht="15" x14ac:dyDescent="0.25">
      <c r="A25" s="611">
        <f t="shared" si="0"/>
        <v>16</v>
      </c>
      <c r="B25" s="713"/>
      <c r="C25" s="629" t="s">
        <v>390</v>
      </c>
      <c r="D25" s="618"/>
      <c r="E25" s="624">
        <f>SUM(E20:E24)</f>
        <v>15516.678550000002</v>
      </c>
      <c r="F25" s="740"/>
      <c r="G25" s="626">
        <f>SUM(G20:G24)</f>
        <v>506</v>
      </c>
      <c r="H25" s="635">
        <f>SUM(H20:H24)</f>
        <v>3039.4582</v>
      </c>
      <c r="I25" s="635">
        <f>SUM(I20:I24)</f>
        <v>49</v>
      </c>
      <c r="J25" s="635">
        <f>SUM(J20:J24)</f>
        <v>555</v>
      </c>
    </row>
    <row r="26" spans="1:10" ht="15" x14ac:dyDescent="0.25">
      <c r="A26" s="611">
        <f t="shared" si="0"/>
        <v>17</v>
      </c>
      <c r="B26" s="713"/>
      <c r="C26" s="623"/>
      <c r="D26" s="618"/>
      <c r="E26" s="624"/>
      <c r="F26" s="650"/>
      <c r="G26" s="625"/>
      <c r="H26" s="626"/>
      <c r="I26" s="627"/>
      <c r="J26" s="627"/>
    </row>
    <row r="27" spans="1:10" ht="15" x14ac:dyDescent="0.25">
      <c r="A27" s="611">
        <f t="shared" si="0"/>
        <v>18</v>
      </c>
      <c r="B27" s="713"/>
      <c r="C27" s="163" t="s">
        <v>371</v>
      </c>
      <c r="D27" s="618"/>
      <c r="E27" s="624"/>
      <c r="F27" s="650"/>
      <c r="G27" s="625"/>
      <c r="H27" s="626"/>
      <c r="I27" s="627"/>
      <c r="J27" s="627"/>
    </row>
    <row r="28" spans="1:10" ht="15" x14ac:dyDescent="0.25">
      <c r="A28" s="611">
        <f t="shared" si="0"/>
        <v>19</v>
      </c>
      <c r="B28" s="713" t="s">
        <v>258</v>
      </c>
      <c r="C28" s="630" t="s">
        <v>135</v>
      </c>
      <c r="D28" s="622"/>
      <c r="E28" s="637">
        <v>1384.42127</v>
      </c>
      <c r="F28" s="650">
        <v>2.0497727545026812E-2</v>
      </c>
      <c r="G28" s="636">
        <f>ROUND(E28*F28,0)</f>
        <v>28</v>
      </c>
      <c r="H28" s="632">
        <v>0</v>
      </c>
      <c r="I28" s="633">
        <f>ROUND(H28*F28/2,0)</f>
        <v>0</v>
      </c>
      <c r="J28" s="633">
        <f>I28+G28</f>
        <v>28</v>
      </c>
    </row>
    <row r="29" spans="1:10" ht="15" x14ac:dyDescent="0.25">
      <c r="A29" s="611">
        <f t="shared" si="0"/>
        <v>20</v>
      </c>
      <c r="B29" s="713" t="s">
        <v>28</v>
      </c>
      <c r="C29" s="638" t="s">
        <v>266</v>
      </c>
      <c r="D29" s="618"/>
      <c r="E29" s="624">
        <f>SUM(E28:E28)</f>
        <v>1384.42127</v>
      </c>
      <c r="F29" s="740"/>
      <c r="G29" s="626">
        <f>SUM(G28:G28)</f>
        <v>28</v>
      </c>
      <c r="H29" s="626">
        <f>SUM(H28:H28)</f>
        <v>0</v>
      </c>
      <c r="I29" s="626">
        <f>SUM(I28:I28)</f>
        <v>0</v>
      </c>
      <c r="J29" s="626">
        <f>SUM(J28:J28)</f>
        <v>28</v>
      </c>
    </row>
    <row r="30" spans="1:10" ht="15" x14ac:dyDescent="0.25">
      <c r="A30" s="611">
        <f t="shared" si="0"/>
        <v>21</v>
      </c>
      <c r="B30" s="713"/>
      <c r="C30" s="623"/>
      <c r="D30" s="618"/>
      <c r="E30" s="624"/>
      <c r="F30" s="650"/>
      <c r="G30" s="625"/>
      <c r="H30" s="626"/>
      <c r="I30" s="627"/>
      <c r="J30" s="627"/>
    </row>
    <row r="31" spans="1:10" x14ac:dyDescent="0.2">
      <c r="A31" s="611">
        <f t="shared" si="0"/>
        <v>22</v>
      </c>
      <c r="B31" s="713"/>
      <c r="C31" s="163" t="s">
        <v>120</v>
      </c>
      <c r="D31" s="639"/>
      <c r="E31" s="624" t="s">
        <v>28</v>
      </c>
      <c r="F31" s="741"/>
      <c r="G31" s="640"/>
      <c r="H31" s="626" t="s">
        <v>28</v>
      </c>
      <c r="I31" s="627"/>
      <c r="J31" s="627"/>
    </row>
    <row r="32" spans="1:10" x14ac:dyDescent="0.2">
      <c r="A32" s="611">
        <f t="shared" si="0"/>
        <v>23</v>
      </c>
      <c r="B32" s="713" t="s">
        <v>121</v>
      </c>
      <c r="C32" s="163" t="s">
        <v>122</v>
      </c>
      <c r="D32" s="639"/>
      <c r="E32" s="624">
        <v>1330.6423400000001</v>
      </c>
      <c r="F32" s="741">
        <v>1.5054481131270782E-2</v>
      </c>
      <c r="G32" s="625">
        <f t="shared" ref="G32:G43" si="1">ROUND(E32*F32,0)</f>
        <v>20</v>
      </c>
      <c r="H32" s="626">
        <v>99.09790215633241</v>
      </c>
      <c r="I32" s="627">
        <f t="shared" ref="I32:I43" si="2">ROUND(H32*F32/2,0)</f>
        <v>1</v>
      </c>
      <c r="J32" s="627">
        <f t="shared" ref="J32:J43" si="3">I32+G32</f>
        <v>21</v>
      </c>
    </row>
    <row r="33" spans="1:10" x14ac:dyDescent="0.2">
      <c r="A33" s="611">
        <f t="shared" si="0"/>
        <v>24</v>
      </c>
      <c r="B33" s="713" t="s">
        <v>123</v>
      </c>
      <c r="C33" s="163" t="s">
        <v>124</v>
      </c>
      <c r="D33" s="639"/>
      <c r="E33" s="624">
        <v>34533.345240000002</v>
      </c>
      <c r="F33" s="741">
        <v>2.4021283720617733E-2</v>
      </c>
      <c r="G33" s="625">
        <f t="shared" si="1"/>
        <v>830</v>
      </c>
      <c r="H33" s="626">
        <v>2491.6835747019641</v>
      </c>
      <c r="I33" s="627">
        <f t="shared" si="2"/>
        <v>30</v>
      </c>
      <c r="J33" s="627">
        <f t="shared" si="3"/>
        <v>860</v>
      </c>
    </row>
    <row r="34" spans="1:10" x14ac:dyDescent="0.2">
      <c r="A34" s="611">
        <f t="shared" si="0"/>
        <v>25</v>
      </c>
      <c r="B34" s="713" t="s">
        <v>125</v>
      </c>
      <c r="C34" s="163" t="s">
        <v>126</v>
      </c>
      <c r="D34" s="639"/>
      <c r="E34" s="624">
        <v>22281.820390000001</v>
      </c>
      <c r="F34" s="741">
        <v>2.3122360336017413E-2</v>
      </c>
      <c r="G34" s="625">
        <f t="shared" si="1"/>
        <v>515</v>
      </c>
      <c r="H34" s="626">
        <v>1659.4103392750844</v>
      </c>
      <c r="I34" s="627">
        <f t="shared" si="2"/>
        <v>19</v>
      </c>
      <c r="J34" s="627">
        <f t="shared" si="3"/>
        <v>534</v>
      </c>
    </row>
    <row r="35" spans="1:10" x14ac:dyDescent="0.2">
      <c r="A35" s="611">
        <f t="shared" si="0"/>
        <v>26</v>
      </c>
      <c r="B35" s="713" t="s">
        <v>127</v>
      </c>
      <c r="C35" s="163" t="s">
        <v>128</v>
      </c>
      <c r="D35" s="639"/>
      <c r="E35" s="624">
        <v>2978.7532900000001</v>
      </c>
      <c r="F35" s="741">
        <v>2.3383410178289724E-2</v>
      </c>
      <c r="G35" s="625">
        <f t="shared" si="1"/>
        <v>70</v>
      </c>
      <c r="H35" s="626">
        <v>221.83887676403958</v>
      </c>
      <c r="I35" s="627">
        <f t="shared" si="2"/>
        <v>3</v>
      </c>
      <c r="J35" s="627">
        <f t="shared" si="3"/>
        <v>73</v>
      </c>
    </row>
    <row r="36" spans="1:10" x14ac:dyDescent="0.2">
      <c r="A36" s="611">
        <f t="shared" si="0"/>
        <v>27</v>
      </c>
      <c r="B36" s="713" t="s">
        <v>129</v>
      </c>
      <c r="C36" s="163" t="s">
        <v>130</v>
      </c>
      <c r="D36" s="639"/>
      <c r="E36" s="624">
        <v>22879.822339999999</v>
      </c>
      <c r="F36" s="741">
        <v>2.4059986210539779E-2</v>
      </c>
      <c r="G36" s="625">
        <f t="shared" si="1"/>
        <v>550</v>
      </c>
      <c r="H36" s="626">
        <v>1687.7576767468818</v>
      </c>
      <c r="I36" s="627">
        <f t="shared" si="2"/>
        <v>20</v>
      </c>
      <c r="J36" s="627">
        <f t="shared" si="3"/>
        <v>570</v>
      </c>
    </row>
    <row r="37" spans="1:10" x14ac:dyDescent="0.2">
      <c r="A37" s="611">
        <f t="shared" si="0"/>
        <v>28</v>
      </c>
      <c r="B37" s="713" t="s">
        <v>131</v>
      </c>
      <c r="C37" s="163" t="s">
        <v>132</v>
      </c>
      <c r="D37" s="639"/>
      <c r="E37" s="624">
        <v>3097.2602299999999</v>
      </c>
      <c r="F37" s="741">
        <v>2.6068884757545863E-2</v>
      </c>
      <c r="G37" s="625">
        <f t="shared" si="1"/>
        <v>81</v>
      </c>
      <c r="H37" s="626">
        <v>230.6645309552074</v>
      </c>
      <c r="I37" s="627">
        <f t="shared" si="2"/>
        <v>3</v>
      </c>
      <c r="J37" s="627">
        <f t="shared" si="3"/>
        <v>84</v>
      </c>
    </row>
    <row r="38" spans="1:10" x14ac:dyDescent="0.2">
      <c r="A38" s="611">
        <f t="shared" si="0"/>
        <v>29</v>
      </c>
      <c r="B38" s="713" t="s">
        <v>133</v>
      </c>
      <c r="C38" s="163" t="s">
        <v>110</v>
      </c>
      <c r="D38" s="639"/>
      <c r="E38" s="624">
        <v>1983.7191000000003</v>
      </c>
      <c r="F38" s="741">
        <v>7.6510308339522465E-2</v>
      </c>
      <c r="G38" s="625">
        <f t="shared" si="1"/>
        <v>152</v>
      </c>
      <c r="H38" s="626">
        <v>541.72537333333332</v>
      </c>
      <c r="I38" s="627">
        <f t="shared" si="2"/>
        <v>21</v>
      </c>
      <c r="J38" s="627">
        <f t="shared" si="3"/>
        <v>173</v>
      </c>
    </row>
    <row r="39" spans="1:10" x14ac:dyDescent="0.2">
      <c r="A39" s="611">
        <f t="shared" si="0"/>
        <v>30</v>
      </c>
      <c r="B39" s="713" t="s">
        <v>401</v>
      </c>
      <c r="C39" s="163" t="s">
        <v>402</v>
      </c>
      <c r="D39" s="639"/>
      <c r="E39" s="624">
        <v>68.140350000000012</v>
      </c>
      <c r="F39" s="741">
        <v>7.310543605954474E-2</v>
      </c>
      <c r="G39" s="625">
        <f t="shared" si="1"/>
        <v>5</v>
      </c>
      <c r="H39" s="626">
        <v>0</v>
      </c>
      <c r="I39" s="627">
        <f t="shared" si="2"/>
        <v>0</v>
      </c>
      <c r="J39" s="627">
        <f t="shared" si="3"/>
        <v>5</v>
      </c>
    </row>
    <row r="40" spans="1:10" x14ac:dyDescent="0.2">
      <c r="A40" s="611">
        <f t="shared" si="0"/>
        <v>31</v>
      </c>
      <c r="B40" s="713" t="s">
        <v>134</v>
      </c>
      <c r="C40" s="163" t="s">
        <v>260</v>
      </c>
      <c r="D40" s="639"/>
      <c r="E40" s="624">
        <v>3131.07305</v>
      </c>
      <c r="F40" s="741">
        <v>2.5037467586391828E-2</v>
      </c>
      <c r="G40" s="625">
        <f t="shared" si="1"/>
        <v>78</v>
      </c>
      <c r="H40" s="626">
        <v>233.18269787900277</v>
      </c>
      <c r="I40" s="627">
        <f t="shared" si="2"/>
        <v>3</v>
      </c>
      <c r="J40" s="627">
        <f t="shared" si="3"/>
        <v>81</v>
      </c>
    </row>
    <row r="41" spans="1:10" x14ac:dyDescent="0.2">
      <c r="A41" s="611">
        <f t="shared" si="0"/>
        <v>32</v>
      </c>
      <c r="B41" s="713" t="s">
        <v>136</v>
      </c>
      <c r="C41" s="163" t="s">
        <v>137</v>
      </c>
      <c r="D41" s="639"/>
      <c r="E41" s="624">
        <v>9599.5235700000012</v>
      </c>
      <c r="F41" s="741">
        <v>3.4262712894198348E-2</v>
      </c>
      <c r="G41" s="625">
        <f>ROUND(E41*F41,0)</f>
        <v>329</v>
      </c>
      <c r="H41" s="626">
        <v>396.25333400000005</v>
      </c>
      <c r="I41" s="627">
        <f t="shared" si="2"/>
        <v>7</v>
      </c>
      <c r="J41" s="627">
        <f t="shared" si="3"/>
        <v>336</v>
      </c>
    </row>
    <row r="42" spans="1:10" x14ac:dyDescent="0.2">
      <c r="A42" s="611">
        <f t="shared" si="0"/>
        <v>33</v>
      </c>
      <c r="B42" s="713" t="s">
        <v>261</v>
      </c>
      <c r="C42" s="163" t="s">
        <v>262</v>
      </c>
      <c r="D42" s="639"/>
      <c r="E42" s="624">
        <v>284.73828000000003</v>
      </c>
      <c r="F42" s="741">
        <v>2.9904128099671037E-2</v>
      </c>
      <c r="G42" s="625">
        <f t="shared" si="1"/>
        <v>9</v>
      </c>
      <c r="H42" s="626">
        <v>0</v>
      </c>
      <c r="I42" s="627">
        <f t="shared" si="2"/>
        <v>0</v>
      </c>
      <c r="J42" s="627">
        <f t="shared" si="3"/>
        <v>9</v>
      </c>
    </row>
    <row r="43" spans="1:10" x14ac:dyDescent="0.2">
      <c r="A43" s="611">
        <f t="shared" si="0"/>
        <v>34</v>
      </c>
      <c r="B43" s="713" t="s">
        <v>138</v>
      </c>
      <c r="C43" s="641" t="s">
        <v>259</v>
      </c>
      <c r="D43" s="642"/>
      <c r="E43" s="637">
        <v>28057.79391</v>
      </c>
      <c r="F43" s="741">
        <v>2.4162866467973835E-2</v>
      </c>
      <c r="G43" s="625">
        <f t="shared" si="1"/>
        <v>678</v>
      </c>
      <c r="H43" s="632">
        <v>1977.5404348548188</v>
      </c>
      <c r="I43" s="633">
        <f t="shared" si="2"/>
        <v>24</v>
      </c>
      <c r="J43" s="633">
        <f t="shared" si="3"/>
        <v>702</v>
      </c>
    </row>
    <row r="44" spans="1:10" x14ac:dyDescent="0.2">
      <c r="A44" s="611">
        <f t="shared" si="0"/>
        <v>35</v>
      </c>
      <c r="B44" s="713"/>
      <c r="C44" s="163" t="s">
        <v>139</v>
      </c>
      <c r="D44" s="639"/>
      <c r="E44" s="624">
        <f>SUM(E32:E43)</f>
        <v>130226.63209000003</v>
      </c>
      <c r="F44" s="740"/>
      <c r="G44" s="635">
        <f>SUM(G32:G43)</f>
        <v>3317</v>
      </c>
      <c r="H44" s="626">
        <f>SUM(H32:H43)</f>
        <v>9539.1547406666668</v>
      </c>
      <c r="I44" s="626">
        <f>SUM(I32:I43)</f>
        <v>131</v>
      </c>
      <c r="J44" s="626">
        <f>SUM(J32:J43)</f>
        <v>3448</v>
      </c>
    </row>
    <row r="45" spans="1:10" x14ac:dyDescent="0.2">
      <c r="A45" s="611">
        <f t="shared" si="0"/>
        <v>36</v>
      </c>
      <c r="B45" s="713"/>
      <c r="D45" s="639"/>
      <c r="E45" s="624"/>
      <c r="F45" s="741"/>
      <c r="G45" s="640"/>
      <c r="H45" s="626"/>
      <c r="I45" s="627"/>
      <c r="J45" s="627"/>
    </row>
    <row r="46" spans="1:10" x14ac:dyDescent="0.2">
      <c r="A46" s="611">
        <f t="shared" si="0"/>
        <v>37</v>
      </c>
      <c r="B46" s="713"/>
      <c r="C46" s="163" t="s">
        <v>140</v>
      </c>
      <c r="D46" s="639"/>
      <c r="E46" s="624"/>
      <c r="F46" s="741"/>
      <c r="G46" s="640"/>
      <c r="H46" s="626"/>
      <c r="I46" s="627"/>
      <c r="J46" s="627"/>
    </row>
    <row r="47" spans="1:10" x14ac:dyDescent="0.2">
      <c r="A47" s="611">
        <f t="shared" si="0"/>
        <v>38</v>
      </c>
      <c r="B47" s="713" t="s">
        <v>141</v>
      </c>
      <c r="C47" s="163" t="s">
        <v>142</v>
      </c>
      <c r="D47" s="639"/>
      <c r="E47" s="624">
        <v>3634.4278800000002</v>
      </c>
      <c r="F47" s="741">
        <v>2.6335130866648463E-2</v>
      </c>
      <c r="G47" s="625">
        <f t="shared" ref="G47:G57" si="4">ROUND(E47*F47,0)</f>
        <v>96</v>
      </c>
      <c r="H47" s="626">
        <v>1124.0255849999999</v>
      </c>
      <c r="I47" s="627">
        <f t="shared" ref="I47:I57" si="5">ROUND(H47*F47/2,0)</f>
        <v>15</v>
      </c>
      <c r="J47" s="627">
        <f t="shared" ref="J47:J57" si="6">I47+G47</f>
        <v>111</v>
      </c>
    </row>
    <row r="48" spans="1:10" x14ac:dyDescent="0.2">
      <c r="A48" s="611">
        <f t="shared" si="0"/>
        <v>39</v>
      </c>
      <c r="B48" s="713" t="s">
        <v>143</v>
      </c>
      <c r="C48" s="163" t="s">
        <v>144</v>
      </c>
      <c r="D48" s="639"/>
      <c r="E48" s="624">
        <v>193.625</v>
      </c>
      <c r="F48" s="741">
        <v>5.6980193673337641E-2</v>
      </c>
      <c r="G48" s="625">
        <f t="shared" si="4"/>
        <v>11</v>
      </c>
      <c r="H48" s="626">
        <v>11.205916666666667</v>
      </c>
      <c r="I48" s="627">
        <v>0</v>
      </c>
      <c r="J48" s="627">
        <f t="shared" si="6"/>
        <v>11</v>
      </c>
    </row>
    <row r="49" spans="1:11" x14ac:dyDescent="0.2">
      <c r="A49" s="611">
        <f t="shared" si="0"/>
        <v>40</v>
      </c>
      <c r="B49" s="713" t="s">
        <v>528</v>
      </c>
      <c r="C49" s="163" t="s">
        <v>339</v>
      </c>
      <c r="D49" s="639"/>
      <c r="E49" s="624">
        <v>47.030540000000002</v>
      </c>
      <c r="F49" s="741">
        <v>0.18734018363386853</v>
      </c>
      <c r="G49" s="625">
        <f t="shared" si="4"/>
        <v>9</v>
      </c>
      <c r="H49" s="626">
        <v>0</v>
      </c>
      <c r="I49" s="627">
        <f t="shared" si="5"/>
        <v>0</v>
      </c>
      <c r="J49" s="627">
        <f t="shared" si="6"/>
        <v>9</v>
      </c>
    </row>
    <row r="50" spans="1:11" x14ac:dyDescent="0.2">
      <c r="A50" s="611">
        <f t="shared" si="0"/>
        <v>41</v>
      </c>
      <c r="B50" s="713" t="s">
        <v>263</v>
      </c>
      <c r="C50" s="163" t="s">
        <v>264</v>
      </c>
      <c r="D50" s="639"/>
      <c r="E50" s="624">
        <v>2953.7441699999999</v>
      </c>
      <c r="F50" s="741">
        <v>8.588025075983477E-2</v>
      </c>
      <c r="G50" s="625">
        <f>ROUND(E50*F50,0)</f>
        <v>254</v>
      </c>
      <c r="H50" s="626">
        <v>432.07108333333321</v>
      </c>
      <c r="I50" s="627">
        <f>ROUND(H50*F50/2,0)</f>
        <v>19</v>
      </c>
      <c r="J50" s="627">
        <f t="shared" si="6"/>
        <v>273</v>
      </c>
    </row>
    <row r="51" spans="1:11" x14ac:dyDescent="0.2">
      <c r="A51" s="611">
        <f t="shared" si="0"/>
        <v>42</v>
      </c>
      <c r="B51" s="713" t="s">
        <v>145</v>
      </c>
      <c r="C51" s="163" t="s">
        <v>146</v>
      </c>
      <c r="D51" s="639"/>
      <c r="E51" s="624">
        <v>843.41227000000003</v>
      </c>
      <c r="F51" s="741">
        <v>6.3284780051871908E-2</v>
      </c>
      <c r="G51" s="625">
        <f t="shared" si="4"/>
        <v>53</v>
      </c>
      <c r="H51" s="626">
        <v>86.356709999999993</v>
      </c>
      <c r="I51" s="627">
        <f t="shared" si="5"/>
        <v>3</v>
      </c>
      <c r="J51" s="627">
        <f t="shared" si="6"/>
        <v>56</v>
      </c>
    </row>
    <row r="52" spans="1:11" x14ac:dyDescent="0.2">
      <c r="A52" s="611">
        <f t="shared" si="0"/>
        <v>43</v>
      </c>
      <c r="B52" s="713" t="s">
        <v>148</v>
      </c>
      <c r="C52" s="163" t="s">
        <v>265</v>
      </c>
      <c r="D52" s="639"/>
      <c r="E52" s="624">
        <v>938.16001000000006</v>
      </c>
      <c r="F52" s="741">
        <v>5.5011308785161292E-2</v>
      </c>
      <c r="G52" s="625">
        <f t="shared" si="4"/>
        <v>52</v>
      </c>
      <c r="H52" s="626">
        <v>64.7</v>
      </c>
      <c r="I52" s="627">
        <f t="shared" si="5"/>
        <v>2</v>
      </c>
      <c r="J52" s="627">
        <f t="shared" si="6"/>
        <v>54</v>
      </c>
    </row>
    <row r="53" spans="1:11" x14ac:dyDescent="0.2">
      <c r="A53" s="611">
        <f t="shared" si="0"/>
        <v>44</v>
      </c>
      <c r="B53" s="713" t="s">
        <v>369</v>
      </c>
      <c r="C53" s="163" t="s">
        <v>370</v>
      </c>
      <c r="D53" s="639"/>
      <c r="E53" s="624">
        <v>474.68126000000001</v>
      </c>
      <c r="F53" s="741">
        <v>2.6613332070450812E-2</v>
      </c>
      <c r="G53" s="625">
        <f t="shared" si="4"/>
        <v>13</v>
      </c>
      <c r="H53" s="626">
        <v>0</v>
      </c>
      <c r="I53" s="627">
        <f t="shared" si="5"/>
        <v>0</v>
      </c>
      <c r="J53" s="627">
        <f t="shared" si="6"/>
        <v>13</v>
      </c>
    </row>
    <row r="54" spans="1:11" x14ac:dyDescent="0.2">
      <c r="A54" s="611">
        <f t="shared" si="0"/>
        <v>45</v>
      </c>
      <c r="B54" s="713" t="s">
        <v>272</v>
      </c>
      <c r="C54" s="610" t="s">
        <v>271</v>
      </c>
      <c r="D54" s="639"/>
      <c r="E54" s="624">
        <v>1.4930000000000001</v>
      </c>
      <c r="F54" s="741">
        <v>0</v>
      </c>
      <c r="G54" s="625">
        <f t="shared" si="4"/>
        <v>0</v>
      </c>
      <c r="H54" s="626">
        <v>0</v>
      </c>
      <c r="I54" s="627">
        <f t="shared" si="5"/>
        <v>0</v>
      </c>
      <c r="J54" s="627">
        <f t="shared" si="6"/>
        <v>0</v>
      </c>
    </row>
    <row r="55" spans="1:11" x14ac:dyDescent="0.2">
      <c r="A55" s="611">
        <f t="shared" si="0"/>
        <v>46</v>
      </c>
      <c r="B55" s="713" t="s">
        <v>613</v>
      </c>
      <c r="C55" s="610" t="s">
        <v>731</v>
      </c>
      <c r="D55" s="639"/>
      <c r="E55" s="624">
        <v>1251</v>
      </c>
      <c r="F55" s="741">
        <v>0.04</v>
      </c>
      <c r="G55" s="625">
        <v>0</v>
      </c>
      <c r="H55" s="626">
        <v>650</v>
      </c>
      <c r="I55" s="627">
        <f>+H55*F55</f>
        <v>26</v>
      </c>
      <c r="J55" s="627">
        <f t="shared" si="6"/>
        <v>26</v>
      </c>
    </row>
    <row r="56" spans="1:11" x14ac:dyDescent="0.2">
      <c r="A56" s="611">
        <f t="shared" si="0"/>
        <v>47</v>
      </c>
      <c r="B56" s="713" t="s">
        <v>614</v>
      </c>
      <c r="C56" s="610" t="s">
        <v>616</v>
      </c>
      <c r="D56" s="639"/>
      <c r="E56" s="624">
        <v>0</v>
      </c>
      <c r="F56" s="741">
        <v>0.2</v>
      </c>
      <c r="G56" s="625">
        <v>0</v>
      </c>
      <c r="H56" s="626">
        <v>389</v>
      </c>
      <c r="I56" s="627">
        <f>+H56*F56*0</f>
        <v>0</v>
      </c>
      <c r="J56" s="627">
        <f t="shared" si="6"/>
        <v>0</v>
      </c>
    </row>
    <row r="57" spans="1:11" x14ac:dyDescent="0.2">
      <c r="A57" s="611">
        <f t="shared" si="0"/>
        <v>48</v>
      </c>
      <c r="B57" s="713" t="s">
        <v>615</v>
      </c>
      <c r="C57" s="641" t="s">
        <v>504</v>
      </c>
      <c r="D57" s="642"/>
      <c r="E57" s="637">
        <v>2203.6600000000003</v>
      </c>
      <c r="F57" s="742">
        <v>0.1</v>
      </c>
      <c r="G57" s="636">
        <f t="shared" si="4"/>
        <v>220</v>
      </c>
      <c r="H57" s="632">
        <v>705</v>
      </c>
      <c r="I57" s="633">
        <f t="shared" si="5"/>
        <v>35</v>
      </c>
      <c r="J57" s="633">
        <f t="shared" si="6"/>
        <v>255</v>
      </c>
    </row>
    <row r="58" spans="1:11" x14ac:dyDescent="0.2">
      <c r="A58" s="611">
        <f t="shared" si="0"/>
        <v>49</v>
      </c>
      <c r="B58" s="643"/>
      <c r="C58" s="629" t="s">
        <v>149</v>
      </c>
      <c r="D58" s="610"/>
      <c r="E58" s="644">
        <f>SUM(E47:E57)</f>
        <v>12541.234130000001</v>
      </c>
      <c r="F58" s="650"/>
      <c r="G58" s="625">
        <f>SUM(G47:G57)</f>
        <v>708</v>
      </c>
      <c r="H58" s="626">
        <f>SUM(H47:H57)</f>
        <v>3462.3592950000002</v>
      </c>
      <c r="I58" s="645">
        <f>SUM(I47:I57)</f>
        <v>100</v>
      </c>
      <c r="J58" s="645">
        <f>SUM(J47:J57)</f>
        <v>808</v>
      </c>
    </row>
    <row r="59" spans="1:11" ht="15" x14ac:dyDescent="0.25">
      <c r="A59" s="611">
        <f t="shared" si="0"/>
        <v>50</v>
      </c>
      <c r="B59" s="643"/>
      <c r="C59" s="629"/>
      <c r="D59" s="617"/>
      <c r="E59" s="624"/>
      <c r="F59" s="650"/>
      <c r="G59" s="625"/>
      <c r="H59" s="626"/>
      <c r="I59" s="645"/>
      <c r="J59" s="645"/>
      <c r="K59" s="610"/>
    </row>
    <row r="60" spans="1:11" ht="15" thickBot="1" x14ac:dyDescent="0.25">
      <c r="A60" s="611">
        <f t="shared" si="0"/>
        <v>51</v>
      </c>
      <c r="B60" s="643"/>
      <c r="C60" s="610" t="s">
        <v>150</v>
      </c>
      <c r="E60" s="624">
        <f>E58+E44+E29+E25+E17</f>
        <v>165208.31470000002</v>
      </c>
      <c r="F60" s="650" t="s">
        <v>28</v>
      </c>
      <c r="G60" s="646">
        <f>G44+G58+G25+G17+G29</f>
        <v>4689</v>
      </c>
      <c r="H60" s="646">
        <f>H44+H58+H25+H17+H29</f>
        <v>18351.778235666668</v>
      </c>
      <c r="I60" s="646">
        <f>I44+I58+I25+I17+I29</f>
        <v>308</v>
      </c>
      <c r="J60" s="646">
        <f>J44+J58+J25+J17+J29</f>
        <v>4997</v>
      </c>
      <c r="K60" s="610"/>
    </row>
    <row r="61" spans="1:11" x14ac:dyDescent="0.2">
      <c r="A61" s="611">
        <f t="shared" si="0"/>
        <v>52</v>
      </c>
      <c r="B61" s="643"/>
      <c r="C61" s="610" t="s">
        <v>433</v>
      </c>
      <c r="E61" s="637">
        <v>379.59066999999999</v>
      </c>
      <c r="F61" s="650"/>
      <c r="G61" s="626"/>
      <c r="H61" s="647"/>
      <c r="I61" s="626"/>
      <c r="J61" s="626"/>
    </row>
    <row r="62" spans="1:11" x14ac:dyDescent="0.2">
      <c r="A62" s="611">
        <f t="shared" si="0"/>
        <v>53</v>
      </c>
      <c r="B62" s="613"/>
      <c r="C62" s="610" t="s">
        <v>151</v>
      </c>
      <c r="D62" s="610" t="s">
        <v>610</v>
      </c>
      <c r="E62" s="624">
        <f>+E61+E60</f>
        <v>165587.90537000002</v>
      </c>
      <c r="F62" s="650"/>
      <c r="G62" s="626"/>
      <c r="H62" s="626"/>
      <c r="I62" s="626"/>
      <c r="J62" s="626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9" type="noConversion"/>
  <printOptions horizontalCentered="1"/>
  <pageMargins left="0.5" right="0.5" top="0.75" bottom="0.5" header="0.5" footer="0.5"/>
  <pageSetup scale="59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62"/>
  <sheetViews>
    <sheetView view="pageBreakPreview" topLeftCell="A7" zoomScale="75" zoomScaleNormal="70" zoomScaleSheetLayoutView="75" workbookViewId="0">
      <selection activeCell="E56" sqref="E56"/>
    </sheetView>
  </sheetViews>
  <sheetFormatPr defaultRowHeight="14.25" x14ac:dyDescent="0.2"/>
  <cols>
    <col min="1" max="1" width="6" style="163" bestFit="1" customWidth="1"/>
    <col min="2" max="2" width="9" style="163" customWidth="1"/>
    <col min="3" max="3" width="44.42578125" style="163" bestFit="1" customWidth="1"/>
    <col min="4" max="4" width="10.85546875" style="163" customWidth="1"/>
    <col min="5" max="5" width="15.7109375" style="610" customWidth="1"/>
    <col min="6" max="10" width="15.7109375" style="163" customWidth="1"/>
    <col min="11" max="11" width="2.85546875" style="163" customWidth="1"/>
    <col min="12" max="16384" width="9.140625" style="163"/>
  </cols>
  <sheetData>
    <row r="1" spans="1:13" ht="15.75" x14ac:dyDescent="0.25">
      <c r="A1" s="370" t="s">
        <v>350</v>
      </c>
      <c r="B1" s="370"/>
      <c r="C1" s="370"/>
      <c r="D1" s="370"/>
      <c r="E1" s="370"/>
      <c r="F1" s="370"/>
      <c r="G1" s="370"/>
      <c r="H1" s="370"/>
      <c r="I1" s="351"/>
      <c r="J1" s="351"/>
      <c r="K1" s="80" t="s">
        <v>838</v>
      </c>
    </row>
    <row r="2" spans="1:13" ht="12.75" customHeight="1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51"/>
      <c r="J2" s="351"/>
      <c r="K2" s="419"/>
    </row>
    <row r="3" spans="1:13" ht="12.75" customHeight="1" x14ac:dyDescent="0.25">
      <c r="A3" s="370" t="s">
        <v>500</v>
      </c>
      <c r="B3" s="370"/>
      <c r="C3" s="370"/>
      <c r="D3" s="370"/>
      <c r="E3" s="370"/>
      <c r="F3" s="370"/>
      <c r="G3" s="370"/>
      <c r="H3" s="370"/>
      <c r="I3" s="351"/>
      <c r="J3" s="351"/>
      <c r="K3" s="419"/>
    </row>
    <row r="4" spans="1:13" ht="15.75" x14ac:dyDescent="0.25">
      <c r="A4" s="370" t="s">
        <v>33</v>
      </c>
      <c r="B4" s="370"/>
      <c r="C4" s="351"/>
      <c r="D4" s="351"/>
      <c r="E4" s="614"/>
      <c r="F4" s="351"/>
      <c r="G4" s="351"/>
      <c r="H4" s="351"/>
      <c r="I4" s="370"/>
      <c r="J4" s="351"/>
      <c r="K4" s="419"/>
    </row>
    <row r="5" spans="1:13" x14ac:dyDescent="0.2">
      <c r="F5" s="611"/>
      <c r="J5" s="611"/>
    </row>
    <row r="6" spans="1:13" ht="15" x14ac:dyDescent="0.25">
      <c r="A6" s="612"/>
      <c r="B6" s="612"/>
      <c r="C6" s="615"/>
      <c r="D6" s="616"/>
      <c r="E6" s="617">
        <v>2014</v>
      </c>
      <c r="F6" s="608"/>
      <c r="G6" s="608" t="s">
        <v>30</v>
      </c>
      <c r="H6" s="608" t="s">
        <v>113</v>
      </c>
      <c r="I6" s="608" t="s">
        <v>324</v>
      </c>
      <c r="J6" s="608">
        <v>2014</v>
      </c>
    </row>
    <row r="7" spans="1:13" ht="15" x14ac:dyDescent="0.25">
      <c r="A7" s="608" t="s">
        <v>34</v>
      </c>
      <c r="B7" s="608" t="s">
        <v>28</v>
      </c>
      <c r="C7" s="608"/>
      <c r="D7" s="618" t="s">
        <v>101</v>
      </c>
      <c r="E7" s="619" t="s">
        <v>321</v>
      </c>
      <c r="F7" s="620" t="s">
        <v>30</v>
      </c>
      <c r="G7" s="608" t="s">
        <v>323</v>
      </c>
      <c r="H7" s="608" t="s">
        <v>328</v>
      </c>
      <c r="I7" s="608" t="s">
        <v>325</v>
      </c>
      <c r="J7" s="608" t="s">
        <v>326</v>
      </c>
    </row>
    <row r="8" spans="1:13" ht="15" x14ac:dyDescent="0.25">
      <c r="A8" s="621" t="s">
        <v>36</v>
      </c>
      <c r="B8" s="621" t="s">
        <v>115</v>
      </c>
      <c r="C8" s="621" t="s">
        <v>178</v>
      </c>
      <c r="D8" s="622" t="s">
        <v>37</v>
      </c>
      <c r="E8" s="621" t="s">
        <v>322</v>
      </c>
      <c r="F8" s="621" t="s">
        <v>39</v>
      </c>
      <c r="G8" s="621" t="s">
        <v>41</v>
      </c>
      <c r="H8" s="621" t="s">
        <v>164</v>
      </c>
      <c r="I8" s="621" t="s">
        <v>164</v>
      </c>
      <c r="J8" s="621" t="s">
        <v>327</v>
      </c>
    </row>
    <row r="9" spans="1:13" ht="15" x14ac:dyDescent="0.25">
      <c r="A9" s="623"/>
      <c r="B9" s="623"/>
      <c r="C9" s="623"/>
      <c r="D9" s="618"/>
      <c r="E9" s="623"/>
      <c r="F9" s="623"/>
      <c r="G9" s="623"/>
      <c r="H9" s="610"/>
    </row>
    <row r="10" spans="1:13" ht="15" x14ac:dyDescent="0.25">
      <c r="A10" s="611">
        <v>1</v>
      </c>
      <c r="B10" s="611"/>
      <c r="C10" s="163" t="s">
        <v>362</v>
      </c>
      <c r="D10" s="618"/>
      <c r="E10" s="623"/>
      <c r="F10" s="623"/>
      <c r="G10" s="610"/>
      <c r="H10" s="610"/>
    </row>
    <row r="11" spans="1:13" ht="15" x14ac:dyDescent="0.25">
      <c r="A11" s="611">
        <f>A10+1</f>
        <v>2</v>
      </c>
      <c r="B11" s="611"/>
      <c r="D11" s="618"/>
      <c r="E11" s="624"/>
      <c r="F11" s="650"/>
      <c r="G11" s="625"/>
      <c r="H11" s="626"/>
      <c r="I11" s="627"/>
      <c r="J11" s="627"/>
      <c r="M11" s="628"/>
    </row>
    <row r="12" spans="1:13" ht="15" x14ac:dyDescent="0.25">
      <c r="A12" s="623">
        <v>3</v>
      </c>
      <c r="B12" s="611" t="s">
        <v>403</v>
      </c>
      <c r="C12" s="629" t="s">
        <v>363</v>
      </c>
      <c r="D12" s="618"/>
      <c r="E12" s="624">
        <v>372.08704727031466</v>
      </c>
      <c r="F12" s="650">
        <v>2.4165588019922919E-2</v>
      </c>
      <c r="G12" s="625">
        <f>ROUND(E12*F12,0)</f>
        <v>9</v>
      </c>
      <c r="H12" s="626">
        <v>157.12665738754924</v>
      </c>
      <c r="I12" s="627">
        <f>ROUND(H12*F12/2,0)</f>
        <v>2</v>
      </c>
      <c r="J12" s="627">
        <f>I12+G12</f>
        <v>11</v>
      </c>
      <c r="M12" s="628"/>
    </row>
    <row r="13" spans="1:13" ht="15" x14ac:dyDescent="0.25">
      <c r="A13" s="623">
        <f t="shared" ref="A13:A62" si="0">A12+1</f>
        <v>4</v>
      </c>
      <c r="B13" s="611" t="s">
        <v>404</v>
      </c>
      <c r="C13" s="629" t="s">
        <v>364</v>
      </c>
      <c r="D13" s="618"/>
      <c r="E13" s="624">
        <v>3365.2224909518545</v>
      </c>
      <c r="F13" s="650">
        <v>2.3038130005387833E-2</v>
      </c>
      <c r="G13" s="625">
        <f>ROUND(E13*F13,0)</f>
        <v>78</v>
      </c>
      <c r="H13" s="626">
        <v>1421.0818819084766</v>
      </c>
      <c r="I13" s="627">
        <f>ROUND(H13*F13/2,0)</f>
        <v>16</v>
      </c>
      <c r="J13" s="627">
        <f>I13+G13</f>
        <v>94</v>
      </c>
    </row>
    <row r="14" spans="1:13" ht="15" x14ac:dyDescent="0.25">
      <c r="A14" s="623">
        <f t="shared" si="0"/>
        <v>5</v>
      </c>
      <c r="B14" s="611" t="s">
        <v>405</v>
      </c>
      <c r="C14" s="629" t="s">
        <v>365</v>
      </c>
      <c r="D14" s="618"/>
      <c r="E14" s="624">
        <v>3791.828357197388</v>
      </c>
      <c r="F14" s="650">
        <v>2.4890256722094533E-2</v>
      </c>
      <c r="G14" s="625">
        <f>ROUND(E14*F14,0)</f>
        <v>94</v>
      </c>
      <c r="H14" s="626">
        <v>1601.231000983787</v>
      </c>
      <c r="I14" s="627">
        <f>ROUND(H14*F14/2,0)</f>
        <v>20</v>
      </c>
      <c r="J14" s="627">
        <f>I14+G14</f>
        <v>114</v>
      </c>
    </row>
    <row r="15" spans="1:13" ht="15" x14ac:dyDescent="0.25">
      <c r="A15" s="623">
        <f t="shared" si="0"/>
        <v>6</v>
      </c>
      <c r="B15" s="611" t="s">
        <v>406</v>
      </c>
      <c r="C15" s="629" t="s">
        <v>366</v>
      </c>
      <c r="D15" s="618"/>
      <c r="E15" s="624">
        <v>223.71909539107901</v>
      </c>
      <c r="F15" s="650">
        <v>2.516065992877109E-2</v>
      </c>
      <c r="G15" s="625">
        <f>ROUND(E15*F15,0)</f>
        <v>6</v>
      </c>
      <c r="H15" s="626">
        <v>94.473145223539703</v>
      </c>
      <c r="I15" s="627">
        <f>ROUND(H15*F15/2,0)</f>
        <v>1</v>
      </c>
      <c r="J15" s="627">
        <f>I15+G15</f>
        <v>7</v>
      </c>
    </row>
    <row r="16" spans="1:13" ht="15" x14ac:dyDescent="0.25">
      <c r="A16" s="623">
        <f t="shared" si="0"/>
        <v>7</v>
      </c>
      <c r="B16" s="611" t="s">
        <v>407</v>
      </c>
      <c r="C16" s="630" t="s">
        <v>367</v>
      </c>
      <c r="D16" s="622"/>
      <c r="E16" s="631">
        <v>97.297669189363148</v>
      </c>
      <c r="F16" s="650">
        <v>3.9245847955132626E-2</v>
      </c>
      <c r="G16" s="625">
        <f>ROUND(E16*F16,0)</f>
        <v>4</v>
      </c>
      <c r="H16" s="632">
        <v>41.087314496646982</v>
      </c>
      <c r="I16" s="633">
        <f>ROUND(H16*F16/2,0)</f>
        <v>1</v>
      </c>
      <c r="J16" s="633">
        <f>I16+G16</f>
        <v>5</v>
      </c>
    </row>
    <row r="17" spans="1:10" ht="15" x14ac:dyDescent="0.25">
      <c r="A17" s="623">
        <f t="shared" si="0"/>
        <v>8</v>
      </c>
      <c r="B17" s="634"/>
      <c r="C17" s="163" t="s">
        <v>389</v>
      </c>
      <c r="D17" s="618"/>
      <c r="E17" s="624">
        <f>SUM(E11:E16)</f>
        <v>7850.1546599999992</v>
      </c>
      <c r="F17" s="740"/>
      <c r="G17" s="635">
        <f>SUM(G11:G16)</f>
        <v>191</v>
      </c>
      <c r="H17" s="626">
        <f>SUM(H11:H16)</f>
        <v>3314.9999999999995</v>
      </c>
      <c r="I17" s="626">
        <f>SUM(I11:I16)</f>
        <v>40</v>
      </c>
      <c r="J17" s="626">
        <f>SUM(J11:J16)</f>
        <v>231</v>
      </c>
    </row>
    <row r="18" spans="1:10" ht="15" x14ac:dyDescent="0.25">
      <c r="A18" s="623">
        <f t="shared" si="0"/>
        <v>9</v>
      </c>
      <c r="B18" s="634"/>
      <c r="C18" s="629"/>
      <c r="D18" s="618"/>
      <c r="E18" s="624"/>
      <c r="F18" s="650"/>
      <c r="G18" s="625"/>
      <c r="H18" s="626"/>
      <c r="I18" s="627"/>
      <c r="J18" s="627"/>
    </row>
    <row r="19" spans="1:10" ht="15" x14ac:dyDescent="0.25">
      <c r="A19" s="623">
        <f t="shared" si="0"/>
        <v>10</v>
      </c>
      <c r="B19" s="634"/>
      <c r="C19" s="163" t="s">
        <v>368</v>
      </c>
      <c r="D19" s="618"/>
      <c r="E19" s="624"/>
      <c r="F19" s="650"/>
      <c r="G19" s="625"/>
      <c r="H19" s="626"/>
      <c r="I19" s="627"/>
      <c r="J19" s="627"/>
    </row>
    <row r="20" spans="1:10" ht="15" x14ac:dyDescent="0.25">
      <c r="A20" s="623">
        <f t="shared" si="0"/>
        <v>11</v>
      </c>
      <c r="B20" s="611" t="s">
        <v>250</v>
      </c>
      <c r="C20" s="629" t="s">
        <v>806</v>
      </c>
      <c r="D20" s="618"/>
      <c r="E20" s="624">
        <v>2676.6138878468114</v>
      </c>
      <c r="F20" s="650">
        <v>2.7836281407614179E-2</v>
      </c>
      <c r="G20" s="625">
        <f>ROUND(E20*F20,0)</f>
        <v>75</v>
      </c>
      <c r="H20" s="626">
        <v>595.51190987938583</v>
      </c>
      <c r="I20" s="627">
        <f>ROUND(H20*F20/2,0)</f>
        <v>8</v>
      </c>
      <c r="J20" s="627">
        <f>I20+G20</f>
        <v>83</v>
      </c>
    </row>
    <row r="21" spans="1:10" ht="15" x14ac:dyDescent="0.25">
      <c r="A21" s="623">
        <f t="shared" si="0"/>
        <v>12</v>
      </c>
      <c r="B21" s="611" t="s">
        <v>251</v>
      </c>
      <c r="C21" s="629" t="s">
        <v>802</v>
      </c>
      <c r="D21" s="618"/>
      <c r="E21" s="624">
        <v>3752.4926426571014</v>
      </c>
      <c r="F21" s="650">
        <v>2.9795705590167858E-2</v>
      </c>
      <c r="G21" s="625">
        <f>ROUND(E21*F21,0)</f>
        <v>112</v>
      </c>
      <c r="H21" s="626">
        <v>834.88099295290249</v>
      </c>
      <c r="I21" s="627">
        <f>ROUND(H21*F21/2,0)</f>
        <v>12</v>
      </c>
      <c r="J21" s="627">
        <f>I21+G21</f>
        <v>124</v>
      </c>
    </row>
    <row r="22" spans="1:10" ht="15" x14ac:dyDescent="0.25">
      <c r="A22" s="623">
        <f t="shared" si="0"/>
        <v>13</v>
      </c>
      <c r="B22" s="611" t="s">
        <v>252</v>
      </c>
      <c r="C22" s="629" t="s">
        <v>253</v>
      </c>
      <c r="D22" s="618"/>
      <c r="E22" s="624">
        <v>8694.6551344900108</v>
      </c>
      <c r="F22" s="650">
        <v>3.7647239938613783E-2</v>
      </c>
      <c r="G22" s="625">
        <f>ROUND(E22*F22,0)</f>
        <v>327</v>
      </c>
      <c r="H22" s="626">
        <v>1934.4481131150321</v>
      </c>
      <c r="I22" s="627">
        <f>ROUND(H22*F22/2,0)</f>
        <v>36</v>
      </c>
      <c r="J22" s="627">
        <f>I22+G22</f>
        <v>363</v>
      </c>
    </row>
    <row r="23" spans="1:10" ht="15" x14ac:dyDescent="0.25">
      <c r="A23" s="623">
        <f t="shared" si="0"/>
        <v>14</v>
      </c>
      <c r="B23" s="611" t="s">
        <v>254</v>
      </c>
      <c r="C23" s="629" t="s">
        <v>257</v>
      </c>
      <c r="D23" s="618"/>
      <c r="E23" s="624">
        <v>2483.2681757180667</v>
      </c>
      <c r="F23" s="650">
        <v>2.9995576997910663E-2</v>
      </c>
      <c r="G23" s="625">
        <f>ROUND(E23*F23,0)</f>
        <v>74</v>
      </c>
      <c r="H23" s="626">
        <v>552.49499405915071</v>
      </c>
      <c r="I23" s="627">
        <f>ROUND(H23*F23/2,0)</f>
        <v>8</v>
      </c>
      <c r="J23" s="627">
        <f>I23+G23</f>
        <v>82</v>
      </c>
    </row>
    <row r="24" spans="1:10" ht="15" x14ac:dyDescent="0.25">
      <c r="A24" s="623">
        <f t="shared" si="0"/>
        <v>15</v>
      </c>
      <c r="B24" s="611" t="s">
        <v>255</v>
      </c>
      <c r="C24" s="630" t="s">
        <v>256</v>
      </c>
      <c r="D24" s="622"/>
      <c r="E24" s="631">
        <v>949.10690928800977</v>
      </c>
      <c r="F24" s="650">
        <v>2.7622183389106637E-2</v>
      </c>
      <c r="G24" s="636">
        <f>ROUND(E24*F24,0)</f>
        <v>26</v>
      </c>
      <c r="H24" s="626">
        <v>211.16398999352859</v>
      </c>
      <c r="I24" s="627">
        <f>ROUND(H24*F24/2,0)</f>
        <v>3</v>
      </c>
      <c r="J24" s="627">
        <f>I24+G24</f>
        <v>29</v>
      </c>
    </row>
    <row r="25" spans="1:10" ht="15" x14ac:dyDescent="0.25">
      <c r="A25" s="623">
        <f t="shared" si="0"/>
        <v>16</v>
      </c>
      <c r="B25" s="634"/>
      <c r="C25" s="629" t="s">
        <v>390</v>
      </c>
      <c r="D25" s="618"/>
      <c r="E25" s="624">
        <f>SUM(E20:E24)</f>
        <v>18556.136749999998</v>
      </c>
      <c r="F25" s="740"/>
      <c r="G25" s="626">
        <f>SUM(G20:G24)</f>
        <v>614</v>
      </c>
      <c r="H25" s="635">
        <f>SUM(H20:H24)</f>
        <v>4128.5</v>
      </c>
      <c r="I25" s="635">
        <f>SUM(I20:I24)</f>
        <v>67</v>
      </c>
      <c r="J25" s="635">
        <f>SUM(J20:J24)</f>
        <v>681</v>
      </c>
    </row>
    <row r="26" spans="1:10" ht="15" x14ac:dyDescent="0.25">
      <c r="A26" s="623">
        <f t="shared" si="0"/>
        <v>17</v>
      </c>
      <c r="B26" s="634"/>
      <c r="C26" s="623"/>
      <c r="D26" s="618"/>
      <c r="E26" s="624"/>
      <c r="F26" s="650"/>
      <c r="G26" s="625"/>
      <c r="H26" s="626"/>
      <c r="I26" s="627"/>
      <c r="J26" s="627"/>
    </row>
    <row r="27" spans="1:10" ht="15" x14ac:dyDescent="0.25">
      <c r="A27" s="623">
        <f t="shared" si="0"/>
        <v>18</v>
      </c>
      <c r="B27" s="634"/>
      <c r="C27" s="163" t="s">
        <v>371</v>
      </c>
      <c r="D27" s="618"/>
      <c r="E27" s="624"/>
      <c r="F27" s="650"/>
      <c r="G27" s="625"/>
      <c r="H27" s="626"/>
      <c r="I27" s="627"/>
      <c r="J27" s="627"/>
    </row>
    <row r="28" spans="1:10" ht="15" x14ac:dyDescent="0.25">
      <c r="A28" s="623">
        <f t="shared" si="0"/>
        <v>19</v>
      </c>
      <c r="B28" s="611" t="s">
        <v>258</v>
      </c>
      <c r="C28" s="630" t="s">
        <v>135</v>
      </c>
      <c r="D28" s="622"/>
      <c r="E28" s="637">
        <v>1384.42127</v>
      </c>
      <c r="F28" s="650">
        <v>2.0432025000598264E-2</v>
      </c>
      <c r="G28" s="636">
        <f>ROUND(E28*F28,0)</f>
        <v>28</v>
      </c>
      <c r="H28" s="632">
        <v>0</v>
      </c>
      <c r="I28" s="633">
        <f>ROUND(H28*F28/2,0)</f>
        <v>0</v>
      </c>
      <c r="J28" s="633">
        <f>I28+G28</f>
        <v>28</v>
      </c>
    </row>
    <row r="29" spans="1:10" ht="15" x14ac:dyDescent="0.25">
      <c r="A29" s="623">
        <f t="shared" si="0"/>
        <v>20</v>
      </c>
      <c r="B29" s="611" t="s">
        <v>28</v>
      </c>
      <c r="C29" s="638" t="s">
        <v>266</v>
      </c>
      <c r="D29" s="618"/>
      <c r="E29" s="624">
        <f>SUM(E28:E28)</f>
        <v>1384.42127</v>
      </c>
      <c r="F29" s="740"/>
      <c r="G29" s="626">
        <f>SUM(G28:G28)</f>
        <v>28</v>
      </c>
      <c r="H29" s="626">
        <f>SUM(H28:H28)</f>
        <v>0</v>
      </c>
      <c r="I29" s="626">
        <f>SUM(I28:I28)</f>
        <v>0</v>
      </c>
      <c r="J29" s="626">
        <f>SUM(J28:J28)</f>
        <v>28</v>
      </c>
    </row>
    <row r="30" spans="1:10" ht="15" x14ac:dyDescent="0.25">
      <c r="A30" s="623">
        <f t="shared" si="0"/>
        <v>21</v>
      </c>
      <c r="B30" s="611" t="s">
        <v>28</v>
      </c>
      <c r="C30" s="623"/>
      <c r="D30" s="618"/>
      <c r="E30" s="624"/>
      <c r="F30" s="650"/>
      <c r="G30" s="625"/>
      <c r="H30" s="626"/>
      <c r="I30" s="627"/>
      <c r="J30" s="627"/>
    </row>
    <row r="31" spans="1:10" x14ac:dyDescent="0.2">
      <c r="A31" s="623">
        <f t="shared" si="0"/>
        <v>22</v>
      </c>
      <c r="B31" s="611"/>
      <c r="C31" s="163" t="s">
        <v>120</v>
      </c>
      <c r="D31" s="639"/>
      <c r="E31" s="624" t="s">
        <v>28</v>
      </c>
      <c r="F31" s="741"/>
      <c r="G31" s="640"/>
      <c r="H31" s="626" t="s">
        <v>28</v>
      </c>
      <c r="I31" s="627"/>
      <c r="J31" s="627"/>
    </row>
    <row r="32" spans="1:10" x14ac:dyDescent="0.2">
      <c r="A32" s="623">
        <f t="shared" si="0"/>
        <v>23</v>
      </c>
      <c r="B32" s="611" t="s">
        <v>121</v>
      </c>
      <c r="C32" s="163" t="s">
        <v>122</v>
      </c>
      <c r="D32" s="639"/>
      <c r="E32" s="624">
        <v>1429.7402421563324</v>
      </c>
      <c r="F32" s="741">
        <v>1.4999999999999999E-2</v>
      </c>
      <c r="G32" s="625">
        <f t="shared" ref="G32:G43" si="1">ROUND(E32*F32,0)</f>
        <v>21</v>
      </c>
      <c r="H32" s="626">
        <v>108.13736796022165</v>
      </c>
      <c r="I32" s="627">
        <f t="shared" ref="I32:I43" si="2">ROUND(H32*F32/2,0)</f>
        <v>1</v>
      </c>
      <c r="J32" s="627">
        <f t="shared" ref="J32:J43" si="3">I32+G32</f>
        <v>22</v>
      </c>
    </row>
    <row r="33" spans="1:10" x14ac:dyDescent="0.2">
      <c r="A33" s="623">
        <f t="shared" si="0"/>
        <v>24</v>
      </c>
      <c r="B33" s="611" t="s">
        <v>123</v>
      </c>
      <c r="C33" s="163" t="s">
        <v>124</v>
      </c>
      <c r="D33" s="639"/>
      <c r="E33" s="624">
        <v>37025.028814701967</v>
      </c>
      <c r="F33" s="741">
        <v>2.3996894937103903E-2</v>
      </c>
      <c r="G33" s="625">
        <f t="shared" si="1"/>
        <v>888</v>
      </c>
      <c r="H33" s="626">
        <v>2726.2792913773264</v>
      </c>
      <c r="I33" s="627">
        <f t="shared" si="2"/>
        <v>33</v>
      </c>
      <c r="J33" s="627">
        <f t="shared" si="3"/>
        <v>921</v>
      </c>
    </row>
    <row r="34" spans="1:10" x14ac:dyDescent="0.2">
      <c r="A34" s="623">
        <f t="shared" si="0"/>
        <v>25</v>
      </c>
      <c r="B34" s="611" t="s">
        <v>125</v>
      </c>
      <c r="C34" s="163" t="s">
        <v>126</v>
      </c>
      <c r="D34" s="639"/>
      <c r="E34" s="624">
        <v>23941.230729275085</v>
      </c>
      <c r="F34" s="741">
        <v>2.3109238830647826E-2</v>
      </c>
      <c r="G34" s="625">
        <f t="shared" si="1"/>
        <v>553</v>
      </c>
      <c r="H34" s="626">
        <v>1810.7776506923713</v>
      </c>
      <c r="I34" s="627">
        <f t="shared" si="2"/>
        <v>21</v>
      </c>
      <c r="J34" s="627">
        <f t="shared" si="3"/>
        <v>574</v>
      </c>
    </row>
    <row r="35" spans="1:10" x14ac:dyDescent="0.2">
      <c r="A35" s="623">
        <f t="shared" si="0"/>
        <v>26</v>
      </c>
      <c r="B35" s="611" t="s">
        <v>127</v>
      </c>
      <c r="C35" s="163" t="s">
        <v>128</v>
      </c>
      <c r="D35" s="639"/>
      <c r="E35" s="624">
        <v>3200.5921667640396</v>
      </c>
      <c r="F35" s="741">
        <v>2.3407395262026592E-2</v>
      </c>
      <c r="G35" s="625">
        <f t="shared" si="1"/>
        <v>75</v>
      </c>
      <c r="H35" s="626">
        <v>242.07447102836878</v>
      </c>
      <c r="I35" s="627">
        <f t="shared" si="2"/>
        <v>3</v>
      </c>
      <c r="J35" s="627">
        <f t="shared" si="3"/>
        <v>78</v>
      </c>
    </row>
    <row r="36" spans="1:10" x14ac:dyDescent="0.2">
      <c r="A36" s="623">
        <f t="shared" si="0"/>
        <v>27</v>
      </c>
      <c r="B36" s="611" t="s">
        <v>129</v>
      </c>
      <c r="C36" s="163" t="s">
        <v>130</v>
      </c>
      <c r="D36" s="639"/>
      <c r="E36" s="624">
        <v>24567.580016746881</v>
      </c>
      <c r="F36" s="741">
        <v>2.403853937207685E-2</v>
      </c>
      <c r="G36" s="625">
        <f t="shared" si="1"/>
        <v>591</v>
      </c>
      <c r="H36" s="626">
        <v>1843.187400741303</v>
      </c>
      <c r="I36" s="627">
        <f t="shared" si="2"/>
        <v>22</v>
      </c>
      <c r="J36" s="627">
        <f t="shared" si="3"/>
        <v>613</v>
      </c>
    </row>
    <row r="37" spans="1:10" x14ac:dyDescent="0.2">
      <c r="A37" s="623">
        <f t="shared" si="0"/>
        <v>28</v>
      </c>
      <c r="B37" s="611" t="s">
        <v>131</v>
      </c>
      <c r="C37" s="163" t="s">
        <v>132</v>
      </c>
      <c r="D37" s="639"/>
      <c r="E37" s="624">
        <v>3327.9247609552071</v>
      </c>
      <c r="F37" s="741">
        <v>2.6042618854612405E-2</v>
      </c>
      <c r="G37" s="625">
        <f t="shared" si="1"/>
        <v>87</v>
      </c>
      <c r="H37" s="626">
        <v>251.70517959023513</v>
      </c>
      <c r="I37" s="627">
        <f t="shared" si="2"/>
        <v>3</v>
      </c>
      <c r="J37" s="627">
        <f t="shared" si="3"/>
        <v>90</v>
      </c>
    </row>
    <row r="38" spans="1:10" x14ac:dyDescent="0.2">
      <c r="A38" s="623">
        <f t="shared" si="0"/>
        <v>29</v>
      </c>
      <c r="B38" s="611" t="s">
        <v>133</v>
      </c>
      <c r="C38" s="163" t="s">
        <v>110</v>
      </c>
      <c r="D38" s="639"/>
      <c r="E38" s="624">
        <v>2525.4444733333335</v>
      </c>
      <c r="F38" s="741">
        <v>8.0861007684620206E-2</v>
      </c>
      <c r="G38" s="625">
        <f t="shared" si="1"/>
        <v>204</v>
      </c>
      <c r="H38" s="626">
        <v>76.704015576323997</v>
      </c>
      <c r="I38" s="627">
        <f t="shared" si="2"/>
        <v>3</v>
      </c>
      <c r="J38" s="627">
        <f t="shared" si="3"/>
        <v>207</v>
      </c>
    </row>
    <row r="39" spans="1:10" x14ac:dyDescent="0.2">
      <c r="A39" s="623">
        <f t="shared" si="0"/>
        <v>30</v>
      </c>
      <c r="B39" s="611" t="s">
        <v>401</v>
      </c>
      <c r="C39" s="163" t="s">
        <v>402</v>
      </c>
      <c r="D39" s="639"/>
      <c r="E39" s="624">
        <v>68.140350000000012</v>
      </c>
      <c r="F39" s="741">
        <v>7.1266731092517133E-2</v>
      </c>
      <c r="G39" s="625">
        <f t="shared" si="1"/>
        <v>5</v>
      </c>
      <c r="H39" s="626">
        <v>0</v>
      </c>
      <c r="I39" s="627">
        <f t="shared" si="2"/>
        <v>0</v>
      </c>
      <c r="J39" s="627">
        <f t="shared" si="3"/>
        <v>5</v>
      </c>
    </row>
    <row r="40" spans="1:10" x14ac:dyDescent="0.2">
      <c r="A40" s="623">
        <f t="shared" si="0"/>
        <v>31</v>
      </c>
      <c r="B40" s="611" t="s">
        <v>134</v>
      </c>
      <c r="C40" s="163" t="s">
        <v>260</v>
      </c>
      <c r="D40" s="639"/>
      <c r="E40" s="624">
        <v>3364.2557478790027</v>
      </c>
      <c r="F40" s="741">
        <v>2.50372765468178E-2</v>
      </c>
      <c r="G40" s="625">
        <f t="shared" si="1"/>
        <v>84</v>
      </c>
      <c r="H40" s="626">
        <v>254.45304747944778</v>
      </c>
      <c r="I40" s="627">
        <f t="shared" si="2"/>
        <v>3</v>
      </c>
      <c r="J40" s="627">
        <f t="shared" si="3"/>
        <v>87</v>
      </c>
    </row>
    <row r="41" spans="1:10" x14ac:dyDescent="0.2">
      <c r="A41" s="623">
        <f t="shared" si="0"/>
        <v>32</v>
      </c>
      <c r="B41" s="611" t="s">
        <v>136</v>
      </c>
      <c r="C41" s="163" t="s">
        <v>137</v>
      </c>
      <c r="D41" s="639"/>
      <c r="E41" s="624">
        <v>9995.7769040000021</v>
      </c>
      <c r="F41" s="741">
        <v>3.4090700463427555E-2</v>
      </c>
      <c r="G41" s="625">
        <f t="shared" si="1"/>
        <v>341</v>
      </c>
      <c r="H41" s="626">
        <v>945</v>
      </c>
      <c r="I41" s="627">
        <f t="shared" si="2"/>
        <v>16</v>
      </c>
      <c r="J41" s="627">
        <f t="shared" si="3"/>
        <v>357</v>
      </c>
    </row>
    <row r="42" spans="1:10" x14ac:dyDescent="0.2">
      <c r="A42" s="623">
        <f t="shared" si="0"/>
        <v>33</v>
      </c>
      <c r="B42" s="611" t="s">
        <v>261</v>
      </c>
      <c r="C42" s="163" t="s">
        <v>262</v>
      </c>
      <c r="D42" s="639"/>
      <c r="E42" s="624">
        <v>284.73828000000003</v>
      </c>
      <c r="F42" s="741">
        <v>2.9299081247523159E-2</v>
      </c>
      <c r="G42" s="625">
        <f t="shared" si="1"/>
        <v>8</v>
      </c>
      <c r="H42" s="626">
        <v>0</v>
      </c>
      <c r="I42" s="627">
        <f t="shared" si="2"/>
        <v>0</v>
      </c>
      <c r="J42" s="627">
        <f t="shared" si="3"/>
        <v>8</v>
      </c>
    </row>
    <row r="43" spans="1:10" x14ac:dyDescent="0.2">
      <c r="A43" s="623">
        <f t="shared" si="0"/>
        <v>34</v>
      </c>
      <c r="B43" s="611" t="s">
        <v>138</v>
      </c>
      <c r="C43" s="641" t="s">
        <v>259</v>
      </c>
      <c r="D43" s="642"/>
      <c r="E43" s="631">
        <v>30035.334344854818</v>
      </c>
      <c r="F43" s="741">
        <v>2.4129371668902382E-2</v>
      </c>
      <c r="G43" s="625">
        <f t="shared" si="1"/>
        <v>725</v>
      </c>
      <c r="H43" s="632">
        <v>2268.1457244640583</v>
      </c>
      <c r="I43" s="633">
        <f t="shared" si="2"/>
        <v>27</v>
      </c>
      <c r="J43" s="633">
        <f t="shared" si="3"/>
        <v>752</v>
      </c>
    </row>
    <row r="44" spans="1:10" x14ac:dyDescent="0.2">
      <c r="A44" s="623">
        <f t="shared" si="0"/>
        <v>35</v>
      </c>
      <c r="B44" s="611"/>
      <c r="C44" s="163" t="s">
        <v>139</v>
      </c>
      <c r="D44" s="639"/>
      <c r="E44" s="624">
        <f>SUM(E32:E43)</f>
        <v>139765.78683066668</v>
      </c>
      <c r="F44" s="740"/>
      <c r="G44" s="635">
        <f>SUM(G32:G43)</f>
        <v>3582</v>
      </c>
      <c r="H44" s="626">
        <f>SUM(H32:H43)</f>
        <v>10526.464148909658</v>
      </c>
      <c r="I44" s="626">
        <f>SUM(I32:I43)</f>
        <v>132</v>
      </c>
      <c r="J44" s="626">
        <f>SUM(J32:J43)</f>
        <v>3714</v>
      </c>
    </row>
    <row r="45" spans="1:10" x14ac:dyDescent="0.2">
      <c r="A45" s="623">
        <f t="shared" si="0"/>
        <v>36</v>
      </c>
      <c r="B45" s="611"/>
      <c r="D45" s="639"/>
      <c r="E45" s="624"/>
      <c r="F45" s="741"/>
      <c r="G45" s="640"/>
      <c r="H45" s="626"/>
      <c r="I45" s="627"/>
      <c r="J45" s="627"/>
    </row>
    <row r="46" spans="1:10" x14ac:dyDescent="0.2">
      <c r="A46" s="623">
        <f t="shared" si="0"/>
        <v>37</v>
      </c>
      <c r="B46" s="611"/>
      <c r="C46" s="163" t="s">
        <v>140</v>
      </c>
      <c r="D46" s="639"/>
      <c r="E46" s="624"/>
      <c r="F46" s="741"/>
      <c r="G46" s="640"/>
      <c r="H46" s="626"/>
      <c r="I46" s="627"/>
      <c r="J46" s="627"/>
    </row>
    <row r="47" spans="1:10" x14ac:dyDescent="0.2">
      <c r="A47" s="623">
        <f t="shared" si="0"/>
        <v>38</v>
      </c>
      <c r="B47" s="611" t="s">
        <v>141</v>
      </c>
      <c r="C47" s="163" t="s">
        <v>142</v>
      </c>
      <c r="D47" s="639"/>
      <c r="E47" s="624">
        <v>4758.4534649999996</v>
      </c>
      <c r="F47" s="741">
        <v>2.6660755942775376E-2</v>
      </c>
      <c r="G47" s="625">
        <f t="shared" ref="G47:G57" si="4">ROUND(E47*F47,0)</f>
        <v>127</v>
      </c>
      <c r="H47" s="626">
        <v>314.73558500000001</v>
      </c>
      <c r="I47" s="627">
        <f t="shared" ref="I47:I57" si="5">ROUND(H47*F47/2,0)</f>
        <v>4</v>
      </c>
      <c r="J47" s="627">
        <f t="shared" ref="J47:J57" si="6">I47+G47</f>
        <v>131</v>
      </c>
    </row>
    <row r="48" spans="1:10" x14ac:dyDescent="0.2">
      <c r="A48" s="623">
        <f t="shared" si="0"/>
        <v>39</v>
      </c>
      <c r="B48" s="611" t="s">
        <v>143</v>
      </c>
      <c r="C48" s="163" t="s">
        <v>144</v>
      </c>
      <c r="D48" s="639"/>
      <c r="E48" s="624">
        <v>204.83091666666667</v>
      </c>
      <c r="F48" s="741">
        <v>6.6700042719813807E-2</v>
      </c>
      <c r="G48" s="625">
        <f t="shared" si="4"/>
        <v>14</v>
      </c>
      <c r="H48" s="626">
        <v>9.3359166666666624</v>
      </c>
      <c r="I48" s="627">
        <v>0</v>
      </c>
      <c r="J48" s="627">
        <f t="shared" si="6"/>
        <v>14</v>
      </c>
    </row>
    <row r="49" spans="1:11" x14ac:dyDescent="0.2">
      <c r="A49" s="623">
        <f t="shared" si="0"/>
        <v>40</v>
      </c>
      <c r="B49" s="651">
        <v>483.2</v>
      </c>
      <c r="C49" s="163" t="s">
        <v>339</v>
      </c>
      <c r="D49" s="639"/>
      <c r="E49" s="624">
        <v>47.030540000000002</v>
      </c>
      <c r="F49" s="741">
        <v>0.2</v>
      </c>
      <c r="G49" s="625">
        <f t="shared" si="4"/>
        <v>9</v>
      </c>
      <c r="H49" s="626">
        <v>0</v>
      </c>
      <c r="I49" s="627">
        <f t="shared" si="5"/>
        <v>0</v>
      </c>
      <c r="J49" s="627">
        <f t="shared" si="6"/>
        <v>9</v>
      </c>
    </row>
    <row r="50" spans="1:11" x14ac:dyDescent="0.2">
      <c r="A50" s="623">
        <f t="shared" si="0"/>
        <v>41</v>
      </c>
      <c r="B50" s="611" t="s">
        <v>263</v>
      </c>
      <c r="C50" s="163" t="s">
        <v>264</v>
      </c>
      <c r="D50" s="639"/>
      <c r="E50" s="624">
        <v>3385.8152533333332</v>
      </c>
      <c r="F50" s="741">
        <v>8.791349299997557E-2</v>
      </c>
      <c r="G50" s="625">
        <f t="shared" si="4"/>
        <v>298</v>
      </c>
      <c r="H50" s="626">
        <v>868.16114333333337</v>
      </c>
      <c r="I50" s="627">
        <f>ROUND(H50*F50/2,0)</f>
        <v>38</v>
      </c>
      <c r="J50" s="627">
        <f t="shared" si="6"/>
        <v>336</v>
      </c>
    </row>
    <row r="51" spans="1:11" x14ac:dyDescent="0.2">
      <c r="A51" s="623">
        <f t="shared" si="0"/>
        <v>42</v>
      </c>
      <c r="B51" s="611" t="s">
        <v>145</v>
      </c>
      <c r="C51" s="163" t="s">
        <v>146</v>
      </c>
      <c r="D51" s="639"/>
      <c r="E51" s="624">
        <v>929.76898000000006</v>
      </c>
      <c r="F51" s="741">
        <v>6.6699991067969755E-2</v>
      </c>
      <c r="G51" s="625">
        <f t="shared" si="4"/>
        <v>62</v>
      </c>
      <c r="H51" s="626">
        <v>136.51671000000002</v>
      </c>
      <c r="I51" s="627">
        <f t="shared" si="5"/>
        <v>5</v>
      </c>
      <c r="J51" s="627">
        <f t="shared" si="6"/>
        <v>67</v>
      </c>
    </row>
    <row r="52" spans="1:11" x14ac:dyDescent="0.2">
      <c r="A52" s="623">
        <f t="shared" si="0"/>
        <v>43</v>
      </c>
      <c r="B52" s="611" t="s">
        <v>148</v>
      </c>
      <c r="C52" s="163" t="s">
        <v>265</v>
      </c>
      <c r="D52" s="639"/>
      <c r="E52" s="624">
        <v>1002.8600100000001</v>
      </c>
      <c r="F52" s="741">
        <v>6.6700019937585578E-2</v>
      </c>
      <c r="G52" s="625">
        <f t="shared" si="4"/>
        <v>67</v>
      </c>
      <c r="H52" s="626">
        <v>11.25</v>
      </c>
      <c r="I52" s="627">
        <f t="shared" si="5"/>
        <v>0</v>
      </c>
      <c r="J52" s="627">
        <f t="shared" si="6"/>
        <v>67</v>
      </c>
    </row>
    <row r="53" spans="1:11" x14ac:dyDescent="0.2">
      <c r="A53" s="623">
        <f t="shared" si="0"/>
        <v>44</v>
      </c>
      <c r="B53" s="611" t="s">
        <v>369</v>
      </c>
      <c r="C53" s="163" t="s">
        <v>370</v>
      </c>
      <c r="D53" s="639"/>
      <c r="E53" s="624">
        <v>474.68126000000001</v>
      </c>
      <c r="F53" s="741">
        <v>2.6453667035433417E-2</v>
      </c>
      <c r="G53" s="625">
        <f t="shared" si="4"/>
        <v>13</v>
      </c>
      <c r="H53" s="626">
        <v>0</v>
      </c>
      <c r="I53" s="627">
        <f t="shared" si="5"/>
        <v>0</v>
      </c>
      <c r="J53" s="627">
        <f t="shared" si="6"/>
        <v>13</v>
      </c>
    </row>
    <row r="54" spans="1:11" x14ac:dyDescent="0.2">
      <c r="A54" s="623">
        <f t="shared" si="0"/>
        <v>45</v>
      </c>
      <c r="B54" s="611" t="s">
        <v>617</v>
      </c>
      <c r="C54" s="610" t="s">
        <v>271</v>
      </c>
      <c r="D54" s="639"/>
      <c r="E54" s="624">
        <v>1.4930000000000001</v>
      </c>
      <c r="F54" s="741">
        <v>0</v>
      </c>
      <c r="G54" s="625">
        <f t="shared" si="4"/>
        <v>0</v>
      </c>
      <c r="H54" s="626">
        <v>0</v>
      </c>
      <c r="I54" s="627">
        <f t="shared" si="5"/>
        <v>0</v>
      </c>
      <c r="J54" s="627">
        <f t="shared" si="6"/>
        <v>0</v>
      </c>
    </row>
    <row r="55" spans="1:11" x14ac:dyDescent="0.2">
      <c r="A55" s="623">
        <f t="shared" si="0"/>
        <v>46</v>
      </c>
      <c r="B55" s="713" t="s">
        <v>613</v>
      </c>
      <c r="C55" s="610" t="s">
        <v>731</v>
      </c>
      <c r="D55" s="639"/>
      <c r="E55" s="624">
        <v>1901</v>
      </c>
      <c r="F55" s="741">
        <v>0.04</v>
      </c>
      <c r="G55" s="625">
        <f t="shared" si="4"/>
        <v>76</v>
      </c>
      <c r="H55" s="626">
        <v>0</v>
      </c>
      <c r="I55" s="627">
        <f>ROUND(H55*F55/2,0)</f>
        <v>0</v>
      </c>
      <c r="J55" s="627">
        <f>I55+G55</f>
        <v>76</v>
      </c>
    </row>
    <row r="56" spans="1:11" x14ac:dyDescent="0.2">
      <c r="A56" s="623">
        <f t="shared" si="0"/>
        <v>47</v>
      </c>
      <c r="B56" s="713" t="s">
        <v>614</v>
      </c>
      <c r="C56" s="610" t="s">
        <v>616</v>
      </c>
      <c r="D56" s="639"/>
      <c r="E56" s="624">
        <v>389</v>
      </c>
      <c r="F56" s="741">
        <v>0.2</v>
      </c>
      <c r="G56" s="625">
        <f t="shared" si="4"/>
        <v>78</v>
      </c>
      <c r="H56" s="626">
        <v>0</v>
      </c>
      <c r="I56" s="627">
        <v>0</v>
      </c>
      <c r="J56" s="627">
        <f>I56+G56</f>
        <v>78</v>
      </c>
    </row>
    <row r="57" spans="1:11" x14ac:dyDescent="0.2">
      <c r="A57" s="623">
        <f t="shared" si="0"/>
        <v>48</v>
      </c>
      <c r="B57" s="713" t="s">
        <v>615</v>
      </c>
      <c r="C57" s="641" t="s">
        <v>504</v>
      </c>
      <c r="D57" s="642"/>
      <c r="E57" s="637">
        <v>2908.6600000000003</v>
      </c>
      <c r="F57" s="742">
        <v>0.1</v>
      </c>
      <c r="G57" s="636">
        <f t="shared" si="4"/>
        <v>291</v>
      </c>
      <c r="H57" s="632">
        <v>7.2</v>
      </c>
      <c r="I57" s="633">
        <f t="shared" si="5"/>
        <v>0</v>
      </c>
      <c r="J57" s="633">
        <f t="shared" si="6"/>
        <v>291</v>
      </c>
    </row>
    <row r="58" spans="1:11" x14ac:dyDescent="0.2">
      <c r="A58" s="623">
        <f t="shared" si="0"/>
        <v>49</v>
      </c>
      <c r="B58" s="713"/>
      <c r="C58" s="629" t="s">
        <v>149</v>
      </c>
      <c r="D58" s="610"/>
      <c r="E58" s="644">
        <f>SUM(E47:E57)</f>
        <v>16003.593424999999</v>
      </c>
      <c r="F58" s="650"/>
      <c r="G58" s="625">
        <f>SUM(G47:G57)</f>
        <v>1035</v>
      </c>
      <c r="H58" s="626">
        <f>SUM(H47:H57)</f>
        <v>1347.1993550000002</v>
      </c>
      <c r="I58" s="645">
        <f>SUM(I47:I57)</f>
        <v>47</v>
      </c>
      <c r="J58" s="645">
        <f>SUM(J47:J57)</f>
        <v>1082</v>
      </c>
    </row>
    <row r="59" spans="1:11" ht="15" x14ac:dyDescent="0.25">
      <c r="A59" s="623">
        <f t="shared" si="0"/>
        <v>50</v>
      </c>
      <c r="B59" s="713"/>
      <c r="C59" s="629"/>
      <c r="D59" s="617"/>
      <c r="E59" s="624"/>
      <c r="F59" s="650"/>
      <c r="G59" s="625"/>
      <c r="H59" s="626"/>
      <c r="I59" s="645"/>
      <c r="J59" s="645"/>
      <c r="K59" s="610"/>
    </row>
    <row r="60" spans="1:11" ht="15" thickBot="1" x14ac:dyDescent="0.25">
      <c r="A60" s="623">
        <f t="shared" si="0"/>
        <v>51</v>
      </c>
      <c r="B60" s="713"/>
      <c r="C60" s="610" t="s">
        <v>150</v>
      </c>
      <c r="E60" s="624">
        <f>E58+E44+E29+E25+E17</f>
        <v>183560.09293566667</v>
      </c>
      <c r="F60" s="650"/>
      <c r="G60" s="646">
        <f>G44+G58+G29+G25+G17</f>
        <v>5450</v>
      </c>
      <c r="H60" s="646">
        <f>H44+H58+H29+H25+H17</f>
        <v>19317.163503909658</v>
      </c>
      <c r="I60" s="646">
        <f>I44+I58+I29+I25+I17</f>
        <v>286</v>
      </c>
      <c r="J60" s="646">
        <f>J44+J58+J29+J25+J17</f>
        <v>5736</v>
      </c>
      <c r="K60" s="610"/>
    </row>
    <row r="61" spans="1:11" x14ac:dyDescent="0.2">
      <c r="A61" s="623">
        <f t="shared" si="0"/>
        <v>52</v>
      </c>
      <c r="B61" s="713"/>
      <c r="C61" s="610" t="s">
        <v>434</v>
      </c>
      <c r="E61" s="637">
        <v>380</v>
      </c>
      <c r="F61" s="650"/>
      <c r="G61" s="626"/>
      <c r="H61" s="647"/>
      <c r="I61" s="626"/>
      <c r="J61" s="626"/>
    </row>
    <row r="62" spans="1:11" x14ac:dyDescent="0.2">
      <c r="A62" s="623">
        <f t="shared" si="0"/>
        <v>53</v>
      </c>
      <c r="B62" s="611"/>
      <c r="C62" s="610" t="s">
        <v>151</v>
      </c>
      <c r="D62" s="610" t="s">
        <v>610</v>
      </c>
      <c r="E62" s="624">
        <f>E60+E61</f>
        <v>183940.09293566667</v>
      </c>
      <c r="F62" s="611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9" type="noConversion"/>
  <printOptions horizontalCentered="1"/>
  <pageMargins left="0.5" right="0.5" top="0.75" bottom="0.5" header="0.5" footer="0.5"/>
  <pageSetup scale="59" orientation="landscape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view="pageBreakPreview" zoomScale="60" zoomScaleNormal="85" workbookViewId="0">
      <selection activeCell="U41" sqref="U41"/>
    </sheetView>
  </sheetViews>
  <sheetFormatPr defaultRowHeight="14.25" x14ac:dyDescent="0.2"/>
  <cols>
    <col min="1" max="1" width="9.140625" style="613"/>
    <col min="2" max="2" width="12.28515625" style="652" customWidth="1"/>
    <col min="3" max="3" width="51.85546875" style="613" bestFit="1" customWidth="1"/>
    <col min="4" max="4" width="10.5703125" style="613" bestFit="1" customWidth="1"/>
    <col min="5" max="5" width="15.7109375" style="613" customWidth="1"/>
    <col min="6" max="7" width="17.7109375" style="613" bestFit="1" customWidth="1"/>
    <col min="8" max="8" width="15.7109375" style="613" customWidth="1"/>
    <col min="9" max="9" width="18.42578125" style="613" bestFit="1" customWidth="1"/>
    <col min="10" max="10" width="15.7109375" style="613" customWidth="1"/>
    <col min="11" max="11" width="2.42578125" style="613" customWidth="1"/>
    <col min="12" max="16384" width="9.140625" style="613"/>
  </cols>
  <sheetData>
    <row r="1" spans="1:11" ht="15.75" x14ac:dyDescent="0.25">
      <c r="A1" s="370" t="s">
        <v>539</v>
      </c>
      <c r="B1" s="370"/>
      <c r="C1" s="370"/>
      <c r="D1" s="370"/>
      <c r="E1" s="370"/>
      <c r="F1" s="370"/>
      <c r="G1" s="370"/>
      <c r="H1" s="370"/>
      <c r="I1" s="351"/>
      <c r="J1" s="41"/>
      <c r="K1" s="80" t="s">
        <v>839</v>
      </c>
    </row>
    <row r="2" spans="1:11" ht="15.75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51"/>
      <c r="J2" s="351"/>
      <c r="K2" s="419"/>
    </row>
    <row r="3" spans="1:11" ht="15.75" x14ac:dyDescent="0.25">
      <c r="A3" s="370" t="s">
        <v>805</v>
      </c>
      <c r="B3" s="370"/>
      <c r="C3" s="370"/>
      <c r="D3" s="370"/>
      <c r="E3" s="370"/>
      <c r="F3" s="370"/>
      <c r="G3" s="370"/>
      <c r="H3" s="370"/>
      <c r="I3" s="351"/>
      <c r="J3" s="351"/>
      <c r="K3" s="419"/>
    </row>
    <row r="4" spans="1:11" ht="15.75" x14ac:dyDescent="0.25">
      <c r="A4" s="370" t="s">
        <v>33</v>
      </c>
      <c r="B4" s="370"/>
      <c r="C4" s="351"/>
      <c r="D4" s="351"/>
      <c r="E4" s="614"/>
      <c r="F4" s="351"/>
      <c r="G4" s="351"/>
      <c r="H4" s="351"/>
      <c r="I4" s="370"/>
      <c r="J4" s="351"/>
      <c r="K4" s="419"/>
    </row>
    <row r="5" spans="1:11" x14ac:dyDescent="0.2">
      <c r="A5" s="163"/>
      <c r="B5" s="611"/>
      <c r="C5" s="163"/>
      <c r="D5" s="163"/>
      <c r="E5" s="610"/>
      <c r="F5" s="611"/>
      <c r="G5" s="163"/>
      <c r="H5" s="163"/>
      <c r="I5" s="163"/>
      <c r="J5" s="611"/>
      <c r="K5" s="163"/>
    </row>
    <row r="6" spans="1:11" ht="15" x14ac:dyDescent="0.25">
      <c r="A6" s="612"/>
      <c r="B6" s="608"/>
      <c r="C6" s="615"/>
      <c r="D6" s="616"/>
      <c r="E6" s="617">
        <v>2015</v>
      </c>
      <c r="F6" s="608"/>
      <c r="G6" s="608" t="s">
        <v>30</v>
      </c>
      <c r="H6" s="608" t="s">
        <v>113</v>
      </c>
      <c r="I6" s="608" t="s">
        <v>324</v>
      </c>
      <c r="J6" s="608">
        <v>2015</v>
      </c>
      <c r="K6" s="163"/>
    </row>
    <row r="7" spans="1:11" ht="15" x14ac:dyDescent="0.25">
      <c r="A7" s="608" t="s">
        <v>34</v>
      </c>
      <c r="B7" s="608" t="s">
        <v>28</v>
      </c>
      <c r="C7" s="608"/>
      <c r="D7" s="618" t="s">
        <v>101</v>
      </c>
      <c r="E7" s="619" t="s">
        <v>321</v>
      </c>
      <c r="F7" s="620" t="s">
        <v>30</v>
      </c>
      <c r="G7" s="608" t="s">
        <v>323</v>
      </c>
      <c r="H7" s="608" t="s">
        <v>328</v>
      </c>
      <c r="I7" s="608" t="s">
        <v>325</v>
      </c>
      <c r="J7" s="608" t="s">
        <v>326</v>
      </c>
      <c r="K7" s="163"/>
    </row>
    <row r="8" spans="1:11" ht="15" x14ac:dyDescent="0.25">
      <c r="A8" s="621" t="s">
        <v>36</v>
      </c>
      <c r="B8" s="621" t="s">
        <v>115</v>
      </c>
      <c r="C8" s="621" t="s">
        <v>178</v>
      </c>
      <c r="D8" s="622" t="s">
        <v>37</v>
      </c>
      <c r="E8" s="621" t="s">
        <v>322</v>
      </c>
      <c r="F8" s="621" t="s">
        <v>39</v>
      </c>
      <c r="G8" s="621" t="s">
        <v>41</v>
      </c>
      <c r="H8" s="621" t="s">
        <v>164</v>
      </c>
      <c r="I8" s="621" t="s">
        <v>164</v>
      </c>
      <c r="J8" s="621" t="s">
        <v>327</v>
      </c>
      <c r="K8" s="163"/>
    </row>
    <row r="9" spans="1:11" ht="15" x14ac:dyDescent="0.25">
      <c r="A9" s="623"/>
      <c r="B9" s="623"/>
      <c r="C9" s="623"/>
      <c r="D9" s="618"/>
      <c r="E9" s="623"/>
      <c r="F9" s="623"/>
      <c r="G9" s="623"/>
      <c r="H9" s="610"/>
      <c r="I9" s="163"/>
      <c r="J9" s="163"/>
      <c r="K9" s="163"/>
    </row>
    <row r="10" spans="1:11" ht="15" x14ac:dyDescent="0.25">
      <c r="A10" s="611">
        <v>1</v>
      </c>
      <c r="B10" s="611"/>
      <c r="C10" s="163" t="s">
        <v>362</v>
      </c>
      <c r="D10" s="618"/>
      <c r="E10" s="623"/>
      <c r="F10" s="623"/>
      <c r="G10" s="610"/>
      <c r="H10" s="610"/>
      <c r="I10" s="163"/>
      <c r="J10" s="163"/>
      <c r="K10" s="163"/>
    </row>
    <row r="11" spans="1:11" ht="15" x14ac:dyDescent="0.25">
      <c r="A11" s="611">
        <v>2</v>
      </c>
      <c r="B11" s="611"/>
      <c r="C11" s="163"/>
      <c r="D11" s="618"/>
      <c r="E11" s="624"/>
      <c r="F11" s="650"/>
      <c r="G11" s="625"/>
      <c r="H11" s="626"/>
      <c r="I11" s="627"/>
      <c r="J11" s="627"/>
      <c r="K11" s="163"/>
    </row>
    <row r="12" spans="1:11" ht="15" x14ac:dyDescent="0.25">
      <c r="A12" s="623">
        <v>3</v>
      </c>
      <c r="B12" s="611" t="s">
        <v>403</v>
      </c>
      <c r="C12" s="629" t="s">
        <v>363</v>
      </c>
      <c r="D12" s="618"/>
      <c r="E12" s="624">
        <v>529.2137046578639</v>
      </c>
      <c r="F12" s="650">
        <v>2.5974285205032779E-2</v>
      </c>
      <c r="G12" s="625">
        <f>ROUND(E12*F12,0)</f>
        <v>14</v>
      </c>
      <c r="H12" s="626">
        <v>0</v>
      </c>
      <c r="I12" s="627">
        <f>ROUND(H12*F12/2,0)</f>
        <v>0</v>
      </c>
      <c r="J12" s="627">
        <f>I12+G12</f>
        <v>14</v>
      </c>
      <c r="K12" s="163"/>
    </row>
    <row r="13" spans="1:11" ht="15" x14ac:dyDescent="0.25">
      <c r="A13" s="623">
        <f t="shared" ref="A13:A62" si="0">A12+1</f>
        <v>4</v>
      </c>
      <c r="B13" s="611" t="s">
        <v>404</v>
      </c>
      <c r="C13" s="629" t="s">
        <v>364</v>
      </c>
      <c r="D13" s="618"/>
      <c r="E13" s="624">
        <v>4786.3043728603316</v>
      </c>
      <c r="F13" s="650">
        <v>2.4141751296789804E-2</v>
      </c>
      <c r="G13" s="625">
        <f>ROUND(E13*F13,0)</f>
        <v>116</v>
      </c>
      <c r="H13" s="626">
        <v>0</v>
      </c>
      <c r="I13" s="627">
        <f>ROUND(H13*F13/2,0)</f>
        <v>0</v>
      </c>
      <c r="J13" s="627">
        <f>I13+G13</f>
        <v>116</v>
      </c>
      <c r="K13" s="163"/>
    </row>
    <row r="14" spans="1:11" ht="15" x14ac:dyDescent="0.25">
      <c r="A14" s="623">
        <f t="shared" si="0"/>
        <v>5</v>
      </c>
      <c r="B14" s="611" t="s">
        <v>405</v>
      </c>
      <c r="C14" s="629" t="s">
        <v>365</v>
      </c>
      <c r="D14" s="618"/>
      <c r="E14" s="624">
        <v>5393.0593581811745</v>
      </c>
      <c r="F14" s="650">
        <v>2.5489025677407486E-2</v>
      </c>
      <c r="G14" s="625">
        <f>ROUND(E14*F14,0)</f>
        <v>137</v>
      </c>
      <c r="H14" s="626">
        <v>0</v>
      </c>
      <c r="I14" s="627">
        <f>ROUND(H14*F14/2,0)</f>
        <v>0</v>
      </c>
      <c r="J14" s="627">
        <f>I14+G14</f>
        <v>137</v>
      </c>
      <c r="K14" s="163"/>
    </row>
    <row r="15" spans="1:11" ht="15" x14ac:dyDescent="0.25">
      <c r="A15" s="623">
        <f t="shared" si="0"/>
        <v>6</v>
      </c>
      <c r="B15" s="611" t="s">
        <v>406</v>
      </c>
      <c r="C15" s="629" t="s">
        <v>366</v>
      </c>
      <c r="D15" s="618"/>
      <c r="E15" s="624">
        <v>318.19224061461875</v>
      </c>
      <c r="F15" s="650">
        <v>2.6606772419646558E-2</v>
      </c>
      <c r="G15" s="625">
        <f>ROUND(E15*F15,0)</f>
        <v>8</v>
      </c>
      <c r="H15" s="626">
        <v>0</v>
      </c>
      <c r="I15" s="627">
        <f>ROUND(H15*F15/2,0)</f>
        <v>0</v>
      </c>
      <c r="J15" s="627">
        <f>I15+G15</f>
        <v>8</v>
      </c>
      <c r="K15" s="163"/>
    </row>
    <row r="16" spans="1:11" ht="15" x14ac:dyDescent="0.25">
      <c r="A16" s="623">
        <f t="shared" si="0"/>
        <v>7</v>
      </c>
      <c r="B16" s="611" t="s">
        <v>407</v>
      </c>
      <c r="C16" s="630" t="s">
        <v>367</v>
      </c>
      <c r="D16" s="622"/>
      <c r="E16" s="631">
        <v>138.38498368601012</v>
      </c>
      <c r="F16" s="742">
        <v>4.0576266424390793E-2</v>
      </c>
      <c r="G16" s="625">
        <f>ROUND(E16*F16,0)</f>
        <v>6</v>
      </c>
      <c r="H16" s="632">
        <v>0</v>
      </c>
      <c r="I16" s="633">
        <f>ROUND(H16*F16/2,0)</f>
        <v>0</v>
      </c>
      <c r="J16" s="633">
        <f>I16+G16</f>
        <v>6</v>
      </c>
      <c r="K16" s="163"/>
    </row>
    <row r="17" spans="1:11" ht="15" x14ac:dyDescent="0.25">
      <c r="A17" s="623">
        <f t="shared" si="0"/>
        <v>8</v>
      </c>
      <c r="B17" s="634"/>
      <c r="C17" s="163" t="s">
        <v>389</v>
      </c>
      <c r="D17" s="618"/>
      <c r="E17" s="624">
        <f>SUM(E11:E16)</f>
        <v>11165.154659999998</v>
      </c>
      <c r="F17" s="740"/>
      <c r="G17" s="635">
        <f>SUM(G11:G16)</f>
        <v>281</v>
      </c>
      <c r="H17" s="626">
        <f>SUM(H11:H16)</f>
        <v>0</v>
      </c>
      <c r="I17" s="626">
        <f>SUM(I11:I16)</f>
        <v>0</v>
      </c>
      <c r="J17" s="626">
        <f>SUM(J11:J16)</f>
        <v>281</v>
      </c>
      <c r="K17" s="163"/>
    </row>
    <row r="18" spans="1:11" ht="15" x14ac:dyDescent="0.25">
      <c r="A18" s="623">
        <f t="shared" si="0"/>
        <v>9</v>
      </c>
      <c r="B18" s="634"/>
      <c r="C18" s="629"/>
      <c r="D18" s="618"/>
      <c r="E18" s="624"/>
      <c r="F18" s="650"/>
      <c r="G18" s="625"/>
      <c r="H18" s="626"/>
      <c r="I18" s="627"/>
      <c r="J18" s="627"/>
      <c r="K18" s="163"/>
    </row>
    <row r="19" spans="1:11" ht="15" x14ac:dyDescent="0.25">
      <c r="A19" s="623">
        <f t="shared" si="0"/>
        <v>10</v>
      </c>
      <c r="B19" s="634"/>
      <c r="C19" s="163" t="s">
        <v>368</v>
      </c>
      <c r="D19" s="618"/>
      <c r="E19" s="624"/>
      <c r="F19" s="650"/>
      <c r="G19" s="625"/>
      <c r="H19" s="626"/>
      <c r="I19" s="627"/>
      <c r="J19" s="627"/>
      <c r="K19" s="163"/>
    </row>
    <row r="20" spans="1:11" ht="15" x14ac:dyDescent="0.25">
      <c r="A20" s="623">
        <f t="shared" si="0"/>
        <v>11</v>
      </c>
      <c r="B20" s="611" t="s">
        <v>250</v>
      </c>
      <c r="C20" s="629" t="s">
        <v>806</v>
      </c>
      <c r="D20" s="618"/>
      <c r="E20" s="624">
        <v>3272.1257977261971</v>
      </c>
      <c r="F20" s="650">
        <v>2.8207361140479573E-2</v>
      </c>
      <c r="G20" s="625">
        <f>ROUND(E20*F20,0)</f>
        <v>92</v>
      </c>
      <c r="H20" s="626">
        <v>365.08190478496442</v>
      </c>
      <c r="I20" s="627">
        <f>ROUND(H20*F20/2,0)</f>
        <v>5</v>
      </c>
      <c r="J20" s="627">
        <f>I20+G20</f>
        <v>97</v>
      </c>
      <c r="K20" s="163"/>
    </row>
    <row r="21" spans="1:11" ht="15" x14ac:dyDescent="0.25">
      <c r="A21" s="623">
        <f t="shared" si="0"/>
        <v>12</v>
      </c>
      <c r="B21" s="611" t="s">
        <v>251</v>
      </c>
      <c r="C21" s="629" t="s">
        <v>802</v>
      </c>
      <c r="D21" s="618"/>
      <c r="E21" s="624">
        <v>4587.3736356100035</v>
      </c>
      <c r="F21" s="650">
        <v>2.9850957892506146E-2</v>
      </c>
      <c r="G21" s="625">
        <f>ROUND(E21*F21,0)</f>
        <v>137</v>
      </c>
      <c r="H21" s="626">
        <v>511.82845904415541</v>
      </c>
      <c r="I21" s="627">
        <f>ROUND(H21*F21/2,0)</f>
        <v>8</v>
      </c>
      <c r="J21" s="627">
        <f>I21+G21</f>
        <v>145</v>
      </c>
      <c r="K21" s="163"/>
    </row>
    <row r="22" spans="1:11" ht="15" x14ac:dyDescent="0.25">
      <c r="A22" s="623">
        <f t="shared" si="0"/>
        <v>13</v>
      </c>
      <c r="B22" s="611" t="s">
        <v>252</v>
      </c>
      <c r="C22" s="629" t="s">
        <v>253</v>
      </c>
      <c r="D22" s="618"/>
      <c r="E22" s="624">
        <v>10629.103247605044</v>
      </c>
      <c r="F22" s="650">
        <v>3.8196191348316734E-2</v>
      </c>
      <c r="G22" s="625">
        <f>ROUND(E22*F22,0)</f>
        <v>406</v>
      </c>
      <c r="H22" s="626">
        <v>1185.9242277568478</v>
      </c>
      <c r="I22" s="627">
        <f>ROUND(H22*F22/2,0)</f>
        <v>23</v>
      </c>
      <c r="J22" s="627">
        <f>I22+G22</f>
        <v>429</v>
      </c>
      <c r="K22" s="163"/>
    </row>
    <row r="23" spans="1:11" ht="15" x14ac:dyDescent="0.25">
      <c r="A23" s="623">
        <f t="shared" si="0"/>
        <v>14</v>
      </c>
      <c r="B23" s="611" t="s">
        <v>254</v>
      </c>
      <c r="C23" s="629" t="s">
        <v>257</v>
      </c>
      <c r="D23" s="618"/>
      <c r="E23" s="624">
        <v>3035.7631697772172</v>
      </c>
      <c r="F23" s="650">
        <v>3.0355808647842118E-2</v>
      </c>
      <c r="G23" s="625">
        <f>ROUND(E23*F23,0)</f>
        <v>92</v>
      </c>
      <c r="H23" s="626">
        <v>338.71014411135042</v>
      </c>
      <c r="I23" s="627">
        <f>ROUND(H23*F23/2,0)</f>
        <v>5</v>
      </c>
      <c r="J23" s="627">
        <f>I23+G23</f>
        <v>97</v>
      </c>
      <c r="K23" s="163"/>
    </row>
    <row r="24" spans="1:11" ht="15" x14ac:dyDescent="0.25">
      <c r="A24" s="623">
        <f t="shared" si="0"/>
        <v>15</v>
      </c>
      <c r="B24" s="611" t="s">
        <v>255</v>
      </c>
      <c r="C24" s="630" t="s">
        <v>256</v>
      </c>
      <c r="D24" s="622"/>
      <c r="E24" s="631">
        <v>1160.2708992815383</v>
      </c>
      <c r="F24" s="742">
        <v>2.7709141667861259E-2</v>
      </c>
      <c r="G24" s="636">
        <f>ROUND(E24*F24,0)</f>
        <v>32</v>
      </c>
      <c r="H24" s="626">
        <v>129.45526430268154</v>
      </c>
      <c r="I24" s="627">
        <f>ROUND(H24*F24/2,0)</f>
        <v>2</v>
      </c>
      <c r="J24" s="627">
        <f>I24+G24</f>
        <v>34</v>
      </c>
      <c r="K24" s="163"/>
    </row>
    <row r="25" spans="1:11" ht="15" x14ac:dyDescent="0.25">
      <c r="A25" s="623">
        <f t="shared" si="0"/>
        <v>16</v>
      </c>
      <c r="B25" s="634"/>
      <c r="C25" s="629" t="s">
        <v>390</v>
      </c>
      <c r="D25" s="618"/>
      <c r="E25" s="624">
        <f>SUM(E20:E24)</f>
        <v>22684.636749999998</v>
      </c>
      <c r="F25" s="740"/>
      <c r="G25" s="626">
        <f>SUM(G20:G24)</f>
        <v>759</v>
      </c>
      <c r="H25" s="635">
        <f>SUM(H20:H24)</f>
        <v>2530.9999999999995</v>
      </c>
      <c r="I25" s="635">
        <f>SUM(I20:I24)</f>
        <v>43</v>
      </c>
      <c r="J25" s="635">
        <f>SUM(J20:J24)</f>
        <v>802</v>
      </c>
      <c r="K25" s="163"/>
    </row>
    <row r="26" spans="1:11" ht="15" x14ac:dyDescent="0.25">
      <c r="A26" s="623">
        <f t="shared" si="0"/>
        <v>17</v>
      </c>
      <c r="B26" s="634"/>
      <c r="C26" s="623"/>
      <c r="D26" s="618"/>
      <c r="E26" s="624"/>
      <c r="F26" s="650"/>
      <c r="G26" s="625"/>
      <c r="H26" s="626"/>
      <c r="I26" s="627"/>
      <c r="J26" s="627"/>
      <c r="K26" s="163"/>
    </row>
    <row r="27" spans="1:11" ht="15" x14ac:dyDescent="0.25">
      <c r="A27" s="623">
        <f t="shared" si="0"/>
        <v>18</v>
      </c>
      <c r="B27" s="634"/>
      <c r="C27" s="163" t="s">
        <v>371</v>
      </c>
      <c r="D27" s="618"/>
      <c r="E27" s="624"/>
      <c r="F27" s="650"/>
      <c r="G27" s="625"/>
      <c r="H27" s="626"/>
      <c r="I27" s="627"/>
      <c r="J27" s="627"/>
      <c r="K27" s="163"/>
    </row>
    <row r="28" spans="1:11" ht="15" x14ac:dyDescent="0.25">
      <c r="A28" s="623">
        <f t="shared" si="0"/>
        <v>19</v>
      </c>
      <c r="B28" s="611" t="s">
        <v>258</v>
      </c>
      <c r="C28" s="630" t="s">
        <v>135</v>
      </c>
      <c r="D28" s="622"/>
      <c r="E28" s="637">
        <v>1384.42127</v>
      </c>
      <c r="F28" s="650">
        <v>2.0370078538305036E-2</v>
      </c>
      <c r="G28" s="636">
        <f>ROUND(E28*F28,0)</f>
        <v>28</v>
      </c>
      <c r="H28" s="632">
        <v>0</v>
      </c>
      <c r="I28" s="633">
        <f>ROUND(H28*F28/2,0)</f>
        <v>0</v>
      </c>
      <c r="J28" s="633">
        <f>I28+G28</f>
        <v>28</v>
      </c>
      <c r="K28" s="163"/>
    </row>
    <row r="29" spans="1:11" ht="15" x14ac:dyDescent="0.25">
      <c r="A29" s="623">
        <f t="shared" si="0"/>
        <v>20</v>
      </c>
      <c r="B29" s="611" t="s">
        <v>28</v>
      </c>
      <c r="C29" s="638" t="s">
        <v>266</v>
      </c>
      <c r="D29" s="618"/>
      <c r="E29" s="624">
        <f>SUM(E28:E28)</f>
        <v>1384.42127</v>
      </c>
      <c r="F29" s="740"/>
      <c r="G29" s="626">
        <f>SUM(G28:G28)</f>
        <v>28</v>
      </c>
      <c r="H29" s="626">
        <f>SUM(H28:H28)</f>
        <v>0</v>
      </c>
      <c r="I29" s="626">
        <f>SUM(I28:I28)</f>
        <v>0</v>
      </c>
      <c r="J29" s="626">
        <f>SUM(J28:J28)</f>
        <v>28</v>
      </c>
      <c r="K29" s="163"/>
    </row>
    <row r="30" spans="1:11" ht="15" x14ac:dyDescent="0.25">
      <c r="A30" s="623">
        <f t="shared" si="0"/>
        <v>21</v>
      </c>
      <c r="B30" s="611" t="s">
        <v>28</v>
      </c>
      <c r="C30" s="623"/>
      <c r="D30" s="618"/>
      <c r="E30" s="624"/>
      <c r="F30" s="650"/>
      <c r="G30" s="625"/>
      <c r="H30" s="626"/>
      <c r="I30" s="627"/>
      <c r="J30" s="627"/>
      <c r="K30" s="163"/>
    </row>
    <row r="31" spans="1:11" x14ac:dyDescent="0.2">
      <c r="A31" s="623">
        <f t="shared" si="0"/>
        <v>22</v>
      </c>
      <c r="B31" s="611"/>
      <c r="C31" s="163" t="s">
        <v>120</v>
      </c>
      <c r="D31" s="639"/>
      <c r="E31" s="624" t="s">
        <v>28</v>
      </c>
      <c r="F31" s="741"/>
      <c r="G31" s="640"/>
      <c r="H31" s="626" t="s">
        <v>28</v>
      </c>
      <c r="I31" s="627"/>
      <c r="J31" s="627"/>
      <c r="K31" s="163"/>
    </row>
    <row r="32" spans="1:11" x14ac:dyDescent="0.2">
      <c r="A32" s="623">
        <f t="shared" si="0"/>
        <v>23</v>
      </c>
      <c r="B32" s="611" t="s">
        <v>121</v>
      </c>
      <c r="C32" s="163" t="s">
        <v>122</v>
      </c>
      <c r="D32" s="639"/>
      <c r="E32" s="624">
        <v>1537.877610116554</v>
      </c>
      <c r="F32" s="741">
        <v>1.4999999999999999E-2</v>
      </c>
      <c r="G32" s="625">
        <f t="shared" ref="G32:G43" si="1">ROUND(E32*F32,0)</f>
        <v>23</v>
      </c>
      <c r="H32" s="626">
        <v>103.56105329547101</v>
      </c>
      <c r="I32" s="627">
        <f t="shared" ref="I32:I43" si="2">ROUND(H32*F32/2,0)</f>
        <v>1</v>
      </c>
      <c r="J32" s="627">
        <f t="shared" ref="J32:J43" si="3">I32+G32</f>
        <v>24</v>
      </c>
      <c r="K32" s="163"/>
    </row>
    <row r="33" spans="1:11" x14ac:dyDescent="0.2">
      <c r="A33" s="623">
        <f t="shared" si="0"/>
        <v>24</v>
      </c>
      <c r="B33" s="611" t="s">
        <v>123</v>
      </c>
      <c r="C33" s="163" t="s">
        <v>124</v>
      </c>
      <c r="D33" s="639"/>
      <c r="E33" s="624">
        <v>39751.30810607929</v>
      </c>
      <c r="F33" s="741">
        <v>2.3987099190262848E-2</v>
      </c>
      <c r="G33" s="625">
        <f t="shared" si="1"/>
        <v>954</v>
      </c>
      <c r="H33" s="626">
        <v>2596.7192283716217</v>
      </c>
      <c r="I33" s="627">
        <f t="shared" si="2"/>
        <v>31</v>
      </c>
      <c r="J33" s="627">
        <f t="shared" si="3"/>
        <v>985</v>
      </c>
      <c r="K33" s="163"/>
    </row>
    <row r="34" spans="1:11" x14ac:dyDescent="0.2">
      <c r="A34" s="623">
        <f t="shared" si="0"/>
        <v>25</v>
      </c>
      <c r="B34" s="611" t="s">
        <v>125</v>
      </c>
      <c r="C34" s="163" t="s">
        <v>126</v>
      </c>
      <c r="D34" s="639"/>
      <c r="E34" s="624">
        <v>25752.008379967458</v>
      </c>
      <c r="F34" s="741">
        <v>2.3098506960921087E-2</v>
      </c>
      <c r="G34" s="625">
        <f t="shared" si="1"/>
        <v>595</v>
      </c>
      <c r="H34" s="626">
        <v>1734.1465242485094</v>
      </c>
      <c r="I34" s="627">
        <f t="shared" si="2"/>
        <v>20</v>
      </c>
      <c r="J34" s="627">
        <f t="shared" si="3"/>
        <v>615</v>
      </c>
      <c r="K34" s="163"/>
    </row>
    <row r="35" spans="1:11" x14ac:dyDescent="0.2">
      <c r="A35" s="623">
        <f t="shared" si="0"/>
        <v>26</v>
      </c>
      <c r="B35" s="611" t="s">
        <v>127</v>
      </c>
      <c r="C35" s="163" t="s">
        <v>128</v>
      </c>
      <c r="D35" s="639"/>
      <c r="E35" s="624">
        <v>3442.6666377924084</v>
      </c>
      <c r="F35" s="741">
        <v>2.342792269111189E-2</v>
      </c>
      <c r="G35" s="625">
        <f t="shared" si="1"/>
        <v>81</v>
      </c>
      <c r="H35" s="626">
        <v>231.83001092521198</v>
      </c>
      <c r="I35" s="627">
        <f t="shared" si="2"/>
        <v>3</v>
      </c>
      <c r="J35" s="627">
        <f t="shared" si="3"/>
        <v>84</v>
      </c>
      <c r="K35" s="163"/>
    </row>
    <row r="36" spans="1:11" x14ac:dyDescent="0.2">
      <c r="A36" s="623">
        <f t="shared" si="0"/>
        <v>27</v>
      </c>
      <c r="B36" s="611" t="s">
        <v>129</v>
      </c>
      <c r="C36" s="163" t="s">
        <v>130</v>
      </c>
      <c r="D36" s="639"/>
      <c r="E36" s="624">
        <v>26410.767417488183</v>
      </c>
      <c r="F36" s="741">
        <v>2.4025895999723251E-2</v>
      </c>
      <c r="G36" s="625">
        <f t="shared" si="1"/>
        <v>635</v>
      </c>
      <c r="H36" s="626">
        <v>1762.319418481585</v>
      </c>
      <c r="I36" s="627">
        <f t="shared" si="2"/>
        <v>21</v>
      </c>
      <c r="J36" s="627">
        <f t="shared" si="3"/>
        <v>656</v>
      </c>
      <c r="K36" s="163"/>
    </row>
    <row r="37" spans="1:11" x14ac:dyDescent="0.2">
      <c r="A37" s="623">
        <f t="shared" si="0"/>
        <v>28</v>
      </c>
      <c r="B37" s="611" t="s">
        <v>131</v>
      </c>
      <c r="C37" s="163" t="s">
        <v>132</v>
      </c>
      <c r="D37" s="639"/>
      <c r="E37" s="624">
        <v>3579.6299405454424</v>
      </c>
      <c r="F37" s="741">
        <v>2.6015431686005126E-2</v>
      </c>
      <c r="G37" s="625">
        <f t="shared" si="1"/>
        <v>93</v>
      </c>
      <c r="H37" s="626">
        <v>241.05315313277407</v>
      </c>
      <c r="I37" s="627">
        <f t="shared" si="2"/>
        <v>3</v>
      </c>
      <c r="J37" s="627">
        <f t="shared" si="3"/>
        <v>96</v>
      </c>
      <c r="K37" s="163"/>
    </row>
    <row r="38" spans="1:11" x14ac:dyDescent="0.2">
      <c r="A38" s="623">
        <f t="shared" si="0"/>
        <v>29</v>
      </c>
      <c r="B38" s="611" t="s">
        <v>133</v>
      </c>
      <c r="C38" s="163" t="s">
        <v>110</v>
      </c>
      <c r="D38" s="639"/>
      <c r="E38" s="624">
        <v>2602.1484889096573</v>
      </c>
      <c r="F38" s="741">
        <v>7.6399770694256824E-2</v>
      </c>
      <c r="G38" s="625">
        <f t="shared" si="1"/>
        <v>199</v>
      </c>
      <c r="H38" s="626">
        <v>79.775015576323995</v>
      </c>
      <c r="I38" s="627">
        <f t="shared" si="2"/>
        <v>3</v>
      </c>
      <c r="J38" s="627">
        <f t="shared" si="3"/>
        <v>202</v>
      </c>
      <c r="K38" s="163"/>
    </row>
    <row r="39" spans="1:11" x14ac:dyDescent="0.2">
      <c r="A39" s="623">
        <f t="shared" si="0"/>
        <v>30</v>
      </c>
      <c r="B39" s="611" t="s">
        <v>401</v>
      </c>
      <c r="C39" s="163" t="s">
        <v>402</v>
      </c>
      <c r="D39" s="639"/>
      <c r="E39" s="624">
        <v>68.140350000000012</v>
      </c>
      <c r="F39" s="741">
        <v>6.952018884552251E-2</v>
      </c>
      <c r="G39" s="625">
        <f t="shared" si="1"/>
        <v>5</v>
      </c>
      <c r="H39" s="626">
        <v>0</v>
      </c>
      <c r="I39" s="627">
        <f t="shared" si="2"/>
        <v>0</v>
      </c>
      <c r="J39" s="627">
        <f t="shared" si="3"/>
        <v>5</v>
      </c>
      <c r="K39" s="163"/>
    </row>
    <row r="40" spans="1:11" x14ac:dyDescent="0.2">
      <c r="A40" s="623">
        <f t="shared" si="0"/>
        <v>31</v>
      </c>
      <c r="B40" s="611" t="s">
        <v>134</v>
      </c>
      <c r="C40" s="163" t="s">
        <v>260</v>
      </c>
      <c r="D40" s="639"/>
      <c r="E40" s="624">
        <v>3618.7087953584505</v>
      </c>
      <c r="F40" s="741">
        <v>2.5021833606595257E-2</v>
      </c>
      <c r="G40" s="625">
        <f t="shared" si="1"/>
        <v>91</v>
      </c>
      <c r="H40" s="626">
        <v>243.68473274573768</v>
      </c>
      <c r="I40" s="627">
        <f t="shared" si="2"/>
        <v>3</v>
      </c>
      <c r="J40" s="627">
        <f t="shared" si="3"/>
        <v>94</v>
      </c>
      <c r="K40" s="163"/>
    </row>
    <row r="41" spans="1:11" x14ac:dyDescent="0.2">
      <c r="A41" s="623">
        <f t="shared" si="0"/>
        <v>32</v>
      </c>
      <c r="B41" s="611" t="s">
        <v>136</v>
      </c>
      <c r="C41" s="163" t="s">
        <v>137</v>
      </c>
      <c r="D41" s="639"/>
      <c r="E41" s="624">
        <v>10940.776904000002</v>
      </c>
      <c r="F41" s="741">
        <v>3.4154257573616287E-2</v>
      </c>
      <c r="G41" s="625">
        <f t="shared" si="1"/>
        <v>374</v>
      </c>
      <c r="H41" s="626">
        <v>813</v>
      </c>
      <c r="I41" s="627">
        <f t="shared" si="2"/>
        <v>14</v>
      </c>
      <c r="J41" s="627">
        <f t="shared" si="3"/>
        <v>388</v>
      </c>
      <c r="K41" s="163"/>
    </row>
    <row r="42" spans="1:11" x14ac:dyDescent="0.2">
      <c r="A42" s="623">
        <f t="shared" si="0"/>
        <v>33</v>
      </c>
      <c r="B42" s="611" t="s">
        <v>261</v>
      </c>
      <c r="C42" s="163" t="s">
        <v>262</v>
      </c>
      <c r="D42" s="639"/>
      <c r="E42" s="624">
        <v>284.73828000000003</v>
      </c>
      <c r="F42" s="741">
        <v>2.8719812453738218E-2</v>
      </c>
      <c r="G42" s="625">
        <f t="shared" si="1"/>
        <v>8</v>
      </c>
      <c r="H42" s="626">
        <v>0</v>
      </c>
      <c r="I42" s="627">
        <f t="shared" si="2"/>
        <v>0</v>
      </c>
      <c r="J42" s="627">
        <f t="shared" si="3"/>
        <v>8</v>
      </c>
      <c r="K42" s="163"/>
    </row>
    <row r="43" spans="1:11" x14ac:dyDescent="0.2">
      <c r="A43" s="623">
        <f t="shared" si="0"/>
        <v>34</v>
      </c>
      <c r="B43" s="611" t="s">
        <v>138</v>
      </c>
      <c r="C43" s="641" t="s">
        <v>259</v>
      </c>
      <c r="D43" s="642"/>
      <c r="E43" s="631">
        <v>32303.480069318877</v>
      </c>
      <c r="F43" s="741">
        <v>2.4096997306023639E-2</v>
      </c>
      <c r="G43" s="625">
        <f t="shared" si="1"/>
        <v>778</v>
      </c>
      <c r="H43" s="632">
        <v>2163.2960121324209</v>
      </c>
      <c r="I43" s="633">
        <f t="shared" si="2"/>
        <v>26</v>
      </c>
      <c r="J43" s="633">
        <f t="shared" si="3"/>
        <v>804</v>
      </c>
      <c r="K43" s="163"/>
    </row>
    <row r="44" spans="1:11" x14ac:dyDescent="0.2">
      <c r="A44" s="623">
        <f t="shared" si="0"/>
        <v>35</v>
      </c>
      <c r="B44" s="611"/>
      <c r="C44" s="163" t="s">
        <v>139</v>
      </c>
      <c r="D44" s="639"/>
      <c r="E44" s="624">
        <f>SUM(E32:E43)</f>
        <v>150292.25097957635</v>
      </c>
      <c r="F44" s="740"/>
      <c r="G44" s="635">
        <f>SUM(G32:G43)</f>
        <v>3836</v>
      </c>
      <c r="H44" s="626">
        <f>SUM(H32:H43)</f>
        <v>9969.385148909656</v>
      </c>
      <c r="I44" s="626">
        <f>SUM(I32:I43)</f>
        <v>125</v>
      </c>
      <c r="J44" s="626">
        <f>SUM(J32:J43)</f>
        <v>3961</v>
      </c>
      <c r="K44" s="163"/>
    </row>
    <row r="45" spans="1:11" x14ac:dyDescent="0.2">
      <c r="A45" s="623">
        <f t="shared" si="0"/>
        <v>36</v>
      </c>
      <c r="B45" s="611"/>
      <c r="C45" s="163"/>
      <c r="D45" s="639"/>
      <c r="E45" s="624"/>
      <c r="F45" s="741"/>
      <c r="G45" s="640"/>
      <c r="H45" s="626"/>
      <c r="I45" s="627"/>
      <c r="J45" s="627"/>
      <c r="K45" s="163"/>
    </row>
    <row r="46" spans="1:11" x14ac:dyDescent="0.2">
      <c r="A46" s="623">
        <f t="shared" si="0"/>
        <v>37</v>
      </c>
      <c r="B46" s="611"/>
      <c r="C46" s="163" t="s">
        <v>140</v>
      </c>
      <c r="D46" s="639"/>
      <c r="E46" s="624"/>
      <c r="F46" s="741"/>
      <c r="G46" s="640"/>
      <c r="H46" s="626"/>
      <c r="I46" s="627"/>
      <c r="J46" s="627"/>
      <c r="K46" s="163"/>
    </row>
    <row r="47" spans="1:11" x14ac:dyDescent="0.2">
      <c r="A47" s="623">
        <f t="shared" si="0"/>
        <v>38</v>
      </c>
      <c r="B47" s="611" t="s">
        <v>141</v>
      </c>
      <c r="C47" s="163" t="s">
        <v>142</v>
      </c>
      <c r="D47" s="639"/>
      <c r="E47" s="624">
        <v>5073.18905</v>
      </c>
      <c r="F47" s="741">
        <v>2.6595860400264234E-2</v>
      </c>
      <c r="G47" s="625">
        <f t="shared" ref="G47:G57" si="4">ROUND(E47*F47,0)</f>
        <v>135</v>
      </c>
      <c r="H47" s="626">
        <v>305.28558500000003</v>
      </c>
      <c r="I47" s="627">
        <f t="shared" ref="I47:I57" si="5">ROUND(H47*F47/2,0)</f>
        <v>4</v>
      </c>
      <c r="J47" s="627">
        <f t="shared" ref="J47:J57" si="6">I47+G47</f>
        <v>139</v>
      </c>
      <c r="K47" s="163"/>
    </row>
    <row r="48" spans="1:11" x14ac:dyDescent="0.2">
      <c r="A48" s="623">
        <f t="shared" si="0"/>
        <v>39</v>
      </c>
      <c r="B48" s="611" t="s">
        <v>143</v>
      </c>
      <c r="C48" s="163" t="s">
        <v>144</v>
      </c>
      <c r="D48" s="639"/>
      <c r="E48" s="624">
        <v>214.16683333333333</v>
      </c>
      <c r="F48" s="741">
        <v>6.6700048144432131E-2</v>
      </c>
      <c r="G48" s="625">
        <f t="shared" si="4"/>
        <v>14</v>
      </c>
      <c r="H48" s="626">
        <v>1.5359166666666653</v>
      </c>
      <c r="I48" s="627">
        <v>0</v>
      </c>
      <c r="J48" s="627">
        <f t="shared" si="6"/>
        <v>14</v>
      </c>
      <c r="K48" s="163"/>
    </row>
    <row r="49" spans="1:11" x14ac:dyDescent="0.2">
      <c r="A49" s="623">
        <f t="shared" si="0"/>
        <v>40</v>
      </c>
      <c r="B49" s="651">
        <v>483.2</v>
      </c>
      <c r="C49" s="163" t="s">
        <v>339</v>
      </c>
      <c r="D49" s="639"/>
      <c r="E49" s="624">
        <v>47.030540000000002</v>
      </c>
      <c r="F49" s="741">
        <v>0.19999994775156704</v>
      </c>
      <c r="G49" s="625">
        <f t="shared" si="4"/>
        <v>9</v>
      </c>
      <c r="H49" s="626">
        <v>0</v>
      </c>
      <c r="I49" s="627">
        <f t="shared" si="5"/>
        <v>0</v>
      </c>
      <c r="J49" s="627">
        <f t="shared" si="6"/>
        <v>9</v>
      </c>
      <c r="K49" s="163"/>
    </row>
    <row r="50" spans="1:11" x14ac:dyDescent="0.2">
      <c r="A50" s="623">
        <f t="shared" si="0"/>
        <v>41</v>
      </c>
      <c r="B50" s="611" t="s">
        <v>263</v>
      </c>
      <c r="C50" s="163" t="s">
        <v>264</v>
      </c>
      <c r="D50" s="639"/>
      <c r="E50" s="624">
        <v>4253.9763966666669</v>
      </c>
      <c r="F50" s="741">
        <v>9.3120379988201496E-2</v>
      </c>
      <c r="G50" s="625">
        <f t="shared" si="4"/>
        <v>396</v>
      </c>
      <c r="H50" s="626">
        <v>730.097668</v>
      </c>
      <c r="I50" s="627">
        <f>ROUND(H50*F50/2,0)</f>
        <v>34</v>
      </c>
      <c r="J50" s="627">
        <f t="shared" si="6"/>
        <v>430</v>
      </c>
      <c r="K50" s="163"/>
    </row>
    <row r="51" spans="1:11" x14ac:dyDescent="0.2">
      <c r="A51" s="623">
        <f t="shared" si="0"/>
        <v>42</v>
      </c>
      <c r="B51" s="611" t="s">
        <v>145</v>
      </c>
      <c r="C51" s="163" t="s">
        <v>146</v>
      </c>
      <c r="D51" s="639"/>
      <c r="E51" s="624">
        <v>1066.2856900000002</v>
      </c>
      <c r="F51" s="741">
        <v>6.6699990685748042E-2</v>
      </c>
      <c r="G51" s="625">
        <f t="shared" si="4"/>
        <v>71</v>
      </c>
      <c r="H51" s="626">
        <v>83.67170999999999</v>
      </c>
      <c r="I51" s="627">
        <f t="shared" si="5"/>
        <v>3</v>
      </c>
      <c r="J51" s="627">
        <f t="shared" si="6"/>
        <v>74</v>
      </c>
      <c r="K51" s="163"/>
    </row>
    <row r="52" spans="1:11" x14ac:dyDescent="0.2">
      <c r="A52" s="623">
        <f t="shared" si="0"/>
        <v>43</v>
      </c>
      <c r="B52" s="611" t="s">
        <v>148</v>
      </c>
      <c r="C52" s="163" t="s">
        <v>265</v>
      </c>
      <c r="D52" s="639"/>
      <c r="E52" s="624">
        <v>1014.1100100000001</v>
      </c>
      <c r="F52" s="741">
        <v>6.670001397418307E-2</v>
      </c>
      <c r="G52" s="625">
        <f t="shared" si="4"/>
        <v>68</v>
      </c>
      <c r="H52" s="626">
        <v>11.7</v>
      </c>
      <c r="I52" s="627">
        <f t="shared" si="5"/>
        <v>0</v>
      </c>
      <c r="J52" s="627">
        <f t="shared" si="6"/>
        <v>68</v>
      </c>
      <c r="K52" s="163"/>
    </row>
    <row r="53" spans="1:11" x14ac:dyDescent="0.2">
      <c r="A53" s="623">
        <f t="shared" si="0"/>
        <v>44</v>
      </c>
      <c r="B53" s="611" t="s">
        <v>369</v>
      </c>
      <c r="C53" s="163" t="s">
        <v>370</v>
      </c>
      <c r="D53" s="639"/>
      <c r="E53" s="624">
        <v>474.68126000000001</v>
      </c>
      <c r="F53" s="741">
        <v>2.6263876522110857E-2</v>
      </c>
      <c r="G53" s="625">
        <f t="shared" si="4"/>
        <v>12</v>
      </c>
      <c r="H53" s="626">
        <v>0</v>
      </c>
      <c r="I53" s="627">
        <f t="shared" si="5"/>
        <v>0</v>
      </c>
      <c r="J53" s="627">
        <f t="shared" si="6"/>
        <v>12</v>
      </c>
      <c r="K53" s="163"/>
    </row>
    <row r="54" spans="1:11" x14ac:dyDescent="0.2">
      <c r="A54" s="623">
        <f t="shared" si="0"/>
        <v>45</v>
      </c>
      <c r="B54" s="611" t="s">
        <v>617</v>
      </c>
      <c r="C54" s="610" t="s">
        <v>271</v>
      </c>
      <c r="D54" s="639"/>
      <c r="E54" s="624">
        <v>1.4930000000000001</v>
      </c>
      <c r="F54" s="741">
        <v>0</v>
      </c>
      <c r="G54" s="625">
        <f t="shared" si="4"/>
        <v>0</v>
      </c>
      <c r="H54" s="626">
        <v>0</v>
      </c>
      <c r="I54" s="627">
        <f t="shared" si="5"/>
        <v>0</v>
      </c>
      <c r="J54" s="627">
        <f t="shared" si="6"/>
        <v>0</v>
      </c>
      <c r="K54" s="163"/>
    </row>
    <row r="55" spans="1:11" x14ac:dyDescent="0.2">
      <c r="A55" s="623">
        <f t="shared" si="0"/>
        <v>46</v>
      </c>
      <c r="B55" s="611" t="s">
        <v>613</v>
      </c>
      <c r="C55" s="610" t="s">
        <v>731</v>
      </c>
      <c r="D55" s="639"/>
      <c r="E55" s="624">
        <v>1901</v>
      </c>
      <c r="F55" s="741">
        <v>0.04</v>
      </c>
      <c r="G55" s="625">
        <f t="shared" si="4"/>
        <v>76</v>
      </c>
      <c r="H55" s="626">
        <v>0</v>
      </c>
      <c r="I55" s="627">
        <f t="shared" si="5"/>
        <v>0</v>
      </c>
      <c r="J55" s="627">
        <f t="shared" si="6"/>
        <v>76</v>
      </c>
      <c r="K55" s="163"/>
    </row>
    <row r="56" spans="1:11" x14ac:dyDescent="0.2">
      <c r="A56" s="623">
        <f t="shared" si="0"/>
        <v>47</v>
      </c>
      <c r="B56" s="611" t="s">
        <v>614</v>
      </c>
      <c r="C56" s="610" t="s">
        <v>616</v>
      </c>
      <c r="D56" s="639"/>
      <c r="E56" s="624">
        <v>389</v>
      </c>
      <c r="F56" s="741">
        <v>0.2</v>
      </c>
      <c r="G56" s="625">
        <f t="shared" si="4"/>
        <v>78</v>
      </c>
      <c r="H56" s="626">
        <v>0</v>
      </c>
      <c r="I56" s="627">
        <v>0</v>
      </c>
      <c r="J56" s="627">
        <f>I56+G56</f>
        <v>78</v>
      </c>
      <c r="K56" s="163"/>
    </row>
    <row r="57" spans="1:11" x14ac:dyDescent="0.2">
      <c r="A57" s="623">
        <f t="shared" si="0"/>
        <v>48</v>
      </c>
      <c r="B57" s="611" t="s">
        <v>615</v>
      </c>
      <c r="C57" s="610" t="s">
        <v>504</v>
      </c>
      <c r="D57" s="642"/>
      <c r="E57" s="637">
        <v>2915.86</v>
      </c>
      <c r="F57" s="742">
        <v>0.1</v>
      </c>
      <c r="G57" s="636">
        <f t="shared" si="4"/>
        <v>292</v>
      </c>
      <c r="H57" s="632">
        <v>57.4</v>
      </c>
      <c r="I57" s="633">
        <f t="shared" si="5"/>
        <v>3</v>
      </c>
      <c r="J57" s="633">
        <f t="shared" si="6"/>
        <v>295</v>
      </c>
      <c r="K57" s="163"/>
    </row>
    <row r="58" spans="1:11" x14ac:dyDescent="0.2">
      <c r="A58" s="623">
        <f t="shared" si="0"/>
        <v>49</v>
      </c>
      <c r="B58" s="611"/>
      <c r="C58" s="163" t="s">
        <v>149</v>
      </c>
      <c r="D58" s="163"/>
      <c r="E58" s="624">
        <f>SUM(E47:E57)</f>
        <v>17350.79278</v>
      </c>
      <c r="F58" s="611"/>
      <c r="G58" s="640">
        <f>SUM(G47:G57)</f>
        <v>1151</v>
      </c>
      <c r="H58" s="640">
        <f>SUM(H47:H57)</f>
        <v>1189.6908796666669</v>
      </c>
      <c r="I58" s="640">
        <f>SUM(I47:I57)</f>
        <v>44</v>
      </c>
      <c r="J58" s="640">
        <f>SUM(J47:J57)</f>
        <v>1195</v>
      </c>
      <c r="K58" s="163"/>
    </row>
    <row r="59" spans="1:11" x14ac:dyDescent="0.2">
      <c r="A59" s="623">
        <f t="shared" si="0"/>
        <v>50</v>
      </c>
      <c r="B59" s="611"/>
      <c r="C59" s="163"/>
      <c r="D59" s="163"/>
      <c r="E59" s="624"/>
      <c r="F59" s="611"/>
      <c r="G59" s="640"/>
      <c r="H59" s="640"/>
      <c r="I59" s="640"/>
      <c r="J59" s="640"/>
      <c r="K59" s="163"/>
    </row>
    <row r="60" spans="1:11" ht="15" thickBot="1" x14ac:dyDescent="0.25">
      <c r="A60" s="623">
        <f t="shared" si="0"/>
        <v>51</v>
      </c>
      <c r="B60" s="611"/>
      <c r="C60" s="163" t="s">
        <v>150</v>
      </c>
      <c r="D60" s="163"/>
      <c r="E60" s="624">
        <f>E58+E44+E29+E25+E17</f>
        <v>202877.25643957633</v>
      </c>
      <c r="F60" s="741"/>
      <c r="G60" s="646">
        <f>G44+G58+G29+G25+G17</f>
        <v>6055</v>
      </c>
      <c r="H60" s="646">
        <f>H44+H58+H29+H25+H17</f>
        <v>13690.076028576323</v>
      </c>
      <c r="I60" s="646">
        <f>I44+I58+I29+I25+I17</f>
        <v>212</v>
      </c>
      <c r="J60" s="646">
        <f>J44+J58+J29+J25+J17</f>
        <v>6267</v>
      </c>
      <c r="K60" s="163"/>
    </row>
    <row r="61" spans="1:11" x14ac:dyDescent="0.2">
      <c r="A61" s="623">
        <f t="shared" si="0"/>
        <v>52</v>
      </c>
      <c r="B61" s="611"/>
      <c r="C61" s="163" t="s">
        <v>434</v>
      </c>
      <c r="D61" s="163"/>
      <c r="E61" s="637">
        <v>380</v>
      </c>
      <c r="F61" s="741"/>
      <c r="G61" s="163"/>
      <c r="H61" s="163"/>
      <c r="I61" s="627"/>
      <c r="J61" s="163"/>
      <c r="K61" s="163"/>
    </row>
    <row r="62" spans="1:11" ht="15" x14ac:dyDescent="0.25">
      <c r="A62" s="623">
        <f t="shared" si="0"/>
        <v>53</v>
      </c>
      <c r="B62" s="611"/>
      <c r="C62" s="163" t="s">
        <v>151</v>
      </c>
      <c r="D62" s="163" t="s">
        <v>610</v>
      </c>
      <c r="E62" s="624">
        <f>E60+E61</f>
        <v>203257.25643957633</v>
      </c>
      <c r="F62" s="611"/>
      <c r="G62" s="648"/>
      <c r="H62" s="648"/>
      <c r="I62" s="648"/>
      <c r="J62" s="648"/>
      <c r="K62" s="649"/>
    </row>
    <row r="63" spans="1:11" x14ac:dyDescent="0.2">
      <c r="A63" s="163"/>
      <c r="B63" s="611"/>
      <c r="C63" s="163"/>
      <c r="D63" s="163"/>
      <c r="E63" s="610"/>
      <c r="F63" s="163"/>
      <c r="G63" s="163"/>
      <c r="H63" s="163"/>
      <c r="I63" s="163"/>
      <c r="J63" s="163"/>
      <c r="K63" s="163"/>
    </row>
    <row r="64" spans="1:11" x14ac:dyDescent="0.2">
      <c r="A64" s="163"/>
      <c r="B64" s="611"/>
      <c r="C64" s="163"/>
      <c r="D64" s="163"/>
      <c r="E64" s="610"/>
      <c r="F64" s="163"/>
      <c r="G64" s="163"/>
      <c r="H64" s="163"/>
      <c r="I64" s="163"/>
      <c r="J64" s="163"/>
      <c r="K64" s="163"/>
    </row>
    <row r="65" spans="1:11" x14ac:dyDescent="0.2">
      <c r="A65" s="163"/>
      <c r="B65" s="611"/>
      <c r="C65" s="163"/>
      <c r="D65" s="163"/>
      <c r="E65" s="610"/>
      <c r="F65" s="163"/>
      <c r="G65" s="163"/>
      <c r="H65" s="163"/>
      <c r="I65" s="163"/>
      <c r="J65" s="163"/>
      <c r="K65" s="163"/>
    </row>
  </sheetData>
  <printOptions horizontalCentered="1"/>
  <pageMargins left="0.5" right="0.5" top="0.75" bottom="0.5" header="0.3" footer="0.3"/>
  <pageSetup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62"/>
  <sheetViews>
    <sheetView view="pageBreakPreview" zoomScale="115" zoomScaleNormal="100" zoomScaleSheetLayoutView="115" workbookViewId="0">
      <selection activeCell="AC23" sqref="AC23"/>
    </sheetView>
  </sheetViews>
  <sheetFormatPr defaultRowHeight="11.25" x14ac:dyDescent="0.2"/>
  <cols>
    <col min="1" max="1" width="5.7109375" style="548" bestFit="1" customWidth="1"/>
    <col min="2" max="2" width="6.5703125" style="548" bestFit="1" customWidth="1"/>
    <col min="3" max="3" width="43.7109375" style="548" bestFit="1" customWidth="1"/>
    <col min="4" max="4" width="8.42578125" style="548" customWidth="1"/>
    <col min="5" max="5" width="8.28515625" style="548" customWidth="1"/>
    <col min="6" max="6" width="6.7109375" style="548" customWidth="1"/>
    <col min="7" max="7" width="9.28515625" style="548" bestFit="1" customWidth="1"/>
    <col min="8" max="8" width="9.140625" style="598"/>
    <col min="9" max="9" width="2.28515625" style="548" customWidth="1"/>
    <col min="10" max="10" width="11.85546875" style="548" customWidth="1"/>
    <col min="11" max="11" width="2.28515625" style="548" customWidth="1"/>
    <col min="12" max="12" width="11.85546875" style="548" customWidth="1"/>
    <col min="13" max="13" width="2.28515625" style="548" customWidth="1"/>
    <col min="14" max="14" width="2.28515625" style="548" hidden="1" customWidth="1"/>
    <col min="15" max="15" width="11.85546875" style="548" customWidth="1"/>
    <col min="16" max="16" width="2.28515625" style="548" customWidth="1"/>
    <col min="17" max="17" width="11.85546875" style="548" customWidth="1"/>
    <col min="18" max="18" width="2.28515625" style="548" customWidth="1"/>
    <col min="19" max="19" width="11.85546875" style="548" customWidth="1"/>
    <col min="20" max="20" width="2.28515625" style="548" customWidth="1"/>
    <col min="21" max="21" width="11.85546875" style="548" customWidth="1"/>
    <col min="22" max="22" width="2.28515625" style="548" customWidth="1"/>
    <col min="23" max="23" width="11.85546875" style="548" customWidth="1"/>
    <col min="24" max="24" width="2.7109375" style="548" customWidth="1"/>
    <col min="25" max="16384" width="9.140625" style="548"/>
  </cols>
  <sheetData>
    <row r="1" spans="1:26" s="163" customFormat="1" ht="15" x14ac:dyDescent="0.25">
      <c r="A1" s="609" t="s">
        <v>539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7" t="s">
        <v>840</v>
      </c>
    </row>
    <row r="2" spans="1:26" s="163" customFormat="1" ht="12.75" customHeight="1" x14ac:dyDescent="0.25">
      <c r="A2" s="609" t="s">
        <v>489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</row>
    <row r="3" spans="1:26" s="163" customFormat="1" ht="12.75" customHeight="1" x14ac:dyDescent="0.25">
      <c r="A3" s="609" t="s">
        <v>329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</row>
    <row r="4" spans="1:26" s="163" customFormat="1" ht="12.75" customHeight="1" x14ac:dyDescent="0.25">
      <c r="A4" s="609" t="s">
        <v>33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</row>
    <row r="5" spans="1:26" x14ac:dyDescent="0.2">
      <c r="E5" s="599"/>
      <c r="F5" s="600" t="s">
        <v>28</v>
      </c>
      <c r="H5" s="601" t="s">
        <v>28</v>
      </c>
    </row>
    <row r="6" spans="1:26" ht="12.75" x14ac:dyDescent="0.2">
      <c r="A6" s="550"/>
      <c r="B6" s="550"/>
      <c r="C6" s="551"/>
      <c r="D6" s="551"/>
      <c r="E6" s="602"/>
      <c r="F6" s="552" t="s">
        <v>28</v>
      </c>
      <c r="G6" s="552"/>
      <c r="H6" s="603" t="s">
        <v>28</v>
      </c>
      <c r="I6" s="550"/>
      <c r="J6" s="550"/>
      <c r="K6" s="550"/>
      <c r="L6" s="550"/>
      <c r="M6" s="550"/>
      <c r="N6" s="550"/>
      <c r="O6" s="604"/>
      <c r="P6" s="604"/>
      <c r="Q6" s="604"/>
      <c r="R6" s="604"/>
      <c r="S6" s="604"/>
      <c r="T6" s="429"/>
      <c r="U6" s="720" t="s">
        <v>461</v>
      </c>
      <c r="V6" s="571"/>
      <c r="W6" s="720" t="s">
        <v>461</v>
      </c>
      <c r="X6" s="427"/>
    </row>
    <row r="7" spans="1:26" ht="12.75" x14ac:dyDescent="0.2">
      <c r="A7" s="569" t="s">
        <v>34</v>
      </c>
      <c r="B7" s="569" t="s">
        <v>28</v>
      </c>
      <c r="C7" s="569"/>
      <c r="D7" s="569" t="s">
        <v>101</v>
      </c>
      <c r="E7" s="653" t="s">
        <v>112</v>
      </c>
      <c r="F7" s="528" t="s">
        <v>28</v>
      </c>
      <c r="G7" s="528" t="s">
        <v>113</v>
      </c>
      <c r="H7" s="654" t="s">
        <v>114</v>
      </c>
      <c r="I7" s="573"/>
      <c r="J7" s="571" t="s">
        <v>26</v>
      </c>
      <c r="K7" s="573"/>
      <c r="L7" s="571" t="s">
        <v>26</v>
      </c>
      <c r="M7" s="573"/>
      <c r="N7" s="573"/>
      <c r="O7" s="850" t="s">
        <v>330</v>
      </c>
      <c r="P7" s="850"/>
      <c r="Q7" s="850"/>
      <c r="R7" s="850"/>
      <c r="S7" s="850"/>
      <c r="T7" s="569"/>
      <c r="U7" s="573" t="s">
        <v>15</v>
      </c>
      <c r="V7" s="571"/>
      <c r="W7" s="573" t="s">
        <v>15</v>
      </c>
      <c r="X7" s="423"/>
    </row>
    <row r="8" spans="1:26" ht="12.75" x14ac:dyDescent="0.2">
      <c r="A8" s="185" t="s">
        <v>36</v>
      </c>
      <c r="B8" s="185" t="s">
        <v>115</v>
      </c>
      <c r="C8" s="185" t="s">
        <v>178</v>
      </c>
      <c r="D8" s="185" t="s">
        <v>37</v>
      </c>
      <c r="E8" s="655" t="s">
        <v>116</v>
      </c>
      <c r="F8" s="185" t="s">
        <v>117</v>
      </c>
      <c r="G8" s="185" t="s">
        <v>118</v>
      </c>
      <c r="H8" s="656" t="s">
        <v>119</v>
      </c>
      <c r="I8" s="187"/>
      <c r="J8" s="572">
        <v>2011</v>
      </c>
      <c r="K8" s="187"/>
      <c r="L8" s="572">
        <v>2012</v>
      </c>
      <c r="M8" s="573"/>
      <c r="N8" s="573"/>
      <c r="O8" s="185">
        <v>2013</v>
      </c>
      <c r="P8" s="569"/>
      <c r="Q8" s="185">
        <v>2014</v>
      </c>
      <c r="R8" s="571"/>
      <c r="S8" s="185">
        <v>2015</v>
      </c>
      <c r="T8" s="185"/>
      <c r="U8" s="572">
        <v>2008</v>
      </c>
      <c r="V8" s="571"/>
      <c r="W8" s="572">
        <v>2009</v>
      </c>
      <c r="X8" s="423"/>
    </row>
    <row r="9" spans="1:26" ht="12.75" x14ac:dyDescent="0.2">
      <c r="A9" s="513"/>
      <c r="B9" s="513"/>
      <c r="C9" s="513"/>
      <c r="D9" s="414"/>
      <c r="E9" s="657"/>
      <c r="F9" s="513"/>
      <c r="G9" s="513"/>
      <c r="H9" s="658"/>
      <c r="I9" s="423"/>
      <c r="J9" s="423"/>
      <c r="K9" s="423"/>
      <c r="L9" s="423"/>
      <c r="M9" s="485"/>
      <c r="N9" s="485"/>
      <c r="O9" s="423"/>
      <c r="P9" s="423"/>
      <c r="Q9" s="423"/>
      <c r="R9" s="423"/>
      <c r="S9" s="423"/>
      <c r="T9" s="423"/>
      <c r="U9" s="423"/>
      <c r="V9" s="423"/>
      <c r="W9" s="423"/>
      <c r="X9" s="423"/>
    </row>
    <row r="10" spans="1:26" ht="12.75" x14ac:dyDescent="0.2">
      <c r="A10" s="496">
        <v>1</v>
      </c>
      <c r="B10" s="423"/>
      <c r="C10" s="423" t="s">
        <v>362</v>
      </c>
      <c r="D10" s="514"/>
      <c r="E10" s="423"/>
      <c r="F10" s="423"/>
      <c r="G10" s="423"/>
      <c r="H10" s="499"/>
      <c r="I10" s="573"/>
      <c r="J10" s="573"/>
      <c r="K10" s="573"/>
      <c r="L10" s="573"/>
      <c r="M10" s="573"/>
      <c r="N10" s="573"/>
      <c r="O10" s="423"/>
      <c r="P10" s="423"/>
      <c r="Q10" s="423"/>
      <c r="R10" s="423"/>
      <c r="S10" s="423"/>
      <c r="T10" s="423"/>
      <c r="U10" s="423"/>
      <c r="V10" s="423"/>
      <c r="W10" s="423"/>
      <c r="X10" s="423"/>
    </row>
    <row r="11" spans="1:26" ht="12.75" x14ac:dyDescent="0.2">
      <c r="A11" s="496">
        <v>2</v>
      </c>
      <c r="B11" s="525"/>
      <c r="C11" s="423"/>
      <c r="D11" s="414"/>
      <c r="E11" s="657"/>
      <c r="F11" s="496"/>
      <c r="G11" s="659"/>
      <c r="H11" s="499"/>
      <c r="I11" s="573"/>
      <c r="J11" s="573"/>
      <c r="K11" s="573"/>
      <c r="L11" s="573"/>
      <c r="M11" s="573"/>
      <c r="N11" s="573"/>
      <c r="O11" s="423"/>
      <c r="P11" s="423"/>
      <c r="Q11" s="423"/>
      <c r="R11" s="423"/>
      <c r="S11" s="423"/>
      <c r="T11" s="423"/>
      <c r="U11" s="423"/>
      <c r="V11" s="423"/>
      <c r="W11" s="423"/>
      <c r="X11" s="423"/>
    </row>
    <row r="12" spans="1:26" ht="12.75" x14ac:dyDescent="0.2">
      <c r="A12" s="513">
        <v>3</v>
      </c>
      <c r="B12" s="423" t="s">
        <v>403</v>
      </c>
      <c r="C12" s="518" t="s">
        <v>363</v>
      </c>
      <c r="D12" s="414"/>
      <c r="E12" s="657" t="s">
        <v>411</v>
      </c>
      <c r="F12" s="513">
        <v>72</v>
      </c>
      <c r="G12" s="659">
        <v>-0.1</v>
      </c>
      <c r="H12" s="660">
        <v>3.3599999999999998E-2</v>
      </c>
      <c r="I12" s="485"/>
      <c r="J12" s="497">
        <v>-14</v>
      </c>
      <c r="K12" s="485"/>
      <c r="L12" s="497">
        <v>-14</v>
      </c>
      <c r="M12" s="485"/>
      <c r="N12" s="485"/>
      <c r="O12" s="497">
        <v>-1.673</v>
      </c>
      <c r="P12" s="497"/>
      <c r="Q12" s="497">
        <v>-1.673</v>
      </c>
      <c r="R12" s="497"/>
      <c r="S12" s="497">
        <v>-1.673</v>
      </c>
      <c r="T12" s="423"/>
      <c r="U12" s="497">
        <v>-14</v>
      </c>
      <c r="V12" s="423"/>
      <c r="W12" s="497">
        <v>-14</v>
      </c>
      <c r="X12" s="423"/>
    </row>
    <row r="13" spans="1:26" ht="12.75" x14ac:dyDescent="0.2">
      <c r="A13" s="513">
        <f t="shared" ref="A13:A60" si="0">A12+1</f>
        <v>4</v>
      </c>
      <c r="B13" s="423" t="s">
        <v>404</v>
      </c>
      <c r="C13" s="518" t="s">
        <v>364</v>
      </c>
      <c r="D13" s="414"/>
      <c r="E13" s="657" t="s">
        <v>408</v>
      </c>
      <c r="F13" s="513">
        <v>103</v>
      </c>
      <c r="G13" s="659">
        <v>-0.1</v>
      </c>
      <c r="H13" s="660">
        <v>3.3599999999999998E-2</v>
      </c>
      <c r="I13" s="485"/>
      <c r="J13" s="497">
        <v>0</v>
      </c>
      <c r="K13" s="485"/>
      <c r="L13" s="497">
        <v>0</v>
      </c>
      <c r="M13" s="485"/>
      <c r="N13" s="485"/>
      <c r="O13" s="497">
        <v>-8.548</v>
      </c>
      <c r="P13" s="497"/>
      <c r="Q13" s="497">
        <v>-8.548</v>
      </c>
      <c r="R13" s="497"/>
      <c r="S13" s="497">
        <v>-8.548</v>
      </c>
      <c r="T13" s="423"/>
      <c r="U13" s="497">
        <v>0</v>
      </c>
      <c r="V13" s="423"/>
      <c r="W13" s="497">
        <v>0</v>
      </c>
      <c r="X13" s="423"/>
    </row>
    <row r="14" spans="1:26" ht="12.75" x14ac:dyDescent="0.2">
      <c r="A14" s="513">
        <f t="shared" si="0"/>
        <v>5</v>
      </c>
      <c r="B14" s="423" t="s">
        <v>405</v>
      </c>
      <c r="C14" s="518" t="s">
        <v>365</v>
      </c>
      <c r="D14" s="414"/>
      <c r="E14" s="657" t="s">
        <v>408</v>
      </c>
      <c r="F14" s="513">
        <v>85</v>
      </c>
      <c r="G14" s="659">
        <v>-0.1</v>
      </c>
      <c r="H14" s="660">
        <v>3.3599999999999998E-2</v>
      </c>
      <c r="I14" s="423"/>
      <c r="J14" s="497">
        <v>0</v>
      </c>
      <c r="K14" s="485"/>
      <c r="L14" s="497">
        <v>0</v>
      </c>
      <c r="M14" s="423"/>
      <c r="N14" s="423"/>
      <c r="O14" s="497">
        <v>-4.0229999999999997</v>
      </c>
      <c r="P14" s="497"/>
      <c r="Q14" s="497">
        <v>-4.0229999999999997</v>
      </c>
      <c r="R14" s="497"/>
      <c r="S14" s="497">
        <v>-4.0229999999999997</v>
      </c>
      <c r="T14" s="423"/>
      <c r="U14" s="497">
        <v>0</v>
      </c>
      <c r="V14" s="423"/>
      <c r="W14" s="497">
        <v>0</v>
      </c>
      <c r="X14" s="423"/>
      <c r="Y14" s="512"/>
      <c r="Z14" s="512"/>
    </row>
    <row r="15" spans="1:26" ht="12.75" x14ac:dyDescent="0.2">
      <c r="A15" s="513">
        <f t="shared" si="0"/>
        <v>6</v>
      </c>
      <c r="B15" s="423" t="s">
        <v>406</v>
      </c>
      <c r="C15" s="518" t="s">
        <v>366</v>
      </c>
      <c r="D15" s="414"/>
      <c r="E15" s="657" t="s">
        <v>408</v>
      </c>
      <c r="F15" s="513">
        <v>45</v>
      </c>
      <c r="G15" s="659">
        <v>-0.1</v>
      </c>
      <c r="H15" s="660">
        <v>3.3599999999999998E-2</v>
      </c>
      <c r="I15" s="423"/>
      <c r="J15" s="497">
        <v>0</v>
      </c>
      <c r="K15" s="423"/>
      <c r="L15" s="497">
        <v>0</v>
      </c>
      <c r="M15" s="423"/>
      <c r="N15" s="423"/>
      <c r="O15" s="497">
        <v>-1.5880000000000001</v>
      </c>
      <c r="P15" s="497"/>
      <c r="Q15" s="497">
        <v>-1.5880000000000001</v>
      </c>
      <c r="R15" s="497"/>
      <c r="S15" s="497">
        <v>-1.5880000000000001</v>
      </c>
      <c r="T15" s="423"/>
      <c r="U15" s="497">
        <v>0</v>
      </c>
      <c r="V15" s="423"/>
      <c r="W15" s="497">
        <v>0</v>
      </c>
      <c r="X15" s="423"/>
    </row>
    <row r="16" spans="1:26" ht="12.75" x14ac:dyDescent="0.2">
      <c r="A16" s="513">
        <f t="shared" si="0"/>
        <v>7</v>
      </c>
      <c r="B16" s="423" t="s">
        <v>407</v>
      </c>
      <c r="C16" s="519" t="s">
        <v>367</v>
      </c>
      <c r="D16" s="185"/>
      <c r="E16" s="661" t="s">
        <v>411</v>
      </c>
      <c r="F16" s="662">
        <v>30</v>
      </c>
      <c r="G16" s="663">
        <v>-0.1</v>
      </c>
      <c r="H16" s="664">
        <v>3.3599999999999998E-2</v>
      </c>
      <c r="I16" s="423"/>
      <c r="J16" s="497">
        <v>0</v>
      </c>
      <c r="K16" s="423"/>
      <c r="L16" s="497">
        <v>0</v>
      </c>
      <c r="M16" s="423"/>
      <c r="N16" s="423"/>
      <c r="O16" s="497">
        <v>-0.749</v>
      </c>
      <c r="P16" s="497"/>
      <c r="Q16" s="497">
        <v>-0.749</v>
      </c>
      <c r="R16" s="497"/>
      <c r="S16" s="497">
        <v>-0.749</v>
      </c>
      <c r="T16" s="423"/>
      <c r="U16" s="497">
        <v>0</v>
      </c>
      <c r="V16" s="423"/>
      <c r="W16" s="497">
        <v>0</v>
      </c>
      <c r="X16" s="423"/>
    </row>
    <row r="17" spans="1:26" ht="12.75" x14ac:dyDescent="0.2">
      <c r="A17" s="513">
        <f t="shared" si="0"/>
        <v>8</v>
      </c>
      <c r="B17" s="526"/>
      <c r="C17" s="423" t="s">
        <v>389</v>
      </c>
      <c r="D17" s="414"/>
      <c r="E17" s="657"/>
      <c r="F17" s="513"/>
      <c r="G17" s="513"/>
      <c r="H17" s="658"/>
      <c r="I17" s="423"/>
      <c r="J17" s="521">
        <f>SUM(J12:J16)</f>
        <v>-14</v>
      </c>
      <c r="K17" s="423"/>
      <c r="L17" s="521">
        <f>SUM(L12:L16)</f>
        <v>-14</v>
      </c>
      <c r="M17" s="423"/>
      <c r="N17" s="423"/>
      <c r="O17" s="521">
        <f>SUM(O12:O16)</f>
        <v>-16.581</v>
      </c>
      <c r="P17" s="497"/>
      <c r="Q17" s="521">
        <f>SUM(Q12:Q16)</f>
        <v>-16.581</v>
      </c>
      <c r="R17" s="497"/>
      <c r="S17" s="521">
        <f>SUM(S12:S16)</f>
        <v>-16.581</v>
      </c>
      <c r="T17" s="423"/>
      <c r="U17" s="521">
        <f>SUM(U12:U16)</f>
        <v>-14</v>
      </c>
      <c r="V17" s="423"/>
      <c r="W17" s="521">
        <f>SUM(W12:W16)</f>
        <v>-14</v>
      </c>
      <c r="X17" s="423"/>
    </row>
    <row r="18" spans="1:26" ht="12.75" x14ac:dyDescent="0.2">
      <c r="A18" s="513">
        <f t="shared" si="0"/>
        <v>9</v>
      </c>
      <c r="B18" s="526"/>
      <c r="C18" s="518"/>
      <c r="D18" s="414"/>
      <c r="E18" s="657"/>
      <c r="F18" s="513"/>
      <c r="G18" s="513"/>
      <c r="H18" s="658"/>
      <c r="I18" s="423"/>
      <c r="J18" s="497"/>
      <c r="K18" s="423"/>
      <c r="L18" s="497"/>
      <c r="M18" s="423"/>
      <c r="N18" s="423"/>
      <c r="O18" s="497"/>
      <c r="P18" s="497"/>
      <c r="Q18" s="497"/>
      <c r="R18" s="497"/>
      <c r="S18" s="497"/>
      <c r="T18" s="423"/>
      <c r="U18" s="497"/>
      <c r="V18" s="423"/>
      <c r="W18" s="497"/>
      <c r="X18" s="423"/>
    </row>
    <row r="19" spans="1:26" ht="12.75" x14ac:dyDescent="0.2">
      <c r="A19" s="513">
        <f t="shared" si="0"/>
        <v>10</v>
      </c>
      <c r="B19" s="526"/>
      <c r="C19" s="423" t="s">
        <v>368</v>
      </c>
      <c r="D19" s="414"/>
      <c r="E19" s="657"/>
      <c r="F19" s="513"/>
      <c r="G19" s="513"/>
      <c r="H19" s="658"/>
      <c r="I19" s="423"/>
      <c r="J19" s="497"/>
      <c r="K19" s="423"/>
      <c r="L19" s="497"/>
      <c r="M19" s="423"/>
      <c r="N19" s="423"/>
      <c r="O19" s="497"/>
      <c r="P19" s="497"/>
      <c r="Q19" s="497"/>
      <c r="R19" s="497"/>
      <c r="S19" s="497"/>
      <c r="T19" s="423"/>
      <c r="U19" s="497"/>
      <c r="V19" s="423"/>
      <c r="W19" s="497"/>
      <c r="X19" s="423"/>
    </row>
    <row r="20" spans="1:26" ht="12.75" x14ac:dyDescent="0.2">
      <c r="A20" s="513">
        <f t="shared" si="0"/>
        <v>11</v>
      </c>
      <c r="B20" s="423" t="s">
        <v>250</v>
      </c>
      <c r="C20" s="518" t="s">
        <v>806</v>
      </c>
      <c r="D20" s="414"/>
      <c r="E20" s="657" t="s">
        <v>410</v>
      </c>
      <c r="F20" s="513">
        <v>40</v>
      </c>
      <c r="G20" s="659">
        <v>-0.1</v>
      </c>
      <c r="H20" s="660">
        <v>2.7400000000000001E-2</v>
      </c>
      <c r="I20" s="423"/>
      <c r="J20" s="497">
        <v>-6</v>
      </c>
      <c r="K20" s="423"/>
      <c r="L20" s="497">
        <v>-6</v>
      </c>
      <c r="M20" s="423"/>
      <c r="N20" s="423"/>
      <c r="O20" s="497">
        <v>-5.8470000000000004</v>
      </c>
      <c r="P20" s="497"/>
      <c r="Q20" s="497">
        <v>-5.8470000000000004</v>
      </c>
      <c r="R20" s="497"/>
      <c r="S20" s="497">
        <v>-5.8470000000000004</v>
      </c>
      <c r="T20" s="423"/>
      <c r="U20" s="497">
        <v>-6</v>
      </c>
      <c r="V20" s="423"/>
      <c r="W20" s="497">
        <v>-6</v>
      </c>
      <c r="X20" s="423"/>
      <c r="Y20" s="512"/>
      <c r="Z20" s="512"/>
    </row>
    <row r="21" spans="1:26" ht="12.75" x14ac:dyDescent="0.2">
      <c r="A21" s="513">
        <f t="shared" si="0"/>
        <v>12</v>
      </c>
      <c r="B21" s="423" t="s">
        <v>251</v>
      </c>
      <c r="C21" s="518" t="s">
        <v>802</v>
      </c>
      <c r="D21" s="414"/>
      <c r="E21" s="657" t="s">
        <v>409</v>
      </c>
      <c r="F21" s="513">
        <v>35</v>
      </c>
      <c r="G21" s="659">
        <v>-0.2</v>
      </c>
      <c r="H21" s="660">
        <v>0.03</v>
      </c>
      <c r="I21" s="423"/>
      <c r="J21" s="497">
        <v>-8</v>
      </c>
      <c r="K21" s="423"/>
      <c r="L21" s="497">
        <v>-8</v>
      </c>
      <c r="M21" s="423"/>
      <c r="N21" s="423"/>
      <c r="O21" s="497">
        <v>-8.2110000000000003</v>
      </c>
      <c r="P21" s="497"/>
      <c r="Q21" s="497">
        <v>-8.2110000000000003</v>
      </c>
      <c r="R21" s="497"/>
      <c r="S21" s="497">
        <v>-8.2110000000000003</v>
      </c>
      <c r="T21" s="423"/>
      <c r="U21" s="497">
        <v>-8</v>
      </c>
      <c r="V21" s="423"/>
      <c r="W21" s="497">
        <v>-8</v>
      </c>
      <c r="X21" s="423"/>
      <c r="Y21" s="512"/>
      <c r="Z21" s="512"/>
    </row>
    <row r="22" spans="1:26" ht="12.75" x14ac:dyDescent="0.2">
      <c r="A22" s="513">
        <f t="shared" si="0"/>
        <v>13</v>
      </c>
      <c r="B22" s="423" t="s">
        <v>252</v>
      </c>
      <c r="C22" s="518" t="s">
        <v>253</v>
      </c>
      <c r="D22" s="414"/>
      <c r="E22" s="657" t="s">
        <v>410</v>
      </c>
      <c r="F22" s="513">
        <v>26</v>
      </c>
      <c r="G22" s="659">
        <v>-0.1</v>
      </c>
      <c r="H22" s="660">
        <v>3.6900000000000002E-2</v>
      </c>
      <c r="I22" s="423"/>
      <c r="J22" s="497">
        <v>-40</v>
      </c>
      <c r="K22" s="423"/>
      <c r="L22" s="497">
        <v>-40</v>
      </c>
      <c r="M22" s="423"/>
      <c r="N22" s="423"/>
      <c r="O22" s="497">
        <v>16.145</v>
      </c>
      <c r="P22" s="497"/>
      <c r="Q22" s="497">
        <v>16.145</v>
      </c>
      <c r="R22" s="497"/>
      <c r="S22" s="497">
        <v>16.145</v>
      </c>
      <c r="T22" s="423"/>
      <c r="U22" s="497">
        <v>-40</v>
      </c>
      <c r="V22" s="423"/>
      <c r="W22" s="497">
        <v>-40</v>
      </c>
      <c r="X22" s="423"/>
      <c r="Y22" s="512"/>
      <c r="Z22" s="512"/>
    </row>
    <row r="23" spans="1:26" ht="12.75" x14ac:dyDescent="0.2">
      <c r="A23" s="513">
        <f t="shared" si="0"/>
        <v>14</v>
      </c>
      <c r="B23" s="423" t="s">
        <v>254</v>
      </c>
      <c r="C23" s="518" t="s">
        <v>257</v>
      </c>
      <c r="D23" s="414"/>
      <c r="E23" s="657" t="s">
        <v>408</v>
      </c>
      <c r="F23" s="513">
        <v>35</v>
      </c>
      <c r="G23" s="659">
        <v>0</v>
      </c>
      <c r="H23" s="660">
        <v>0.03</v>
      </c>
      <c r="I23" s="423"/>
      <c r="J23" s="497">
        <v>-15</v>
      </c>
      <c r="K23" s="423"/>
      <c r="L23" s="497">
        <v>-15</v>
      </c>
      <c r="M23" s="423"/>
      <c r="N23" s="423"/>
      <c r="O23" s="497">
        <v>-10.055999999999999</v>
      </c>
      <c r="P23" s="497"/>
      <c r="Q23" s="497">
        <v>-10.055999999999999</v>
      </c>
      <c r="R23" s="497"/>
      <c r="S23" s="497">
        <v>-10.055999999999999</v>
      </c>
      <c r="T23" s="423"/>
      <c r="U23" s="497">
        <v>-15</v>
      </c>
      <c r="V23" s="423"/>
      <c r="W23" s="497">
        <v>-15</v>
      </c>
      <c r="X23" s="423"/>
      <c r="Y23" s="512"/>
      <c r="Z23" s="512"/>
    </row>
    <row r="24" spans="1:26" ht="12.75" x14ac:dyDescent="0.2">
      <c r="A24" s="513">
        <f t="shared" si="0"/>
        <v>15</v>
      </c>
      <c r="B24" s="423" t="s">
        <v>255</v>
      </c>
      <c r="C24" s="519" t="s">
        <v>256</v>
      </c>
      <c r="D24" s="185"/>
      <c r="E24" s="661" t="s">
        <v>408</v>
      </c>
      <c r="F24" s="662">
        <v>40</v>
      </c>
      <c r="G24" s="663">
        <v>0</v>
      </c>
      <c r="H24" s="664">
        <v>3.15E-2</v>
      </c>
      <c r="I24" s="423"/>
      <c r="J24" s="520">
        <v>-2</v>
      </c>
      <c r="K24" s="423"/>
      <c r="L24" s="520">
        <v>-2</v>
      </c>
      <c r="M24" s="423"/>
      <c r="N24" s="423"/>
      <c r="O24" s="497">
        <v>-2.4820000000000002</v>
      </c>
      <c r="P24" s="497"/>
      <c r="Q24" s="497">
        <v>-2.4820000000000002</v>
      </c>
      <c r="R24" s="497"/>
      <c r="S24" s="497">
        <v>-2.4820000000000002</v>
      </c>
      <c r="T24" s="423"/>
      <c r="U24" s="520">
        <v>-2</v>
      </c>
      <c r="V24" s="423"/>
      <c r="W24" s="520">
        <v>-2</v>
      </c>
      <c r="X24" s="423"/>
      <c r="Y24" s="512"/>
      <c r="Z24" s="512"/>
    </row>
    <row r="25" spans="1:26" ht="12.75" x14ac:dyDescent="0.2">
      <c r="A25" s="513">
        <f t="shared" si="0"/>
        <v>16</v>
      </c>
      <c r="B25" s="526"/>
      <c r="C25" s="518" t="s">
        <v>390</v>
      </c>
      <c r="D25" s="414"/>
      <c r="E25" s="657"/>
      <c r="F25" s="513"/>
      <c r="G25" s="513"/>
      <c r="H25" s="665"/>
      <c r="I25" s="423"/>
      <c r="J25" s="666">
        <f>SUM(J20:J24)</f>
        <v>-71</v>
      </c>
      <c r="K25" s="423"/>
      <c r="L25" s="666">
        <f>SUM(L20:L24)</f>
        <v>-71</v>
      </c>
      <c r="M25" s="423"/>
      <c r="N25" s="423"/>
      <c r="O25" s="521">
        <f>SUM(O20:O24)</f>
        <v>-10.451000000000001</v>
      </c>
      <c r="P25" s="497"/>
      <c r="Q25" s="521">
        <f>SUM(Q20:Q24)</f>
        <v>-10.451000000000001</v>
      </c>
      <c r="R25" s="497"/>
      <c r="S25" s="521">
        <f>SUM(S20:S24)</f>
        <v>-10.451000000000001</v>
      </c>
      <c r="T25" s="423"/>
      <c r="U25" s="666">
        <f>SUM(U20:U24)</f>
        <v>-71</v>
      </c>
      <c r="V25" s="423"/>
      <c r="W25" s="666">
        <f>SUM(W20:W24)</f>
        <v>-71</v>
      </c>
      <c r="X25" s="423"/>
    </row>
    <row r="26" spans="1:26" ht="12.75" x14ac:dyDescent="0.2">
      <c r="A26" s="513">
        <f t="shared" si="0"/>
        <v>17</v>
      </c>
      <c r="B26" s="526"/>
      <c r="C26" s="513"/>
      <c r="D26" s="414"/>
      <c r="E26" s="657"/>
      <c r="F26" s="513"/>
      <c r="G26" s="513"/>
      <c r="H26" s="658"/>
      <c r="I26" s="423"/>
      <c r="J26" s="497"/>
      <c r="K26" s="423"/>
      <c r="L26" s="497"/>
      <c r="M26" s="423"/>
      <c r="N26" s="423"/>
      <c r="O26" s="497"/>
      <c r="P26" s="497"/>
      <c r="Q26" s="497"/>
      <c r="R26" s="497"/>
      <c r="S26" s="497"/>
      <c r="T26" s="423"/>
      <c r="U26" s="497"/>
      <c r="V26" s="423"/>
      <c r="W26" s="497"/>
      <c r="X26" s="423"/>
    </row>
    <row r="27" spans="1:26" ht="12.75" x14ac:dyDescent="0.2">
      <c r="A27" s="513">
        <f t="shared" si="0"/>
        <v>18</v>
      </c>
      <c r="B27" s="526"/>
      <c r="C27" s="423" t="s">
        <v>371</v>
      </c>
      <c r="D27" s="414"/>
      <c r="E27" s="657"/>
      <c r="F27" s="513"/>
      <c r="G27" s="513"/>
      <c r="H27" s="658"/>
      <c r="I27" s="423"/>
      <c r="J27" s="497"/>
      <c r="K27" s="423"/>
      <c r="L27" s="497"/>
      <c r="M27" s="423"/>
      <c r="N27" s="423"/>
      <c r="O27" s="497"/>
      <c r="P27" s="497"/>
      <c r="Q27" s="497"/>
      <c r="R27" s="497"/>
      <c r="S27" s="497"/>
      <c r="T27" s="423"/>
      <c r="U27" s="497"/>
      <c r="V27" s="423"/>
      <c r="W27" s="497"/>
      <c r="X27" s="423"/>
    </row>
    <row r="28" spans="1:26" ht="12.75" x14ac:dyDescent="0.2">
      <c r="A28" s="513">
        <f t="shared" si="0"/>
        <v>19</v>
      </c>
      <c r="B28" s="423" t="s">
        <v>258</v>
      </c>
      <c r="C28" s="519" t="s">
        <v>135</v>
      </c>
      <c r="D28" s="185"/>
      <c r="E28" s="661" t="s">
        <v>409</v>
      </c>
      <c r="F28" s="662">
        <v>50</v>
      </c>
      <c r="G28" s="663">
        <v>-0.1</v>
      </c>
      <c r="H28" s="664">
        <v>2.5499999999999998E-2</v>
      </c>
      <c r="I28" s="423"/>
      <c r="J28" s="520">
        <v>-3</v>
      </c>
      <c r="K28" s="423"/>
      <c r="L28" s="520">
        <v>-3</v>
      </c>
      <c r="M28" s="423"/>
      <c r="N28" s="423"/>
      <c r="O28" s="520">
        <v>-6.5590000000000002</v>
      </c>
      <c r="P28" s="497"/>
      <c r="Q28" s="520">
        <v>-6.5590000000000002</v>
      </c>
      <c r="R28" s="497"/>
      <c r="S28" s="520">
        <v>-6.5590000000000002</v>
      </c>
      <c r="T28" s="423"/>
      <c r="U28" s="520">
        <v>-3</v>
      </c>
      <c r="V28" s="423"/>
      <c r="W28" s="520">
        <v>-3</v>
      </c>
      <c r="X28" s="423"/>
      <c r="Y28" s="512"/>
      <c r="Z28" s="512"/>
    </row>
    <row r="29" spans="1:26" ht="12.75" x14ac:dyDescent="0.2">
      <c r="A29" s="513">
        <f t="shared" si="0"/>
        <v>20</v>
      </c>
      <c r="B29" s="423" t="s">
        <v>28</v>
      </c>
      <c r="C29" s="522" t="s">
        <v>266</v>
      </c>
      <c r="D29" s="414"/>
      <c r="E29" s="657"/>
      <c r="F29" s="513"/>
      <c r="G29" s="513"/>
      <c r="H29" s="658"/>
      <c r="I29" s="423"/>
      <c r="J29" s="515">
        <f>SUM(J28:J28)</f>
        <v>-3</v>
      </c>
      <c r="K29" s="423"/>
      <c r="L29" s="515">
        <f>SUM(L28:L28)</f>
        <v>-3</v>
      </c>
      <c r="M29" s="423"/>
      <c r="N29" s="423"/>
      <c r="O29" s="516">
        <f>SUM(O28:O28)</f>
        <v>-6.5590000000000002</v>
      </c>
      <c r="P29" s="497"/>
      <c r="Q29" s="516">
        <f>SUM(Q28:Q28)</f>
        <v>-6.5590000000000002</v>
      </c>
      <c r="R29" s="497"/>
      <c r="S29" s="516">
        <f>SUM(S28:S28)</f>
        <v>-6.5590000000000002</v>
      </c>
      <c r="T29" s="423"/>
      <c r="U29" s="515">
        <f>SUM(U28:U28)</f>
        <v>-3</v>
      </c>
      <c r="V29" s="423"/>
      <c r="W29" s="515">
        <f>SUM(W28:W28)</f>
        <v>-3</v>
      </c>
      <c r="X29" s="423"/>
    </row>
    <row r="30" spans="1:26" ht="12.75" x14ac:dyDescent="0.2">
      <c r="A30" s="513">
        <f t="shared" si="0"/>
        <v>21</v>
      </c>
      <c r="B30" s="423" t="s">
        <v>28</v>
      </c>
      <c r="C30" s="513"/>
      <c r="D30" s="414"/>
      <c r="E30" s="657"/>
      <c r="F30" s="513"/>
      <c r="G30" s="513"/>
      <c r="H30" s="658"/>
      <c r="I30" s="423"/>
      <c r="J30" s="497"/>
      <c r="K30" s="423"/>
      <c r="L30" s="497"/>
      <c r="M30" s="423"/>
      <c r="N30" s="423"/>
      <c r="O30" s="497"/>
      <c r="P30" s="497"/>
      <c r="Q30" s="497"/>
      <c r="R30" s="497"/>
      <c r="S30" s="497"/>
      <c r="T30" s="423"/>
      <c r="U30" s="497"/>
      <c r="V30" s="423"/>
      <c r="W30" s="497"/>
      <c r="X30" s="423"/>
    </row>
    <row r="31" spans="1:26" ht="12.75" x14ac:dyDescent="0.2">
      <c r="A31" s="513">
        <f t="shared" si="0"/>
        <v>22</v>
      </c>
      <c r="B31" s="423"/>
      <c r="C31" s="423" t="s">
        <v>120</v>
      </c>
      <c r="D31" s="423"/>
      <c r="E31" s="667"/>
      <c r="F31" s="668"/>
      <c r="G31" s="669"/>
      <c r="H31" s="499"/>
      <c r="I31" s="423"/>
      <c r="J31" s="497"/>
      <c r="K31" s="423"/>
      <c r="L31" s="497"/>
      <c r="M31" s="423"/>
      <c r="N31" s="423"/>
      <c r="O31" s="497"/>
      <c r="P31" s="497"/>
      <c r="Q31" s="497"/>
      <c r="R31" s="497"/>
      <c r="S31" s="497"/>
      <c r="T31" s="423"/>
      <c r="U31" s="497"/>
      <c r="V31" s="423"/>
      <c r="W31" s="497"/>
      <c r="X31" s="423"/>
    </row>
    <row r="32" spans="1:26" ht="12.75" x14ac:dyDescent="0.2">
      <c r="A32" s="513">
        <f t="shared" si="0"/>
        <v>23</v>
      </c>
      <c r="B32" s="423" t="s">
        <v>121</v>
      </c>
      <c r="C32" s="423" t="s">
        <v>122</v>
      </c>
      <c r="D32" s="423"/>
      <c r="E32" s="657" t="s">
        <v>408</v>
      </c>
      <c r="F32" s="670">
        <v>75</v>
      </c>
      <c r="G32" s="671">
        <v>0</v>
      </c>
      <c r="H32" s="672">
        <v>1.52E-2</v>
      </c>
      <c r="I32" s="423"/>
      <c r="J32" s="497">
        <v>0</v>
      </c>
      <c r="K32" s="423"/>
      <c r="L32" s="497">
        <v>0</v>
      </c>
      <c r="M32" s="423"/>
      <c r="N32" s="423"/>
      <c r="O32" s="497">
        <v>2E-3</v>
      </c>
      <c r="P32" s="497"/>
      <c r="Q32" s="497">
        <v>2E-3</v>
      </c>
      <c r="R32" s="497"/>
      <c r="S32" s="497">
        <v>2E-3</v>
      </c>
      <c r="T32" s="423"/>
      <c r="U32" s="497">
        <v>0</v>
      </c>
      <c r="V32" s="423"/>
      <c r="W32" s="497">
        <v>0</v>
      </c>
      <c r="X32" s="423"/>
      <c r="Y32" s="512"/>
      <c r="Z32" s="512"/>
    </row>
    <row r="33" spans="1:26" ht="12.75" x14ac:dyDescent="0.2">
      <c r="A33" s="513">
        <f t="shared" si="0"/>
        <v>24</v>
      </c>
      <c r="B33" s="423" t="s">
        <v>123</v>
      </c>
      <c r="C33" s="423" t="s">
        <v>124</v>
      </c>
      <c r="D33" s="423"/>
      <c r="E33" s="657" t="s">
        <v>408</v>
      </c>
      <c r="F33" s="670">
        <v>45</v>
      </c>
      <c r="G33" s="673">
        <v>-0.75</v>
      </c>
      <c r="H33" s="499">
        <v>2.6700000000000002E-2</v>
      </c>
      <c r="I33" s="423"/>
      <c r="J33" s="497">
        <v>-75</v>
      </c>
      <c r="K33" s="423"/>
      <c r="L33" s="497">
        <v>-75</v>
      </c>
      <c r="M33" s="423"/>
      <c r="N33" s="423"/>
      <c r="O33" s="497">
        <v>-75.293999999999997</v>
      </c>
      <c r="P33" s="497"/>
      <c r="Q33" s="497">
        <v>-75.293999999999997</v>
      </c>
      <c r="R33" s="497"/>
      <c r="S33" s="497">
        <v>-75.293999999999997</v>
      </c>
      <c r="T33" s="423"/>
      <c r="U33" s="497">
        <v>-75</v>
      </c>
      <c r="V33" s="423"/>
      <c r="W33" s="497">
        <v>-75</v>
      </c>
      <c r="X33" s="423"/>
      <c r="Y33" s="512"/>
      <c r="Z33" s="512"/>
    </row>
    <row r="34" spans="1:26" ht="12.75" x14ac:dyDescent="0.2">
      <c r="A34" s="513">
        <f t="shared" si="0"/>
        <v>25</v>
      </c>
      <c r="B34" s="423" t="s">
        <v>125</v>
      </c>
      <c r="C34" s="423" t="s">
        <v>126</v>
      </c>
      <c r="D34" s="423"/>
      <c r="E34" s="657" t="s">
        <v>409</v>
      </c>
      <c r="F34" s="670">
        <v>45</v>
      </c>
      <c r="G34" s="673">
        <v>-0.8</v>
      </c>
      <c r="H34" s="499">
        <v>2.69E-2</v>
      </c>
      <c r="I34" s="423"/>
      <c r="J34" s="497">
        <v>-24</v>
      </c>
      <c r="K34" s="423"/>
      <c r="L34" s="497">
        <v>-24</v>
      </c>
      <c r="M34" s="423"/>
      <c r="N34" s="423"/>
      <c r="O34" s="497">
        <v>-37.284999999999997</v>
      </c>
      <c r="P34" s="497"/>
      <c r="Q34" s="497">
        <v>-37.284999999999997</v>
      </c>
      <c r="R34" s="497"/>
      <c r="S34" s="497">
        <v>-37.284999999999997</v>
      </c>
      <c r="T34" s="423"/>
      <c r="U34" s="497">
        <v>-24</v>
      </c>
      <c r="V34" s="423"/>
      <c r="W34" s="497">
        <v>-24</v>
      </c>
      <c r="X34" s="423"/>
      <c r="Y34" s="512"/>
      <c r="Z34" s="512"/>
    </row>
    <row r="35" spans="1:26" ht="12.75" x14ac:dyDescent="0.2">
      <c r="A35" s="513">
        <f t="shared" si="0"/>
        <v>26</v>
      </c>
      <c r="B35" s="423" t="s">
        <v>127</v>
      </c>
      <c r="C35" s="423" t="s">
        <v>128</v>
      </c>
      <c r="D35" s="423"/>
      <c r="E35" s="657" t="s">
        <v>408</v>
      </c>
      <c r="F35" s="670">
        <v>45</v>
      </c>
      <c r="G35" s="671">
        <v>-0.1</v>
      </c>
      <c r="H35" s="499">
        <v>2.6200000000000001E-2</v>
      </c>
      <c r="I35" s="423"/>
      <c r="J35" s="497">
        <v>-7</v>
      </c>
      <c r="K35" s="423"/>
      <c r="L35" s="497">
        <v>-7</v>
      </c>
      <c r="M35" s="423"/>
      <c r="N35" s="423"/>
      <c r="O35" s="497">
        <v>-7.44</v>
      </c>
      <c r="P35" s="497"/>
      <c r="Q35" s="497">
        <v>-7.44</v>
      </c>
      <c r="R35" s="497"/>
      <c r="S35" s="497">
        <v>-7.44</v>
      </c>
      <c r="T35" s="423"/>
      <c r="U35" s="497">
        <v>-7</v>
      </c>
      <c r="V35" s="423"/>
      <c r="W35" s="497">
        <v>-7</v>
      </c>
      <c r="X35" s="423"/>
      <c r="Y35" s="512"/>
      <c r="Z35" s="512"/>
    </row>
    <row r="36" spans="1:26" ht="12.75" x14ac:dyDescent="0.2">
      <c r="A36" s="513">
        <f t="shared" si="0"/>
        <v>27</v>
      </c>
      <c r="B36" s="423" t="s">
        <v>129</v>
      </c>
      <c r="C36" s="423" t="s">
        <v>130</v>
      </c>
      <c r="D36" s="423"/>
      <c r="E36" s="657" t="s">
        <v>408</v>
      </c>
      <c r="F36" s="670">
        <v>45</v>
      </c>
      <c r="G36" s="671">
        <v>-0.5</v>
      </c>
      <c r="H36" s="499">
        <v>2.1100000000000001E-2</v>
      </c>
      <c r="I36" s="423"/>
      <c r="J36" s="497">
        <v>-5</v>
      </c>
      <c r="K36" s="423"/>
      <c r="L36" s="497">
        <v>-5</v>
      </c>
      <c r="M36" s="423"/>
      <c r="N36" s="423"/>
      <c r="O36" s="497">
        <v>14.303000000000001</v>
      </c>
      <c r="P36" s="497"/>
      <c r="Q36" s="497">
        <v>14.303000000000001</v>
      </c>
      <c r="R36" s="497"/>
      <c r="S36" s="497">
        <v>14.303000000000001</v>
      </c>
      <c r="T36" s="423"/>
      <c r="U36" s="497">
        <v>-5</v>
      </c>
      <c r="V36" s="423"/>
      <c r="W36" s="497">
        <v>-5</v>
      </c>
      <c r="X36" s="423"/>
      <c r="Y36" s="512"/>
      <c r="Z36" s="512"/>
    </row>
    <row r="37" spans="1:26" ht="12.75" x14ac:dyDescent="0.2">
      <c r="A37" s="513">
        <f t="shared" si="0"/>
        <v>28</v>
      </c>
      <c r="B37" s="423" t="s">
        <v>131</v>
      </c>
      <c r="C37" s="423" t="s">
        <v>132</v>
      </c>
      <c r="D37" s="423"/>
      <c r="E37" s="657" t="s">
        <v>409</v>
      </c>
      <c r="F37" s="670">
        <v>40</v>
      </c>
      <c r="G37" s="671">
        <v>-0.1</v>
      </c>
      <c r="H37" s="499">
        <v>2.63E-2</v>
      </c>
      <c r="I37" s="423"/>
      <c r="J37" s="497">
        <v>-6</v>
      </c>
      <c r="K37" s="423"/>
      <c r="L37" s="497">
        <v>-6</v>
      </c>
      <c r="M37" s="423"/>
      <c r="N37" s="423"/>
      <c r="O37" s="497">
        <v>-4.3959999999999999</v>
      </c>
      <c r="P37" s="497"/>
      <c r="Q37" s="497">
        <v>-4.3959999999999999</v>
      </c>
      <c r="R37" s="497"/>
      <c r="S37" s="497">
        <v>-4.3959999999999999</v>
      </c>
      <c r="T37" s="423"/>
      <c r="U37" s="497">
        <v>-6</v>
      </c>
      <c r="V37" s="423"/>
      <c r="W37" s="497">
        <v>-6</v>
      </c>
      <c r="X37" s="423"/>
      <c r="Y37" s="512"/>
      <c r="Z37" s="512"/>
    </row>
    <row r="38" spans="1:26" ht="12.75" x14ac:dyDescent="0.2">
      <c r="A38" s="513">
        <f t="shared" si="0"/>
        <v>29</v>
      </c>
      <c r="B38" s="423" t="s">
        <v>133</v>
      </c>
      <c r="C38" s="423" t="s">
        <v>110</v>
      </c>
      <c r="D38" s="423"/>
      <c r="E38" s="674" t="s">
        <v>800</v>
      </c>
      <c r="F38" s="670">
        <v>15</v>
      </c>
      <c r="G38" s="671">
        <v>0</v>
      </c>
      <c r="H38" s="499">
        <v>4.0599999999999997E-2</v>
      </c>
      <c r="I38" s="423"/>
      <c r="J38" s="497">
        <v>0</v>
      </c>
      <c r="K38" s="423"/>
      <c r="L38" s="497">
        <v>0</v>
      </c>
      <c r="M38" s="423"/>
      <c r="N38" s="423"/>
      <c r="O38" s="497">
        <v>60.46</v>
      </c>
      <c r="P38" s="497"/>
      <c r="Q38" s="497">
        <v>60.46</v>
      </c>
      <c r="R38" s="497"/>
      <c r="S38" s="497">
        <v>60.46</v>
      </c>
      <c r="T38" s="423"/>
      <c r="U38" s="497">
        <v>0</v>
      </c>
      <c r="V38" s="423"/>
      <c r="W38" s="497">
        <v>0</v>
      </c>
      <c r="X38" s="423"/>
      <c r="Y38" s="512"/>
      <c r="Z38" s="512"/>
    </row>
    <row r="39" spans="1:26" ht="12.75" x14ac:dyDescent="0.2">
      <c r="A39" s="513">
        <f t="shared" si="0"/>
        <v>30</v>
      </c>
      <c r="B39" s="423" t="s">
        <v>401</v>
      </c>
      <c r="C39" s="423" t="s">
        <v>402</v>
      </c>
      <c r="D39" s="423"/>
      <c r="E39" s="674" t="s">
        <v>410</v>
      </c>
      <c r="F39" s="670">
        <v>15</v>
      </c>
      <c r="G39" s="671">
        <v>0</v>
      </c>
      <c r="H39" s="499">
        <v>4.5400000000000003E-2</v>
      </c>
      <c r="I39" s="423"/>
      <c r="J39" s="497"/>
      <c r="K39" s="423"/>
      <c r="L39" s="497"/>
      <c r="M39" s="423"/>
      <c r="N39" s="423"/>
      <c r="O39" s="497">
        <v>1.159</v>
      </c>
      <c r="P39" s="497"/>
      <c r="Q39" s="497">
        <v>1.159</v>
      </c>
      <c r="R39" s="497"/>
      <c r="S39" s="497">
        <v>1.159</v>
      </c>
      <c r="T39" s="423"/>
      <c r="U39" s="497"/>
      <c r="V39" s="423"/>
      <c r="W39" s="497"/>
      <c r="X39" s="423"/>
    </row>
    <row r="40" spans="1:26" ht="12.75" x14ac:dyDescent="0.2">
      <c r="A40" s="513">
        <f t="shared" si="0"/>
        <v>31</v>
      </c>
      <c r="B40" s="423" t="s">
        <v>134</v>
      </c>
      <c r="C40" s="423" t="s">
        <v>260</v>
      </c>
      <c r="D40" s="423"/>
      <c r="E40" s="674" t="s">
        <v>409</v>
      </c>
      <c r="F40" s="670">
        <v>40</v>
      </c>
      <c r="G40" s="671">
        <v>-0.1</v>
      </c>
      <c r="H40" s="499">
        <v>2.92E-2</v>
      </c>
      <c r="I40" s="423"/>
      <c r="J40" s="497">
        <v>-6</v>
      </c>
      <c r="K40" s="423"/>
      <c r="L40" s="497">
        <v>-6</v>
      </c>
      <c r="M40" s="423"/>
      <c r="N40" s="423"/>
      <c r="O40" s="497">
        <v>-16.053000000000001</v>
      </c>
      <c r="P40" s="497"/>
      <c r="Q40" s="497">
        <v>-16.053000000000001</v>
      </c>
      <c r="R40" s="497"/>
      <c r="S40" s="497">
        <v>-16.053000000000001</v>
      </c>
      <c r="T40" s="423"/>
      <c r="U40" s="497">
        <v>-6</v>
      </c>
      <c r="V40" s="423"/>
      <c r="W40" s="497">
        <v>-6</v>
      </c>
      <c r="X40" s="423"/>
      <c r="Y40" s="512"/>
      <c r="Z40" s="512"/>
    </row>
    <row r="41" spans="1:26" ht="12.75" x14ac:dyDescent="0.2">
      <c r="A41" s="513">
        <f t="shared" si="0"/>
        <v>32</v>
      </c>
      <c r="B41" s="423" t="s">
        <v>136</v>
      </c>
      <c r="C41" s="423" t="s">
        <v>137</v>
      </c>
      <c r="D41" s="423"/>
      <c r="E41" s="674" t="s">
        <v>408</v>
      </c>
      <c r="F41" s="670">
        <v>30</v>
      </c>
      <c r="G41" s="671">
        <v>-0.1</v>
      </c>
      <c r="H41" s="499">
        <v>4.1300000000000003E-2</v>
      </c>
      <c r="I41" s="423"/>
      <c r="J41" s="497">
        <v>-61</v>
      </c>
      <c r="K41" s="423"/>
      <c r="L41" s="497">
        <v>-61</v>
      </c>
      <c r="M41" s="423"/>
      <c r="N41" s="423"/>
      <c r="O41" s="497">
        <v>-64.391999999999996</v>
      </c>
      <c r="P41" s="497"/>
      <c r="Q41" s="497">
        <v>-64.391999999999996</v>
      </c>
      <c r="R41" s="497"/>
      <c r="S41" s="497">
        <v>-64.391999999999996</v>
      </c>
      <c r="T41" s="423"/>
      <c r="U41" s="497">
        <v>-61</v>
      </c>
      <c r="V41" s="423"/>
      <c r="W41" s="497">
        <v>-61</v>
      </c>
      <c r="X41" s="423"/>
      <c r="Y41" s="512"/>
      <c r="Z41" s="512"/>
    </row>
    <row r="42" spans="1:26" ht="12.75" x14ac:dyDescent="0.2">
      <c r="A42" s="513">
        <f t="shared" si="0"/>
        <v>33</v>
      </c>
      <c r="B42" s="423" t="s">
        <v>261</v>
      </c>
      <c r="C42" s="423" t="s">
        <v>262</v>
      </c>
      <c r="D42" s="423"/>
      <c r="E42" s="674" t="s">
        <v>411</v>
      </c>
      <c r="F42" s="670">
        <v>23</v>
      </c>
      <c r="G42" s="671">
        <v>0</v>
      </c>
      <c r="H42" s="499">
        <v>3.3700000000000001E-2</v>
      </c>
      <c r="I42" s="423"/>
      <c r="J42" s="497">
        <v>0</v>
      </c>
      <c r="K42" s="423"/>
      <c r="L42" s="497">
        <v>0</v>
      </c>
      <c r="M42" s="423"/>
      <c r="N42" s="423"/>
      <c r="O42" s="497">
        <v>-18.03</v>
      </c>
      <c r="P42" s="497"/>
      <c r="Q42" s="497">
        <v>-18.03</v>
      </c>
      <c r="R42" s="497"/>
      <c r="S42" s="497">
        <v>-18.03</v>
      </c>
      <c r="T42" s="423"/>
      <c r="U42" s="497">
        <v>0</v>
      </c>
      <c r="V42" s="423"/>
      <c r="W42" s="497">
        <v>0</v>
      </c>
      <c r="X42" s="423"/>
    </row>
    <row r="43" spans="1:26" ht="12.75" x14ac:dyDescent="0.2">
      <c r="A43" s="513">
        <f t="shared" si="0"/>
        <v>34</v>
      </c>
      <c r="B43" s="423" t="s">
        <v>138</v>
      </c>
      <c r="C43" s="485" t="s">
        <v>259</v>
      </c>
      <c r="D43" s="523"/>
      <c r="E43" s="675" t="s">
        <v>408</v>
      </c>
      <c r="F43" s="675">
        <v>45</v>
      </c>
      <c r="G43" s="676">
        <v>-0.1</v>
      </c>
      <c r="H43" s="677">
        <v>3.04E-2</v>
      </c>
      <c r="I43" s="423"/>
      <c r="J43" s="520">
        <v>-69</v>
      </c>
      <c r="K43" s="423"/>
      <c r="L43" s="520">
        <v>-69</v>
      </c>
      <c r="M43" s="423"/>
      <c r="N43" s="423"/>
      <c r="O43" s="520">
        <v>-83.795000000000002</v>
      </c>
      <c r="P43" s="497"/>
      <c r="Q43" s="520">
        <v>-83.795000000000002</v>
      </c>
      <c r="R43" s="497"/>
      <c r="S43" s="520">
        <v>-83.795000000000002</v>
      </c>
      <c r="T43" s="423"/>
      <c r="U43" s="520">
        <v>-69</v>
      </c>
      <c r="V43" s="423"/>
      <c r="W43" s="520">
        <v>-69</v>
      </c>
      <c r="X43" s="423"/>
      <c r="Y43" s="512"/>
      <c r="Z43" s="512"/>
    </row>
    <row r="44" spans="1:26" ht="12.75" x14ac:dyDescent="0.2">
      <c r="A44" s="513">
        <f t="shared" si="0"/>
        <v>35</v>
      </c>
      <c r="B44" s="423"/>
      <c r="C44" s="423" t="s">
        <v>139</v>
      </c>
      <c r="D44" s="423"/>
      <c r="E44" s="674"/>
      <c r="F44" s="670"/>
      <c r="G44" s="671"/>
      <c r="H44" s="499"/>
      <c r="I44" s="423"/>
      <c r="J44" s="515">
        <f>SUM(J32:J43)</f>
        <v>-253</v>
      </c>
      <c r="K44" s="423"/>
      <c r="L44" s="515">
        <f>SUM(L32:L43)</f>
        <v>-253</v>
      </c>
      <c r="M44" s="423"/>
      <c r="N44" s="423"/>
      <c r="O44" s="516">
        <f>SUM(O32:O43)</f>
        <v>-230.76099999999997</v>
      </c>
      <c r="P44" s="497"/>
      <c r="Q44" s="516">
        <f>SUM(Q32:Q43)</f>
        <v>-230.76099999999997</v>
      </c>
      <c r="R44" s="497"/>
      <c r="S44" s="516">
        <f>SUM(S32:S43)</f>
        <v>-230.76099999999997</v>
      </c>
      <c r="T44" s="423"/>
      <c r="U44" s="515">
        <f>SUM(U32:U43)</f>
        <v>-253</v>
      </c>
      <c r="V44" s="423"/>
      <c r="W44" s="515">
        <f>SUM(W32:W43)</f>
        <v>-253</v>
      </c>
      <c r="X44" s="423"/>
    </row>
    <row r="45" spans="1:26" ht="12.75" x14ac:dyDescent="0.2">
      <c r="A45" s="513">
        <f t="shared" si="0"/>
        <v>36</v>
      </c>
      <c r="B45" s="423"/>
      <c r="C45" s="423"/>
      <c r="D45" s="423"/>
      <c r="E45" s="674"/>
      <c r="F45" s="670"/>
      <c r="G45" s="671"/>
      <c r="H45" s="499"/>
      <c r="I45" s="423"/>
      <c r="J45" s="497"/>
      <c r="K45" s="423"/>
      <c r="L45" s="497"/>
      <c r="M45" s="423"/>
      <c r="N45" s="423"/>
      <c r="O45" s="497"/>
      <c r="P45" s="497"/>
      <c r="Q45" s="497"/>
      <c r="R45" s="497"/>
      <c r="S45" s="497"/>
      <c r="T45" s="423"/>
      <c r="U45" s="497"/>
      <c r="V45" s="423"/>
      <c r="W45" s="497"/>
      <c r="X45" s="423"/>
    </row>
    <row r="46" spans="1:26" ht="12.75" x14ac:dyDescent="0.2">
      <c r="A46" s="513">
        <f t="shared" si="0"/>
        <v>37</v>
      </c>
      <c r="B46" s="423"/>
      <c r="C46" s="423" t="s">
        <v>140</v>
      </c>
      <c r="D46" s="423"/>
      <c r="E46" s="674"/>
      <c r="F46" s="670"/>
      <c r="G46" s="671"/>
      <c r="H46" s="499"/>
      <c r="I46" s="423"/>
      <c r="J46" s="497"/>
      <c r="K46" s="423"/>
      <c r="L46" s="497"/>
      <c r="M46" s="423"/>
      <c r="N46" s="423"/>
      <c r="O46" s="497"/>
      <c r="P46" s="497"/>
      <c r="Q46" s="497"/>
      <c r="R46" s="497"/>
      <c r="S46" s="497"/>
      <c r="T46" s="423"/>
      <c r="U46" s="497"/>
      <c r="V46" s="423"/>
      <c r="W46" s="497"/>
      <c r="X46" s="423"/>
    </row>
    <row r="47" spans="1:26" ht="12.75" x14ac:dyDescent="0.2">
      <c r="A47" s="513">
        <f t="shared" si="0"/>
        <v>38</v>
      </c>
      <c r="B47" s="423" t="s">
        <v>141</v>
      </c>
      <c r="C47" s="423" t="s">
        <v>142</v>
      </c>
      <c r="D47" s="423"/>
      <c r="E47" s="674" t="s">
        <v>801</v>
      </c>
      <c r="F47" s="670">
        <v>40</v>
      </c>
      <c r="G47" s="671">
        <v>0</v>
      </c>
      <c r="H47" s="499">
        <v>3.1899999999999998E-2</v>
      </c>
      <c r="I47" s="423"/>
      <c r="J47" s="497">
        <v>0</v>
      </c>
      <c r="K47" s="423"/>
      <c r="L47" s="497">
        <v>0</v>
      </c>
      <c r="M47" s="423"/>
      <c r="N47" s="423"/>
      <c r="O47" s="497">
        <v>-15.319000000000001</v>
      </c>
      <c r="P47" s="497"/>
      <c r="Q47" s="497">
        <v>-15.319000000000001</v>
      </c>
      <c r="R47" s="497"/>
      <c r="S47" s="497">
        <v>-15.319000000000001</v>
      </c>
      <c r="T47" s="423"/>
      <c r="U47" s="497">
        <v>0</v>
      </c>
      <c r="V47" s="423"/>
      <c r="W47" s="497">
        <v>0</v>
      </c>
      <c r="X47" s="423"/>
      <c r="Y47" s="512"/>
      <c r="Z47" s="512"/>
    </row>
    <row r="48" spans="1:26" ht="12.75" x14ac:dyDescent="0.2">
      <c r="A48" s="513">
        <f t="shared" si="0"/>
        <v>39</v>
      </c>
      <c r="B48" s="423" t="s">
        <v>143</v>
      </c>
      <c r="C48" s="423" t="s">
        <v>144</v>
      </c>
      <c r="D48" s="423"/>
      <c r="E48" s="674" t="s">
        <v>412</v>
      </c>
      <c r="F48" s="670">
        <v>15</v>
      </c>
      <c r="G48" s="671">
        <v>0</v>
      </c>
      <c r="H48" s="499">
        <v>4.4900000000000002E-2</v>
      </c>
      <c r="I48" s="423"/>
      <c r="J48" s="497">
        <v>2</v>
      </c>
      <c r="K48" s="423"/>
      <c r="L48" s="497">
        <v>2</v>
      </c>
      <c r="M48" s="423"/>
      <c r="N48" s="423"/>
      <c r="O48" s="497">
        <v>8.1340000000000003</v>
      </c>
      <c r="P48" s="497"/>
      <c r="Q48" s="497">
        <v>8.1340000000000003</v>
      </c>
      <c r="R48" s="497"/>
      <c r="S48" s="497">
        <v>8.1340000000000003</v>
      </c>
      <c r="T48" s="423"/>
      <c r="U48" s="497">
        <v>2</v>
      </c>
      <c r="V48" s="423"/>
      <c r="W48" s="497">
        <v>2</v>
      </c>
      <c r="X48" s="423"/>
      <c r="Y48" s="512"/>
      <c r="Z48" s="512"/>
    </row>
    <row r="49" spans="1:26" ht="12.75" x14ac:dyDescent="0.2">
      <c r="A49" s="513">
        <f t="shared" si="0"/>
        <v>40</v>
      </c>
      <c r="B49" s="527">
        <v>483.2</v>
      </c>
      <c r="C49" s="423" t="s">
        <v>267</v>
      </c>
      <c r="D49" s="423"/>
      <c r="E49" s="674" t="s">
        <v>412</v>
      </c>
      <c r="F49" s="670">
        <v>5</v>
      </c>
      <c r="G49" s="671">
        <v>0</v>
      </c>
      <c r="H49" s="499">
        <v>0.2</v>
      </c>
      <c r="I49" s="423"/>
      <c r="J49" s="497">
        <v>0</v>
      </c>
      <c r="K49" s="423"/>
      <c r="L49" s="497">
        <v>0</v>
      </c>
      <c r="M49" s="423"/>
      <c r="N49" s="423"/>
      <c r="O49" s="497">
        <v>6.4</v>
      </c>
      <c r="P49" s="497"/>
      <c r="Q49" s="497">
        <v>6.4</v>
      </c>
      <c r="R49" s="497"/>
      <c r="S49" s="497">
        <v>6.4</v>
      </c>
      <c r="T49" s="423"/>
      <c r="U49" s="497">
        <v>0</v>
      </c>
      <c r="V49" s="423"/>
      <c r="W49" s="497">
        <v>0</v>
      </c>
      <c r="X49" s="423"/>
    </row>
    <row r="50" spans="1:26" ht="12.75" x14ac:dyDescent="0.2">
      <c r="A50" s="513">
        <f t="shared" si="0"/>
        <v>41</v>
      </c>
      <c r="B50" s="423" t="s">
        <v>263</v>
      </c>
      <c r="C50" s="423" t="s">
        <v>264</v>
      </c>
      <c r="D50" s="423"/>
      <c r="E50" s="674" t="s">
        <v>800</v>
      </c>
      <c r="F50" s="670">
        <v>12</v>
      </c>
      <c r="G50" s="671">
        <v>0.25</v>
      </c>
      <c r="H50" s="499">
        <v>0.1082</v>
      </c>
      <c r="I50" s="423"/>
      <c r="J50" s="497">
        <v>-51</v>
      </c>
      <c r="K50" s="423"/>
      <c r="L50" s="497">
        <v>-51</v>
      </c>
      <c r="M50" s="423"/>
      <c r="N50" s="423"/>
      <c r="O50" s="497">
        <v>-72.873999999999995</v>
      </c>
      <c r="P50" s="497"/>
      <c r="Q50" s="497">
        <v>-72.873999999999995</v>
      </c>
      <c r="R50" s="497"/>
      <c r="S50" s="497">
        <v>-72.873999999999995</v>
      </c>
      <c r="T50" s="423"/>
      <c r="U50" s="497">
        <v>-51</v>
      </c>
      <c r="V50" s="423"/>
      <c r="W50" s="497">
        <v>-51</v>
      </c>
      <c r="X50" s="423"/>
      <c r="Y50" s="512"/>
      <c r="Z50" s="512"/>
    </row>
    <row r="51" spans="1:26" ht="12.75" x14ac:dyDescent="0.2">
      <c r="A51" s="513">
        <f t="shared" si="0"/>
        <v>42</v>
      </c>
      <c r="B51" s="423" t="s">
        <v>145</v>
      </c>
      <c r="C51" s="423" t="s">
        <v>146</v>
      </c>
      <c r="D51" s="423"/>
      <c r="E51" s="674" t="s">
        <v>412</v>
      </c>
      <c r="F51" s="670">
        <v>15</v>
      </c>
      <c r="G51" s="671">
        <v>0</v>
      </c>
      <c r="H51" s="499">
        <v>6.54E-2</v>
      </c>
      <c r="I51" s="423"/>
      <c r="J51" s="497">
        <v>-3</v>
      </c>
      <c r="K51" s="423"/>
      <c r="L51" s="497">
        <v>-3</v>
      </c>
      <c r="M51" s="423"/>
      <c r="N51" s="423"/>
      <c r="O51" s="497">
        <v>3.964</v>
      </c>
      <c r="P51" s="497"/>
      <c r="Q51" s="497">
        <v>3.964</v>
      </c>
      <c r="R51" s="497"/>
      <c r="S51" s="497">
        <v>3.964</v>
      </c>
      <c r="T51" s="423"/>
      <c r="U51" s="497">
        <v>-3</v>
      </c>
      <c r="V51" s="423"/>
      <c r="W51" s="497">
        <v>-3</v>
      </c>
      <c r="X51" s="423"/>
      <c r="Y51" s="512"/>
      <c r="Z51" s="512"/>
    </row>
    <row r="52" spans="1:26" ht="12.75" x14ac:dyDescent="0.2">
      <c r="A52" s="513">
        <f t="shared" si="0"/>
        <v>43</v>
      </c>
      <c r="B52" s="423" t="s">
        <v>148</v>
      </c>
      <c r="C52" s="423" t="s">
        <v>265</v>
      </c>
      <c r="D52" s="423"/>
      <c r="E52" s="674" t="s">
        <v>412</v>
      </c>
      <c r="F52" s="670">
        <v>15</v>
      </c>
      <c r="G52" s="671">
        <v>0</v>
      </c>
      <c r="H52" s="499">
        <v>5.79E-2</v>
      </c>
      <c r="I52" s="423"/>
      <c r="J52" s="497">
        <v>11</v>
      </c>
      <c r="K52" s="423"/>
      <c r="L52" s="497">
        <v>11</v>
      </c>
      <c r="M52" s="423"/>
      <c r="N52" s="423"/>
      <c r="O52" s="497">
        <v>3.964</v>
      </c>
      <c r="P52" s="497"/>
      <c r="Q52" s="497">
        <v>3.964</v>
      </c>
      <c r="R52" s="497"/>
      <c r="S52" s="497">
        <v>3.964</v>
      </c>
      <c r="T52" s="423"/>
      <c r="U52" s="497">
        <v>11</v>
      </c>
      <c r="V52" s="423"/>
      <c r="W52" s="497">
        <v>11</v>
      </c>
      <c r="X52" s="423"/>
      <c r="Y52" s="512"/>
      <c r="Z52" s="512"/>
    </row>
    <row r="53" spans="1:26" ht="12.75" x14ac:dyDescent="0.2">
      <c r="A53" s="513">
        <f t="shared" si="0"/>
        <v>44</v>
      </c>
      <c r="B53" s="423" t="s">
        <v>369</v>
      </c>
      <c r="C53" s="423" t="s">
        <v>370</v>
      </c>
      <c r="D53" s="423"/>
      <c r="E53" s="674" t="s">
        <v>408</v>
      </c>
      <c r="F53" s="670">
        <v>40</v>
      </c>
      <c r="G53" s="671">
        <v>0.1</v>
      </c>
      <c r="H53" s="499">
        <v>2.47E-2</v>
      </c>
      <c r="I53" s="423"/>
      <c r="J53" s="497"/>
      <c r="K53" s="423"/>
      <c r="L53" s="497"/>
      <c r="M53" s="423"/>
      <c r="N53" s="423"/>
      <c r="O53" s="497">
        <v>-71.793999999999997</v>
      </c>
      <c r="P53" s="497"/>
      <c r="Q53" s="497">
        <v>-71.793999999999997</v>
      </c>
      <c r="R53" s="497"/>
      <c r="S53" s="497">
        <v>-71.793999999999997</v>
      </c>
      <c r="T53" s="423"/>
      <c r="U53" s="497"/>
      <c r="V53" s="423"/>
      <c r="W53" s="497"/>
      <c r="X53" s="423"/>
    </row>
    <row r="54" spans="1:26" ht="12.75" x14ac:dyDescent="0.2">
      <c r="A54" s="513">
        <f t="shared" si="0"/>
        <v>45</v>
      </c>
      <c r="B54" s="423" t="s">
        <v>617</v>
      </c>
      <c r="C54" s="423" t="s">
        <v>271</v>
      </c>
      <c r="D54" s="485"/>
      <c r="E54" s="674"/>
      <c r="F54" s="678"/>
      <c r="G54" s="679"/>
      <c r="H54" s="680">
        <v>0</v>
      </c>
      <c r="I54" s="423"/>
      <c r="J54" s="497">
        <v>0</v>
      </c>
      <c r="K54" s="423"/>
      <c r="L54" s="497">
        <v>0</v>
      </c>
      <c r="M54" s="423"/>
      <c r="N54" s="423"/>
      <c r="O54" s="497">
        <v>0</v>
      </c>
      <c r="P54" s="497"/>
      <c r="Q54" s="497">
        <v>0</v>
      </c>
      <c r="R54" s="497"/>
      <c r="S54" s="497">
        <v>0</v>
      </c>
      <c r="T54" s="423"/>
      <c r="U54" s="497">
        <v>0</v>
      </c>
      <c r="V54" s="423"/>
      <c r="W54" s="497">
        <v>0</v>
      </c>
      <c r="X54" s="423"/>
    </row>
    <row r="55" spans="1:26" ht="12.75" x14ac:dyDescent="0.2">
      <c r="A55" s="513">
        <f t="shared" si="0"/>
        <v>46</v>
      </c>
      <c r="B55" s="423" t="s">
        <v>613</v>
      </c>
      <c r="C55" s="423" t="s">
        <v>731</v>
      </c>
      <c r="D55" s="485"/>
      <c r="E55" s="674"/>
      <c r="F55" s="678"/>
      <c r="G55" s="679"/>
      <c r="H55" s="680">
        <v>0.1</v>
      </c>
      <c r="I55" s="423"/>
      <c r="J55" s="497"/>
      <c r="K55" s="423"/>
      <c r="L55" s="497"/>
      <c r="M55" s="423"/>
      <c r="N55" s="423"/>
      <c r="O55" s="497"/>
      <c r="P55" s="497"/>
      <c r="Q55" s="497"/>
      <c r="R55" s="497"/>
      <c r="S55" s="497"/>
      <c r="T55" s="423"/>
      <c r="U55" s="497"/>
      <c r="V55" s="423"/>
      <c r="W55" s="497"/>
      <c r="X55" s="423"/>
    </row>
    <row r="56" spans="1:26" ht="12.75" x14ac:dyDescent="0.2">
      <c r="A56" s="513">
        <f t="shared" si="0"/>
        <v>47</v>
      </c>
      <c r="B56" s="423" t="s">
        <v>614</v>
      </c>
      <c r="C56" s="423" t="s">
        <v>616</v>
      </c>
      <c r="D56" s="485"/>
      <c r="E56" s="674"/>
      <c r="F56" s="678"/>
      <c r="G56" s="679"/>
      <c r="H56" s="680"/>
      <c r="I56" s="423"/>
      <c r="J56" s="497"/>
      <c r="K56" s="423"/>
      <c r="L56" s="497"/>
      <c r="M56" s="423"/>
      <c r="N56" s="423"/>
      <c r="O56" s="497"/>
      <c r="P56" s="497"/>
      <c r="Q56" s="497"/>
      <c r="R56" s="497"/>
      <c r="S56" s="497"/>
      <c r="T56" s="423"/>
      <c r="U56" s="497"/>
      <c r="V56" s="423"/>
      <c r="W56" s="497"/>
      <c r="X56" s="423"/>
    </row>
    <row r="57" spans="1:26" ht="12.75" x14ac:dyDescent="0.2">
      <c r="A57" s="513">
        <f t="shared" si="0"/>
        <v>48</v>
      </c>
      <c r="B57" s="423" t="s">
        <v>615</v>
      </c>
      <c r="C57" s="423" t="s">
        <v>504</v>
      </c>
      <c r="D57" s="524"/>
      <c r="E57" s="681" t="s">
        <v>147</v>
      </c>
      <c r="F57" s="675">
        <v>10</v>
      </c>
      <c r="G57" s="676">
        <v>0</v>
      </c>
      <c r="H57" s="677">
        <v>0.1</v>
      </c>
      <c r="I57" s="423"/>
      <c r="J57" s="520">
        <v>0</v>
      </c>
      <c r="K57" s="423"/>
      <c r="L57" s="520">
        <v>0</v>
      </c>
      <c r="M57" s="423"/>
      <c r="N57" s="423"/>
      <c r="O57" s="520">
        <v>0</v>
      </c>
      <c r="P57" s="497"/>
      <c r="Q57" s="520">
        <v>0</v>
      </c>
      <c r="R57" s="497"/>
      <c r="S57" s="520">
        <v>0</v>
      </c>
      <c r="T57" s="423"/>
      <c r="U57" s="520">
        <v>0</v>
      </c>
      <c r="V57" s="423"/>
      <c r="W57" s="520">
        <v>0</v>
      </c>
      <c r="X57" s="423"/>
    </row>
    <row r="58" spans="1:26" ht="12.75" x14ac:dyDescent="0.2">
      <c r="A58" s="513">
        <f t="shared" si="0"/>
        <v>49</v>
      </c>
      <c r="B58" s="423"/>
      <c r="C58" s="423" t="s">
        <v>149</v>
      </c>
      <c r="D58" s="423"/>
      <c r="E58" s="682"/>
      <c r="F58" s="683"/>
      <c r="G58" s="673"/>
      <c r="H58" s="499"/>
      <c r="I58" s="423"/>
      <c r="J58" s="28">
        <f>SUM(J47:J57)</f>
        <v>-41</v>
      </c>
      <c r="K58" s="423"/>
      <c r="L58" s="28">
        <f>SUM(L47:L57)</f>
        <v>-41</v>
      </c>
      <c r="M58" s="423"/>
      <c r="N58" s="423"/>
      <c r="O58" s="738">
        <f>SUM(O47:O57)</f>
        <v>-137.52499999999998</v>
      </c>
      <c r="P58" s="497"/>
      <c r="Q58" s="738">
        <f>SUM(Q47:Q57)</f>
        <v>-137.52499999999998</v>
      </c>
      <c r="R58" s="497"/>
      <c r="S58" s="738">
        <f>SUM(S47:S57)</f>
        <v>-137.52499999999998</v>
      </c>
      <c r="T58" s="423"/>
      <c r="U58" s="28">
        <f>SUM(U47:U57)</f>
        <v>-41</v>
      </c>
      <c r="V58" s="423"/>
      <c r="W58" s="28">
        <f>SUM(W47:W57)</f>
        <v>-41</v>
      </c>
      <c r="X58" s="423"/>
    </row>
    <row r="59" spans="1:26" ht="12.75" x14ac:dyDescent="0.2">
      <c r="A59" s="513">
        <f t="shared" si="0"/>
        <v>50</v>
      </c>
      <c r="B59" s="423"/>
      <c r="C59" s="423"/>
      <c r="D59" s="423"/>
      <c r="E59" s="684"/>
      <c r="F59" s="669"/>
      <c r="G59" s="673"/>
      <c r="H59" s="685"/>
      <c r="I59" s="423"/>
      <c r="J59" s="497"/>
      <c r="K59" s="423"/>
      <c r="L59" s="497"/>
      <c r="M59" s="423"/>
      <c r="N59" s="423"/>
      <c r="O59" s="497"/>
      <c r="P59" s="497"/>
      <c r="Q59" s="497"/>
      <c r="R59" s="497"/>
      <c r="S59" s="497"/>
      <c r="T59" s="423"/>
      <c r="U59" s="497"/>
      <c r="V59" s="423"/>
      <c r="W59" s="497"/>
      <c r="X59" s="423"/>
    </row>
    <row r="60" spans="1:26" ht="13.5" thickBot="1" x14ac:dyDescent="0.25">
      <c r="A60" s="513">
        <f t="shared" si="0"/>
        <v>51</v>
      </c>
      <c r="B60" s="423"/>
      <c r="C60" s="423" t="s">
        <v>331</v>
      </c>
      <c r="D60" s="423" t="s">
        <v>683</v>
      </c>
      <c r="E60" s="684"/>
      <c r="F60" s="669"/>
      <c r="G60" s="669"/>
      <c r="H60" s="685"/>
      <c r="I60" s="423"/>
      <c r="J60" s="686">
        <f>J44+J58+J29+J25+J17</f>
        <v>-382</v>
      </c>
      <c r="K60" s="423"/>
      <c r="L60" s="686">
        <f>L44+L58+L29+L25+L17</f>
        <v>-382</v>
      </c>
      <c r="M60" s="423"/>
      <c r="N60" s="423"/>
      <c r="O60" s="739">
        <f>O44+O58+O29+O25+O17</f>
        <v>-401.87700000000001</v>
      </c>
      <c r="P60" s="497"/>
      <c r="Q60" s="739">
        <f>Q44+Q58+Q29+Q25+Q17</f>
        <v>-401.87700000000001</v>
      </c>
      <c r="R60" s="497"/>
      <c r="S60" s="739">
        <f>S44+S58+S29+S25+S17</f>
        <v>-401.87700000000001</v>
      </c>
      <c r="T60" s="423"/>
      <c r="U60" s="686">
        <f>U44+U58+U29+U25+U17</f>
        <v>-382</v>
      </c>
      <c r="V60" s="423"/>
      <c r="W60" s="686">
        <f>W44+W58+W29+W25+W17</f>
        <v>-382</v>
      </c>
      <c r="X60" s="423"/>
    </row>
    <row r="61" spans="1:26" x14ac:dyDescent="0.2">
      <c r="A61" s="549"/>
      <c r="E61" s="605"/>
      <c r="F61" s="605"/>
      <c r="G61" s="605"/>
      <c r="H61" s="606"/>
    </row>
    <row r="62" spans="1:26" x14ac:dyDescent="0.2">
      <c r="A62" s="549"/>
    </row>
  </sheetData>
  <customSheetViews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O7:S7"/>
  </mergeCells>
  <phoneticPr fontId="9" type="noConversion"/>
  <printOptions horizontalCentered="1"/>
  <pageMargins left="0.5" right="0.5" top="0.75" bottom="0.75" header="0.5" footer="0.5"/>
  <pageSetup scale="64" orientation="landscape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P188"/>
  <sheetViews>
    <sheetView tabSelected="1" view="pageBreakPreview" zoomScale="115" zoomScaleNormal="85" zoomScaleSheetLayoutView="115" workbookViewId="0">
      <pane ySplit="8" topLeftCell="A115" activePane="bottomLeft" state="frozen"/>
      <selection pane="bottomLeft" activeCell="P2" sqref="P2"/>
    </sheetView>
  </sheetViews>
  <sheetFormatPr defaultRowHeight="12.75" x14ac:dyDescent="0.2"/>
  <cols>
    <col min="1" max="1" width="5.140625" style="423" customWidth="1"/>
    <col min="2" max="2" width="2.7109375" style="423" customWidth="1"/>
    <col min="3" max="3" width="23.140625" style="423" customWidth="1"/>
    <col min="4" max="4" width="2.7109375" style="423" customWidth="1"/>
    <col min="5" max="5" width="12.85546875" style="423" customWidth="1"/>
    <col min="6" max="6" width="2.7109375" style="423" customWidth="1"/>
    <col min="7" max="7" width="12.7109375" style="423" customWidth="1"/>
    <col min="8" max="8" width="2.7109375" style="423" customWidth="1"/>
    <col min="9" max="9" width="12.7109375" style="423" customWidth="1"/>
    <col min="10" max="10" width="2.7109375" style="423" customWidth="1"/>
    <col min="11" max="11" width="12.7109375" style="423" customWidth="1"/>
    <col min="12" max="12" width="2.7109375" style="423" customWidth="1"/>
    <col min="13" max="13" width="12.7109375" style="423" customWidth="1"/>
    <col min="14" max="14" width="2.7109375" style="423" customWidth="1"/>
    <col min="15" max="15" width="12.7109375" style="423" customWidth="1"/>
    <col min="16" max="16" width="2.7109375" style="423" customWidth="1"/>
    <col min="17" max="16384" width="9.140625" style="423"/>
  </cols>
  <sheetData>
    <row r="1" spans="1:16" ht="15.75" customHeight="1" x14ac:dyDescent="0.2">
      <c r="A1" s="501" t="s">
        <v>539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488"/>
      <c r="P1" s="172" t="s">
        <v>811</v>
      </c>
    </row>
    <row r="2" spans="1:16" x14ac:dyDescent="0.2">
      <c r="A2" s="501" t="s">
        <v>489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172" t="s">
        <v>986</v>
      </c>
    </row>
    <row r="3" spans="1:16" x14ac:dyDescent="0.2">
      <c r="A3" s="501" t="s">
        <v>100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239"/>
    </row>
    <row r="4" spans="1:16" x14ac:dyDescent="0.2">
      <c r="A4" s="501" t="s">
        <v>33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239"/>
    </row>
    <row r="5" spans="1:16" x14ac:dyDescent="0.2">
      <c r="A5" s="579"/>
      <c r="B5" s="580"/>
      <c r="C5" s="580"/>
      <c r="D5" s="580"/>
      <c r="E5" s="580"/>
      <c r="F5" s="580"/>
      <c r="G5" s="580"/>
      <c r="H5" s="580"/>
      <c r="I5" s="580"/>
      <c r="J5" s="580"/>
      <c r="K5" s="488"/>
      <c r="L5" s="488"/>
      <c r="M5" s="488"/>
      <c r="N5" s="488"/>
      <c r="O5" s="488"/>
    </row>
    <row r="6" spans="1:16" s="427" customFormat="1" ht="11.25" x14ac:dyDescent="0.2">
      <c r="A6" s="405"/>
      <c r="B6" s="405"/>
      <c r="C6" s="405"/>
      <c r="D6" s="405"/>
      <c r="E6" s="405"/>
      <c r="F6" s="405"/>
      <c r="H6" s="405"/>
      <c r="I6" s="405"/>
      <c r="J6" s="405"/>
      <c r="K6" s="405" t="s">
        <v>38</v>
      </c>
      <c r="M6" s="405" t="s">
        <v>38</v>
      </c>
      <c r="O6" s="405"/>
      <c r="P6" s="405"/>
    </row>
    <row r="7" spans="1:16" s="427" customFormat="1" ht="11.25" x14ac:dyDescent="0.2">
      <c r="A7" s="405" t="s">
        <v>34</v>
      </c>
      <c r="B7" s="405"/>
      <c r="C7" s="405"/>
      <c r="D7" s="405"/>
      <c r="E7" s="405" t="s">
        <v>35</v>
      </c>
      <c r="F7" s="405"/>
      <c r="G7" s="405" t="s">
        <v>38</v>
      </c>
      <c r="H7" s="405"/>
      <c r="I7" s="405"/>
      <c r="J7" s="405"/>
      <c r="K7" s="405" t="s">
        <v>39</v>
      </c>
      <c r="M7" s="405" t="s">
        <v>40</v>
      </c>
      <c r="O7" s="405"/>
      <c r="P7" s="405"/>
    </row>
    <row r="8" spans="1:16" s="427" customFormat="1" ht="11.25" x14ac:dyDescent="0.2">
      <c r="A8" s="570" t="s">
        <v>36</v>
      </c>
      <c r="B8" s="405"/>
      <c r="C8" s="570" t="s">
        <v>178</v>
      </c>
      <c r="D8" s="405"/>
      <c r="E8" s="570" t="s">
        <v>37</v>
      </c>
      <c r="F8" s="581"/>
      <c r="G8" s="570" t="s">
        <v>41</v>
      </c>
      <c r="H8" s="405"/>
      <c r="I8" s="570" t="s">
        <v>42</v>
      </c>
      <c r="J8" s="405"/>
      <c r="K8" s="570" t="s">
        <v>43</v>
      </c>
      <c r="M8" s="570" t="s">
        <v>39</v>
      </c>
      <c r="O8" s="570" t="s">
        <v>44</v>
      </c>
      <c r="P8" s="581"/>
    </row>
    <row r="9" spans="1:16" s="427" customFormat="1" ht="11.25" x14ac:dyDescent="0.2">
      <c r="E9" s="350"/>
      <c r="F9" s="350"/>
    </row>
    <row r="10" spans="1:16" hidden="1" x14ac:dyDescent="0.2">
      <c r="A10" s="427">
        <v>1</v>
      </c>
      <c r="B10" s="427"/>
      <c r="C10" s="582" t="s">
        <v>311</v>
      </c>
      <c r="D10" s="427"/>
      <c r="E10" s="350"/>
      <c r="F10" s="350"/>
      <c r="G10" s="427"/>
      <c r="H10" s="427"/>
      <c r="I10" s="427"/>
      <c r="J10" s="427"/>
      <c r="K10" s="427"/>
      <c r="L10" s="427"/>
      <c r="M10" s="427"/>
      <c r="N10" s="427"/>
      <c r="O10" s="583"/>
      <c r="P10" s="583"/>
    </row>
    <row r="11" spans="1:16" ht="6.75" hidden="1" customHeight="1" x14ac:dyDescent="0.2">
      <c r="A11" s="427"/>
      <c r="B11" s="427"/>
      <c r="C11" s="427"/>
      <c r="D11" s="427"/>
      <c r="E11" s="350"/>
      <c r="F11" s="350"/>
      <c r="G11" s="427"/>
      <c r="H11" s="427"/>
      <c r="I11" s="427"/>
      <c r="J11" s="427"/>
      <c r="K11" s="427"/>
      <c r="L11" s="427"/>
      <c r="M11" s="427"/>
      <c r="N11" s="427"/>
      <c r="O11" s="583"/>
      <c r="P11" s="583"/>
    </row>
    <row r="12" spans="1:16" hidden="1" x14ac:dyDescent="0.2">
      <c r="A12" s="427">
        <f>A10+1</f>
        <v>2</v>
      </c>
      <c r="B12" s="427"/>
      <c r="C12" s="427" t="s">
        <v>45</v>
      </c>
      <c r="D12" s="427"/>
      <c r="E12" s="350" t="s">
        <v>420</v>
      </c>
      <c r="F12" s="350"/>
      <c r="G12" s="583">
        <v>22475</v>
      </c>
      <c r="H12" s="427"/>
      <c r="I12" s="584" t="e">
        <f>G12/G18</f>
        <v>#REF!</v>
      </c>
      <c r="J12" s="427"/>
      <c r="K12" s="583" t="e">
        <f>K18*I12</f>
        <v>#REF!</v>
      </c>
      <c r="L12" s="427"/>
      <c r="M12" s="584">
        <f>'S8.2 &amp; 8.3'!N25</f>
        <v>7.1440044493882096E-2</v>
      </c>
      <c r="N12" s="427"/>
      <c r="O12" s="583" t="e">
        <f>ROUND(K12*M12,0)</f>
        <v>#REF!</v>
      </c>
      <c r="P12" s="583"/>
    </row>
    <row r="13" spans="1:16" ht="6" hidden="1" customHeight="1" x14ac:dyDescent="0.2">
      <c r="A13" s="427"/>
      <c r="B13" s="427"/>
      <c r="C13" s="427"/>
      <c r="D13" s="427"/>
      <c r="E13" s="350"/>
      <c r="F13" s="350"/>
      <c r="G13" s="583"/>
      <c r="H13" s="427"/>
      <c r="I13" s="584"/>
      <c r="J13" s="427"/>
      <c r="K13" s="583"/>
      <c r="L13" s="427"/>
      <c r="M13" s="584"/>
      <c r="N13" s="427"/>
      <c r="O13" s="583"/>
      <c r="P13" s="583"/>
    </row>
    <row r="14" spans="1:16" hidden="1" x14ac:dyDescent="0.2">
      <c r="A14" s="427">
        <f>A12+1</f>
        <v>3</v>
      </c>
      <c r="B14" s="427"/>
      <c r="C14" s="427" t="s">
        <v>46</v>
      </c>
      <c r="D14" s="427"/>
      <c r="E14" s="496"/>
      <c r="F14" s="496"/>
      <c r="G14" s="583">
        <v>16280</v>
      </c>
      <c r="H14" s="427"/>
      <c r="I14" s="584" t="e">
        <f>G14/G$18</f>
        <v>#REF!</v>
      </c>
      <c r="J14" s="427"/>
      <c r="K14" s="583" t="e">
        <f>K18*I14</f>
        <v>#REF!</v>
      </c>
      <c r="L14" s="427"/>
      <c r="M14" s="584" t="e">
        <f>O14/K14</f>
        <v>#REF!</v>
      </c>
      <c r="N14" s="427"/>
      <c r="O14" s="583" t="e">
        <f>O18-O12-O16</f>
        <v>#REF!</v>
      </c>
      <c r="P14" s="583"/>
    </row>
    <row r="15" spans="1:16" ht="7.5" hidden="1" customHeight="1" x14ac:dyDescent="0.2">
      <c r="A15" s="427"/>
      <c r="B15" s="427"/>
      <c r="C15" s="427"/>
      <c r="D15" s="427"/>
      <c r="E15" s="350"/>
      <c r="F15" s="350"/>
      <c r="G15" s="583"/>
      <c r="H15" s="427"/>
      <c r="I15" s="584"/>
      <c r="J15" s="427"/>
      <c r="K15" s="583"/>
      <c r="L15" s="427"/>
      <c r="M15" s="584"/>
      <c r="N15" s="427"/>
      <c r="O15" s="583"/>
      <c r="P15" s="583"/>
    </row>
    <row r="16" spans="1:16" hidden="1" x14ac:dyDescent="0.2">
      <c r="A16" s="427">
        <f>A14+1</f>
        <v>4</v>
      </c>
      <c r="B16" s="427"/>
      <c r="C16" s="427" t="s">
        <v>83</v>
      </c>
      <c r="D16" s="427"/>
      <c r="E16" s="350" t="s">
        <v>457</v>
      </c>
      <c r="F16" s="350"/>
      <c r="G16" s="585" t="e">
        <f>+'S8.4 '!#REF!</f>
        <v>#REF!</v>
      </c>
      <c r="H16" s="427"/>
      <c r="I16" s="586" t="e">
        <f>G16/G$18</f>
        <v>#REF!</v>
      </c>
      <c r="J16" s="427"/>
      <c r="K16" s="585" t="e">
        <f>K18*I16</f>
        <v>#REF!</v>
      </c>
      <c r="L16" s="427"/>
      <c r="M16" s="586">
        <v>0</v>
      </c>
      <c r="N16" s="427"/>
      <c r="O16" s="587" t="e">
        <f>ROUND(K16*M16,0)</f>
        <v>#REF!</v>
      </c>
      <c r="P16" s="588"/>
    </row>
    <row r="17" spans="1:16" ht="7.5" hidden="1" customHeight="1" x14ac:dyDescent="0.2">
      <c r="A17" s="427"/>
      <c r="B17" s="427"/>
      <c r="C17" s="427"/>
      <c r="D17" s="427"/>
      <c r="E17" s="350"/>
      <c r="F17" s="350"/>
      <c r="G17" s="583"/>
      <c r="H17" s="427"/>
      <c r="I17" s="427"/>
      <c r="J17" s="427"/>
      <c r="K17" s="583"/>
      <c r="L17" s="427"/>
      <c r="M17" s="584"/>
      <c r="N17" s="427"/>
      <c r="O17" s="583"/>
      <c r="P17" s="583"/>
    </row>
    <row r="18" spans="1:16" ht="13.5" hidden="1" thickBot="1" x14ac:dyDescent="0.25">
      <c r="A18" s="427">
        <f>A16+1</f>
        <v>5</v>
      </c>
      <c r="B18" s="427"/>
      <c r="C18" s="427" t="s">
        <v>27</v>
      </c>
      <c r="D18" s="427"/>
      <c r="E18" s="350" t="s">
        <v>273</v>
      </c>
      <c r="F18" s="350"/>
      <c r="G18" s="589" t="e">
        <f>SUM(G12:G16)</f>
        <v>#REF!</v>
      </c>
      <c r="H18" s="427"/>
      <c r="I18" s="590" t="e">
        <f>SUM(I12:I16)</f>
        <v>#REF!</v>
      </c>
      <c r="J18" s="427"/>
      <c r="K18" s="589" t="e">
        <f>S8.5!#REF!</f>
        <v>#REF!</v>
      </c>
      <c r="L18" s="427"/>
      <c r="M18" s="591" t="e">
        <f>O18/K18</f>
        <v>#REF!</v>
      </c>
      <c r="N18" s="427"/>
      <c r="O18" s="589">
        <v>3484</v>
      </c>
      <c r="P18" s="592"/>
    </row>
    <row r="19" spans="1:16" hidden="1" x14ac:dyDescent="0.2">
      <c r="E19" s="350" t="s">
        <v>283</v>
      </c>
      <c r="F19" s="350"/>
    </row>
    <row r="20" spans="1:16" hidden="1" x14ac:dyDescent="0.2">
      <c r="A20" s="427">
        <f>A18+1</f>
        <v>6</v>
      </c>
      <c r="B20" s="427"/>
      <c r="C20" s="582" t="s">
        <v>378</v>
      </c>
      <c r="D20" s="427"/>
      <c r="E20" s="350"/>
      <c r="F20" s="350"/>
      <c r="G20" s="427"/>
      <c r="H20" s="427"/>
      <c r="I20" s="427"/>
      <c r="J20" s="427"/>
      <c r="K20" s="427"/>
      <c r="L20" s="427"/>
      <c r="M20" s="427"/>
      <c r="N20" s="427"/>
      <c r="O20" s="583"/>
      <c r="P20" s="583"/>
    </row>
    <row r="21" spans="1:16" ht="6" hidden="1" customHeight="1" x14ac:dyDescent="0.2">
      <c r="A21" s="427"/>
      <c r="B21" s="427"/>
      <c r="C21" s="427"/>
      <c r="D21" s="427"/>
      <c r="E21" s="350"/>
      <c r="F21" s="350"/>
      <c r="G21" s="427"/>
      <c r="H21" s="427"/>
      <c r="I21" s="427"/>
      <c r="J21" s="427"/>
      <c r="K21" s="427"/>
      <c r="L21" s="427"/>
      <c r="M21" s="427"/>
      <c r="N21" s="427"/>
      <c r="O21" s="583"/>
      <c r="P21" s="583"/>
    </row>
    <row r="22" spans="1:16" hidden="1" x14ac:dyDescent="0.2">
      <c r="A22" s="427">
        <f>A20+1</f>
        <v>7</v>
      </c>
      <c r="B22" s="427"/>
      <c r="C22" s="427" t="s">
        <v>45</v>
      </c>
      <c r="D22" s="427"/>
      <c r="E22" s="350" t="s">
        <v>421</v>
      </c>
      <c r="F22" s="350"/>
      <c r="G22" s="583">
        <f>'S8.2 &amp; 8.3'!L44</f>
        <v>23800</v>
      </c>
      <c r="H22" s="427"/>
      <c r="I22" s="584" t="e">
        <f>G22/G28</f>
        <v>#REF!</v>
      </c>
      <c r="J22" s="427"/>
      <c r="K22" s="583" t="e">
        <f>K28*I22</f>
        <v>#REF!</v>
      </c>
      <c r="L22" s="427"/>
      <c r="M22" s="584">
        <f>'S8.2 &amp; 8.3'!N44</f>
        <v>7.0303781512605037E-2</v>
      </c>
      <c r="N22" s="427"/>
      <c r="O22" s="583" t="e">
        <f>ROUND(K22*M22,0)</f>
        <v>#REF!</v>
      </c>
      <c r="P22" s="583"/>
    </row>
    <row r="23" spans="1:16" ht="6" hidden="1" customHeight="1" x14ac:dyDescent="0.2">
      <c r="A23" s="427"/>
      <c r="B23" s="427"/>
      <c r="C23" s="427"/>
      <c r="D23" s="427"/>
      <c r="E23" s="350"/>
      <c r="F23" s="350"/>
      <c r="G23" s="583"/>
      <c r="H23" s="427"/>
      <c r="I23" s="584"/>
      <c r="J23" s="427"/>
      <c r="K23" s="583"/>
      <c r="L23" s="427"/>
      <c r="M23" s="584"/>
      <c r="N23" s="427"/>
      <c r="O23" s="583"/>
      <c r="P23" s="583"/>
    </row>
    <row r="24" spans="1:16" hidden="1" x14ac:dyDescent="0.2">
      <c r="A24" s="427">
        <f>A22+1</f>
        <v>8</v>
      </c>
      <c r="B24" s="427"/>
      <c r="C24" s="427" t="s">
        <v>46</v>
      </c>
      <c r="D24" s="427"/>
      <c r="E24" s="350"/>
      <c r="F24" s="350"/>
      <c r="G24" s="583">
        <v>16890</v>
      </c>
      <c r="H24" s="427"/>
      <c r="I24" s="584" t="e">
        <f>G24/G$28</f>
        <v>#REF!</v>
      </c>
      <c r="J24" s="427"/>
      <c r="K24" s="583" t="e">
        <f>K28*I24</f>
        <v>#REF!</v>
      </c>
      <c r="L24" s="427"/>
      <c r="M24" s="584" t="e">
        <f>O24/K24</f>
        <v>#REF!</v>
      </c>
      <c r="N24" s="427"/>
      <c r="O24" s="583" t="e">
        <f>O28-O22-O26</f>
        <v>#REF!</v>
      </c>
      <c r="P24" s="583"/>
    </row>
    <row r="25" spans="1:16" ht="6" hidden="1" customHeight="1" x14ac:dyDescent="0.2">
      <c r="A25" s="427"/>
      <c r="B25" s="427"/>
      <c r="C25" s="427"/>
      <c r="D25" s="427"/>
      <c r="E25" s="350"/>
      <c r="F25" s="350"/>
      <c r="G25" s="583"/>
      <c r="H25" s="427"/>
      <c r="I25" s="584"/>
      <c r="J25" s="427"/>
      <c r="K25" s="583"/>
      <c r="L25" s="427"/>
      <c r="M25" s="584"/>
      <c r="N25" s="427"/>
      <c r="O25" s="583"/>
      <c r="P25" s="583"/>
    </row>
    <row r="26" spans="1:16" hidden="1" x14ac:dyDescent="0.2">
      <c r="A26" s="427">
        <f>A24+1</f>
        <v>9</v>
      </c>
      <c r="B26" s="427"/>
      <c r="C26" s="427" t="s">
        <v>83</v>
      </c>
      <c r="D26" s="427"/>
      <c r="E26" s="350" t="s">
        <v>457</v>
      </c>
      <c r="F26" s="350"/>
      <c r="G26" s="585" t="e">
        <f>+'S8.4 '!#REF!</f>
        <v>#REF!</v>
      </c>
      <c r="H26" s="427"/>
      <c r="I26" s="586" t="e">
        <f>G26/G$28</f>
        <v>#REF!</v>
      </c>
      <c r="J26" s="427"/>
      <c r="K26" s="585" t="e">
        <f>K28*I26</f>
        <v>#REF!</v>
      </c>
      <c r="L26" s="427"/>
      <c r="M26" s="586">
        <v>0</v>
      </c>
      <c r="N26" s="427"/>
      <c r="O26" s="587" t="e">
        <f>ROUND(K26*M26,0)</f>
        <v>#REF!</v>
      </c>
      <c r="P26" s="588"/>
    </row>
    <row r="27" spans="1:16" ht="6" hidden="1" customHeight="1" x14ac:dyDescent="0.2">
      <c r="A27" s="427"/>
      <c r="B27" s="427"/>
      <c r="C27" s="427"/>
      <c r="D27" s="427"/>
      <c r="E27" s="350"/>
      <c r="F27" s="350"/>
      <c r="G27" s="583"/>
      <c r="H27" s="427"/>
      <c r="I27" s="427"/>
      <c r="J27" s="427"/>
      <c r="K27" s="583"/>
      <c r="L27" s="427"/>
      <c r="M27" s="584"/>
      <c r="N27" s="427"/>
      <c r="O27" s="583"/>
      <c r="P27" s="583"/>
    </row>
    <row r="28" spans="1:16" ht="13.5" hidden="1" thickBot="1" x14ac:dyDescent="0.25">
      <c r="A28" s="427">
        <f>A26+1</f>
        <v>10</v>
      </c>
      <c r="B28" s="427"/>
      <c r="C28" s="427" t="s">
        <v>27</v>
      </c>
      <c r="D28" s="427"/>
      <c r="E28" s="350" t="s">
        <v>273</v>
      </c>
      <c r="F28" s="350"/>
      <c r="G28" s="589" t="e">
        <f>SUM(G22:G26)</f>
        <v>#REF!</v>
      </c>
      <c r="H28" s="427"/>
      <c r="I28" s="590" t="e">
        <f>SUM(I22:I26)</f>
        <v>#REF!</v>
      </c>
      <c r="J28" s="427"/>
      <c r="K28" s="589" t="e">
        <f>S8.5!#REF!</f>
        <v>#REF!</v>
      </c>
      <c r="L28" s="427"/>
      <c r="M28" s="591" t="e">
        <f>O28/K28</f>
        <v>#REF!</v>
      </c>
      <c r="N28" s="427"/>
      <c r="O28" s="589">
        <v>3614</v>
      </c>
      <c r="P28" s="592"/>
    </row>
    <row r="29" spans="1:16" x14ac:dyDescent="0.2">
      <c r="E29" s="350"/>
      <c r="F29" s="350"/>
    </row>
    <row r="30" spans="1:16" x14ac:dyDescent="0.2">
      <c r="A30" s="596">
        <v>1</v>
      </c>
      <c r="B30" s="427"/>
      <c r="C30" s="582" t="s">
        <v>8</v>
      </c>
      <c r="D30" s="427"/>
      <c r="E30" s="350"/>
      <c r="F30" s="350"/>
      <c r="G30" s="427"/>
      <c r="H30" s="427"/>
      <c r="I30" s="427"/>
      <c r="J30" s="427"/>
      <c r="K30" s="427"/>
      <c r="L30" s="427"/>
      <c r="M30" s="427"/>
      <c r="N30" s="427"/>
      <c r="O30" s="583"/>
      <c r="P30" s="583"/>
    </row>
    <row r="31" spans="1:16" ht="6" customHeight="1" x14ac:dyDescent="0.2">
      <c r="A31" s="596"/>
      <c r="B31" s="427"/>
      <c r="C31" s="427"/>
      <c r="D31" s="427"/>
      <c r="E31" s="350"/>
      <c r="F31" s="350"/>
      <c r="G31" s="427"/>
      <c r="H31" s="427"/>
      <c r="I31" s="427"/>
      <c r="J31" s="427"/>
      <c r="K31" s="427"/>
      <c r="L31" s="427"/>
      <c r="M31" s="427"/>
      <c r="N31" s="427"/>
      <c r="O31" s="583"/>
      <c r="P31" s="583"/>
    </row>
    <row r="32" spans="1:16" x14ac:dyDescent="0.2">
      <c r="A32" s="596">
        <f>A30+1</f>
        <v>2</v>
      </c>
      <c r="B32" s="427"/>
      <c r="C32" s="427" t="s">
        <v>669</v>
      </c>
      <c r="D32" s="427"/>
      <c r="E32" s="350" t="s">
        <v>671</v>
      </c>
      <c r="F32" s="350"/>
      <c r="G32" s="583">
        <f>'S8.2 &amp; 8.3'!L64</f>
        <v>24575</v>
      </c>
      <c r="H32" s="427"/>
      <c r="I32" s="584">
        <f>G32/G38</f>
        <v>0.56805704841487237</v>
      </c>
      <c r="J32" s="427"/>
      <c r="K32" s="583">
        <f>K38*I32</f>
        <v>26099.665117945518</v>
      </c>
      <c r="L32" s="427"/>
      <c r="M32" s="584">
        <f>'S8.2 &amp; 8.3'!N64</f>
        <v>6.9682685656154625E-2</v>
      </c>
      <c r="N32" s="427"/>
      <c r="O32" s="583">
        <f>ROUND(K32*M32,0)</f>
        <v>1819</v>
      </c>
      <c r="P32" s="583"/>
    </row>
    <row r="33" spans="1:16" ht="6" customHeight="1" x14ac:dyDescent="0.2">
      <c r="A33" s="596"/>
      <c r="B33" s="427"/>
      <c r="C33" s="427"/>
      <c r="D33" s="427"/>
      <c r="E33" s="350"/>
      <c r="F33" s="350"/>
      <c r="G33" s="583"/>
      <c r="H33" s="427"/>
      <c r="I33" s="584"/>
      <c r="J33" s="427"/>
      <c r="K33" s="583"/>
      <c r="L33" s="427"/>
      <c r="M33" s="584"/>
      <c r="N33" s="427"/>
      <c r="O33" s="583"/>
      <c r="P33" s="583"/>
    </row>
    <row r="34" spans="1:16" x14ac:dyDescent="0.2">
      <c r="A34" s="596">
        <f>A32+1</f>
        <v>3</v>
      </c>
      <c r="B34" s="427"/>
      <c r="C34" s="427" t="s">
        <v>670</v>
      </c>
      <c r="D34" s="427"/>
      <c r="E34" s="350"/>
      <c r="F34" s="350"/>
      <c r="G34" s="583">
        <v>17994</v>
      </c>
      <c r="H34" s="427"/>
      <c r="I34" s="584">
        <f>G34/G$38</f>
        <v>0.41593564716896086</v>
      </c>
      <c r="J34" s="427"/>
      <c r="K34" s="583">
        <f>K38*I34</f>
        <v>19110.37127700149</v>
      </c>
      <c r="L34" s="427"/>
      <c r="M34" s="584">
        <f>O34/K34</f>
        <v>7.0328303962228417E-2</v>
      </c>
      <c r="N34" s="427"/>
      <c r="O34" s="583">
        <f>O38-O32-O36</f>
        <v>1344</v>
      </c>
      <c r="P34" s="583"/>
    </row>
    <row r="35" spans="1:16" ht="6" customHeight="1" x14ac:dyDescent="0.2">
      <c r="A35" s="596"/>
      <c r="B35" s="427"/>
      <c r="C35" s="427"/>
      <c r="D35" s="427"/>
      <c r="E35" s="350"/>
      <c r="F35" s="350"/>
      <c r="G35" s="583"/>
      <c r="H35" s="427"/>
      <c r="I35" s="584"/>
      <c r="J35" s="427"/>
      <c r="K35" s="583"/>
      <c r="L35" s="427"/>
      <c r="M35" s="584"/>
      <c r="N35" s="427"/>
      <c r="O35" s="583"/>
      <c r="P35" s="583"/>
    </row>
    <row r="36" spans="1:16" x14ac:dyDescent="0.2">
      <c r="A36" s="596">
        <f>A34+1</f>
        <v>4</v>
      </c>
      <c r="B36" s="427"/>
      <c r="C36" s="427" t="s">
        <v>83</v>
      </c>
      <c r="D36" s="427"/>
      <c r="E36" s="350" t="s">
        <v>457</v>
      </c>
      <c r="F36" s="350"/>
      <c r="G36" s="585">
        <f>+'S8.4 '!G17</f>
        <v>692.5</v>
      </c>
      <c r="H36" s="427"/>
      <c r="I36" s="586">
        <f>G36/G$38</f>
        <v>1.6007304416166799E-2</v>
      </c>
      <c r="J36" s="427"/>
      <c r="K36" s="585">
        <f>K38*I36</f>
        <v>735.46360505299162</v>
      </c>
      <c r="L36" s="427"/>
      <c r="M36" s="586">
        <v>0</v>
      </c>
      <c r="N36" s="427"/>
      <c r="O36" s="587">
        <f>ROUND(K36*M36,0)</f>
        <v>0</v>
      </c>
      <c r="P36" s="588"/>
    </row>
    <row r="37" spans="1:16" ht="6" customHeight="1" x14ac:dyDescent="0.2">
      <c r="A37" s="596"/>
      <c r="B37" s="427"/>
      <c r="C37" s="427"/>
      <c r="D37" s="427"/>
      <c r="E37" s="350"/>
      <c r="F37" s="350"/>
      <c r="G37" s="583"/>
      <c r="H37" s="427"/>
      <c r="I37" s="427"/>
      <c r="J37" s="427"/>
      <c r="K37" s="583"/>
      <c r="L37" s="427"/>
      <c r="M37" s="584"/>
      <c r="N37" s="427"/>
      <c r="O37" s="583"/>
      <c r="P37" s="583"/>
    </row>
    <row r="38" spans="1:16" ht="13.5" thickBot="1" x14ac:dyDescent="0.25">
      <c r="A38" s="596">
        <f>A36+1</f>
        <v>5</v>
      </c>
      <c r="B38" s="427"/>
      <c r="C38" s="427" t="s">
        <v>27</v>
      </c>
      <c r="D38" s="427"/>
      <c r="E38" s="350" t="s">
        <v>273</v>
      </c>
      <c r="F38" s="350"/>
      <c r="G38" s="589">
        <f>SUM(G32:G36)</f>
        <v>43261.5</v>
      </c>
      <c r="H38" s="427"/>
      <c r="I38" s="593">
        <f>SUM(I32:I36)</f>
        <v>1</v>
      </c>
      <c r="J38" s="427"/>
      <c r="K38" s="589">
        <f>S8.5!G39</f>
        <v>45945.5</v>
      </c>
      <c r="L38" s="427"/>
      <c r="M38" s="591">
        <f>O38/K38</f>
        <v>6.8842432882436799E-2</v>
      </c>
      <c r="N38" s="427"/>
      <c r="O38" s="589">
        <v>3163</v>
      </c>
      <c r="P38" s="592"/>
    </row>
    <row r="39" spans="1:16" x14ac:dyDescent="0.2">
      <c r="A39" s="597"/>
      <c r="E39" s="350" t="s">
        <v>283</v>
      </c>
      <c r="F39" s="350"/>
    </row>
    <row r="40" spans="1:16" x14ac:dyDescent="0.2">
      <c r="A40" s="596">
        <f>A38+1</f>
        <v>6</v>
      </c>
      <c r="B40" s="427"/>
      <c r="C40" s="582" t="s">
        <v>12</v>
      </c>
      <c r="D40" s="427"/>
      <c r="E40" s="350"/>
      <c r="F40" s="350"/>
      <c r="G40" s="427"/>
      <c r="H40" s="427"/>
      <c r="I40" s="427"/>
      <c r="J40" s="427"/>
      <c r="K40" s="427"/>
      <c r="L40" s="427"/>
      <c r="M40" s="427"/>
      <c r="N40" s="427"/>
      <c r="O40" s="583"/>
      <c r="P40" s="583"/>
    </row>
    <row r="41" spans="1:16" ht="6" customHeight="1" x14ac:dyDescent="0.2">
      <c r="A41" s="596"/>
      <c r="B41" s="427"/>
      <c r="C41" s="427"/>
      <c r="D41" s="427"/>
      <c r="E41" s="350"/>
      <c r="F41" s="350"/>
      <c r="G41" s="427"/>
      <c r="H41" s="427"/>
      <c r="I41" s="427"/>
      <c r="J41" s="427"/>
      <c r="K41" s="427"/>
      <c r="L41" s="427"/>
      <c r="M41" s="427"/>
      <c r="N41" s="427"/>
      <c r="O41" s="583"/>
      <c r="P41" s="583"/>
    </row>
    <row r="42" spans="1:16" x14ac:dyDescent="0.2">
      <c r="A42" s="596">
        <f>A40+1</f>
        <v>7</v>
      </c>
      <c r="B42" s="427"/>
      <c r="C42" s="427" t="s">
        <v>669</v>
      </c>
      <c r="D42" s="427"/>
      <c r="E42" s="350" t="s">
        <v>672</v>
      </c>
      <c r="F42" s="350"/>
      <c r="G42" s="583">
        <f>'S8.2 &amp; 8.3'!L87</f>
        <v>27650</v>
      </c>
      <c r="H42" s="427"/>
      <c r="I42" s="584">
        <f>G42/G48</f>
        <v>0.57344919841549657</v>
      </c>
      <c r="J42" s="427"/>
      <c r="K42" s="583">
        <f>K48*I42</f>
        <v>28165.53082937553</v>
      </c>
      <c r="L42" s="427"/>
      <c r="M42" s="584">
        <f>'S8.2 &amp; 8.3'!N87</f>
        <v>6.7291464737793849E-2</v>
      </c>
      <c r="N42" s="427"/>
      <c r="O42" s="583">
        <f>ROUND(K42*M42,0)</f>
        <v>1895</v>
      </c>
      <c r="P42" s="583"/>
    </row>
    <row r="43" spans="1:16" ht="6" customHeight="1" x14ac:dyDescent="0.2">
      <c r="A43" s="596"/>
      <c r="B43" s="427"/>
      <c r="C43" s="427"/>
      <c r="D43" s="427"/>
      <c r="E43" s="350"/>
      <c r="F43" s="350"/>
      <c r="G43" s="583"/>
      <c r="H43" s="427"/>
      <c r="I43" s="584"/>
      <c r="J43" s="427"/>
      <c r="K43" s="583"/>
      <c r="L43" s="427"/>
      <c r="M43" s="584"/>
      <c r="N43" s="427"/>
      <c r="O43" s="583"/>
      <c r="P43" s="583"/>
    </row>
    <row r="44" spans="1:16" x14ac:dyDescent="0.2">
      <c r="A44" s="596">
        <f>A42+1</f>
        <v>8</v>
      </c>
      <c r="B44" s="427"/>
      <c r="C44" s="427" t="s">
        <v>670</v>
      </c>
      <c r="D44" s="427"/>
      <c r="E44" s="350"/>
      <c r="F44" s="350"/>
      <c r="G44" s="583">
        <v>19865.5</v>
      </c>
      <c r="H44" s="427"/>
      <c r="I44" s="584">
        <f>G44/G48</f>
        <v>0.41200199099902524</v>
      </c>
      <c r="J44" s="427"/>
      <c r="K44" s="583">
        <f>K48*I44</f>
        <v>20235.889789908124</v>
      </c>
      <c r="L44" s="427"/>
      <c r="M44" s="584">
        <f>O44/K44</f>
        <v>0.11346177627163409</v>
      </c>
      <c r="N44" s="427"/>
      <c r="O44" s="583">
        <f>O48-O42-O46</f>
        <v>2296</v>
      </c>
      <c r="P44" s="583"/>
    </row>
    <row r="45" spans="1:16" ht="6" customHeight="1" x14ac:dyDescent="0.2">
      <c r="A45" s="596"/>
      <c r="B45" s="427"/>
      <c r="C45" s="427"/>
      <c r="D45" s="427"/>
      <c r="E45" s="350"/>
      <c r="F45" s="350"/>
      <c r="G45" s="583"/>
      <c r="H45" s="427"/>
      <c r="I45" s="584"/>
      <c r="J45" s="427"/>
      <c r="K45" s="583"/>
      <c r="L45" s="427"/>
      <c r="M45" s="584"/>
      <c r="N45" s="427"/>
      <c r="O45" s="583"/>
      <c r="P45" s="583"/>
    </row>
    <row r="46" spans="1:16" x14ac:dyDescent="0.2">
      <c r="A46" s="596">
        <f>A44+1</f>
        <v>9</v>
      </c>
      <c r="B46" s="427"/>
      <c r="C46" s="427" t="s">
        <v>83</v>
      </c>
      <c r="D46" s="427"/>
      <c r="E46" s="350" t="s">
        <v>457</v>
      </c>
      <c r="F46" s="350"/>
      <c r="G46" s="585">
        <f>'S8.4 '!I17</f>
        <v>701.5</v>
      </c>
      <c r="H46" s="427"/>
      <c r="I46" s="586">
        <f>G46/G48</f>
        <v>1.4548810585478151E-2</v>
      </c>
      <c r="J46" s="427"/>
      <c r="K46" s="585">
        <f>K48*I46</f>
        <v>714.57938071634487</v>
      </c>
      <c r="L46" s="427"/>
      <c r="M46" s="586">
        <v>0</v>
      </c>
      <c r="N46" s="427"/>
      <c r="O46" s="587">
        <f>ROUND(K46*M46,0)</f>
        <v>0</v>
      </c>
      <c r="P46" s="588"/>
    </row>
    <row r="47" spans="1:16" ht="6" customHeight="1" x14ac:dyDescent="0.2">
      <c r="A47" s="596"/>
      <c r="B47" s="427"/>
      <c r="C47" s="427"/>
      <c r="D47" s="427"/>
      <c r="E47" s="350"/>
      <c r="F47" s="350"/>
      <c r="G47" s="583"/>
      <c r="H47" s="427"/>
      <c r="I47" s="427"/>
      <c r="J47" s="427"/>
      <c r="K47" s="583"/>
      <c r="L47" s="427"/>
      <c r="M47" s="584"/>
      <c r="N47" s="427"/>
      <c r="O47" s="583"/>
      <c r="P47" s="583"/>
    </row>
    <row r="48" spans="1:16" ht="13.5" thickBot="1" x14ac:dyDescent="0.25">
      <c r="A48" s="596">
        <f>A46+1</f>
        <v>10</v>
      </c>
      <c r="B48" s="427"/>
      <c r="C48" s="427" t="s">
        <v>27</v>
      </c>
      <c r="D48" s="427"/>
      <c r="E48" s="350" t="s">
        <v>273</v>
      </c>
      <c r="F48" s="350"/>
      <c r="G48" s="589">
        <f>SUM(G42:G46)</f>
        <v>48217</v>
      </c>
      <c r="H48" s="427"/>
      <c r="I48" s="593">
        <f>SUM(I42:I46)</f>
        <v>1</v>
      </c>
      <c r="J48" s="427"/>
      <c r="K48" s="589">
        <f>S8.5!I39</f>
        <v>49116</v>
      </c>
      <c r="L48" s="427"/>
      <c r="M48" s="591">
        <f>O48/K48</f>
        <v>8.5328609821646709E-2</v>
      </c>
      <c r="N48" s="427"/>
      <c r="O48" s="589">
        <v>4191</v>
      </c>
      <c r="P48" s="592"/>
    </row>
    <row r="49" spans="1:16" x14ac:dyDescent="0.2">
      <c r="A49" s="597"/>
      <c r="E49" s="350" t="s">
        <v>283</v>
      </c>
      <c r="F49" s="350"/>
    </row>
    <row r="50" spans="1:16" x14ac:dyDescent="0.2">
      <c r="A50" s="596">
        <f>A48+1</f>
        <v>11</v>
      </c>
      <c r="B50" s="427"/>
      <c r="C50" s="582" t="s">
        <v>10</v>
      </c>
      <c r="D50" s="427"/>
      <c r="E50" s="350"/>
      <c r="F50" s="350"/>
      <c r="G50" s="427"/>
      <c r="H50" s="427"/>
      <c r="I50" s="427"/>
      <c r="J50" s="427"/>
      <c r="K50" s="427"/>
      <c r="L50" s="427"/>
      <c r="M50" s="427"/>
      <c r="N50" s="427"/>
      <c r="O50" s="583"/>
      <c r="P50" s="583"/>
    </row>
    <row r="51" spans="1:16" ht="6" customHeight="1" x14ac:dyDescent="0.2">
      <c r="A51" s="596"/>
      <c r="B51" s="427"/>
      <c r="C51" s="427"/>
      <c r="D51" s="427"/>
      <c r="E51" s="350"/>
      <c r="F51" s="350"/>
      <c r="G51" s="427"/>
      <c r="H51" s="427"/>
      <c r="I51" s="427"/>
      <c r="J51" s="427"/>
      <c r="K51" s="427"/>
      <c r="L51" s="427"/>
      <c r="M51" s="427"/>
      <c r="N51" s="427"/>
      <c r="O51" s="583"/>
      <c r="P51" s="583"/>
    </row>
    <row r="52" spans="1:16" x14ac:dyDescent="0.2">
      <c r="A52" s="596">
        <f>A50+1</f>
        <v>12</v>
      </c>
      <c r="B52" s="427"/>
      <c r="C52" s="427" t="s">
        <v>669</v>
      </c>
      <c r="D52" s="427"/>
      <c r="E52" s="350" t="s">
        <v>673</v>
      </c>
      <c r="F52" s="350"/>
      <c r="G52" s="583">
        <f>'S8.2 &amp; 8.3'!L115</f>
        <v>29950</v>
      </c>
      <c r="H52" s="427"/>
      <c r="I52" s="584">
        <f>G52/G58</f>
        <v>0.57268511879152928</v>
      </c>
      <c r="J52" s="427"/>
      <c r="K52" s="583">
        <f>K58*I52</f>
        <v>28649.145752665045</v>
      </c>
      <c r="L52" s="427"/>
      <c r="M52" s="584">
        <f>'S8.2 &amp; 8.3'!N115</f>
        <v>6.5761068447412349E-2</v>
      </c>
      <c r="N52" s="427"/>
      <c r="O52" s="583">
        <f>ROUND(K52*M52,0)</f>
        <v>1884</v>
      </c>
      <c r="P52" s="583"/>
    </row>
    <row r="53" spans="1:16" ht="6" customHeight="1" x14ac:dyDescent="0.2">
      <c r="A53" s="596"/>
      <c r="B53" s="427"/>
      <c r="C53" s="427"/>
      <c r="D53" s="427"/>
      <c r="E53" s="350"/>
      <c r="F53" s="350"/>
      <c r="G53" s="583"/>
      <c r="H53" s="427"/>
      <c r="I53" s="584"/>
      <c r="J53" s="427"/>
      <c r="K53" s="583"/>
      <c r="L53" s="427"/>
      <c r="M53" s="584"/>
      <c r="N53" s="427"/>
      <c r="O53" s="583"/>
      <c r="P53" s="583"/>
    </row>
    <row r="54" spans="1:16" x14ac:dyDescent="0.2">
      <c r="A54" s="596">
        <f>A52+1</f>
        <v>13</v>
      </c>
      <c r="B54" s="427"/>
      <c r="C54" s="427" t="s">
        <v>670</v>
      </c>
      <c r="D54" s="427"/>
      <c r="E54" s="350"/>
      <c r="F54" s="350"/>
      <c r="G54" s="583">
        <v>21682</v>
      </c>
      <c r="H54" s="427"/>
      <c r="I54" s="584">
        <f>G54/G58</f>
        <v>0.4145896075338209</v>
      </c>
      <c r="J54" s="427"/>
      <c r="K54" s="583">
        <f>K58*I54</f>
        <v>20740.259706486926</v>
      </c>
      <c r="L54" s="427"/>
      <c r="M54" s="584">
        <f>O54/K54</f>
        <v>0.10544708846225163</v>
      </c>
      <c r="N54" s="427"/>
      <c r="O54" s="583">
        <f>O58-O52-O56</f>
        <v>2187</v>
      </c>
      <c r="P54" s="583"/>
    </row>
    <row r="55" spans="1:16" ht="6" customHeight="1" x14ac:dyDescent="0.2">
      <c r="A55" s="596"/>
      <c r="B55" s="427"/>
      <c r="C55" s="427"/>
      <c r="D55" s="427"/>
      <c r="E55" s="350"/>
      <c r="F55" s="350"/>
      <c r="G55" s="583"/>
      <c r="H55" s="427"/>
      <c r="I55" s="584"/>
      <c r="J55" s="427"/>
      <c r="K55" s="583"/>
      <c r="L55" s="427"/>
      <c r="M55" s="584"/>
      <c r="N55" s="427"/>
      <c r="O55" s="583"/>
      <c r="P55" s="583"/>
    </row>
    <row r="56" spans="1:16" x14ac:dyDescent="0.2">
      <c r="A56" s="596">
        <f>A54+1</f>
        <v>14</v>
      </c>
      <c r="B56" s="427"/>
      <c r="C56" s="427" t="s">
        <v>83</v>
      </c>
      <c r="D56" s="427"/>
      <c r="E56" s="350" t="s">
        <v>457</v>
      </c>
      <c r="F56" s="350"/>
      <c r="G56" s="585">
        <f>'S8.4 '!K17</f>
        <v>665.5</v>
      </c>
      <c r="H56" s="427"/>
      <c r="I56" s="586">
        <f>G56/G58</f>
        <v>1.272527367464984E-2</v>
      </c>
      <c r="J56" s="427"/>
      <c r="K56" s="585">
        <f>K58*I56</f>
        <v>636.59454084803292</v>
      </c>
      <c r="L56" s="427"/>
      <c r="M56" s="586">
        <v>0</v>
      </c>
      <c r="N56" s="427"/>
      <c r="O56" s="587">
        <f>ROUND(K56*M56,0)</f>
        <v>0</v>
      </c>
      <c r="P56" s="588"/>
    </row>
    <row r="57" spans="1:16" ht="6" customHeight="1" x14ac:dyDescent="0.2">
      <c r="A57" s="596"/>
      <c r="B57" s="427"/>
      <c r="C57" s="427"/>
      <c r="D57" s="427"/>
      <c r="E57" s="350"/>
      <c r="F57" s="350"/>
      <c r="G57" s="583"/>
      <c r="H57" s="427"/>
      <c r="I57" s="427"/>
      <c r="J57" s="427"/>
      <c r="K57" s="583"/>
      <c r="L57" s="427"/>
      <c r="M57" s="584"/>
      <c r="N57" s="427"/>
      <c r="O57" s="583"/>
      <c r="P57" s="583"/>
    </row>
    <row r="58" spans="1:16" ht="13.5" thickBot="1" x14ac:dyDescent="0.25">
      <c r="A58" s="596">
        <f>A56+1</f>
        <v>15</v>
      </c>
      <c r="B58" s="427"/>
      <c r="C58" s="427" t="s">
        <v>27</v>
      </c>
      <c r="D58" s="427"/>
      <c r="E58" s="350" t="s">
        <v>273</v>
      </c>
      <c r="F58" s="350"/>
      <c r="G58" s="589">
        <f>SUM(G52:G56)</f>
        <v>52297.5</v>
      </c>
      <c r="H58" s="427"/>
      <c r="I58" s="593">
        <f>SUM(I52:I56)</f>
        <v>1</v>
      </c>
      <c r="J58" s="427"/>
      <c r="K58" s="589">
        <f>S8.5!K39</f>
        <v>50026</v>
      </c>
      <c r="L58" s="427"/>
      <c r="M58" s="591">
        <f>O58/K58</f>
        <v>8.1377683604525644E-2</v>
      </c>
      <c r="N58" s="427"/>
      <c r="O58" s="589">
        <v>4071</v>
      </c>
      <c r="P58" s="592"/>
    </row>
    <row r="59" spans="1:16" x14ac:dyDescent="0.2">
      <c r="A59" s="597"/>
      <c r="E59" s="350" t="s">
        <v>283</v>
      </c>
      <c r="F59" s="350"/>
    </row>
    <row r="60" spans="1:16" x14ac:dyDescent="0.2">
      <c r="A60" s="596">
        <f>A58+1</f>
        <v>16</v>
      </c>
      <c r="B60" s="427"/>
      <c r="C60" s="582" t="s">
        <v>0</v>
      </c>
      <c r="D60" s="427"/>
      <c r="E60" s="350"/>
      <c r="F60" s="350"/>
      <c r="G60" s="427"/>
      <c r="H60" s="427"/>
      <c r="I60" s="427"/>
      <c r="J60" s="427"/>
      <c r="K60" s="427"/>
      <c r="L60" s="427"/>
      <c r="M60" s="427"/>
      <c r="N60" s="427"/>
      <c r="O60" s="583"/>
      <c r="P60" s="583"/>
    </row>
    <row r="61" spans="1:16" ht="6" customHeight="1" x14ac:dyDescent="0.2">
      <c r="A61" s="596"/>
      <c r="B61" s="427"/>
      <c r="C61" s="427"/>
      <c r="D61" s="427"/>
      <c r="E61" s="350"/>
      <c r="F61" s="350"/>
      <c r="G61" s="427"/>
      <c r="H61" s="427"/>
      <c r="I61" s="427"/>
      <c r="J61" s="427"/>
      <c r="K61" s="427"/>
      <c r="L61" s="427"/>
      <c r="M61" s="427"/>
      <c r="N61" s="427"/>
      <c r="O61" s="583"/>
      <c r="P61" s="583"/>
    </row>
    <row r="62" spans="1:16" x14ac:dyDescent="0.2">
      <c r="A62" s="596">
        <f>A60+1</f>
        <v>17</v>
      </c>
      <c r="B62" s="427"/>
      <c r="C62" s="427" t="s">
        <v>669</v>
      </c>
      <c r="D62" s="427"/>
      <c r="E62" s="350" t="s">
        <v>674</v>
      </c>
      <c r="F62" s="350"/>
      <c r="G62" s="583">
        <f>+'S8.2 &amp; 8.3'!L137</f>
        <v>32450</v>
      </c>
      <c r="H62" s="427"/>
      <c r="I62" s="584">
        <f>G62/G68</f>
        <v>0.57362052659955276</v>
      </c>
      <c r="J62" s="427"/>
      <c r="K62" s="583">
        <f>K68*I62</f>
        <v>30062.304558029362</v>
      </c>
      <c r="L62" s="427"/>
      <c r="M62" s="584">
        <f>+'S8.2 &amp; 8.3'!N137</f>
        <v>6.4223235747303542E-2</v>
      </c>
      <c r="N62" s="427"/>
      <c r="O62" s="583">
        <f>+M62*K62</f>
        <v>1930.6984727375575</v>
      </c>
      <c r="P62" s="583"/>
    </row>
    <row r="63" spans="1:16" ht="6" customHeight="1" x14ac:dyDescent="0.2">
      <c r="A63" s="596"/>
      <c r="B63" s="427"/>
      <c r="C63" s="427"/>
      <c r="D63" s="427"/>
      <c r="E63" s="350"/>
      <c r="F63" s="350"/>
      <c r="G63" s="583"/>
      <c r="H63" s="427"/>
      <c r="I63" s="584"/>
      <c r="J63" s="427"/>
      <c r="K63" s="583"/>
      <c r="L63" s="427"/>
      <c r="M63" s="584"/>
      <c r="N63" s="427"/>
      <c r="O63" s="583"/>
      <c r="P63" s="583"/>
    </row>
    <row r="64" spans="1:16" x14ac:dyDescent="0.2">
      <c r="A64" s="596">
        <f>A62+1</f>
        <v>18</v>
      </c>
      <c r="B64" s="427"/>
      <c r="C64" s="427" t="s">
        <v>670</v>
      </c>
      <c r="D64" s="427"/>
      <c r="E64" s="350"/>
      <c r="F64" s="350"/>
      <c r="G64" s="583">
        <f>+(22384+(22384+2476-300))/2</f>
        <v>23472</v>
      </c>
      <c r="H64" s="427"/>
      <c r="I64" s="584">
        <f>G64/G68</f>
        <v>0.41491590139737144</v>
      </c>
      <c r="J64" s="427"/>
      <c r="K64" s="583">
        <f>K68*I64</f>
        <v>21744.912560433444</v>
      </c>
      <c r="L64" s="427"/>
      <c r="M64" s="584">
        <f>O64/K64</f>
        <v>0.10739530548914254</v>
      </c>
      <c r="N64" s="427"/>
      <c r="O64" s="583">
        <f>O68-O62-O66</f>
        <v>2335.3015272624425</v>
      </c>
      <c r="P64" s="583"/>
    </row>
    <row r="65" spans="1:16" ht="6" customHeight="1" x14ac:dyDescent="0.2">
      <c r="A65" s="596"/>
      <c r="B65" s="427"/>
      <c r="C65" s="427"/>
      <c r="D65" s="427"/>
      <c r="E65" s="350"/>
      <c r="F65" s="350"/>
      <c r="G65" s="583"/>
      <c r="H65" s="427"/>
      <c r="I65" s="584"/>
      <c r="J65" s="427"/>
      <c r="K65" s="583"/>
      <c r="L65" s="427"/>
      <c r="M65" s="584"/>
      <c r="N65" s="427"/>
      <c r="O65" s="583"/>
      <c r="P65" s="583"/>
    </row>
    <row r="66" spans="1:16" x14ac:dyDescent="0.2">
      <c r="A66" s="596">
        <f>A64+1</f>
        <v>19</v>
      </c>
      <c r="B66" s="427"/>
      <c r="C66" s="427" t="s">
        <v>83</v>
      </c>
      <c r="D66" s="427"/>
      <c r="E66" s="350" t="s">
        <v>457</v>
      </c>
      <c r="F66" s="350"/>
      <c r="G66" s="585">
        <f>+'S8.4 '!M17</f>
        <v>648.5</v>
      </c>
      <c r="H66" s="427"/>
      <c r="I66" s="586">
        <f>G66/G68</f>
        <v>1.1463572003075809E-2</v>
      </c>
      <c r="J66" s="427"/>
      <c r="K66" s="585">
        <f>K68*I66</f>
        <v>600.782881537197</v>
      </c>
      <c r="L66" s="427"/>
      <c r="M66" s="586">
        <v>0</v>
      </c>
      <c r="N66" s="427"/>
      <c r="O66" s="587">
        <f>ROUND(K66*M66,0)</f>
        <v>0</v>
      </c>
      <c r="P66" s="588"/>
    </row>
    <row r="67" spans="1:16" ht="6" customHeight="1" x14ac:dyDescent="0.2">
      <c r="A67" s="596"/>
      <c r="B67" s="427"/>
      <c r="C67" s="427"/>
      <c r="D67" s="427"/>
      <c r="E67" s="350"/>
      <c r="F67" s="350"/>
      <c r="G67" s="583"/>
      <c r="H67" s="427"/>
      <c r="I67" s="427"/>
      <c r="J67" s="427"/>
      <c r="K67" s="583"/>
      <c r="L67" s="427"/>
      <c r="M67" s="584"/>
      <c r="N67" s="427"/>
      <c r="O67" s="583"/>
      <c r="P67" s="583"/>
    </row>
    <row r="68" spans="1:16" ht="13.5" thickBot="1" x14ac:dyDescent="0.25">
      <c r="A68" s="596">
        <f>A66+1</f>
        <v>20</v>
      </c>
      <c r="B68" s="427"/>
      <c r="C68" s="427" t="s">
        <v>27</v>
      </c>
      <c r="D68" s="427"/>
      <c r="E68" s="350" t="s">
        <v>273</v>
      </c>
      <c r="F68" s="350"/>
      <c r="G68" s="589">
        <f>SUM(G62:G66)</f>
        <v>56570.5</v>
      </c>
      <c r="H68" s="427"/>
      <c r="I68" s="593">
        <f>SUM(I62:I66)</f>
        <v>1</v>
      </c>
      <c r="J68" s="427"/>
      <c r="K68" s="589">
        <f>+S8.5!M39</f>
        <v>52408</v>
      </c>
      <c r="L68" s="427"/>
      <c r="M68" s="591">
        <f>O68/K68</f>
        <v>8.1399786292169138E-2</v>
      </c>
      <c r="N68" s="427"/>
      <c r="O68" s="589">
        <v>4266</v>
      </c>
      <c r="P68" s="592"/>
    </row>
    <row r="69" spans="1:16" x14ac:dyDescent="0.2">
      <c r="A69" s="597"/>
      <c r="E69" s="350" t="s">
        <v>283</v>
      </c>
      <c r="F69" s="350"/>
    </row>
    <row r="70" spans="1:16" x14ac:dyDescent="0.2">
      <c r="A70" s="596">
        <f>A68+1</f>
        <v>21</v>
      </c>
      <c r="B70" s="427"/>
      <c r="C70" s="582" t="s">
        <v>486</v>
      </c>
      <c r="D70" s="427"/>
      <c r="E70" s="350"/>
      <c r="F70" s="350"/>
      <c r="G70" s="427"/>
      <c r="H70" s="427"/>
      <c r="I70" s="427"/>
      <c r="J70" s="427"/>
      <c r="K70" s="427"/>
      <c r="L70" s="427"/>
      <c r="M70" s="427"/>
      <c r="N70" s="427"/>
      <c r="O70" s="583"/>
      <c r="P70" s="583"/>
    </row>
    <row r="71" spans="1:16" ht="6" customHeight="1" x14ac:dyDescent="0.2">
      <c r="A71" s="596"/>
      <c r="B71" s="427"/>
      <c r="C71" s="427"/>
      <c r="D71" s="427"/>
      <c r="E71" s="350"/>
      <c r="F71" s="350"/>
      <c r="G71" s="427"/>
      <c r="H71" s="427"/>
      <c r="I71" s="427"/>
      <c r="J71" s="427"/>
      <c r="K71" s="427"/>
      <c r="L71" s="427"/>
      <c r="M71" s="427"/>
      <c r="N71" s="427"/>
      <c r="O71" s="583"/>
      <c r="P71" s="583"/>
    </row>
    <row r="72" spans="1:16" x14ac:dyDescent="0.2">
      <c r="A72" s="596">
        <f>A70+1</f>
        <v>22</v>
      </c>
      <c r="B72" s="427"/>
      <c r="C72" s="427" t="s">
        <v>669</v>
      </c>
      <c r="D72" s="427"/>
      <c r="E72" s="350" t="s">
        <v>675</v>
      </c>
      <c r="F72" s="350"/>
      <c r="G72" s="583">
        <f>+'S8.2 &amp; 8.3'!L166</f>
        <v>36950</v>
      </c>
      <c r="H72" s="427"/>
      <c r="I72" s="584">
        <f>G72/G78</f>
        <v>0.58353468833404398</v>
      </c>
      <c r="J72" s="427"/>
      <c r="K72" s="583">
        <f>K78*I72</f>
        <v>35031.337944757659</v>
      </c>
      <c r="L72" s="427"/>
      <c r="M72" s="584">
        <f>+'S8.2 &amp; 8.3'!N166</f>
        <v>6.1606062246278757E-2</v>
      </c>
      <c r="N72" s="427"/>
      <c r="O72" s="583">
        <f>+M72*K72</f>
        <v>2158.1427859951673</v>
      </c>
      <c r="P72" s="583"/>
    </row>
    <row r="73" spans="1:16" ht="6" customHeight="1" x14ac:dyDescent="0.2">
      <c r="A73" s="596"/>
      <c r="B73" s="427"/>
      <c r="C73" s="427"/>
      <c r="D73" s="427"/>
      <c r="E73" s="350"/>
      <c r="F73" s="350"/>
      <c r="G73" s="583"/>
      <c r="H73" s="427"/>
      <c r="I73" s="584"/>
      <c r="J73" s="427"/>
      <c r="K73" s="583"/>
      <c r="L73" s="427"/>
      <c r="M73" s="584"/>
      <c r="N73" s="427"/>
      <c r="O73" s="583"/>
      <c r="P73" s="583"/>
    </row>
    <row r="74" spans="1:16" x14ac:dyDescent="0.2">
      <c r="A74" s="596">
        <f>A72+1</f>
        <v>23</v>
      </c>
      <c r="B74" s="427"/>
      <c r="C74" s="427" t="s">
        <v>670</v>
      </c>
      <c r="D74" s="427"/>
      <c r="E74" s="350"/>
      <c r="F74" s="350"/>
      <c r="G74" s="583">
        <v>25740</v>
      </c>
      <c r="H74" s="427"/>
      <c r="I74" s="584">
        <f>G74/G78</f>
        <v>0.40650021319941254</v>
      </c>
      <c r="J74" s="427"/>
      <c r="K74" s="583">
        <f>K78*I74</f>
        <v>24403.427299000334</v>
      </c>
      <c r="L74" s="427"/>
      <c r="M74" s="584">
        <f>O74/K74</f>
        <v>0.10178313003217306</v>
      </c>
      <c r="N74" s="427"/>
      <c r="O74" s="583">
        <f>O78-O72-O76</f>
        <v>2483.8572140048327</v>
      </c>
      <c r="P74" s="583"/>
    </row>
    <row r="75" spans="1:16" ht="6" customHeight="1" x14ac:dyDescent="0.2">
      <c r="A75" s="596"/>
      <c r="B75" s="427"/>
      <c r="C75" s="427"/>
      <c r="D75" s="427"/>
      <c r="E75" s="350"/>
      <c r="F75" s="350"/>
      <c r="G75" s="583"/>
      <c r="H75" s="427"/>
      <c r="I75" s="584"/>
      <c r="J75" s="427"/>
      <c r="K75" s="583"/>
      <c r="L75" s="427"/>
      <c r="M75" s="584"/>
      <c r="N75" s="427"/>
      <c r="O75" s="583"/>
      <c r="P75" s="583"/>
    </row>
    <row r="76" spans="1:16" x14ac:dyDescent="0.2">
      <c r="A76" s="596">
        <f>A74+1</f>
        <v>24</v>
      </c>
      <c r="B76" s="427"/>
      <c r="C76" s="427" t="s">
        <v>83</v>
      </c>
      <c r="D76" s="427"/>
      <c r="E76" s="350" t="s">
        <v>457</v>
      </c>
      <c r="F76" s="350"/>
      <c r="G76" s="585">
        <f>+'S8.4 '!O17</f>
        <v>631</v>
      </c>
      <c r="H76" s="427"/>
      <c r="I76" s="586">
        <f>G76/G78</f>
        <v>9.9650984665434848E-3</v>
      </c>
      <c r="J76" s="427"/>
      <c r="K76" s="585">
        <f>K78*I76</f>
        <v>598.23475624200501</v>
      </c>
      <c r="L76" s="427"/>
      <c r="M76" s="586">
        <v>0</v>
      </c>
      <c r="N76" s="427"/>
      <c r="O76" s="587">
        <f>ROUND(K76*M76,0)</f>
        <v>0</v>
      </c>
      <c r="P76" s="588"/>
    </row>
    <row r="77" spans="1:16" ht="6" customHeight="1" x14ac:dyDescent="0.2">
      <c r="A77" s="596"/>
      <c r="B77" s="427"/>
      <c r="C77" s="427"/>
      <c r="D77" s="427"/>
      <c r="E77" s="350"/>
      <c r="F77" s="350"/>
      <c r="G77" s="583"/>
      <c r="H77" s="427"/>
      <c r="I77" s="427"/>
      <c r="J77" s="427"/>
      <c r="K77" s="583"/>
      <c r="L77" s="427"/>
      <c r="M77" s="584"/>
      <c r="N77" s="427"/>
      <c r="O77" s="583"/>
      <c r="P77" s="583"/>
    </row>
    <row r="78" spans="1:16" ht="13.5" thickBot="1" x14ac:dyDescent="0.25">
      <c r="A78" s="596">
        <f>A76+1</f>
        <v>25</v>
      </c>
      <c r="B78" s="427"/>
      <c r="C78" s="427" t="s">
        <v>27</v>
      </c>
      <c r="D78" s="427"/>
      <c r="E78" s="350" t="s">
        <v>273</v>
      </c>
      <c r="F78" s="350"/>
      <c r="G78" s="589">
        <f>SUM(G72:G76)</f>
        <v>63321</v>
      </c>
      <c r="H78" s="427"/>
      <c r="I78" s="593">
        <f>SUM(I72:I76)</f>
        <v>1</v>
      </c>
      <c r="J78" s="427"/>
      <c r="K78" s="589">
        <f>+S8.5!O39</f>
        <v>60033</v>
      </c>
      <c r="L78" s="427"/>
      <c r="M78" s="591">
        <f>O78/K78</f>
        <v>7.7324138390551869E-2</v>
      </c>
      <c r="N78" s="427"/>
      <c r="O78" s="589">
        <v>4642</v>
      </c>
      <c r="P78" s="592"/>
    </row>
    <row r="79" spans="1:16" x14ac:dyDescent="0.2">
      <c r="A79" s="597"/>
      <c r="E79" s="350" t="s">
        <v>283</v>
      </c>
      <c r="F79" s="350"/>
    </row>
    <row r="80" spans="1:16" x14ac:dyDescent="0.2">
      <c r="A80" s="597"/>
      <c r="E80" s="350"/>
      <c r="F80" s="350"/>
    </row>
    <row r="81" spans="1:16" ht="15.75" customHeight="1" x14ac:dyDescent="0.2">
      <c r="A81" s="501" t="s">
        <v>539</v>
      </c>
      <c r="B81" s="501"/>
      <c r="C81" s="501"/>
      <c r="D81" s="501"/>
      <c r="E81" s="501"/>
      <c r="F81" s="501"/>
      <c r="G81" s="501"/>
      <c r="H81" s="501"/>
      <c r="I81" s="501"/>
      <c r="J81" s="501"/>
      <c r="K81" s="501"/>
      <c r="L81" s="501"/>
      <c r="M81" s="501"/>
      <c r="N81" s="501"/>
      <c r="O81" s="488"/>
      <c r="P81" s="172" t="s">
        <v>811</v>
      </c>
    </row>
    <row r="82" spans="1:16" x14ac:dyDescent="0.2">
      <c r="A82" s="501" t="s">
        <v>489</v>
      </c>
      <c r="B82" s="501"/>
      <c r="C82" s="501"/>
      <c r="D82" s="501"/>
      <c r="E82" s="501"/>
      <c r="F82" s="501"/>
      <c r="G82" s="501"/>
      <c r="H82" s="501"/>
      <c r="I82" s="501"/>
      <c r="J82" s="501"/>
      <c r="K82" s="501"/>
      <c r="L82" s="501"/>
      <c r="M82" s="501"/>
      <c r="N82" s="501"/>
      <c r="O82" s="501"/>
      <c r="P82" s="172" t="s">
        <v>985</v>
      </c>
    </row>
    <row r="83" spans="1:16" x14ac:dyDescent="0.2">
      <c r="A83" s="501" t="s">
        <v>100</v>
      </c>
      <c r="B83" s="501"/>
      <c r="C83" s="501"/>
      <c r="D83" s="501"/>
      <c r="E83" s="501"/>
      <c r="F83" s="501"/>
      <c r="G83" s="501"/>
      <c r="H83" s="501"/>
      <c r="I83" s="501"/>
      <c r="J83" s="501"/>
      <c r="K83" s="501"/>
      <c r="L83" s="501"/>
      <c r="M83" s="501"/>
      <c r="N83" s="501"/>
      <c r="O83" s="501"/>
      <c r="P83" s="239"/>
    </row>
    <row r="84" spans="1:16" x14ac:dyDescent="0.2">
      <c r="A84" s="501" t="s">
        <v>33</v>
      </c>
      <c r="B84" s="501"/>
      <c r="C84" s="501"/>
      <c r="D84" s="501"/>
      <c r="E84" s="501"/>
      <c r="F84" s="501"/>
      <c r="G84" s="501"/>
      <c r="H84" s="501"/>
      <c r="I84" s="501"/>
      <c r="J84" s="501"/>
      <c r="K84" s="501"/>
      <c r="L84" s="501"/>
      <c r="M84" s="501"/>
      <c r="N84" s="501"/>
      <c r="O84" s="501"/>
      <c r="P84" s="239"/>
    </row>
    <row r="85" spans="1:16" x14ac:dyDescent="0.2">
      <c r="A85" s="579"/>
      <c r="B85" s="580"/>
      <c r="C85" s="580"/>
      <c r="D85" s="580"/>
      <c r="E85" s="580"/>
      <c r="F85" s="580"/>
      <c r="G85" s="580"/>
      <c r="H85" s="580"/>
      <c r="I85" s="580"/>
      <c r="J85" s="580"/>
      <c r="K85" s="488"/>
      <c r="L85" s="488"/>
      <c r="M85" s="488"/>
      <c r="N85" s="488"/>
      <c r="O85" s="488"/>
    </row>
    <row r="86" spans="1:16" s="427" customFormat="1" ht="11.25" x14ac:dyDescent="0.2">
      <c r="A86" s="405"/>
      <c r="B86" s="405"/>
      <c r="C86" s="405"/>
      <c r="D86" s="405"/>
      <c r="E86" s="405"/>
      <c r="F86" s="405"/>
      <c r="H86" s="405"/>
      <c r="I86" s="405"/>
      <c r="J86" s="405"/>
      <c r="K86" s="405" t="s">
        <v>38</v>
      </c>
      <c r="M86" s="405" t="s">
        <v>38</v>
      </c>
      <c r="O86" s="405"/>
      <c r="P86" s="405"/>
    </row>
    <row r="87" spans="1:16" s="427" customFormat="1" ht="11.25" x14ac:dyDescent="0.2">
      <c r="A87" s="405" t="s">
        <v>34</v>
      </c>
      <c r="B87" s="405"/>
      <c r="C87" s="405"/>
      <c r="D87" s="405"/>
      <c r="E87" s="405" t="s">
        <v>35</v>
      </c>
      <c r="F87" s="405"/>
      <c r="G87" s="405" t="s">
        <v>38</v>
      </c>
      <c r="H87" s="405"/>
      <c r="I87" s="405"/>
      <c r="J87" s="405"/>
      <c r="K87" s="405" t="s">
        <v>39</v>
      </c>
      <c r="M87" s="405" t="s">
        <v>40</v>
      </c>
      <c r="O87" s="405"/>
      <c r="P87" s="405"/>
    </row>
    <row r="88" spans="1:16" s="427" customFormat="1" ht="11.25" x14ac:dyDescent="0.2">
      <c r="A88" s="570" t="s">
        <v>36</v>
      </c>
      <c r="B88" s="405"/>
      <c r="C88" s="570" t="s">
        <v>178</v>
      </c>
      <c r="D88" s="405"/>
      <c r="E88" s="570" t="s">
        <v>37</v>
      </c>
      <c r="F88" s="581"/>
      <c r="G88" s="570" t="s">
        <v>41</v>
      </c>
      <c r="H88" s="405"/>
      <c r="I88" s="570" t="s">
        <v>42</v>
      </c>
      <c r="J88" s="405"/>
      <c r="K88" s="570" t="s">
        <v>43</v>
      </c>
      <c r="M88" s="570" t="s">
        <v>39</v>
      </c>
      <c r="O88" s="570" t="s">
        <v>44</v>
      </c>
      <c r="P88" s="581"/>
    </row>
    <row r="89" spans="1:16" s="427" customFormat="1" ht="11.25" x14ac:dyDescent="0.2">
      <c r="E89" s="350"/>
      <c r="F89" s="350"/>
    </row>
    <row r="90" spans="1:16" hidden="1" x14ac:dyDescent="0.2">
      <c r="A90" s="427">
        <v>1</v>
      </c>
      <c r="B90" s="427"/>
      <c r="C90" s="582" t="s">
        <v>311</v>
      </c>
      <c r="D90" s="427"/>
      <c r="E90" s="350"/>
      <c r="F90" s="350"/>
      <c r="G90" s="427"/>
      <c r="H90" s="427"/>
      <c r="I90" s="427"/>
      <c r="J90" s="427"/>
      <c r="K90" s="427"/>
      <c r="L90" s="427"/>
      <c r="M90" s="427"/>
      <c r="N90" s="427"/>
      <c r="O90" s="583"/>
      <c r="P90" s="583"/>
    </row>
    <row r="91" spans="1:16" ht="6.75" hidden="1" customHeight="1" x14ac:dyDescent="0.2">
      <c r="A91" s="427"/>
      <c r="B91" s="427"/>
      <c r="C91" s="427"/>
      <c r="D91" s="427"/>
      <c r="E91" s="350"/>
      <c r="F91" s="350"/>
      <c r="G91" s="427"/>
      <c r="H91" s="427"/>
      <c r="I91" s="427"/>
      <c r="J91" s="427"/>
      <c r="K91" s="427"/>
      <c r="L91" s="427"/>
      <c r="M91" s="427"/>
      <c r="N91" s="427"/>
      <c r="O91" s="583"/>
      <c r="P91" s="583"/>
    </row>
    <row r="92" spans="1:16" hidden="1" x14ac:dyDescent="0.2">
      <c r="A92" s="427">
        <f>A90+1</f>
        <v>2</v>
      </c>
      <c r="B92" s="427"/>
      <c r="C92" s="427" t="s">
        <v>45</v>
      </c>
      <c r="D92" s="427"/>
      <c r="E92" s="350" t="s">
        <v>420</v>
      </c>
      <c r="F92" s="350"/>
      <c r="G92" s="583">
        <v>22475</v>
      </c>
      <c r="H92" s="427"/>
      <c r="I92" s="584" t="e">
        <f>G92/G98</f>
        <v>#REF!</v>
      </c>
      <c r="J92" s="427"/>
      <c r="K92" s="583" t="e">
        <f>K98*I92</f>
        <v>#REF!</v>
      </c>
      <c r="L92" s="427"/>
      <c r="M92" s="584">
        <f>'S8.2 &amp; 8.3'!N104</f>
        <v>0</v>
      </c>
      <c r="N92" s="427"/>
      <c r="O92" s="583" t="e">
        <f>ROUND(K92*M92,0)</f>
        <v>#REF!</v>
      </c>
      <c r="P92" s="583"/>
    </row>
    <row r="93" spans="1:16" ht="6" hidden="1" customHeight="1" x14ac:dyDescent="0.2">
      <c r="A93" s="427"/>
      <c r="B93" s="427"/>
      <c r="C93" s="427"/>
      <c r="D93" s="427"/>
      <c r="E93" s="350"/>
      <c r="F93" s="350"/>
      <c r="G93" s="583"/>
      <c r="H93" s="427"/>
      <c r="I93" s="584"/>
      <c r="J93" s="427"/>
      <c r="K93" s="583"/>
      <c r="L93" s="427"/>
      <c r="M93" s="584"/>
      <c r="N93" s="427"/>
      <c r="O93" s="583"/>
      <c r="P93" s="583"/>
    </row>
    <row r="94" spans="1:16" hidden="1" x14ac:dyDescent="0.2">
      <c r="A94" s="427">
        <f>A92+1</f>
        <v>3</v>
      </c>
      <c r="B94" s="427"/>
      <c r="C94" s="427" t="s">
        <v>46</v>
      </c>
      <c r="D94" s="427"/>
      <c r="E94" s="496"/>
      <c r="F94" s="496"/>
      <c r="G94" s="583">
        <v>16280</v>
      </c>
      <c r="H94" s="427"/>
      <c r="I94" s="584" t="e">
        <f>G94/G$18</f>
        <v>#REF!</v>
      </c>
      <c r="J94" s="427"/>
      <c r="K94" s="583" t="e">
        <f>K98*I94</f>
        <v>#REF!</v>
      </c>
      <c r="L94" s="427"/>
      <c r="M94" s="584" t="e">
        <f>O94/K94</f>
        <v>#REF!</v>
      </c>
      <c r="N94" s="427"/>
      <c r="O94" s="583" t="e">
        <f>O98-O92-O96</f>
        <v>#REF!</v>
      </c>
      <c r="P94" s="583"/>
    </row>
    <row r="95" spans="1:16" ht="7.5" hidden="1" customHeight="1" x14ac:dyDescent="0.2">
      <c r="A95" s="427"/>
      <c r="B95" s="427"/>
      <c r="C95" s="427"/>
      <c r="D95" s="427"/>
      <c r="E95" s="350"/>
      <c r="F95" s="350"/>
      <c r="G95" s="583"/>
      <c r="H95" s="427"/>
      <c r="I95" s="584"/>
      <c r="J95" s="427"/>
      <c r="K95" s="583"/>
      <c r="L95" s="427"/>
      <c r="M95" s="584"/>
      <c r="N95" s="427"/>
      <c r="O95" s="583"/>
      <c r="P95" s="583"/>
    </row>
    <row r="96" spans="1:16" hidden="1" x14ac:dyDescent="0.2">
      <c r="A96" s="427">
        <f>A94+1</f>
        <v>4</v>
      </c>
      <c r="B96" s="427"/>
      <c r="C96" s="427" t="s">
        <v>83</v>
      </c>
      <c r="D96" s="427"/>
      <c r="E96" s="350" t="s">
        <v>457</v>
      </c>
      <c r="F96" s="350"/>
      <c r="G96" s="585" t="e">
        <f>+'S8.4 '!#REF!</f>
        <v>#REF!</v>
      </c>
      <c r="H96" s="427"/>
      <c r="I96" s="586" t="e">
        <f>G96/G$18</f>
        <v>#REF!</v>
      </c>
      <c r="J96" s="427"/>
      <c r="K96" s="585" t="e">
        <f>K98*I96</f>
        <v>#REF!</v>
      </c>
      <c r="L96" s="427"/>
      <c r="M96" s="586">
        <v>0</v>
      </c>
      <c r="N96" s="427"/>
      <c r="O96" s="587" t="e">
        <f>ROUND(K96*M96,0)</f>
        <v>#REF!</v>
      </c>
      <c r="P96" s="588"/>
    </row>
    <row r="97" spans="1:16" ht="7.5" hidden="1" customHeight="1" x14ac:dyDescent="0.2">
      <c r="A97" s="427"/>
      <c r="B97" s="427"/>
      <c r="C97" s="427"/>
      <c r="D97" s="427"/>
      <c r="E97" s="350"/>
      <c r="F97" s="350"/>
      <c r="G97" s="583"/>
      <c r="H97" s="427"/>
      <c r="I97" s="427"/>
      <c r="J97" s="427"/>
      <c r="K97" s="583"/>
      <c r="L97" s="427"/>
      <c r="M97" s="584"/>
      <c r="N97" s="427"/>
      <c r="O97" s="583"/>
      <c r="P97" s="583"/>
    </row>
    <row r="98" spans="1:16" ht="13.5" hidden="1" thickBot="1" x14ac:dyDescent="0.25">
      <c r="A98" s="427">
        <f>A96+1</f>
        <v>5</v>
      </c>
      <c r="B98" s="427"/>
      <c r="C98" s="427" t="s">
        <v>27</v>
      </c>
      <c r="D98" s="427"/>
      <c r="E98" s="350" t="s">
        <v>273</v>
      </c>
      <c r="F98" s="350"/>
      <c r="G98" s="589" t="e">
        <f>SUM(G92:G96)</f>
        <v>#REF!</v>
      </c>
      <c r="H98" s="427"/>
      <c r="I98" s="590" t="e">
        <f>SUM(I92:I96)</f>
        <v>#REF!</v>
      </c>
      <c r="J98" s="427"/>
      <c r="K98" s="589" t="e">
        <f>S8.5!#REF!</f>
        <v>#REF!</v>
      </c>
      <c r="L98" s="427"/>
      <c r="M98" s="591" t="e">
        <f>O98/K98</f>
        <v>#REF!</v>
      </c>
      <c r="N98" s="427"/>
      <c r="O98" s="589">
        <v>3484</v>
      </c>
      <c r="P98" s="592"/>
    </row>
    <row r="99" spans="1:16" hidden="1" x14ac:dyDescent="0.2">
      <c r="E99" s="350" t="s">
        <v>283</v>
      </c>
      <c r="F99" s="350"/>
    </row>
    <row r="100" spans="1:16" hidden="1" x14ac:dyDescent="0.2">
      <c r="A100" s="427">
        <f>A98+1</f>
        <v>6</v>
      </c>
      <c r="B100" s="427"/>
      <c r="C100" s="582" t="s">
        <v>378</v>
      </c>
      <c r="D100" s="427"/>
      <c r="E100" s="350"/>
      <c r="F100" s="350"/>
      <c r="G100" s="427"/>
      <c r="H100" s="427"/>
      <c r="I100" s="427"/>
      <c r="J100" s="427"/>
      <c r="K100" s="427"/>
      <c r="L100" s="427"/>
      <c r="M100" s="427"/>
      <c r="N100" s="427"/>
      <c r="O100" s="583"/>
      <c r="P100" s="583"/>
    </row>
    <row r="101" spans="1:16" ht="6" hidden="1" customHeight="1" x14ac:dyDescent="0.2">
      <c r="A101" s="427"/>
      <c r="B101" s="427"/>
      <c r="C101" s="427"/>
      <c r="D101" s="427"/>
      <c r="E101" s="350"/>
      <c r="F101" s="350"/>
      <c r="G101" s="427"/>
      <c r="H101" s="427"/>
      <c r="I101" s="427"/>
      <c r="J101" s="427"/>
      <c r="K101" s="427"/>
      <c r="L101" s="427"/>
      <c r="M101" s="427"/>
      <c r="N101" s="427"/>
      <c r="O101" s="583"/>
      <c r="P101" s="583"/>
    </row>
    <row r="102" spans="1:16" hidden="1" x14ac:dyDescent="0.2">
      <c r="A102" s="427">
        <f>A100+1</f>
        <v>7</v>
      </c>
      <c r="B102" s="427"/>
      <c r="C102" s="427" t="s">
        <v>45</v>
      </c>
      <c r="D102" s="427"/>
      <c r="E102" s="350" t="s">
        <v>421</v>
      </c>
      <c r="F102" s="350"/>
      <c r="G102" s="583">
        <f>'S8.2 &amp; 8.3'!L123</f>
        <v>4500</v>
      </c>
      <c r="H102" s="427"/>
      <c r="I102" s="584" t="e">
        <f>G102/G108</f>
        <v>#REF!</v>
      </c>
      <c r="J102" s="427"/>
      <c r="K102" s="583" t="e">
        <f>K108*I102</f>
        <v>#REF!</v>
      </c>
      <c r="L102" s="427"/>
      <c r="M102" s="584">
        <f>'S8.2 &amp; 8.3'!N123</f>
        <v>0</v>
      </c>
      <c r="N102" s="427"/>
      <c r="O102" s="583" t="e">
        <f>ROUND(K102*M102,0)</f>
        <v>#REF!</v>
      </c>
      <c r="P102" s="583"/>
    </row>
    <row r="103" spans="1:16" ht="6" hidden="1" customHeight="1" x14ac:dyDescent="0.2">
      <c r="A103" s="427"/>
      <c r="B103" s="427"/>
      <c r="C103" s="427"/>
      <c r="D103" s="427"/>
      <c r="E103" s="350"/>
      <c r="F103" s="350"/>
      <c r="G103" s="583"/>
      <c r="H103" s="427"/>
      <c r="I103" s="584"/>
      <c r="J103" s="427"/>
      <c r="K103" s="583"/>
      <c r="L103" s="427"/>
      <c r="M103" s="584"/>
      <c r="N103" s="427"/>
      <c r="O103" s="583"/>
      <c r="P103" s="583"/>
    </row>
    <row r="104" spans="1:16" hidden="1" x14ac:dyDescent="0.2">
      <c r="A104" s="427">
        <f>A102+1</f>
        <v>8</v>
      </c>
      <c r="B104" s="427"/>
      <c r="C104" s="427" t="s">
        <v>46</v>
      </c>
      <c r="D104" s="427"/>
      <c r="E104" s="350"/>
      <c r="F104" s="350"/>
      <c r="G104" s="583">
        <v>16890</v>
      </c>
      <c r="H104" s="427"/>
      <c r="I104" s="584" t="e">
        <f>G104/G$28</f>
        <v>#REF!</v>
      </c>
      <c r="J104" s="427"/>
      <c r="K104" s="583" t="e">
        <f>K108*I104</f>
        <v>#REF!</v>
      </c>
      <c r="L104" s="427"/>
      <c r="M104" s="584" t="e">
        <f>O104/K104</f>
        <v>#REF!</v>
      </c>
      <c r="N104" s="427"/>
      <c r="O104" s="583" t="e">
        <f>O108-O102-O106</f>
        <v>#REF!</v>
      </c>
      <c r="P104" s="583"/>
    </row>
    <row r="105" spans="1:16" ht="6" hidden="1" customHeight="1" x14ac:dyDescent="0.2">
      <c r="A105" s="427"/>
      <c r="B105" s="427"/>
      <c r="C105" s="427"/>
      <c r="D105" s="427"/>
      <c r="E105" s="350"/>
      <c r="F105" s="350"/>
      <c r="G105" s="583"/>
      <c r="H105" s="427"/>
      <c r="I105" s="584"/>
      <c r="J105" s="427"/>
      <c r="K105" s="583"/>
      <c r="L105" s="427"/>
      <c r="M105" s="584"/>
      <c r="N105" s="427"/>
      <c r="O105" s="583"/>
      <c r="P105" s="583"/>
    </row>
    <row r="106" spans="1:16" hidden="1" x14ac:dyDescent="0.2">
      <c r="A106" s="427">
        <f>A104+1</f>
        <v>9</v>
      </c>
      <c r="B106" s="427"/>
      <c r="C106" s="427" t="s">
        <v>83</v>
      </c>
      <c r="D106" s="427"/>
      <c r="E106" s="350" t="s">
        <v>457</v>
      </c>
      <c r="F106" s="350"/>
      <c r="G106" s="585" t="e">
        <f>+'S8.4 '!#REF!</f>
        <v>#REF!</v>
      </c>
      <c r="H106" s="427"/>
      <c r="I106" s="586" t="e">
        <f>G106/G$28</f>
        <v>#REF!</v>
      </c>
      <c r="J106" s="427"/>
      <c r="K106" s="585" t="e">
        <f>K108*I106</f>
        <v>#REF!</v>
      </c>
      <c r="L106" s="427"/>
      <c r="M106" s="586">
        <v>0</v>
      </c>
      <c r="N106" s="427"/>
      <c r="O106" s="587" t="e">
        <f>ROUND(K106*M106,0)</f>
        <v>#REF!</v>
      </c>
      <c r="P106" s="588"/>
    </row>
    <row r="107" spans="1:16" ht="6" hidden="1" customHeight="1" x14ac:dyDescent="0.2">
      <c r="A107" s="427"/>
      <c r="B107" s="427"/>
      <c r="C107" s="427"/>
      <c r="D107" s="427"/>
      <c r="E107" s="350"/>
      <c r="F107" s="350"/>
      <c r="G107" s="583"/>
      <c r="H107" s="427"/>
      <c r="I107" s="427"/>
      <c r="J107" s="427"/>
      <c r="K107" s="583"/>
      <c r="L107" s="427"/>
      <c r="M107" s="584"/>
      <c r="N107" s="427"/>
      <c r="O107" s="583"/>
      <c r="P107" s="583"/>
    </row>
    <row r="108" spans="1:16" ht="13.5" hidden="1" thickBot="1" x14ac:dyDescent="0.25">
      <c r="A108" s="427">
        <f>A106+1</f>
        <v>10</v>
      </c>
      <c r="B108" s="427"/>
      <c r="C108" s="427" t="s">
        <v>27</v>
      </c>
      <c r="D108" s="427"/>
      <c r="E108" s="350" t="s">
        <v>273</v>
      </c>
      <c r="F108" s="350"/>
      <c r="G108" s="589" t="e">
        <f>SUM(G102:G106)</f>
        <v>#REF!</v>
      </c>
      <c r="H108" s="427"/>
      <c r="I108" s="590" t="e">
        <f>SUM(I102:I106)</f>
        <v>#REF!</v>
      </c>
      <c r="J108" s="427"/>
      <c r="K108" s="589" t="e">
        <f>S8.5!#REF!</f>
        <v>#REF!</v>
      </c>
      <c r="L108" s="427"/>
      <c r="M108" s="591" t="e">
        <f>O108/K108</f>
        <v>#REF!</v>
      </c>
      <c r="N108" s="427"/>
      <c r="O108" s="589">
        <v>3614</v>
      </c>
      <c r="P108" s="592"/>
    </row>
    <row r="109" spans="1:16" x14ac:dyDescent="0.2">
      <c r="E109" s="350"/>
      <c r="F109" s="350"/>
    </row>
    <row r="110" spans="1:16" x14ac:dyDescent="0.2">
      <c r="A110" s="596">
        <f>A78+1</f>
        <v>26</v>
      </c>
      <c r="B110" s="427"/>
      <c r="C110" s="582" t="s">
        <v>540</v>
      </c>
      <c r="D110" s="427"/>
      <c r="E110" s="350"/>
      <c r="F110" s="350"/>
      <c r="G110" s="427"/>
      <c r="H110" s="427"/>
      <c r="I110" s="427"/>
      <c r="J110" s="427"/>
      <c r="K110" s="427"/>
      <c r="L110" s="427"/>
      <c r="M110" s="427"/>
      <c r="N110" s="427"/>
      <c r="O110" s="583"/>
      <c r="P110" s="583"/>
    </row>
    <row r="111" spans="1:16" ht="6" customHeight="1" x14ac:dyDescent="0.2">
      <c r="A111" s="596"/>
      <c r="B111" s="427"/>
      <c r="C111" s="427"/>
      <c r="D111" s="427"/>
      <c r="E111" s="350"/>
      <c r="F111" s="350"/>
      <c r="G111" s="427"/>
      <c r="H111" s="427"/>
      <c r="I111" s="427"/>
      <c r="J111" s="427"/>
      <c r="K111" s="427"/>
      <c r="L111" s="427"/>
      <c r="M111" s="427"/>
      <c r="N111" s="427"/>
      <c r="O111" s="583"/>
      <c r="P111" s="583"/>
    </row>
    <row r="112" spans="1:16" x14ac:dyDescent="0.2">
      <c r="A112" s="596">
        <f>A110+1</f>
        <v>27</v>
      </c>
      <c r="B112" s="427"/>
      <c r="C112" s="427" t="s">
        <v>669</v>
      </c>
      <c r="D112" s="427"/>
      <c r="E112" s="350" t="s">
        <v>676</v>
      </c>
      <c r="F112" s="350"/>
      <c r="G112" s="707">
        <f>+'S8.2 &amp; 8.3'!L244</f>
        <v>43500</v>
      </c>
      <c r="H112" s="427"/>
      <c r="I112" s="584">
        <f>G112/G118</f>
        <v>0.59886971944903988</v>
      </c>
      <c r="J112" s="427"/>
      <c r="K112" s="707">
        <f>K118*I112</f>
        <v>43260.626782555228</v>
      </c>
      <c r="L112" s="427"/>
      <c r="M112" s="584">
        <f>+'S8.2 &amp; 8.3'!N244</f>
        <v>5.9098149425287343E-2</v>
      </c>
      <c r="N112" s="427"/>
      <c r="O112" s="707">
        <f>+M112*K112</f>
        <v>2556.6229858270362</v>
      </c>
      <c r="P112" s="583"/>
    </row>
    <row r="113" spans="1:16" ht="6" customHeight="1" x14ac:dyDescent="0.2">
      <c r="A113" s="596"/>
      <c r="B113" s="427"/>
      <c r="C113" s="427"/>
      <c r="D113" s="427"/>
      <c r="E113" s="350"/>
      <c r="F113" s="350"/>
      <c r="G113" s="707"/>
      <c r="H113" s="427"/>
      <c r="I113" s="584"/>
      <c r="J113" s="427"/>
      <c r="K113" s="707"/>
      <c r="L113" s="427"/>
      <c r="M113" s="584"/>
      <c r="N113" s="427"/>
      <c r="O113" s="707"/>
      <c r="P113" s="583"/>
    </row>
    <row r="114" spans="1:16" x14ac:dyDescent="0.2">
      <c r="A114" s="596">
        <f>A112+1</f>
        <v>28</v>
      </c>
      <c r="B114" s="427"/>
      <c r="C114" s="427" t="s">
        <v>670</v>
      </c>
      <c r="D114" s="427"/>
      <c r="E114" s="594"/>
      <c r="F114" s="594"/>
      <c r="G114" s="707">
        <v>29000</v>
      </c>
      <c r="H114" s="427"/>
      <c r="I114" s="584">
        <f>G114/G118</f>
        <v>0.39924647963269327</v>
      </c>
      <c r="J114" s="427"/>
      <c r="K114" s="707">
        <f>K118*I114</f>
        <v>28840.41785503682</v>
      </c>
      <c r="L114" s="427"/>
      <c r="M114" s="584">
        <f>O114/K114</f>
        <v>8.7494467897671943E-2</v>
      </c>
      <c r="N114" s="427"/>
      <c r="O114" s="707">
        <f>O118-O112-O116</f>
        <v>2523.3770141729638</v>
      </c>
      <c r="P114" s="583"/>
    </row>
    <row r="115" spans="1:16" ht="6" customHeight="1" x14ac:dyDescent="0.2">
      <c r="A115" s="596"/>
      <c r="B115" s="427"/>
      <c r="C115" s="427"/>
      <c r="D115" s="427"/>
      <c r="E115" s="350"/>
      <c r="F115" s="350"/>
      <c r="G115" s="707"/>
      <c r="H115" s="427"/>
      <c r="I115" s="584"/>
      <c r="J115" s="427"/>
      <c r="K115" s="707"/>
      <c r="L115" s="427"/>
      <c r="M115" s="584"/>
      <c r="N115" s="427"/>
      <c r="O115" s="707"/>
      <c r="P115" s="583"/>
    </row>
    <row r="116" spans="1:16" x14ac:dyDescent="0.2">
      <c r="A116" s="596">
        <f>A114+1</f>
        <v>29</v>
      </c>
      <c r="B116" s="427"/>
      <c r="C116" s="427" t="s">
        <v>83</v>
      </c>
      <c r="D116" s="427"/>
      <c r="E116" s="350" t="s">
        <v>457</v>
      </c>
      <c r="F116" s="350"/>
      <c r="G116" s="587">
        <f>+'S8.4 '!Q17</f>
        <v>136.83333333333326</v>
      </c>
      <c r="H116" s="427"/>
      <c r="I116" s="586">
        <f>G116/G118</f>
        <v>1.8838009182669023E-3</v>
      </c>
      <c r="J116" s="427"/>
      <c r="K116" s="587">
        <f>K118*I116</f>
        <v>136.08036240796102</v>
      </c>
      <c r="L116" s="427"/>
      <c r="M116" s="586">
        <v>0</v>
      </c>
      <c r="N116" s="427"/>
      <c r="O116" s="587">
        <f>ROUND(K116*M116,0)</f>
        <v>0</v>
      </c>
      <c r="P116" s="588"/>
    </row>
    <row r="117" spans="1:16" ht="6" customHeight="1" x14ac:dyDescent="0.2">
      <c r="A117" s="596"/>
      <c r="B117" s="427"/>
      <c r="C117" s="427"/>
      <c r="D117" s="427"/>
      <c r="E117" s="350"/>
      <c r="F117" s="350"/>
      <c r="G117" s="707"/>
      <c r="H117" s="427"/>
      <c r="I117" s="427"/>
      <c r="J117" s="427"/>
      <c r="K117" s="707"/>
      <c r="L117" s="427"/>
      <c r="M117" s="584"/>
      <c r="N117" s="427"/>
      <c r="O117" s="707"/>
      <c r="P117" s="583"/>
    </row>
    <row r="118" spans="1:16" ht="13.5" thickBot="1" x14ac:dyDescent="0.25">
      <c r="A118" s="596">
        <f>A116+1</f>
        <v>30</v>
      </c>
      <c r="B118" s="427"/>
      <c r="C118" s="427" t="s">
        <v>27</v>
      </c>
      <c r="D118" s="427"/>
      <c r="E118" s="350" t="s">
        <v>273</v>
      </c>
      <c r="F118" s="350"/>
      <c r="G118" s="786">
        <f>SUM(G112:G116)</f>
        <v>72636.833333333328</v>
      </c>
      <c r="H118" s="427"/>
      <c r="I118" s="593">
        <f>SUM(I112:I116)</f>
        <v>1</v>
      </c>
      <c r="J118" s="427"/>
      <c r="K118" s="786">
        <f>+S8.5!Q39</f>
        <v>72237.125</v>
      </c>
      <c r="L118" s="427"/>
      <c r="M118" s="591">
        <f>O118/K118</f>
        <v>7.0323950461760487E-2</v>
      </c>
      <c r="N118" s="427"/>
      <c r="O118" s="786">
        <v>5080</v>
      </c>
      <c r="P118" s="592"/>
    </row>
    <row r="119" spans="1:16" x14ac:dyDescent="0.2">
      <c r="A119" s="597"/>
      <c r="E119" s="350" t="s">
        <v>283</v>
      </c>
      <c r="F119" s="350"/>
      <c r="G119" s="497"/>
      <c r="K119" s="497"/>
      <c r="O119" s="497"/>
    </row>
    <row r="120" spans="1:16" x14ac:dyDescent="0.2">
      <c r="A120" s="596">
        <f>A118+1</f>
        <v>31</v>
      </c>
      <c r="B120" s="427"/>
      <c r="C120" s="582" t="s">
        <v>541</v>
      </c>
      <c r="D120" s="427"/>
      <c r="E120" s="350"/>
      <c r="F120" s="350"/>
      <c r="G120" s="707"/>
      <c r="H120" s="427"/>
      <c r="I120" s="427"/>
      <c r="J120" s="427"/>
      <c r="K120" s="787"/>
      <c r="L120" s="427"/>
      <c r="M120" s="427"/>
      <c r="N120" s="427"/>
      <c r="O120" s="707"/>
      <c r="P120" s="583"/>
    </row>
    <row r="121" spans="1:16" ht="6" customHeight="1" x14ac:dyDescent="0.2">
      <c r="A121" s="596"/>
      <c r="B121" s="427"/>
      <c r="C121" s="427"/>
      <c r="D121" s="427"/>
      <c r="E121" s="350"/>
      <c r="F121" s="350"/>
      <c r="G121" s="707"/>
      <c r="H121" s="427"/>
      <c r="I121" s="427"/>
      <c r="J121" s="427"/>
      <c r="K121" s="707"/>
      <c r="L121" s="427"/>
      <c r="M121" s="427"/>
      <c r="N121" s="427"/>
      <c r="O121" s="707"/>
      <c r="P121" s="583"/>
    </row>
    <row r="122" spans="1:16" x14ac:dyDescent="0.2">
      <c r="A122" s="596">
        <f>A120+1</f>
        <v>32</v>
      </c>
      <c r="B122" s="427"/>
      <c r="C122" s="427" t="s">
        <v>669</v>
      </c>
      <c r="D122" s="427"/>
      <c r="E122" s="350" t="s">
        <v>677</v>
      </c>
      <c r="F122" s="350"/>
      <c r="G122" s="707">
        <f>+'S8.2 &amp; 8.3'!L269</f>
        <v>51000</v>
      </c>
      <c r="H122" s="427"/>
      <c r="I122" s="584">
        <f>G122/G128</f>
        <v>0.60064657837554547</v>
      </c>
      <c r="J122" s="427"/>
      <c r="K122" s="707">
        <f>K128*I122</f>
        <v>51083.715116861094</v>
      </c>
      <c r="L122" s="427"/>
      <c r="M122" s="584">
        <f>+'S8.2 &amp; 8.3'!N269</f>
        <v>5.7842254901960773E-2</v>
      </c>
      <c r="N122" s="427"/>
      <c r="O122" s="707">
        <f>+M122*K122</f>
        <v>2954.7972711286261</v>
      </c>
      <c r="P122" s="583"/>
    </row>
    <row r="123" spans="1:16" ht="6" customHeight="1" x14ac:dyDescent="0.2">
      <c r="A123" s="596"/>
      <c r="B123" s="427"/>
      <c r="C123" s="427"/>
      <c r="D123" s="427"/>
      <c r="E123" s="350"/>
      <c r="F123" s="350"/>
      <c r="G123" s="707"/>
      <c r="H123" s="427"/>
      <c r="I123" s="584"/>
      <c r="J123" s="427"/>
      <c r="K123" s="707"/>
      <c r="L123" s="427"/>
      <c r="M123" s="584"/>
      <c r="N123" s="427"/>
      <c r="O123" s="707"/>
      <c r="P123" s="583"/>
    </row>
    <row r="124" spans="1:16" x14ac:dyDescent="0.2">
      <c r="A124" s="596">
        <f>A122+1</f>
        <v>33</v>
      </c>
      <c r="B124" s="427"/>
      <c r="C124" s="427" t="s">
        <v>670</v>
      </c>
      <c r="D124" s="427"/>
      <c r="E124" s="350"/>
      <c r="F124" s="350"/>
      <c r="G124" s="707">
        <v>34000</v>
      </c>
      <c r="H124" s="427"/>
      <c r="I124" s="584">
        <f>G124/G128</f>
        <v>0.40043105225036363</v>
      </c>
      <c r="J124" s="427"/>
      <c r="K124" s="707">
        <f>K128*I124</f>
        <v>34055.810077907394</v>
      </c>
      <c r="L124" s="427"/>
      <c r="M124" s="584">
        <f>O124/K124</f>
        <v>8.7538740733268672E-2</v>
      </c>
      <c r="N124" s="427"/>
      <c r="O124" s="707">
        <f>O128-O122-O126</f>
        <v>2981.2027288713739</v>
      </c>
      <c r="P124" s="583"/>
    </row>
    <row r="125" spans="1:16" ht="6" customHeight="1" x14ac:dyDescent="0.2">
      <c r="A125" s="596"/>
      <c r="B125" s="427"/>
      <c r="C125" s="427"/>
      <c r="D125" s="427"/>
      <c r="E125" s="350"/>
      <c r="F125" s="350"/>
      <c r="G125" s="707"/>
      <c r="H125" s="427"/>
      <c r="I125" s="584"/>
      <c r="J125" s="427"/>
      <c r="K125" s="707"/>
      <c r="L125" s="427"/>
      <c r="M125" s="584"/>
      <c r="N125" s="427"/>
      <c r="O125" s="707"/>
      <c r="P125" s="583"/>
    </row>
    <row r="126" spans="1:16" x14ac:dyDescent="0.2">
      <c r="A126" s="596">
        <f>A124+1</f>
        <v>34</v>
      </c>
      <c r="B126" s="427"/>
      <c r="C126" s="427" t="s">
        <v>83</v>
      </c>
      <c r="D126" s="427"/>
      <c r="E126" s="350" t="s">
        <v>457</v>
      </c>
      <c r="F126" s="350"/>
      <c r="G126" s="587">
        <f>+'S8.4 '!S17</f>
        <v>-91.500000000000227</v>
      </c>
      <c r="H126" s="427"/>
      <c r="I126" s="586">
        <f>G126/G128</f>
        <v>-1.0776306259090696E-3</v>
      </c>
      <c r="J126" s="427"/>
      <c r="K126" s="587">
        <f>K128*I126</f>
        <v>-91.650194768486315</v>
      </c>
      <c r="L126" s="427"/>
      <c r="M126" s="586">
        <v>0</v>
      </c>
      <c r="N126" s="427"/>
      <c r="O126" s="587">
        <f>ROUND(K126*M126,0)</f>
        <v>0</v>
      </c>
      <c r="P126" s="588"/>
    </row>
    <row r="127" spans="1:16" ht="6" customHeight="1" x14ac:dyDescent="0.2">
      <c r="A127" s="596"/>
      <c r="B127" s="427"/>
      <c r="C127" s="427"/>
      <c r="D127" s="427"/>
      <c r="E127" s="350"/>
      <c r="F127" s="350"/>
      <c r="G127" s="707"/>
      <c r="H127" s="427"/>
      <c r="I127" s="427"/>
      <c r="J127" s="427"/>
      <c r="K127" s="707"/>
      <c r="L127" s="427"/>
      <c r="M127" s="584"/>
      <c r="N127" s="427"/>
      <c r="O127" s="707"/>
      <c r="P127" s="583"/>
    </row>
    <row r="128" spans="1:16" ht="13.5" thickBot="1" x14ac:dyDescent="0.25">
      <c r="A128" s="596">
        <f>A126+1</f>
        <v>35</v>
      </c>
      <c r="B128" s="427"/>
      <c r="C128" s="427" t="s">
        <v>27</v>
      </c>
      <c r="D128" s="427"/>
      <c r="E128" s="350" t="s">
        <v>273</v>
      </c>
      <c r="F128" s="350"/>
      <c r="G128" s="786">
        <f>SUM(G122:G126)</f>
        <v>84908.5</v>
      </c>
      <c r="H128" s="427"/>
      <c r="I128" s="593">
        <f>SUM(I122:I126)</f>
        <v>1</v>
      </c>
      <c r="J128" s="427"/>
      <c r="K128" s="786">
        <f>+S8.5!S39</f>
        <v>85047.875</v>
      </c>
      <c r="L128" s="427"/>
      <c r="M128" s="591">
        <f>O128/K128</f>
        <v>6.9795982556883407E-2</v>
      </c>
      <c r="N128" s="427"/>
      <c r="O128" s="786">
        <v>5936</v>
      </c>
      <c r="P128" s="592"/>
    </row>
    <row r="129" spans="1:16" x14ac:dyDescent="0.2">
      <c r="A129" s="597"/>
      <c r="E129" s="350" t="s">
        <v>283</v>
      </c>
      <c r="F129" s="350"/>
      <c r="G129" s="497"/>
      <c r="K129" s="497"/>
      <c r="O129" s="497"/>
    </row>
    <row r="130" spans="1:16" x14ac:dyDescent="0.2">
      <c r="A130" s="596">
        <f>A128+1</f>
        <v>36</v>
      </c>
      <c r="B130" s="427"/>
      <c r="C130" s="582" t="s">
        <v>542</v>
      </c>
      <c r="D130" s="427"/>
      <c r="E130" s="350"/>
      <c r="F130" s="350"/>
      <c r="G130" s="707"/>
      <c r="H130" s="427"/>
      <c r="I130" s="427"/>
      <c r="J130" s="427"/>
      <c r="K130" s="787"/>
      <c r="L130" s="427"/>
      <c r="M130" s="427"/>
      <c r="N130" s="427"/>
      <c r="O130" s="707"/>
      <c r="P130" s="583"/>
    </row>
    <row r="131" spans="1:16" ht="6" customHeight="1" x14ac:dyDescent="0.2">
      <c r="A131" s="596"/>
      <c r="B131" s="427"/>
      <c r="C131" s="427"/>
      <c r="D131" s="427"/>
      <c r="E131" s="350"/>
      <c r="F131" s="350"/>
      <c r="G131" s="707"/>
      <c r="H131" s="427"/>
      <c r="I131" s="427"/>
      <c r="J131" s="427"/>
      <c r="K131" s="707"/>
      <c r="L131" s="427"/>
      <c r="M131" s="427"/>
      <c r="N131" s="427"/>
      <c r="O131" s="707"/>
      <c r="P131" s="583"/>
    </row>
    <row r="132" spans="1:16" x14ac:dyDescent="0.2">
      <c r="A132" s="596">
        <f>A130+1</f>
        <v>37</v>
      </c>
      <c r="B132" s="427"/>
      <c r="C132" s="427" t="s">
        <v>669</v>
      </c>
      <c r="D132" s="427"/>
      <c r="E132" s="350" t="s">
        <v>678</v>
      </c>
      <c r="F132" s="350"/>
      <c r="G132" s="707">
        <f>+'S8.2 &amp; 8.3'!L301</f>
        <v>56400</v>
      </c>
      <c r="H132" s="427"/>
      <c r="I132" s="584">
        <f>G132/G138</f>
        <v>0.59731736721426643</v>
      </c>
      <c r="J132" s="427"/>
      <c r="K132" s="707">
        <f>K138*I132</f>
        <v>56541.763321818849</v>
      </c>
      <c r="L132" s="427"/>
      <c r="M132" s="584">
        <f>+'S8.2 &amp; 8.3'!N301</f>
        <v>5.739317375886524E-2</v>
      </c>
      <c r="N132" s="427"/>
      <c r="O132" s="707">
        <f>+M132*K132</f>
        <v>3245.1112469617829</v>
      </c>
      <c r="P132" s="583"/>
    </row>
    <row r="133" spans="1:16" ht="6" customHeight="1" x14ac:dyDescent="0.2">
      <c r="A133" s="596"/>
      <c r="B133" s="427"/>
      <c r="C133" s="427"/>
      <c r="D133" s="427"/>
      <c r="E133" s="350"/>
      <c r="F133" s="350"/>
      <c r="G133" s="707"/>
      <c r="H133" s="427"/>
      <c r="I133" s="584"/>
      <c r="J133" s="427"/>
      <c r="K133" s="707"/>
      <c r="L133" s="427"/>
      <c r="M133" s="584"/>
      <c r="N133" s="427"/>
      <c r="O133" s="707"/>
      <c r="P133" s="583"/>
    </row>
    <row r="134" spans="1:16" x14ac:dyDescent="0.2">
      <c r="A134" s="596">
        <f>A132+1</f>
        <v>38</v>
      </c>
      <c r="B134" s="427"/>
      <c r="C134" s="427" t="s">
        <v>670</v>
      </c>
      <c r="D134" s="427"/>
      <c r="E134" s="350"/>
      <c r="F134" s="350"/>
      <c r="G134" s="707">
        <v>37600</v>
      </c>
      <c r="H134" s="427"/>
      <c r="I134" s="584">
        <f>G134/G138</f>
        <v>0.39821157814284425</v>
      </c>
      <c r="J134" s="427"/>
      <c r="K134" s="707">
        <f>K138*I134</f>
        <v>37694.508881212561</v>
      </c>
      <c r="L134" s="427"/>
      <c r="M134" s="584">
        <f>O134/K134</f>
        <v>8.7542956546727294E-2</v>
      </c>
      <c r="N134" s="427"/>
      <c r="O134" s="707">
        <f>O138-O132-O136</f>
        <v>3299.8887530382171</v>
      </c>
      <c r="P134" s="583"/>
    </row>
    <row r="135" spans="1:16" ht="6" customHeight="1" x14ac:dyDescent="0.2">
      <c r="A135" s="596"/>
      <c r="B135" s="427"/>
      <c r="C135" s="427"/>
      <c r="D135" s="427"/>
      <c r="E135" s="350"/>
      <c r="F135" s="350"/>
      <c r="G135" s="707"/>
      <c r="H135" s="427"/>
      <c r="I135" s="584"/>
      <c r="J135" s="427"/>
      <c r="K135" s="707"/>
      <c r="L135" s="427"/>
      <c r="M135" s="584"/>
      <c r="N135" s="427"/>
      <c r="O135" s="707"/>
      <c r="P135" s="583"/>
    </row>
    <row r="136" spans="1:16" x14ac:dyDescent="0.2">
      <c r="A136" s="596">
        <f>A134+1</f>
        <v>39</v>
      </c>
      <c r="B136" s="427"/>
      <c r="C136" s="427" t="s">
        <v>83</v>
      </c>
      <c r="D136" s="427"/>
      <c r="E136" s="350" t="s">
        <v>457</v>
      </c>
      <c r="F136" s="350"/>
      <c r="G136" s="587">
        <f>+'S8.4 '!U17</f>
        <v>422.16666666666646</v>
      </c>
      <c r="H136" s="427"/>
      <c r="I136" s="586">
        <f>G136/G138</f>
        <v>4.4710546428892908E-3</v>
      </c>
      <c r="J136" s="427"/>
      <c r="K136" s="587">
        <f>K138*I136</f>
        <v>423.22779696857884</v>
      </c>
      <c r="L136" s="427"/>
      <c r="M136" s="586">
        <v>0</v>
      </c>
      <c r="N136" s="427"/>
      <c r="O136" s="587">
        <f>ROUND(K136*M136,0)</f>
        <v>0</v>
      </c>
      <c r="P136" s="588"/>
    </row>
    <row r="137" spans="1:16" ht="6" customHeight="1" x14ac:dyDescent="0.2">
      <c r="A137" s="596"/>
      <c r="B137" s="427"/>
      <c r="C137" s="427"/>
      <c r="D137" s="427"/>
      <c r="E137" s="350"/>
      <c r="F137" s="350"/>
      <c r="G137" s="707"/>
      <c r="H137" s="427"/>
      <c r="I137" s="427"/>
      <c r="J137" s="427"/>
      <c r="K137" s="707"/>
      <c r="L137" s="427"/>
      <c r="M137" s="584"/>
      <c r="N137" s="427"/>
      <c r="O137" s="707"/>
      <c r="P137" s="583"/>
    </row>
    <row r="138" spans="1:16" ht="13.5" thickBot="1" x14ac:dyDescent="0.25">
      <c r="A138" s="596">
        <f>A136+1</f>
        <v>40</v>
      </c>
      <c r="B138" s="427"/>
      <c r="C138" s="427" t="s">
        <v>27</v>
      </c>
      <c r="D138" s="427"/>
      <c r="E138" s="350" t="s">
        <v>273</v>
      </c>
      <c r="F138" s="350"/>
      <c r="G138" s="786">
        <f>SUM(G132:G136)</f>
        <v>94422.166666666672</v>
      </c>
      <c r="H138" s="427"/>
      <c r="I138" s="593">
        <f>SUM(I132:I136)</f>
        <v>1</v>
      </c>
      <c r="J138" s="427"/>
      <c r="K138" s="786">
        <f>+S8.5!U39</f>
        <v>94659.5</v>
      </c>
      <c r="L138" s="427"/>
      <c r="M138" s="591">
        <f>O138/K138</f>
        <v>6.9142558327479023E-2</v>
      </c>
      <c r="N138" s="427"/>
      <c r="O138" s="786">
        <v>6545</v>
      </c>
      <c r="P138" s="592"/>
    </row>
    <row r="139" spans="1:16" x14ac:dyDescent="0.2">
      <c r="A139" s="597"/>
      <c r="E139" s="350" t="s">
        <v>283</v>
      </c>
      <c r="F139" s="350"/>
    </row>
    <row r="140" spans="1:16" x14ac:dyDescent="0.2">
      <c r="A140" s="597"/>
      <c r="E140" s="350"/>
      <c r="F140" s="350"/>
      <c r="K140" s="691"/>
    </row>
    <row r="141" spans="1:16" x14ac:dyDescent="0.2">
      <c r="A141" s="597"/>
      <c r="E141" s="350"/>
      <c r="F141" s="350"/>
    </row>
    <row r="142" spans="1:16" x14ac:dyDescent="0.2">
      <c r="A142" s="596">
        <f>A138+1</f>
        <v>41</v>
      </c>
      <c r="B142" s="427"/>
      <c r="C142" s="582" t="s">
        <v>543</v>
      </c>
      <c r="D142" s="427"/>
      <c r="E142" s="350"/>
      <c r="F142" s="350"/>
      <c r="G142" s="427"/>
      <c r="H142" s="427"/>
      <c r="I142" s="427"/>
      <c r="J142" s="427"/>
      <c r="K142" s="427"/>
      <c r="L142" s="427"/>
      <c r="M142" s="427"/>
      <c r="N142" s="427"/>
      <c r="O142" s="583"/>
      <c r="P142" s="583"/>
    </row>
    <row r="143" spans="1:16" ht="6" customHeight="1" x14ac:dyDescent="0.2">
      <c r="A143" s="596"/>
      <c r="B143" s="427"/>
      <c r="C143" s="427"/>
      <c r="D143" s="427"/>
      <c r="E143" s="350"/>
      <c r="F143" s="350"/>
      <c r="G143" s="427"/>
      <c r="H143" s="427"/>
      <c r="I143" s="427"/>
      <c r="J143" s="427"/>
      <c r="K143" s="427"/>
      <c r="L143" s="427"/>
      <c r="M143" s="427"/>
      <c r="N143" s="427"/>
      <c r="O143" s="583"/>
      <c r="P143" s="583"/>
    </row>
    <row r="144" spans="1:16" x14ac:dyDescent="0.2">
      <c r="A144" s="596">
        <f>A142+1</f>
        <v>42</v>
      </c>
      <c r="B144" s="427"/>
      <c r="C144" s="427" t="s">
        <v>669</v>
      </c>
      <c r="D144" s="427"/>
      <c r="E144" s="350" t="s">
        <v>679</v>
      </c>
      <c r="F144" s="350"/>
      <c r="G144" s="583">
        <f>'S8.2 &amp; 8.3'!L192</f>
        <v>26621</v>
      </c>
      <c r="H144" s="427"/>
      <c r="I144" s="584">
        <f>G144/G150</f>
        <v>0.59109176898994165</v>
      </c>
      <c r="J144" s="427"/>
      <c r="K144" s="583">
        <f>K150*I144</f>
        <v>27243.715178630904</v>
      </c>
      <c r="L144" s="427"/>
      <c r="M144" s="584">
        <f>'S8.2 &amp; 8.3'!N192</f>
        <v>6.8651584463393561E-2</v>
      </c>
      <c r="N144" s="427"/>
      <c r="O144" s="583">
        <f>ROUND(K144*M144,0)</f>
        <v>1870</v>
      </c>
      <c r="P144" s="583"/>
    </row>
    <row r="145" spans="1:16" ht="6" customHeight="1" x14ac:dyDescent="0.2">
      <c r="A145" s="596"/>
      <c r="B145" s="427"/>
      <c r="C145" s="427"/>
      <c r="D145" s="427"/>
      <c r="E145" s="350"/>
      <c r="F145" s="350"/>
      <c r="G145" s="583"/>
      <c r="H145" s="427"/>
      <c r="I145" s="584"/>
      <c r="J145" s="427"/>
      <c r="K145" s="583"/>
      <c r="L145" s="427"/>
      <c r="M145" s="584"/>
      <c r="N145" s="427"/>
      <c r="O145" s="583"/>
      <c r="P145" s="583"/>
    </row>
    <row r="146" spans="1:16" x14ac:dyDescent="0.2">
      <c r="A146" s="596">
        <f>A144+1</f>
        <v>43</v>
      </c>
      <c r="B146" s="427"/>
      <c r="C146" s="427" t="s">
        <v>670</v>
      </c>
      <c r="D146" s="427"/>
      <c r="E146" s="350"/>
      <c r="F146" s="350"/>
      <c r="G146" s="583">
        <v>17747</v>
      </c>
      <c r="H146" s="427"/>
      <c r="I146" s="584">
        <f>G146/G$150</f>
        <v>0.39405377800475166</v>
      </c>
      <c r="J146" s="427"/>
      <c r="K146" s="583">
        <f>K150*I146</f>
        <v>18162.135655128008</v>
      </c>
      <c r="L146" s="427"/>
      <c r="M146" s="584">
        <f>O146/K146</f>
        <v>9.0793287271500545E-2</v>
      </c>
      <c r="N146" s="427"/>
      <c r="O146" s="583">
        <f>O150-O144-O148</f>
        <v>1649</v>
      </c>
      <c r="P146" s="583"/>
    </row>
    <row r="147" spans="1:16" ht="6" customHeight="1" x14ac:dyDescent="0.2">
      <c r="A147" s="596"/>
      <c r="B147" s="427"/>
      <c r="C147" s="427"/>
      <c r="D147" s="427"/>
      <c r="E147" s="350"/>
      <c r="F147" s="350"/>
      <c r="G147" s="583"/>
      <c r="H147" s="427"/>
      <c r="I147" s="584"/>
      <c r="J147" s="427"/>
      <c r="K147" s="583"/>
      <c r="L147" s="427"/>
      <c r="M147" s="584"/>
      <c r="N147" s="427"/>
      <c r="O147" s="583"/>
      <c r="P147" s="583"/>
    </row>
    <row r="148" spans="1:16" x14ac:dyDescent="0.2">
      <c r="A148" s="596">
        <f>A146+1</f>
        <v>44</v>
      </c>
      <c r="B148" s="427"/>
      <c r="C148" s="427" t="s">
        <v>83</v>
      </c>
      <c r="D148" s="427"/>
      <c r="E148" s="350" t="s">
        <v>457</v>
      </c>
      <c r="F148" s="350"/>
      <c r="G148" s="585">
        <f>+'S8.4 '!W17</f>
        <v>669</v>
      </c>
      <c r="H148" s="427"/>
      <c r="I148" s="586">
        <f>G148/G$150</f>
        <v>1.4854453005306748E-2</v>
      </c>
      <c r="J148" s="427"/>
      <c r="K148" s="585">
        <f>K150*I148</f>
        <v>684.64916624109071</v>
      </c>
      <c r="L148" s="427"/>
      <c r="M148" s="586">
        <v>0</v>
      </c>
      <c r="N148" s="427"/>
      <c r="O148" s="587">
        <f>ROUND(K148*M148,0)</f>
        <v>0</v>
      </c>
      <c r="P148" s="588"/>
    </row>
    <row r="149" spans="1:16" ht="6" customHeight="1" x14ac:dyDescent="0.2">
      <c r="A149" s="596"/>
      <c r="B149" s="427"/>
      <c r="C149" s="427"/>
      <c r="D149" s="427"/>
      <c r="E149" s="350"/>
      <c r="F149" s="350"/>
      <c r="G149" s="583"/>
      <c r="H149" s="427"/>
      <c r="I149" s="427"/>
      <c r="J149" s="427"/>
      <c r="K149" s="583"/>
      <c r="L149" s="427"/>
      <c r="M149" s="584"/>
      <c r="N149" s="427"/>
      <c r="O149" s="583"/>
      <c r="P149" s="583"/>
    </row>
    <row r="150" spans="1:16" ht="13.5" thickBot="1" x14ac:dyDescent="0.25">
      <c r="A150" s="596">
        <f>A148+1</f>
        <v>45</v>
      </c>
      <c r="B150" s="427"/>
      <c r="C150" s="427" t="s">
        <v>27</v>
      </c>
      <c r="D150" s="427"/>
      <c r="E150" s="350" t="s">
        <v>273</v>
      </c>
      <c r="F150" s="350"/>
      <c r="G150" s="589">
        <f>SUM(G144:G148)</f>
        <v>45037</v>
      </c>
      <c r="H150" s="427"/>
      <c r="I150" s="590">
        <f>SUM(I144:I148)</f>
        <v>1</v>
      </c>
      <c r="J150" s="427"/>
      <c r="K150" s="589">
        <f>S8.5!W39</f>
        <v>46090.5</v>
      </c>
      <c r="L150" s="427"/>
      <c r="M150" s="591">
        <f>O150/K150</f>
        <v>7.6349790086894256E-2</v>
      </c>
      <c r="N150" s="427"/>
      <c r="O150" s="589">
        <v>3519</v>
      </c>
      <c r="P150" s="592"/>
    </row>
    <row r="151" spans="1:16" x14ac:dyDescent="0.2">
      <c r="A151" s="597"/>
      <c r="E151" s="350" t="s">
        <v>283</v>
      </c>
      <c r="F151" s="350"/>
    </row>
    <row r="152" spans="1:16" x14ac:dyDescent="0.2">
      <c r="A152" s="596">
        <f>A150+1</f>
        <v>46</v>
      </c>
      <c r="B152" s="427"/>
      <c r="C152" s="582" t="s">
        <v>544</v>
      </c>
      <c r="D152" s="427"/>
      <c r="E152" s="350"/>
      <c r="F152" s="350"/>
      <c r="G152" s="427"/>
      <c r="H152" s="427"/>
      <c r="I152" s="427"/>
      <c r="J152" s="427"/>
      <c r="K152" s="427"/>
      <c r="L152" s="427"/>
      <c r="M152" s="427"/>
      <c r="N152" s="427"/>
      <c r="O152" s="583"/>
      <c r="P152" s="583"/>
    </row>
    <row r="153" spans="1:16" ht="6" customHeight="1" x14ac:dyDescent="0.2">
      <c r="A153" s="596"/>
      <c r="B153" s="427"/>
      <c r="C153" s="427"/>
      <c r="D153" s="427"/>
      <c r="E153" s="350"/>
      <c r="F153" s="350"/>
      <c r="G153" s="427"/>
      <c r="H153" s="427"/>
      <c r="I153" s="427"/>
      <c r="J153" s="427"/>
      <c r="K153" s="427"/>
      <c r="L153" s="427"/>
      <c r="M153" s="427"/>
      <c r="N153" s="427"/>
      <c r="O153" s="583"/>
      <c r="P153" s="583"/>
    </row>
    <row r="154" spans="1:16" x14ac:dyDescent="0.2">
      <c r="A154" s="596">
        <f>A152+1</f>
        <v>47</v>
      </c>
      <c r="B154" s="427"/>
      <c r="C154" s="427" t="s">
        <v>669</v>
      </c>
      <c r="D154" s="427"/>
      <c r="E154" s="350" t="s">
        <v>680</v>
      </c>
      <c r="F154" s="350"/>
      <c r="G154" s="583">
        <f>'S8.2 &amp; 8.3'!L214</f>
        <v>29730</v>
      </c>
      <c r="H154" s="427"/>
      <c r="I154" s="584">
        <f>G154/G160</f>
        <v>0.59170066673300825</v>
      </c>
      <c r="J154" s="427"/>
      <c r="K154" s="583">
        <f>K160*I154</f>
        <v>29275.869738282418</v>
      </c>
      <c r="L154" s="427"/>
      <c r="M154" s="584">
        <f>'S8.2 &amp; 8.3'!N214</f>
        <v>6.6048626303397237E-2</v>
      </c>
      <c r="N154" s="427"/>
      <c r="O154" s="583">
        <f>ROUND(K154*M154,0)</f>
        <v>1934</v>
      </c>
      <c r="P154" s="583"/>
    </row>
    <row r="155" spans="1:16" ht="6" customHeight="1" x14ac:dyDescent="0.2">
      <c r="A155" s="596"/>
      <c r="B155" s="427"/>
      <c r="C155" s="427"/>
      <c r="D155" s="427"/>
      <c r="E155" s="350"/>
      <c r="F155" s="350"/>
      <c r="G155" s="583"/>
      <c r="H155" s="427"/>
      <c r="I155" s="584"/>
      <c r="J155" s="427"/>
      <c r="K155" s="583"/>
      <c r="L155" s="427"/>
      <c r="M155" s="584"/>
      <c r="N155" s="427"/>
      <c r="O155" s="583"/>
      <c r="P155" s="583"/>
    </row>
    <row r="156" spans="1:16" x14ac:dyDescent="0.2">
      <c r="A156" s="596">
        <f>A154+1</f>
        <v>48</v>
      </c>
      <c r="B156" s="427"/>
      <c r="C156" s="427" t="s">
        <v>670</v>
      </c>
      <c r="D156" s="427"/>
      <c r="E156" s="350"/>
      <c r="F156" s="350"/>
      <c r="G156" s="583">
        <v>19820</v>
      </c>
      <c r="H156" s="427"/>
      <c r="I156" s="584">
        <f>G156/G$160</f>
        <v>0.39446711115533883</v>
      </c>
      <c r="J156" s="427"/>
      <c r="K156" s="583">
        <f>K160*I156</f>
        <v>19517.246492188278</v>
      </c>
      <c r="L156" s="427"/>
      <c r="M156" s="584">
        <f>O156/K156</f>
        <v>8.9203156843708983E-2</v>
      </c>
      <c r="N156" s="427"/>
      <c r="O156" s="583">
        <f>O160-O154-O158</f>
        <v>1741</v>
      </c>
      <c r="P156" s="583"/>
    </row>
    <row r="157" spans="1:16" ht="6" customHeight="1" x14ac:dyDescent="0.2">
      <c r="A157" s="596"/>
      <c r="B157" s="427"/>
      <c r="C157" s="427"/>
      <c r="D157" s="427"/>
      <c r="E157" s="350"/>
      <c r="F157" s="350"/>
      <c r="G157" s="583"/>
      <c r="H157" s="427"/>
      <c r="I157" s="584"/>
      <c r="J157" s="427"/>
      <c r="K157" s="583"/>
      <c r="L157" s="427"/>
      <c r="M157" s="584"/>
      <c r="N157" s="427"/>
      <c r="O157" s="583"/>
      <c r="P157" s="583"/>
    </row>
    <row r="158" spans="1:16" x14ac:dyDescent="0.2">
      <c r="A158" s="596">
        <f>A156+1</f>
        <v>49</v>
      </c>
      <c r="B158" s="427"/>
      <c r="C158" s="427" t="s">
        <v>83</v>
      </c>
      <c r="D158" s="427"/>
      <c r="E158" s="350" t="s">
        <v>457</v>
      </c>
      <c r="F158" s="350"/>
      <c r="G158" s="585">
        <f>+'S8.4 '!Y17</f>
        <v>695</v>
      </c>
      <c r="H158" s="427"/>
      <c r="I158" s="586">
        <f>G158/G$160</f>
        <v>1.38322221116529E-2</v>
      </c>
      <c r="J158" s="427"/>
      <c r="K158" s="585">
        <f>K160*I158</f>
        <v>684.38376952930639</v>
      </c>
      <c r="L158" s="427"/>
      <c r="M158" s="586">
        <v>0</v>
      </c>
      <c r="N158" s="427"/>
      <c r="O158" s="587">
        <f>ROUND(K158*M158,0)</f>
        <v>0</v>
      </c>
      <c r="P158" s="588"/>
    </row>
    <row r="159" spans="1:16" ht="6" customHeight="1" x14ac:dyDescent="0.2">
      <c r="A159" s="596"/>
      <c r="B159" s="427"/>
      <c r="C159" s="427"/>
      <c r="D159" s="427"/>
      <c r="E159" s="350"/>
      <c r="F159" s="350"/>
      <c r="G159" s="583"/>
      <c r="H159" s="427"/>
      <c r="I159" s="427"/>
      <c r="J159" s="427"/>
      <c r="K159" s="583"/>
      <c r="L159" s="427"/>
      <c r="M159" s="584"/>
      <c r="N159" s="427"/>
      <c r="O159" s="583"/>
      <c r="P159" s="583"/>
    </row>
    <row r="160" spans="1:16" ht="13.5" thickBot="1" x14ac:dyDescent="0.25">
      <c r="A160" s="596">
        <f>A158+1</f>
        <v>50</v>
      </c>
      <c r="B160" s="427"/>
      <c r="C160" s="427" t="s">
        <v>27</v>
      </c>
      <c r="D160" s="427"/>
      <c r="E160" s="350" t="s">
        <v>273</v>
      </c>
      <c r="F160" s="350"/>
      <c r="G160" s="589">
        <f>SUM(G154:G158)</f>
        <v>50245</v>
      </c>
      <c r="H160" s="427"/>
      <c r="I160" s="590">
        <f>SUM(I154:I158)</f>
        <v>1</v>
      </c>
      <c r="J160" s="427"/>
      <c r="K160" s="589">
        <f>S8.5!Y39</f>
        <v>49477.5</v>
      </c>
      <c r="L160" s="427"/>
      <c r="M160" s="591">
        <f>O160/K160</f>
        <v>7.4276186145217526E-2</v>
      </c>
      <c r="N160" s="427"/>
      <c r="O160" s="589">
        <v>3675</v>
      </c>
      <c r="P160" s="592"/>
    </row>
    <row r="161" spans="1:9" x14ac:dyDescent="0.2">
      <c r="A161" s="597"/>
      <c r="E161" s="350" t="s">
        <v>283</v>
      </c>
      <c r="F161" s="350"/>
    </row>
    <row r="162" spans="1:9" x14ac:dyDescent="0.2">
      <c r="A162" s="597"/>
      <c r="E162" s="496"/>
      <c r="F162" s="496"/>
      <c r="I162" s="595"/>
    </row>
    <row r="163" spans="1:9" x14ac:dyDescent="0.2">
      <c r="A163" s="496"/>
      <c r="E163" s="496"/>
      <c r="F163" s="496"/>
    </row>
    <row r="164" spans="1:9" x14ac:dyDescent="0.2">
      <c r="A164" s="496"/>
      <c r="E164" s="496"/>
      <c r="F164" s="496"/>
    </row>
    <row r="165" spans="1:9" x14ac:dyDescent="0.2">
      <c r="A165" s="496"/>
      <c r="E165" s="496"/>
      <c r="F165" s="496"/>
    </row>
    <row r="166" spans="1:9" x14ac:dyDescent="0.2">
      <c r="A166" s="496"/>
      <c r="E166" s="496"/>
      <c r="F166" s="496"/>
    </row>
    <row r="167" spans="1:9" x14ac:dyDescent="0.2">
      <c r="A167" s="496"/>
      <c r="E167" s="496"/>
      <c r="F167" s="496"/>
    </row>
    <row r="168" spans="1:9" x14ac:dyDescent="0.2">
      <c r="A168" s="496"/>
      <c r="E168" s="496"/>
      <c r="F168" s="496"/>
    </row>
    <row r="169" spans="1:9" x14ac:dyDescent="0.2">
      <c r="A169" s="496"/>
      <c r="E169" s="496"/>
      <c r="F169" s="496"/>
    </row>
    <row r="170" spans="1:9" x14ac:dyDescent="0.2">
      <c r="A170" s="496"/>
      <c r="E170" s="496"/>
      <c r="F170" s="496"/>
    </row>
    <row r="171" spans="1:9" x14ac:dyDescent="0.2">
      <c r="A171" s="496"/>
      <c r="E171" s="496"/>
      <c r="F171" s="496"/>
    </row>
    <row r="172" spans="1:9" x14ac:dyDescent="0.2">
      <c r="A172" s="496"/>
      <c r="E172" s="496"/>
      <c r="F172" s="496"/>
    </row>
    <row r="173" spans="1:9" x14ac:dyDescent="0.2">
      <c r="A173" s="496"/>
      <c r="E173" s="496"/>
      <c r="F173" s="496"/>
    </row>
    <row r="174" spans="1:9" x14ac:dyDescent="0.2">
      <c r="A174" s="496"/>
      <c r="E174" s="496"/>
      <c r="F174" s="496"/>
    </row>
    <row r="175" spans="1:9" x14ac:dyDescent="0.2">
      <c r="A175" s="496"/>
      <c r="E175" s="496"/>
      <c r="F175" s="496"/>
    </row>
    <row r="176" spans="1:9" x14ac:dyDescent="0.2">
      <c r="A176" s="496"/>
      <c r="E176" s="496"/>
      <c r="F176" s="496"/>
    </row>
    <row r="177" spans="1:6" x14ac:dyDescent="0.2">
      <c r="A177" s="496"/>
      <c r="E177" s="496"/>
      <c r="F177" s="496"/>
    </row>
    <row r="178" spans="1:6" x14ac:dyDescent="0.2">
      <c r="A178" s="496"/>
      <c r="E178" s="496"/>
      <c r="F178" s="496"/>
    </row>
    <row r="179" spans="1:6" x14ac:dyDescent="0.2">
      <c r="A179" s="496"/>
      <c r="E179" s="496"/>
      <c r="F179" s="496"/>
    </row>
    <row r="180" spans="1:6" x14ac:dyDescent="0.2">
      <c r="A180" s="496"/>
      <c r="E180" s="496"/>
      <c r="F180" s="496"/>
    </row>
    <row r="181" spans="1:6" x14ac:dyDescent="0.2">
      <c r="A181" s="496"/>
      <c r="E181" s="496"/>
      <c r="F181" s="496"/>
    </row>
    <row r="182" spans="1:6" x14ac:dyDescent="0.2">
      <c r="A182" s="496"/>
      <c r="E182" s="496"/>
      <c r="F182" s="496"/>
    </row>
    <row r="183" spans="1:6" x14ac:dyDescent="0.2">
      <c r="A183" s="496"/>
      <c r="E183" s="496"/>
      <c r="F183" s="496"/>
    </row>
    <row r="184" spans="1:6" x14ac:dyDescent="0.2">
      <c r="A184" s="496"/>
      <c r="E184" s="496"/>
      <c r="F184" s="496"/>
    </row>
    <row r="185" spans="1:6" x14ac:dyDescent="0.2">
      <c r="A185" s="496"/>
      <c r="E185" s="496"/>
      <c r="F185" s="496"/>
    </row>
    <row r="186" spans="1:6" x14ac:dyDescent="0.2">
      <c r="E186" s="496"/>
      <c r="F186" s="496"/>
    </row>
    <row r="187" spans="1:6" x14ac:dyDescent="0.2">
      <c r="E187" s="496"/>
      <c r="F187" s="496"/>
    </row>
    <row r="188" spans="1:6" x14ac:dyDescent="0.2">
      <c r="E188" s="496"/>
      <c r="F188" s="496"/>
    </row>
  </sheetData>
  <customSheetViews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0" type="noConversion"/>
  <printOptions horizontalCentered="1"/>
  <pageMargins left="0.5" right="0.5" top="0.75" bottom="0.75" header="0.26" footer="0.28999999999999998"/>
  <pageSetup scale="78" orientation="landscape" r:id="rId3"/>
  <headerFooter alignWithMargins="0"/>
  <rowBreaks count="1" manualBreakCount="1">
    <brk id="80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P306"/>
  <sheetViews>
    <sheetView view="pageBreakPreview" topLeftCell="A63" zoomScale="85" zoomScaleNormal="85" zoomScaleSheetLayoutView="85" workbookViewId="0">
      <selection activeCell="O3" sqref="O3"/>
    </sheetView>
  </sheetViews>
  <sheetFormatPr defaultRowHeight="12.75" x14ac:dyDescent="0.2"/>
  <cols>
    <col min="1" max="1" width="4.42578125" style="21" bestFit="1" customWidth="1"/>
    <col min="2" max="2" width="2" style="423" customWidth="1"/>
    <col min="3" max="3" width="14.140625" style="423" customWidth="1"/>
    <col min="4" max="4" width="6.28515625" style="423" customWidth="1"/>
    <col min="5" max="5" width="11.42578125" style="423" customWidth="1"/>
    <col min="6" max="6" width="8" style="423" customWidth="1"/>
    <col min="7" max="7" width="12" style="423" customWidth="1"/>
    <col min="8" max="8" width="9.7109375" style="423" customWidth="1"/>
    <col min="9" max="9" width="8.85546875" style="423" customWidth="1"/>
    <col min="10" max="10" width="12.7109375" style="423" bestFit="1" customWidth="1"/>
    <col min="11" max="11" width="12" style="423" customWidth="1"/>
    <col min="12" max="12" width="14.42578125" style="423" customWidth="1"/>
    <col min="13" max="13" width="12.140625" style="423" customWidth="1"/>
    <col min="14" max="14" width="15.140625" style="423" customWidth="1"/>
    <col min="15" max="15" width="2.28515625" style="423" customWidth="1"/>
    <col min="16" max="16384" width="9.140625" style="423"/>
  </cols>
  <sheetData>
    <row r="1" spans="1:16" ht="15.75" customHeight="1" x14ac:dyDescent="0.2">
      <c r="A1" s="501" t="s">
        <v>539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172" t="s">
        <v>809</v>
      </c>
    </row>
    <row r="2" spans="1:16" x14ac:dyDescent="0.2">
      <c r="A2" s="501" t="s">
        <v>489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172" t="s">
        <v>990</v>
      </c>
      <c r="P2" s="172"/>
    </row>
    <row r="3" spans="1:16" x14ac:dyDescent="0.2">
      <c r="A3" s="501" t="s">
        <v>545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239"/>
      <c r="P3" s="172"/>
    </row>
    <row r="4" spans="1:16" x14ac:dyDescent="0.2">
      <c r="A4" s="501" t="s">
        <v>33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239"/>
      <c r="P4" s="488"/>
    </row>
    <row r="5" spans="1:16" x14ac:dyDescent="0.2">
      <c r="A5" s="291" t="s">
        <v>34</v>
      </c>
      <c r="B5" s="78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488"/>
      <c r="O5" s="569"/>
    </row>
    <row r="6" spans="1:16" x14ac:dyDescent="0.2">
      <c r="A6" s="299" t="s">
        <v>36</v>
      </c>
      <c r="B6" s="78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488"/>
      <c r="O6" s="569"/>
    </row>
    <row r="7" spans="1:16" ht="7.5" customHeight="1" x14ac:dyDescent="0.2">
      <c r="K7" s="296"/>
    </row>
    <row r="8" spans="1:16" hidden="1" x14ac:dyDescent="0.2">
      <c r="A8" s="21">
        <v>1</v>
      </c>
      <c r="B8" s="789" t="s">
        <v>311</v>
      </c>
      <c r="C8" s="296"/>
      <c r="D8" s="296"/>
      <c r="E8" s="296"/>
      <c r="F8" s="296"/>
      <c r="G8" s="296"/>
      <c r="H8" s="296"/>
      <c r="I8" s="297" t="s">
        <v>61</v>
      </c>
      <c r="J8" s="298"/>
      <c r="K8" s="296"/>
      <c r="L8" s="296"/>
      <c r="M8" s="296"/>
    </row>
    <row r="9" spans="1:16" hidden="1" x14ac:dyDescent="0.2">
      <c r="A9" s="21">
        <f>A8+1</f>
        <v>2</v>
      </c>
      <c r="C9" s="291"/>
      <c r="D9" s="291"/>
      <c r="E9" s="291"/>
      <c r="F9" s="291"/>
      <c r="G9" s="291"/>
      <c r="H9" s="291" t="s">
        <v>62</v>
      </c>
      <c r="I9" s="291" t="s">
        <v>28</v>
      </c>
      <c r="J9" s="291" t="s">
        <v>63</v>
      </c>
      <c r="L9" s="291" t="s">
        <v>62</v>
      </c>
      <c r="M9" s="291" t="s">
        <v>28</v>
      </c>
      <c r="N9" s="291" t="s">
        <v>64</v>
      </c>
    </row>
    <row r="10" spans="1:16" hidden="1" x14ac:dyDescent="0.2">
      <c r="A10" s="21">
        <f t="shared" ref="A10:A44" si="0">A9+1</f>
        <v>3</v>
      </c>
      <c r="B10" s="790"/>
      <c r="C10" s="291"/>
      <c r="D10" s="291"/>
      <c r="E10" s="291" t="s">
        <v>65</v>
      </c>
      <c r="F10" s="291" t="s">
        <v>66</v>
      </c>
      <c r="G10" s="291" t="s">
        <v>67</v>
      </c>
      <c r="H10" s="291" t="s">
        <v>68</v>
      </c>
      <c r="I10" s="291" t="s">
        <v>27</v>
      </c>
      <c r="J10" s="291" t="s">
        <v>62</v>
      </c>
      <c r="K10" s="291" t="s">
        <v>74</v>
      </c>
      <c r="L10" s="291" t="s">
        <v>75</v>
      </c>
      <c r="M10" s="291" t="s">
        <v>76</v>
      </c>
      <c r="N10" s="291" t="s">
        <v>77</v>
      </c>
    </row>
    <row r="11" spans="1:16" hidden="1" x14ac:dyDescent="0.2">
      <c r="A11" s="21">
        <f t="shared" si="0"/>
        <v>4</v>
      </c>
      <c r="B11" s="790"/>
      <c r="C11" s="299" t="s">
        <v>178</v>
      </c>
      <c r="D11" s="299" t="s">
        <v>78</v>
      </c>
      <c r="E11" s="299" t="s">
        <v>79</v>
      </c>
      <c r="F11" s="299" t="s">
        <v>39</v>
      </c>
      <c r="G11" s="299" t="s">
        <v>79</v>
      </c>
      <c r="H11" s="299" t="s">
        <v>80</v>
      </c>
      <c r="I11" s="299" t="s">
        <v>68</v>
      </c>
      <c r="J11" s="299" t="s">
        <v>68</v>
      </c>
      <c r="K11" s="299" t="s">
        <v>103</v>
      </c>
      <c r="L11" s="791">
        <v>39082</v>
      </c>
      <c r="M11" s="299" t="s">
        <v>40</v>
      </c>
      <c r="N11" s="299" t="s">
        <v>81</v>
      </c>
    </row>
    <row r="12" spans="1:16" hidden="1" x14ac:dyDescent="0.2">
      <c r="A12" s="21">
        <f t="shared" si="0"/>
        <v>5</v>
      </c>
      <c r="B12" s="792"/>
      <c r="C12" s="296"/>
      <c r="D12" s="21" t="s">
        <v>376</v>
      </c>
      <c r="E12" s="22">
        <v>32842</v>
      </c>
      <c r="F12" s="293">
        <v>0.1028</v>
      </c>
      <c r="G12" s="793">
        <v>2009</v>
      </c>
      <c r="H12" s="20">
        <v>2000</v>
      </c>
      <c r="I12" s="20">
        <f t="shared" ref="I12:I21" si="1">H12</f>
        <v>2000</v>
      </c>
      <c r="J12" s="295">
        <f t="shared" ref="J12:J21" si="2">I12/H12*100</f>
        <v>100</v>
      </c>
      <c r="K12" s="300">
        <v>0.1033</v>
      </c>
      <c r="L12" s="292">
        <f t="shared" ref="L12:L21" si="3">I12</f>
        <v>2000</v>
      </c>
      <c r="M12" s="20">
        <f t="shared" ref="M12:M21" si="4">L12*K12</f>
        <v>206.6</v>
      </c>
    </row>
    <row r="13" spans="1:16" hidden="1" x14ac:dyDescent="0.2">
      <c r="A13" s="21">
        <f t="shared" si="0"/>
        <v>6</v>
      </c>
      <c r="B13" s="792"/>
      <c r="C13" s="296"/>
      <c r="D13" s="21" t="s">
        <v>379</v>
      </c>
      <c r="E13" s="22">
        <v>33205</v>
      </c>
      <c r="F13" s="293">
        <v>0.11849999999999999</v>
      </c>
      <c r="G13" s="793">
        <v>2020</v>
      </c>
      <c r="H13" s="292">
        <v>1500</v>
      </c>
      <c r="I13" s="292">
        <f t="shared" si="1"/>
        <v>1500</v>
      </c>
      <c r="J13" s="794">
        <f t="shared" si="2"/>
        <v>100</v>
      </c>
      <c r="K13" s="300">
        <v>0.1191</v>
      </c>
      <c r="L13" s="292">
        <f t="shared" si="3"/>
        <v>1500</v>
      </c>
      <c r="M13" s="292">
        <f t="shared" si="4"/>
        <v>178.65</v>
      </c>
      <c r="N13" s="485"/>
    </row>
    <row r="14" spans="1:16" hidden="1" x14ac:dyDescent="0.2">
      <c r="A14" s="21">
        <f t="shared" si="0"/>
        <v>7</v>
      </c>
      <c r="B14" s="792"/>
      <c r="D14" s="21" t="s">
        <v>380</v>
      </c>
      <c r="E14" s="22">
        <v>33732</v>
      </c>
      <c r="F14" s="293">
        <v>9.4600000000000004E-2</v>
      </c>
      <c r="G14" s="793">
        <v>2023</v>
      </c>
      <c r="H14" s="292">
        <v>2500</v>
      </c>
      <c r="I14" s="20">
        <f t="shared" si="1"/>
        <v>2500</v>
      </c>
      <c r="J14" s="295">
        <f t="shared" si="2"/>
        <v>100</v>
      </c>
      <c r="K14" s="300">
        <v>9.5100000000000004E-2</v>
      </c>
      <c r="L14" s="292">
        <f t="shared" si="3"/>
        <v>2500</v>
      </c>
      <c r="M14" s="292">
        <f t="shared" si="4"/>
        <v>237.75</v>
      </c>
    </row>
    <row r="15" spans="1:16" hidden="1" x14ac:dyDescent="0.2">
      <c r="A15" s="21">
        <f t="shared" si="0"/>
        <v>8</v>
      </c>
      <c r="B15" s="792"/>
      <c r="C15" s="296"/>
      <c r="D15" s="21" t="s">
        <v>102</v>
      </c>
      <c r="E15" s="22">
        <v>36385</v>
      </c>
      <c r="F15" s="293">
        <v>6.8000000000000005E-2</v>
      </c>
      <c r="G15" s="107">
        <v>2019</v>
      </c>
      <c r="H15" s="20">
        <v>4500</v>
      </c>
      <c r="I15" s="20">
        <f t="shared" si="1"/>
        <v>4500</v>
      </c>
      <c r="J15" s="295">
        <f t="shared" si="2"/>
        <v>100</v>
      </c>
      <c r="K15" s="293">
        <v>6.8500000000000005E-2</v>
      </c>
      <c r="L15" s="292">
        <f t="shared" si="3"/>
        <v>4500</v>
      </c>
      <c r="M15" s="292">
        <f t="shared" si="4"/>
        <v>308.25</v>
      </c>
    </row>
    <row r="16" spans="1:16" hidden="1" x14ac:dyDescent="0.2">
      <c r="A16" s="21">
        <f t="shared" si="0"/>
        <v>9</v>
      </c>
      <c r="B16" s="792"/>
      <c r="C16" s="296"/>
      <c r="D16" s="21" t="s">
        <v>381</v>
      </c>
      <c r="E16" s="22">
        <v>36679</v>
      </c>
      <c r="F16" s="293">
        <v>7.0000000000000007E-2</v>
      </c>
      <c r="G16" s="107">
        <v>2008</v>
      </c>
      <c r="H16" s="20">
        <v>600</v>
      </c>
      <c r="I16" s="20">
        <f t="shared" si="1"/>
        <v>600</v>
      </c>
      <c r="J16" s="295">
        <f t="shared" si="2"/>
        <v>100</v>
      </c>
      <c r="K16" s="293">
        <v>7.0499999999999993E-2</v>
      </c>
      <c r="L16" s="292">
        <f t="shared" si="3"/>
        <v>600</v>
      </c>
      <c r="M16" s="292">
        <f t="shared" si="4"/>
        <v>42.3</v>
      </c>
    </row>
    <row r="17" spans="1:14" hidden="1" x14ac:dyDescent="0.2">
      <c r="A17" s="21">
        <f t="shared" si="0"/>
        <v>10</v>
      </c>
      <c r="B17" s="792"/>
      <c r="C17" s="296"/>
      <c r="D17" s="21" t="s">
        <v>382</v>
      </c>
      <c r="E17" s="22">
        <v>37582</v>
      </c>
      <c r="F17" s="293">
        <v>6.1600000000000002E-2</v>
      </c>
      <c r="G17" s="107">
        <v>2017</v>
      </c>
      <c r="H17" s="20">
        <v>3900</v>
      </c>
      <c r="I17" s="20">
        <f t="shared" si="1"/>
        <v>3900</v>
      </c>
      <c r="J17" s="295">
        <f t="shared" si="2"/>
        <v>100</v>
      </c>
      <c r="K17" s="293">
        <v>6.2100000000000002E-2</v>
      </c>
      <c r="L17" s="292">
        <f t="shared" si="3"/>
        <v>3900</v>
      </c>
      <c r="M17" s="292">
        <f t="shared" si="4"/>
        <v>242.19</v>
      </c>
    </row>
    <row r="18" spans="1:14" hidden="1" x14ac:dyDescent="0.2">
      <c r="A18" s="21">
        <f t="shared" si="0"/>
        <v>11</v>
      </c>
      <c r="B18" s="792"/>
      <c r="C18" s="296"/>
      <c r="D18" s="21" t="s">
        <v>383</v>
      </c>
      <c r="E18" s="22">
        <v>38009</v>
      </c>
      <c r="F18" s="293">
        <v>5.4199999999999998E-2</v>
      </c>
      <c r="G18" s="107">
        <v>2019</v>
      </c>
      <c r="H18" s="20">
        <v>1000</v>
      </c>
      <c r="I18" s="20">
        <f t="shared" si="1"/>
        <v>1000</v>
      </c>
      <c r="J18" s="295">
        <f t="shared" si="2"/>
        <v>100</v>
      </c>
      <c r="K18" s="293">
        <v>5.4699999999999999E-2</v>
      </c>
      <c r="L18" s="292">
        <f t="shared" si="3"/>
        <v>1000</v>
      </c>
      <c r="M18" s="292">
        <f t="shared" si="4"/>
        <v>54.699999999999996</v>
      </c>
    </row>
    <row r="19" spans="1:14" hidden="1" x14ac:dyDescent="0.2">
      <c r="A19" s="21">
        <f t="shared" si="0"/>
        <v>12</v>
      </c>
      <c r="B19" s="792"/>
      <c r="C19" s="296"/>
      <c r="D19" s="21" t="s">
        <v>384</v>
      </c>
      <c r="E19" s="22">
        <v>38309</v>
      </c>
      <c r="F19" s="293">
        <v>5.11E-2</v>
      </c>
      <c r="G19" s="107">
        <v>2014</v>
      </c>
      <c r="H19" s="20">
        <v>500</v>
      </c>
      <c r="I19" s="20">
        <f t="shared" si="1"/>
        <v>500</v>
      </c>
      <c r="J19" s="295">
        <f t="shared" si="2"/>
        <v>100</v>
      </c>
      <c r="K19" s="293">
        <v>5.16E-2</v>
      </c>
      <c r="L19" s="292">
        <f t="shared" si="3"/>
        <v>500</v>
      </c>
      <c r="M19" s="292">
        <f t="shared" si="4"/>
        <v>25.8</v>
      </c>
    </row>
    <row r="20" spans="1:14" hidden="1" x14ac:dyDescent="0.2">
      <c r="A20" s="21">
        <f t="shared" si="0"/>
        <v>13</v>
      </c>
      <c r="B20" s="792"/>
      <c r="C20" s="296"/>
      <c r="D20" s="21" t="s">
        <v>385</v>
      </c>
      <c r="E20" s="22">
        <v>38677</v>
      </c>
      <c r="F20" s="293">
        <v>5.1799999999999999E-2</v>
      </c>
      <c r="G20" s="107">
        <v>2035</v>
      </c>
      <c r="H20" s="20">
        <v>4300</v>
      </c>
      <c r="I20" s="20">
        <f t="shared" si="1"/>
        <v>4300</v>
      </c>
      <c r="J20" s="295">
        <f t="shared" si="2"/>
        <v>100</v>
      </c>
      <c r="K20" s="293">
        <v>5.2299999999999999E-2</v>
      </c>
      <c r="L20" s="292">
        <f t="shared" si="3"/>
        <v>4300</v>
      </c>
      <c r="M20" s="292">
        <f t="shared" si="4"/>
        <v>224.89</v>
      </c>
    </row>
    <row r="21" spans="1:14" hidden="1" x14ac:dyDescent="0.2">
      <c r="A21" s="21">
        <f t="shared" si="0"/>
        <v>14</v>
      </c>
      <c r="B21" s="792"/>
      <c r="C21" s="296"/>
      <c r="D21" s="21" t="s">
        <v>386</v>
      </c>
      <c r="E21" s="22">
        <v>39041</v>
      </c>
      <c r="F21" s="293">
        <v>5.0200000000000002E-2</v>
      </c>
      <c r="G21" s="107">
        <v>2036</v>
      </c>
      <c r="H21" s="23">
        <v>3000</v>
      </c>
      <c r="I21" s="20">
        <f t="shared" si="1"/>
        <v>3000</v>
      </c>
      <c r="J21" s="295">
        <f t="shared" si="2"/>
        <v>100</v>
      </c>
      <c r="K21" s="293">
        <v>5.0700000000000002E-2</v>
      </c>
      <c r="L21" s="23">
        <f t="shared" si="3"/>
        <v>3000</v>
      </c>
      <c r="M21" s="23">
        <f t="shared" si="4"/>
        <v>152.1</v>
      </c>
    </row>
    <row r="22" spans="1:14" hidden="1" x14ac:dyDescent="0.2">
      <c r="A22" s="21">
        <f t="shared" si="0"/>
        <v>15</v>
      </c>
      <c r="B22" s="792"/>
      <c r="C22" s="296" t="s">
        <v>27</v>
      </c>
      <c r="D22" s="21"/>
      <c r="E22" s="22"/>
      <c r="F22" s="294"/>
      <c r="G22" s="22"/>
      <c r="H22" s="20">
        <f>SUM(H12:H21)</f>
        <v>23800</v>
      </c>
      <c r="I22" s="20"/>
      <c r="J22" s="295"/>
      <c r="K22" s="294"/>
      <c r="L22" s="20">
        <f>SUM(L12:L21)</f>
        <v>23800</v>
      </c>
      <c r="M22" s="20">
        <f>SUM(M12:M21)</f>
        <v>1673.23</v>
      </c>
      <c r="N22" s="24">
        <f>M22/L22</f>
        <v>7.0303781512605037E-2</v>
      </c>
    </row>
    <row r="23" spans="1:14" hidden="1" x14ac:dyDescent="0.2">
      <c r="A23" s="21">
        <f t="shared" si="0"/>
        <v>16</v>
      </c>
      <c r="B23" s="792"/>
      <c r="C23" s="296" t="s">
        <v>82</v>
      </c>
      <c r="D23" s="21"/>
      <c r="E23" s="22"/>
      <c r="F23" s="294"/>
      <c r="G23" s="22"/>
      <c r="H23" s="20"/>
      <c r="I23" s="20"/>
      <c r="J23" s="295"/>
      <c r="K23" s="294"/>
      <c r="L23" s="23">
        <v>21150</v>
      </c>
      <c r="M23" s="23">
        <v>1538</v>
      </c>
      <c r="N23" s="25">
        <f>M23/L23</f>
        <v>7.2718676122931439E-2</v>
      </c>
    </row>
    <row r="24" spans="1:14" hidden="1" x14ac:dyDescent="0.2">
      <c r="A24" s="21">
        <f t="shared" si="0"/>
        <v>17</v>
      </c>
      <c r="B24" s="792"/>
      <c r="C24" s="296" t="s">
        <v>27</v>
      </c>
      <c r="D24" s="21"/>
      <c r="E24" s="22"/>
      <c r="F24" s="294"/>
      <c r="G24" s="22"/>
      <c r="H24" s="20"/>
      <c r="I24" s="20"/>
      <c r="J24" s="295"/>
      <c r="K24" s="294"/>
      <c r="L24" s="23">
        <f>SUM(L22:L23)</f>
        <v>44950</v>
      </c>
      <c r="M24" s="23">
        <f>SUM(M22:M23)</f>
        <v>3211.23</v>
      </c>
      <c r="N24" s="499"/>
    </row>
    <row r="25" spans="1:14" ht="13.5" hidden="1" thickBot="1" x14ac:dyDescent="0.25">
      <c r="A25" s="21">
        <f t="shared" si="0"/>
        <v>18</v>
      </c>
      <c r="B25" s="792"/>
      <c r="C25" s="296" t="s">
        <v>38</v>
      </c>
      <c r="D25" s="21"/>
      <c r="E25" s="22"/>
      <c r="F25" s="294"/>
      <c r="G25" s="22"/>
      <c r="H25" s="20"/>
      <c r="I25" s="20"/>
      <c r="J25" s="295"/>
      <c r="K25" s="294"/>
      <c r="L25" s="26">
        <f>L24/2</f>
        <v>22475</v>
      </c>
      <c r="M25" s="26">
        <f>M24/2</f>
        <v>1605.615</v>
      </c>
      <c r="N25" s="27">
        <f>M25/L25</f>
        <v>7.1440044493882096E-2</v>
      </c>
    </row>
    <row r="26" spans="1:14" ht="6" hidden="1" customHeight="1" thickTop="1" x14ac:dyDescent="0.2">
      <c r="B26" s="485"/>
    </row>
    <row r="27" spans="1:14" hidden="1" x14ac:dyDescent="0.2">
      <c r="A27" s="21">
        <f>A25+1</f>
        <v>19</v>
      </c>
      <c r="B27" s="789" t="s">
        <v>378</v>
      </c>
      <c r="C27" s="296"/>
      <c r="D27" s="296"/>
      <c r="E27" s="296"/>
      <c r="F27" s="296"/>
      <c r="G27" s="296"/>
      <c r="H27" s="296"/>
      <c r="I27" s="297" t="s">
        <v>61</v>
      </c>
      <c r="J27" s="298"/>
      <c r="K27" s="296"/>
      <c r="L27" s="296"/>
      <c r="M27" s="296"/>
    </row>
    <row r="28" spans="1:14" hidden="1" x14ac:dyDescent="0.2">
      <c r="A28" s="21">
        <f t="shared" si="0"/>
        <v>20</v>
      </c>
      <c r="C28" s="291"/>
      <c r="D28" s="291"/>
      <c r="E28" s="291"/>
      <c r="F28" s="291"/>
      <c r="G28" s="291"/>
      <c r="H28" s="291" t="s">
        <v>62</v>
      </c>
      <c r="I28" s="291" t="s">
        <v>28</v>
      </c>
      <c r="J28" s="291" t="s">
        <v>63</v>
      </c>
      <c r="L28" s="291" t="s">
        <v>62</v>
      </c>
      <c r="M28" s="291" t="s">
        <v>28</v>
      </c>
      <c r="N28" s="291" t="s">
        <v>64</v>
      </c>
    </row>
    <row r="29" spans="1:14" hidden="1" x14ac:dyDescent="0.2">
      <c r="A29" s="21">
        <f t="shared" si="0"/>
        <v>21</v>
      </c>
      <c r="B29" s="790"/>
      <c r="C29" s="291"/>
      <c r="D29" s="291"/>
      <c r="E29" s="291" t="s">
        <v>65</v>
      </c>
      <c r="F29" s="291" t="s">
        <v>66</v>
      </c>
      <c r="G29" s="291" t="s">
        <v>67</v>
      </c>
      <c r="H29" s="291" t="s">
        <v>68</v>
      </c>
      <c r="I29" s="291" t="s">
        <v>27</v>
      </c>
      <c r="J29" s="291" t="s">
        <v>62</v>
      </c>
      <c r="K29" s="291" t="s">
        <v>74</v>
      </c>
      <c r="L29" s="291" t="s">
        <v>75</v>
      </c>
      <c r="M29" s="291" t="s">
        <v>76</v>
      </c>
      <c r="N29" s="291" t="s">
        <v>77</v>
      </c>
    </row>
    <row r="30" spans="1:14" hidden="1" x14ac:dyDescent="0.2">
      <c r="A30" s="21">
        <f t="shared" si="0"/>
        <v>22</v>
      </c>
      <c r="B30" s="790"/>
      <c r="C30" s="299" t="s">
        <v>178</v>
      </c>
      <c r="D30" s="299" t="s">
        <v>78</v>
      </c>
      <c r="E30" s="299" t="s">
        <v>79</v>
      </c>
      <c r="F30" s="299" t="s">
        <v>39</v>
      </c>
      <c r="G30" s="299" t="s">
        <v>79</v>
      </c>
      <c r="H30" s="299" t="s">
        <v>80</v>
      </c>
      <c r="I30" s="299" t="s">
        <v>68</v>
      </c>
      <c r="J30" s="299" t="s">
        <v>68</v>
      </c>
      <c r="K30" s="299" t="s">
        <v>103</v>
      </c>
      <c r="L30" s="791">
        <v>39447</v>
      </c>
      <c r="M30" s="299" t="s">
        <v>40</v>
      </c>
      <c r="N30" s="299" t="s">
        <v>81</v>
      </c>
    </row>
    <row r="31" spans="1:14" hidden="1" x14ac:dyDescent="0.2">
      <c r="A31" s="21">
        <f t="shared" si="0"/>
        <v>23</v>
      </c>
      <c r="B31" s="792"/>
      <c r="C31" s="296"/>
      <c r="D31" s="21" t="s">
        <v>376</v>
      </c>
      <c r="E31" s="22">
        <v>32842</v>
      </c>
      <c r="F31" s="293">
        <v>0.1028</v>
      </c>
      <c r="G31" s="793">
        <v>2009</v>
      </c>
      <c r="H31" s="20">
        <v>2000</v>
      </c>
      <c r="I31" s="20">
        <f>H31</f>
        <v>2000</v>
      </c>
      <c r="J31" s="295">
        <f>I31/H31*100</f>
        <v>100</v>
      </c>
      <c r="K31" s="300">
        <v>0.1033</v>
      </c>
      <c r="L31" s="292">
        <f t="shared" ref="L31:L40" si="5">I31</f>
        <v>2000</v>
      </c>
      <c r="M31" s="20">
        <f t="shared" ref="M31:M40" si="6">L31*K31</f>
        <v>206.6</v>
      </c>
    </row>
    <row r="32" spans="1:14" hidden="1" x14ac:dyDescent="0.2">
      <c r="A32" s="21">
        <f t="shared" si="0"/>
        <v>24</v>
      </c>
      <c r="B32" s="792"/>
      <c r="C32" s="296"/>
      <c r="D32" s="21" t="s">
        <v>379</v>
      </c>
      <c r="E32" s="22">
        <v>33205</v>
      </c>
      <c r="F32" s="293">
        <v>0.11849999999999999</v>
      </c>
      <c r="G32" s="793">
        <v>2020</v>
      </c>
      <c r="H32" s="292">
        <v>1500</v>
      </c>
      <c r="I32" s="292">
        <f>H32</f>
        <v>1500</v>
      </c>
      <c r="J32" s="794">
        <f>I32/H32*100</f>
        <v>100</v>
      </c>
      <c r="K32" s="300">
        <v>0.1191</v>
      </c>
      <c r="L32" s="292">
        <f t="shared" si="5"/>
        <v>1500</v>
      </c>
      <c r="M32" s="292">
        <f t="shared" si="6"/>
        <v>178.65</v>
      </c>
      <c r="N32" s="485"/>
    </row>
    <row r="33" spans="1:14" hidden="1" x14ac:dyDescent="0.2">
      <c r="A33" s="21">
        <f t="shared" si="0"/>
        <v>25</v>
      </c>
      <c r="B33" s="792"/>
      <c r="D33" s="21" t="s">
        <v>380</v>
      </c>
      <c r="E33" s="22">
        <v>33732</v>
      </c>
      <c r="F33" s="293">
        <v>9.4600000000000004E-2</v>
      </c>
      <c r="G33" s="793">
        <v>2023</v>
      </c>
      <c r="H33" s="292">
        <v>2500</v>
      </c>
      <c r="I33" s="20">
        <f>H33</f>
        <v>2500</v>
      </c>
      <c r="J33" s="295">
        <f>I33/H33*100</f>
        <v>100</v>
      </c>
      <c r="K33" s="300">
        <v>9.5100000000000004E-2</v>
      </c>
      <c r="L33" s="292">
        <f t="shared" si="5"/>
        <v>2500</v>
      </c>
      <c r="M33" s="292">
        <f t="shared" si="6"/>
        <v>237.75</v>
      </c>
    </row>
    <row r="34" spans="1:14" hidden="1" x14ac:dyDescent="0.2">
      <c r="A34" s="21">
        <f t="shared" si="0"/>
        <v>26</v>
      </c>
      <c r="B34" s="792"/>
      <c r="C34" s="296"/>
      <c r="D34" s="21" t="s">
        <v>102</v>
      </c>
      <c r="E34" s="22">
        <v>36385</v>
      </c>
      <c r="F34" s="293">
        <v>6.8000000000000005E-2</v>
      </c>
      <c r="G34" s="107">
        <v>2019</v>
      </c>
      <c r="H34" s="20">
        <v>4500</v>
      </c>
      <c r="I34" s="20">
        <f>H34</f>
        <v>4500</v>
      </c>
      <c r="J34" s="295">
        <f>I34/H34*100</f>
        <v>100</v>
      </c>
      <c r="K34" s="293">
        <v>6.8500000000000005E-2</v>
      </c>
      <c r="L34" s="292">
        <f t="shared" si="5"/>
        <v>4500</v>
      </c>
      <c r="M34" s="292">
        <f t="shared" si="6"/>
        <v>308.25</v>
      </c>
    </row>
    <row r="35" spans="1:14" hidden="1" x14ac:dyDescent="0.2">
      <c r="A35" s="21">
        <f t="shared" si="0"/>
        <v>27</v>
      </c>
      <c r="B35" s="792"/>
      <c r="C35" s="296"/>
      <c r="D35" s="21" t="s">
        <v>381</v>
      </c>
      <c r="E35" s="22">
        <v>36679</v>
      </c>
      <c r="F35" s="293">
        <v>7.0000000000000007E-2</v>
      </c>
      <c r="G35" s="107">
        <v>2008</v>
      </c>
      <c r="H35" s="20">
        <v>600</v>
      </c>
      <c r="I35" s="20">
        <f t="shared" ref="I35:I40" si="7">H35</f>
        <v>600</v>
      </c>
      <c r="J35" s="295">
        <f t="shared" ref="J35:J40" si="8">I35/H35*100</f>
        <v>100</v>
      </c>
      <c r="K35" s="293">
        <v>7.0499999999999993E-2</v>
      </c>
      <c r="L35" s="292">
        <f t="shared" si="5"/>
        <v>600</v>
      </c>
      <c r="M35" s="292">
        <f t="shared" si="6"/>
        <v>42.3</v>
      </c>
    </row>
    <row r="36" spans="1:14" hidden="1" x14ac:dyDescent="0.2">
      <c r="A36" s="21">
        <f t="shared" si="0"/>
        <v>28</v>
      </c>
      <c r="B36" s="792"/>
      <c r="C36" s="296"/>
      <c r="D36" s="21" t="s">
        <v>382</v>
      </c>
      <c r="E36" s="22">
        <v>37582</v>
      </c>
      <c r="F36" s="293">
        <v>6.1600000000000002E-2</v>
      </c>
      <c r="G36" s="107">
        <v>2017</v>
      </c>
      <c r="H36" s="20">
        <v>3900</v>
      </c>
      <c r="I36" s="20">
        <f t="shared" si="7"/>
        <v>3900</v>
      </c>
      <c r="J36" s="295">
        <f t="shared" si="8"/>
        <v>100</v>
      </c>
      <c r="K36" s="293">
        <v>6.2100000000000002E-2</v>
      </c>
      <c r="L36" s="292">
        <f t="shared" si="5"/>
        <v>3900</v>
      </c>
      <c r="M36" s="292">
        <f t="shared" si="6"/>
        <v>242.19</v>
      </c>
    </row>
    <row r="37" spans="1:14" hidden="1" x14ac:dyDescent="0.2">
      <c r="A37" s="21">
        <f t="shared" si="0"/>
        <v>29</v>
      </c>
      <c r="B37" s="792"/>
      <c r="C37" s="296"/>
      <c r="D37" s="21" t="s">
        <v>383</v>
      </c>
      <c r="E37" s="22">
        <v>38009</v>
      </c>
      <c r="F37" s="293">
        <v>5.4199999999999998E-2</v>
      </c>
      <c r="G37" s="107">
        <v>2019</v>
      </c>
      <c r="H37" s="20">
        <v>1000</v>
      </c>
      <c r="I37" s="20">
        <f t="shared" si="7"/>
        <v>1000</v>
      </c>
      <c r="J37" s="295">
        <f t="shared" si="8"/>
        <v>100</v>
      </c>
      <c r="K37" s="293">
        <v>5.4699999999999999E-2</v>
      </c>
      <c r="L37" s="292">
        <f t="shared" si="5"/>
        <v>1000</v>
      </c>
      <c r="M37" s="292">
        <f t="shared" si="6"/>
        <v>54.699999999999996</v>
      </c>
    </row>
    <row r="38" spans="1:14" hidden="1" x14ac:dyDescent="0.2">
      <c r="A38" s="21">
        <f t="shared" si="0"/>
        <v>30</v>
      </c>
      <c r="B38" s="792"/>
      <c r="C38" s="296"/>
      <c r="D38" s="21" t="s">
        <v>384</v>
      </c>
      <c r="E38" s="22">
        <v>38309</v>
      </c>
      <c r="F38" s="293">
        <v>5.11E-2</v>
      </c>
      <c r="G38" s="107">
        <v>2014</v>
      </c>
      <c r="H38" s="20">
        <v>500</v>
      </c>
      <c r="I38" s="20">
        <f t="shared" si="7"/>
        <v>500</v>
      </c>
      <c r="J38" s="295">
        <f t="shared" si="8"/>
        <v>100</v>
      </c>
      <c r="K38" s="293">
        <v>5.16E-2</v>
      </c>
      <c r="L38" s="292">
        <f t="shared" si="5"/>
        <v>500</v>
      </c>
      <c r="M38" s="292">
        <f t="shared" si="6"/>
        <v>25.8</v>
      </c>
    </row>
    <row r="39" spans="1:14" hidden="1" x14ac:dyDescent="0.2">
      <c r="A39" s="21">
        <f t="shared" si="0"/>
        <v>31</v>
      </c>
      <c r="B39" s="792"/>
      <c r="C39" s="296"/>
      <c r="D39" s="21" t="s">
        <v>385</v>
      </c>
      <c r="E39" s="22">
        <v>38677</v>
      </c>
      <c r="F39" s="293">
        <v>5.1799999999999999E-2</v>
      </c>
      <c r="G39" s="107">
        <v>2035</v>
      </c>
      <c r="H39" s="20">
        <v>4300</v>
      </c>
      <c r="I39" s="20">
        <f t="shared" si="7"/>
        <v>4300</v>
      </c>
      <c r="J39" s="295">
        <f t="shared" si="8"/>
        <v>100</v>
      </c>
      <c r="K39" s="293">
        <v>5.2299999999999999E-2</v>
      </c>
      <c r="L39" s="292">
        <f t="shared" si="5"/>
        <v>4300</v>
      </c>
      <c r="M39" s="292">
        <f t="shared" si="6"/>
        <v>224.89</v>
      </c>
    </row>
    <row r="40" spans="1:14" hidden="1" x14ac:dyDescent="0.2">
      <c r="A40" s="21">
        <f t="shared" si="0"/>
        <v>32</v>
      </c>
      <c r="B40" s="792"/>
      <c r="C40" s="296"/>
      <c r="D40" s="21" t="s">
        <v>386</v>
      </c>
      <c r="E40" s="22">
        <v>39041</v>
      </c>
      <c r="F40" s="293">
        <v>5.0200000000000002E-2</v>
      </c>
      <c r="G40" s="107">
        <v>2036</v>
      </c>
      <c r="H40" s="23">
        <v>3000</v>
      </c>
      <c r="I40" s="20">
        <f t="shared" si="7"/>
        <v>3000</v>
      </c>
      <c r="J40" s="295">
        <f t="shared" si="8"/>
        <v>100</v>
      </c>
      <c r="K40" s="293">
        <v>5.0700000000000002E-2</v>
      </c>
      <c r="L40" s="23">
        <f t="shared" si="5"/>
        <v>3000</v>
      </c>
      <c r="M40" s="23">
        <f t="shared" si="6"/>
        <v>152.1</v>
      </c>
    </row>
    <row r="41" spans="1:14" hidden="1" x14ac:dyDescent="0.2">
      <c r="A41" s="21">
        <f t="shared" si="0"/>
        <v>33</v>
      </c>
      <c r="B41" s="792"/>
      <c r="C41" s="296" t="s">
        <v>27</v>
      </c>
      <c r="D41" s="21"/>
      <c r="E41" s="22"/>
      <c r="F41" s="294"/>
      <c r="G41" s="22"/>
      <c r="H41" s="20">
        <f>SUM(H31:H40)</f>
        <v>23800</v>
      </c>
      <c r="I41" s="20"/>
      <c r="J41" s="295"/>
      <c r="K41" s="294"/>
      <c r="L41" s="20">
        <f>SUM(L31:L40)</f>
        <v>23800</v>
      </c>
      <c r="M41" s="20">
        <f>SUM(M31:M40)</f>
        <v>1673.23</v>
      </c>
      <c r="N41" s="24">
        <f>M41/L41</f>
        <v>7.0303781512605037E-2</v>
      </c>
    </row>
    <row r="42" spans="1:14" hidden="1" x14ac:dyDescent="0.2">
      <c r="A42" s="21">
        <f t="shared" si="0"/>
        <v>34</v>
      </c>
      <c r="B42" s="792"/>
      <c r="C42" s="296" t="s">
        <v>82</v>
      </c>
      <c r="D42" s="21"/>
      <c r="E42" s="22"/>
      <c r="F42" s="294"/>
      <c r="G42" s="22"/>
      <c r="H42" s="20"/>
      <c r="I42" s="20"/>
      <c r="J42" s="295"/>
      <c r="K42" s="294"/>
      <c r="L42" s="23">
        <f>L22</f>
        <v>23800</v>
      </c>
      <c r="M42" s="23">
        <f>M22</f>
        <v>1673.23</v>
      </c>
      <c r="N42" s="25">
        <f>M42/L42</f>
        <v>7.0303781512605037E-2</v>
      </c>
    </row>
    <row r="43" spans="1:14" hidden="1" x14ac:dyDescent="0.2">
      <c r="A43" s="21">
        <f t="shared" si="0"/>
        <v>35</v>
      </c>
      <c r="B43" s="792"/>
      <c r="C43" s="296" t="s">
        <v>27</v>
      </c>
      <c r="D43" s="21"/>
      <c r="E43" s="22"/>
      <c r="F43" s="294"/>
      <c r="G43" s="22"/>
      <c r="H43" s="20"/>
      <c r="I43" s="20"/>
      <c r="J43" s="295"/>
      <c r="K43" s="294"/>
      <c r="L43" s="23">
        <f>SUM(L41:L42)</f>
        <v>47600</v>
      </c>
      <c r="M43" s="23">
        <f>SUM(M41:M42)</f>
        <v>3346.46</v>
      </c>
      <c r="N43" s="499"/>
    </row>
    <row r="44" spans="1:14" ht="13.5" hidden="1" thickBot="1" x14ac:dyDescent="0.25">
      <c r="A44" s="21">
        <f t="shared" si="0"/>
        <v>36</v>
      </c>
      <c r="B44" s="792"/>
      <c r="C44" s="296" t="s">
        <v>38</v>
      </c>
      <c r="D44" s="21"/>
      <c r="E44" s="22"/>
      <c r="F44" s="294"/>
      <c r="G44" s="22"/>
      <c r="H44" s="20"/>
      <c r="I44" s="20"/>
      <c r="J44" s="295"/>
      <c r="K44" s="294"/>
      <c r="L44" s="26">
        <f>L43/2</f>
        <v>23800</v>
      </c>
      <c r="M44" s="26">
        <f>M43/2</f>
        <v>1673.23</v>
      </c>
      <c r="N44" s="27">
        <f>M44/L44</f>
        <v>7.0303781512605037E-2</v>
      </c>
    </row>
    <row r="45" spans="1:14" x14ac:dyDescent="0.2">
      <c r="B45" s="792"/>
      <c r="C45" s="296"/>
      <c r="D45" s="21"/>
      <c r="E45" s="22"/>
      <c r="F45" s="294"/>
      <c r="G45" s="22"/>
      <c r="H45" s="20"/>
      <c r="I45" s="20"/>
      <c r="J45" s="295"/>
      <c r="K45" s="294"/>
      <c r="L45" s="292"/>
      <c r="M45" s="292"/>
    </row>
    <row r="46" spans="1:14" x14ac:dyDescent="0.2">
      <c r="A46" s="21">
        <v>1</v>
      </c>
      <c r="B46" s="789" t="s">
        <v>8</v>
      </c>
      <c r="C46" s="296"/>
      <c r="D46" s="296"/>
      <c r="E46" s="296"/>
      <c r="F46" s="296"/>
      <c r="G46" s="296"/>
      <c r="H46" s="296"/>
      <c r="I46" s="297" t="s">
        <v>61</v>
      </c>
      <c r="J46" s="298"/>
      <c r="K46" s="296"/>
      <c r="L46" s="296"/>
      <c r="M46" s="296"/>
    </row>
    <row r="47" spans="1:14" x14ac:dyDescent="0.2">
      <c r="A47" s="21">
        <f t="shared" ref="A47:A58" si="9">A46+1</f>
        <v>2</v>
      </c>
      <c r="C47" s="291"/>
      <c r="D47" s="291"/>
      <c r="E47" s="291"/>
      <c r="F47" s="291"/>
      <c r="G47" s="291"/>
      <c r="H47" s="291" t="s">
        <v>62</v>
      </c>
      <c r="I47" s="291" t="s">
        <v>28</v>
      </c>
      <c r="J47" s="291" t="s">
        <v>63</v>
      </c>
      <c r="L47" s="291" t="s">
        <v>62</v>
      </c>
      <c r="M47" s="291" t="s">
        <v>28</v>
      </c>
      <c r="N47" s="291" t="s">
        <v>64</v>
      </c>
    </row>
    <row r="48" spans="1:14" x14ac:dyDescent="0.2">
      <c r="A48" s="21">
        <f t="shared" si="9"/>
        <v>3</v>
      </c>
      <c r="B48" s="790"/>
      <c r="C48" s="291"/>
      <c r="D48" s="291"/>
      <c r="E48" s="291" t="s">
        <v>65</v>
      </c>
      <c r="F48" s="291" t="s">
        <v>66</v>
      </c>
      <c r="G48" s="291" t="s">
        <v>67</v>
      </c>
      <c r="H48" s="291" t="s">
        <v>68</v>
      </c>
      <c r="I48" s="291" t="s">
        <v>27</v>
      </c>
      <c r="J48" s="291" t="s">
        <v>62</v>
      </c>
      <c r="K48" s="291" t="s">
        <v>74</v>
      </c>
      <c r="L48" s="291" t="s">
        <v>75</v>
      </c>
      <c r="M48" s="291" t="s">
        <v>76</v>
      </c>
      <c r="N48" s="291" t="s">
        <v>77</v>
      </c>
    </row>
    <row r="49" spans="1:14" x14ac:dyDescent="0.2">
      <c r="A49" s="21">
        <f t="shared" si="9"/>
        <v>4</v>
      </c>
      <c r="B49" s="790"/>
      <c r="C49" s="299" t="s">
        <v>178</v>
      </c>
      <c r="D49" s="299" t="s">
        <v>78</v>
      </c>
      <c r="E49" s="299" t="s">
        <v>79</v>
      </c>
      <c r="F49" s="299" t="s">
        <v>39</v>
      </c>
      <c r="G49" s="299" t="s">
        <v>79</v>
      </c>
      <c r="H49" s="299" t="s">
        <v>80</v>
      </c>
      <c r="I49" s="299" t="s">
        <v>68</v>
      </c>
      <c r="J49" s="299" t="s">
        <v>68</v>
      </c>
      <c r="K49" s="299" t="s">
        <v>81</v>
      </c>
      <c r="L49" s="791">
        <v>39813</v>
      </c>
      <c r="M49" s="299" t="s">
        <v>40</v>
      </c>
      <c r="N49" s="299" t="s">
        <v>81</v>
      </c>
    </row>
    <row r="50" spans="1:14" x14ac:dyDescent="0.2">
      <c r="A50" s="21">
        <f t="shared" si="9"/>
        <v>5</v>
      </c>
      <c r="B50" s="792"/>
      <c r="C50" s="296"/>
      <c r="D50" s="21" t="s">
        <v>376</v>
      </c>
      <c r="E50" s="22">
        <v>32842</v>
      </c>
      <c r="F50" s="293">
        <v>0.1028</v>
      </c>
      <c r="G50" s="795">
        <v>2009</v>
      </c>
      <c r="H50" s="714">
        <v>2000</v>
      </c>
      <c r="I50" s="714">
        <f>H50</f>
        <v>2000</v>
      </c>
      <c r="J50" s="719">
        <f t="shared" ref="J50:J60" si="10">I50/H50*100</f>
        <v>100</v>
      </c>
      <c r="K50" s="300">
        <v>0.1033</v>
      </c>
      <c r="L50" s="717">
        <f t="shared" ref="L50:L58" si="11">I50</f>
        <v>2000</v>
      </c>
      <c r="M50" s="714">
        <f t="shared" ref="M50:M58" si="12">L50*K50</f>
        <v>206.6</v>
      </c>
    </row>
    <row r="51" spans="1:14" x14ac:dyDescent="0.2">
      <c r="A51" s="21">
        <f t="shared" si="9"/>
        <v>6</v>
      </c>
      <c r="B51" s="792"/>
      <c r="C51" s="296"/>
      <c r="D51" s="21" t="s">
        <v>379</v>
      </c>
      <c r="E51" s="22">
        <v>33205</v>
      </c>
      <c r="F51" s="293">
        <v>0.11849999999999999</v>
      </c>
      <c r="G51" s="795">
        <v>2020</v>
      </c>
      <c r="H51" s="717">
        <v>1500</v>
      </c>
      <c r="I51" s="717">
        <f>H51</f>
        <v>1500</v>
      </c>
      <c r="J51" s="718">
        <f t="shared" si="10"/>
        <v>100</v>
      </c>
      <c r="K51" s="300">
        <v>0.1191</v>
      </c>
      <c r="L51" s="717">
        <f t="shared" si="11"/>
        <v>1500</v>
      </c>
      <c r="M51" s="717">
        <f t="shared" si="12"/>
        <v>178.65</v>
      </c>
      <c r="N51" s="485"/>
    </row>
    <row r="52" spans="1:14" x14ac:dyDescent="0.2">
      <c r="A52" s="21">
        <f t="shared" si="9"/>
        <v>7</v>
      </c>
      <c r="B52" s="792"/>
      <c r="D52" s="21" t="s">
        <v>380</v>
      </c>
      <c r="E52" s="22">
        <v>33732</v>
      </c>
      <c r="F52" s="293">
        <v>9.4600000000000004E-2</v>
      </c>
      <c r="G52" s="795">
        <v>2023</v>
      </c>
      <c r="H52" s="717">
        <v>2500</v>
      </c>
      <c r="I52" s="714">
        <f>H52</f>
        <v>2500</v>
      </c>
      <c r="J52" s="719">
        <f t="shared" si="10"/>
        <v>100</v>
      </c>
      <c r="K52" s="300">
        <v>9.5100000000000004E-2</v>
      </c>
      <c r="L52" s="717">
        <f t="shared" si="11"/>
        <v>2500</v>
      </c>
      <c r="M52" s="717">
        <f t="shared" si="12"/>
        <v>237.75</v>
      </c>
    </row>
    <row r="53" spans="1:14" x14ac:dyDescent="0.2">
      <c r="A53" s="21">
        <f t="shared" si="9"/>
        <v>8</v>
      </c>
      <c r="B53" s="792"/>
      <c r="C53" s="296"/>
      <c r="D53" s="21" t="s">
        <v>102</v>
      </c>
      <c r="E53" s="22">
        <v>36385</v>
      </c>
      <c r="F53" s="293">
        <v>6.8000000000000005E-2</v>
      </c>
      <c r="G53" s="21">
        <v>2019</v>
      </c>
      <c r="H53" s="714">
        <v>4500</v>
      </c>
      <c r="I53" s="714">
        <f>H53</f>
        <v>4500</v>
      </c>
      <c r="J53" s="719">
        <f t="shared" si="10"/>
        <v>100</v>
      </c>
      <c r="K53" s="293">
        <v>6.8500000000000005E-2</v>
      </c>
      <c r="L53" s="717">
        <f t="shared" si="11"/>
        <v>4500</v>
      </c>
      <c r="M53" s="717">
        <f t="shared" si="12"/>
        <v>308.25</v>
      </c>
    </row>
    <row r="54" spans="1:14" x14ac:dyDescent="0.2">
      <c r="A54" s="21">
        <f t="shared" si="9"/>
        <v>9</v>
      </c>
      <c r="B54" s="792"/>
      <c r="C54" s="296"/>
      <c r="D54" s="21" t="s">
        <v>382</v>
      </c>
      <c r="E54" s="22">
        <v>37582</v>
      </c>
      <c r="F54" s="293">
        <v>6.1600000000000002E-2</v>
      </c>
      <c r="G54" s="21">
        <v>2017</v>
      </c>
      <c r="H54" s="714">
        <v>3900</v>
      </c>
      <c r="I54" s="714">
        <f t="shared" ref="I54:I60" si="13">H54</f>
        <v>3900</v>
      </c>
      <c r="J54" s="719">
        <f t="shared" si="10"/>
        <v>100</v>
      </c>
      <c r="K54" s="293">
        <v>6.2100000000000002E-2</v>
      </c>
      <c r="L54" s="717">
        <f t="shared" si="11"/>
        <v>3900</v>
      </c>
      <c r="M54" s="717">
        <f t="shared" si="12"/>
        <v>242.19</v>
      </c>
    </row>
    <row r="55" spans="1:14" x14ac:dyDescent="0.2">
      <c r="A55" s="21">
        <f t="shared" si="9"/>
        <v>10</v>
      </c>
      <c r="B55" s="792"/>
      <c r="C55" s="296"/>
      <c r="D55" s="21" t="s">
        <v>383</v>
      </c>
      <c r="E55" s="22">
        <v>38009</v>
      </c>
      <c r="F55" s="293">
        <v>5.4199999999999998E-2</v>
      </c>
      <c r="G55" s="21">
        <v>2019</v>
      </c>
      <c r="H55" s="714">
        <v>1000</v>
      </c>
      <c r="I55" s="714">
        <f t="shared" si="13"/>
        <v>1000</v>
      </c>
      <c r="J55" s="719">
        <f t="shared" si="10"/>
        <v>100</v>
      </c>
      <c r="K55" s="293">
        <v>5.4699999999999999E-2</v>
      </c>
      <c r="L55" s="717">
        <f t="shared" si="11"/>
        <v>1000</v>
      </c>
      <c r="M55" s="717">
        <f t="shared" si="12"/>
        <v>54.699999999999996</v>
      </c>
    </row>
    <row r="56" spans="1:14" x14ac:dyDescent="0.2">
      <c r="A56" s="21">
        <f t="shared" si="9"/>
        <v>11</v>
      </c>
      <c r="B56" s="792"/>
      <c r="C56" s="296"/>
      <c r="D56" s="21" t="s">
        <v>384</v>
      </c>
      <c r="E56" s="22">
        <v>38309</v>
      </c>
      <c r="F56" s="293">
        <v>5.11E-2</v>
      </c>
      <c r="G56" s="21">
        <v>2014</v>
      </c>
      <c r="H56" s="714">
        <v>500</v>
      </c>
      <c r="I56" s="714">
        <f t="shared" si="13"/>
        <v>500</v>
      </c>
      <c r="J56" s="719">
        <f t="shared" si="10"/>
        <v>100</v>
      </c>
      <c r="K56" s="293">
        <v>5.16E-2</v>
      </c>
      <c r="L56" s="717">
        <f t="shared" si="11"/>
        <v>500</v>
      </c>
      <c r="M56" s="717">
        <f t="shared" si="12"/>
        <v>25.8</v>
      </c>
    </row>
    <row r="57" spans="1:14" x14ac:dyDescent="0.2">
      <c r="A57" s="21">
        <f t="shared" si="9"/>
        <v>12</v>
      </c>
      <c r="B57" s="792"/>
      <c r="C57" s="296"/>
      <c r="D57" s="21" t="s">
        <v>385</v>
      </c>
      <c r="E57" s="22">
        <v>38677</v>
      </c>
      <c r="F57" s="293">
        <v>5.1799999999999999E-2</v>
      </c>
      <c r="G57" s="21">
        <v>2035</v>
      </c>
      <c r="H57" s="714">
        <v>4300</v>
      </c>
      <c r="I57" s="714">
        <f t="shared" si="13"/>
        <v>4300</v>
      </c>
      <c r="J57" s="719">
        <f t="shared" si="10"/>
        <v>100</v>
      </c>
      <c r="K57" s="293">
        <v>5.2299999999999999E-2</v>
      </c>
      <c r="L57" s="717">
        <f t="shared" si="11"/>
        <v>4300</v>
      </c>
      <c r="M57" s="717">
        <f t="shared" si="12"/>
        <v>224.89</v>
      </c>
    </row>
    <row r="58" spans="1:14" x14ac:dyDescent="0.2">
      <c r="A58" s="21">
        <f t="shared" si="9"/>
        <v>13</v>
      </c>
      <c r="B58" s="792"/>
      <c r="C58" s="296"/>
      <c r="D58" s="21" t="s">
        <v>386</v>
      </c>
      <c r="E58" s="22">
        <v>39041</v>
      </c>
      <c r="F58" s="293">
        <v>5.0200000000000002E-2</v>
      </c>
      <c r="G58" s="21">
        <v>2036</v>
      </c>
      <c r="H58" s="717">
        <v>3000</v>
      </c>
      <c r="I58" s="714">
        <f t="shared" si="13"/>
        <v>3000</v>
      </c>
      <c r="J58" s="719">
        <f t="shared" si="10"/>
        <v>100</v>
      </c>
      <c r="K58" s="293">
        <v>5.0700000000000002E-2</v>
      </c>
      <c r="L58" s="717">
        <f t="shared" si="11"/>
        <v>3000</v>
      </c>
      <c r="M58" s="717">
        <f t="shared" si="12"/>
        <v>152.1</v>
      </c>
    </row>
    <row r="59" spans="1:14" x14ac:dyDescent="0.2">
      <c r="A59" s="21">
        <f t="shared" ref="A59:A87" si="14">A58+1</f>
        <v>14</v>
      </c>
      <c r="B59" s="792"/>
      <c r="C59" s="296"/>
      <c r="D59" s="21" t="s">
        <v>9</v>
      </c>
      <c r="E59" s="22">
        <v>39594</v>
      </c>
      <c r="F59" s="293">
        <f>+K59-0.0005</f>
        <v>5.57E-2</v>
      </c>
      <c r="G59" s="795">
        <v>2038</v>
      </c>
      <c r="H59" s="717">
        <v>1290</v>
      </c>
      <c r="I59" s="714">
        <f t="shared" si="13"/>
        <v>1290</v>
      </c>
      <c r="J59" s="719">
        <f t="shared" si="10"/>
        <v>100</v>
      </c>
      <c r="K59" s="293">
        <v>5.62E-2</v>
      </c>
      <c r="L59" s="717">
        <f>I59</f>
        <v>1290</v>
      </c>
      <c r="M59" s="717">
        <f>L59*K59</f>
        <v>72.498000000000005</v>
      </c>
    </row>
    <row r="60" spans="1:14" x14ac:dyDescent="0.2">
      <c r="A60" s="21">
        <f t="shared" si="14"/>
        <v>15</v>
      </c>
      <c r="B60" s="792"/>
      <c r="C60" s="296"/>
      <c r="D60" s="21" t="s">
        <v>418</v>
      </c>
      <c r="E60" s="22">
        <v>39594</v>
      </c>
      <c r="F60" s="293">
        <f>+K60-0.0005</f>
        <v>5.5599999999999997E-2</v>
      </c>
      <c r="G60" s="795">
        <v>2028</v>
      </c>
      <c r="H60" s="715">
        <v>860</v>
      </c>
      <c r="I60" s="714">
        <f t="shared" si="13"/>
        <v>860</v>
      </c>
      <c r="J60" s="719">
        <f t="shared" si="10"/>
        <v>100</v>
      </c>
      <c r="K60" s="293">
        <v>5.6099999999999997E-2</v>
      </c>
      <c r="L60" s="715">
        <f>I60</f>
        <v>860</v>
      </c>
      <c r="M60" s="715">
        <f>L60*K60</f>
        <v>48.245999999999995</v>
      </c>
    </row>
    <row r="61" spans="1:14" x14ac:dyDescent="0.2">
      <c r="A61" s="21">
        <f t="shared" si="14"/>
        <v>16</v>
      </c>
      <c r="B61" s="792"/>
      <c r="C61" s="296" t="s">
        <v>27</v>
      </c>
      <c r="D61" s="21"/>
      <c r="E61" s="22"/>
      <c r="F61" s="294"/>
      <c r="G61" s="22"/>
      <c r="H61" s="714">
        <f>SUM(H50:H60)</f>
        <v>25350</v>
      </c>
      <c r="I61" s="714"/>
      <c r="J61" s="295"/>
      <c r="K61" s="294"/>
      <c r="L61" s="714">
        <f>SUM(L50:L60)</f>
        <v>25350</v>
      </c>
      <c r="M61" s="714">
        <f>SUM(M50:M60)</f>
        <v>1751.674</v>
      </c>
      <c r="N61" s="24">
        <f>M61/L61</f>
        <v>6.9099566074950686E-2</v>
      </c>
    </row>
    <row r="62" spans="1:14" x14ac:dyDescent="0.2">
      <c r="A62" s="21">
        <f t="shared" si="14"/>
        <v>17</v>
      </c>
      <c r="B62" s="792"/>
      <c r="C62" s="296" t="s">
        <v>82</v>
      </c>
      <c r="D62" s="21"/>
      <c r="E62" s="22"/>
      <c r="F62" s="294"/>
      <c r="G62" s="22"/>
      <c r="H62" s="20"/>
      <c r="I62" s="20"/>
      <c r="J62" s="295"/>
      <c r="K62" s="294"/>
      <c r="L62" s="715">
        <f>L41</f>
        <v>23800</v>
      </c>
      <c r="M62" s="715">
        <f>M41</f>
        <v>1673.23</v>
      </c>
      <c r="N62" s="25">
        <f>M62/L62</f>
        <v>7.0303781512605037E-2</v>
      </c>
    </row>
    <row r="63" spans="1:14" x14ac:dyDescent="0.2">
      <c r="A63" s="21">
        <f t="shared" si="14"/>
        <v>18</v>
      </c>
      <c r="B63" s="792"/>
      <c r="C63" s="296" t="s">
        <v>27</v>
      </c>
      <c r="D63" s="21"/>
      <c r="E63" s="22"/>
      <c r="F63" s="294"/>
      <c r="G63" s="22"/>
      <c r="H63" s="20"/>
      <c r="I63" s="20"/>
      <c r="J63" s="295"/>
      <c r="K63" s="294"/>
      <c r="L63" s="715">
        <f>SUM(L61:L62)</f>
        <v>49150</v>
      </c>
      <c r="M63" s="715">
        <f>SUM(M61:M62)</f>
        <v>3424.904</v>
      </c>
      <c r="N63" s="499"/>
    </row>
    <row r="64" spans="1:14" ht="13.5" thickBot="1" x14ac:dyDescent="0.25">
      <c r="A64" s="21">
        <f t="shared" si="14"/>
        <v>19</v>
      </c>
      <c r="B64" s="792"/>
      <c r="C64" s="296" t="s">
        <v>38</v>
      </c>
      <c r="D64" s="21"/>
      <c r="E64" s="22"/>
      <c r="F64" s="294"/>
      <c r="G64" s="22"/>
      <c r="H64" s="20"/>
      <c r="I64" s="20"/>
      <c r="J64" s="295"/>
      <c r="K64" s="294"/>
      <c r="L64" s="716">
        <f>L63/2</f>
        <v>24575</v>
      </c>
      <c r="M64" s="716">
        <f>M63/2</f>
        <v>1712.452</v>
      </c>
      <c r="N64" s="27">
        <f>M64/L64</f>
        <v>6.9682685656154625E-2</v>
      </c>
    </row>
    <row r="65" spans="1:14" ht="13.5" thickTop="1" x14ac:dyDescent="0.2">
      <c r="A65" s="21">
        <f t="shared" si="14"/>
        <v>20</v>
      </c>
      <c r="B65" s="792"/>
      <c r="C65" s="296"/>
      <c r="D65" s="21"/>
      <c r="E65" s="22"/>
      <c r="F65" s="294"/>
      <c r="G65" s="22"/>
      <c r="H65" s="20"/>
      <c r="I65" s="20"/>
      <c r="J65" s="295"/>
      <c r="K65" s="294"/>
      <c r="L65" s="292"/>
      <c r="M65" s="292"/>
      <c r="N65" s="172"/>
    </row>
    <row r="66" spans="1:14" x14ac:dyDescent="0.2">
      <c r="A66" s="21">
        <f t="shared" si="14"/>
        <v>21</v>
      </c>
      <c r="B66" s="789" t="s">
        <v>12</v>
      </c>
      <c r="C66" s="296"/>
      <c r="D66" s="296"/>
      <c r="E66" s="296"/>
      <c r="F66" s="296"/>
      <c r="G66" s="296"/>
      <c r="H66" s="296"/>
      <c r="I66" s="297" t="s">
        <v>61</v>
      </c>
      <c r="J66" s="298"/>
      <c r="K66" s="296"/>
      <c r="L66" s="296"/>
      <c r="M66" s="296"/>
    </row>
    <row r="67" spans="1:14" x14ac:dyDescent="0.2">
      <c r="A67" s="21">
        <f t="shared" si="14"/>
        <v>22</v>
      </c>
      <c r="C67" s="291"/>
      <c r="D67" s="291"/>
      <c r="E67" s="291"/>
      <c r="F67" s="291"/>
      <c r="G67" s="291"/>
      <c r="H67" s="291" t="s">
        <v>62</v>
      </c>
      <c r="I67" s="291" t="s">
        <v>28</v>
      </c>
      <c r="J67" s="291" t="s">
        <v>63</v>
      </c>
      <c r="L67" s="291" t="s">
        <v>62</v>
      </c>
      <c r="M67" s="291" t="s">
        <v>28</v>
      </c>
      <c r="N67" s="291" t="s">
        <v>64</v>
      </c>
    </row>
    <row r="68" spans="1:14" x14ac:dyDescent="0.2">
      <c r="A68" s="21">
        <f t="shared" si="14"/>
        <v>23</v>
      </c>
      <c r="B68" s="790"/>
      <c r="C68" s="291"/>
      <c r="D68" s="291"/>
      <c r="E68" s="291" t="s">
        <v>65</v>
      </c>
      <c r="F68" s="291" t="s">
        <v>66</v>
      </c>
      <c r="G68" s="291" t="s">
        <v>67</v>
      </c>
      <c r="H68" s="291" t="s">
        <v>68</v>
      </c>
      <c r="I68" s="291" t="s">
        <v>27</v>
      </c>
      <c r="J68" s="291" t="s">
        <v>62</v>
      </c>
      <c r="K68" s="291" t="s">
        <v>74</v>
      </c>
      <c r="L68" s="291" t="s">
        <v>75</v>
      </c>
      <c r="M68" s="291" t="s">
        <v>76</v>
      </c>
      <c r="N68" s="291" t="s">
        <v>77</v>
      </c>
    </row>
    <row r="69" spans="1:14" x14ac:dyDescent="0.2">
      <c r="A69" s="21">
        <f t="shared" si="14"/>
        <v>24</v>
      </c>
      <c r="B69" s="790"/>
      <c r="C69" s="299" t="s">
        <v>178</v>
      </c>
      <c r="D69" s="299" t="s">
        <v>78</v>
      </c>
      <c r="E69" s="299" t="s">
        <v>79</v>
      </c>
      <c r="F69" s="299" t="s">
        <v>39</v>
      </c>
      <c r="G69" s="299" t="s">
        <v>79</v>
      </c>
      <c r="H69" s="299" t="s">
        <v>80</v>
      </c>
      <c r="I69" s="299" t="s">
        <v>68</v>
      </c>
      <c r="J69" s="299" t="s">
        <v>68</v>
      </c>
      <c r="K69" s="299" t="s">
        <v>81</v>
      </c>
      <c r="L69" s="791">
        <v>40178</v>
      </c>
      <c r="M69" s="299" t="s">
        <v>40</v>
      </c>
      <c r="N69" s="299" t="s">
        <v>81</v>
      </c>
    </row>
    <row r="70" spans="1:14" x14ac:dyDescent="0.2">
      <c r="A70" s="21">
        <f t="shared" si="14"/>
        <v>25</v>
      </c>
      <c r="B70" s="792"/>
      <c r="C70" s="296"/>
      <c r="D70" s="21" t="s">
        <v>376</v>
      </c>
      <c r="E70" s="22">
        <v>32842</v>
      </c>
      <c r="F70" s="293">
        <v>0.1028</v>
      </c>
      <c r="G70" s="795">
        <v>2009</v>
      </c>
      <c r="H70" s="714">
        <v>2000</v>
      </c>
      <c r="I70" s="714">
        <v>2000</v>
      </c>
      <c r="J70" s="719">
        <v>100</v>
      </c>
      <c r="K70" s="300">
        <v>0.1033</v>
      </c>
      <c r="L70" s="717">
        <v>0</v>
      </c>
      <c r="M70" s="714">
        <v>0</v>
      </c>
    </row>
    <row r="71" spans="1:14" x14ac:dyDescent="0.2">
      <c r="A71" s="21">
        <f t="shared" si="14"/>
        <v>26</v>
      </c>
      <c r="B71" s="792"/>
      <c r="C71" s="296"/>
      <c r="D71" s="21" t="s">
        <v>379</v>
      </c>
      <c r="E71" s="22">
        <v>33205</v>
      </c>
      <c r="F71" s="293">
        <v>0.11849999999999999</v>
      </c>
      <c r="G71" s="795">
        <v>2020</v>
      </c>
      <c r="H71" s="717">
        <v>1500</v>
      </c>
      <c r="I71" s="717">
        <v>1500</v>
      </c>
      <c r="J71" s="718">
        <v>100</v>
      </c>
      <c r="K71" s="300">
        <v>0.1191</v>
      </c>
      <c r="L71" s="717">
        <v>1500</v>
      </c>
      <c r="M71" s="717">
        <v>178.65</v>
      </c>
      <c r="N71" s="485"/>
    </row>
    <row r="72" spans="1:14" x14ac:dyDescent="0.2">
      <c r="A72" s="21">
        <f t="shared" si="14"/>
        <v>27</v>
      </c>
      <c r="B72" s="792"/>
      <c r="D72" s="21" t="s">
        <v>380</v>
      </c>
      <c r="E72" s="22">
        <v>33732</v>
      </c>
      <c r="F72" s="293">
        <v>9.4600000000000004E-2</v>
      </c>
      <c r="G72" s="795">
        <v>2023</v>
      </c>
      <c r="H72" s="717">
        <v>2500</v>
      </c>
      <c r="I72" s="714">
        <v>2500</v>
      </c>
      <c r="J72" s="719">
        <v>100</v>
      </c>
      <c r="K72" s="300">
        <v>9.5100000000000004E-2</v>
      </c>
      <c r="L72" s="717">
        <v>2500</v>
      </c>
      <c r="M72" s="717">
        <v>237.75</v>
      </c>
    </row>
    <row r="73" spans="1:14" x14ac:dyDescent="0.2">
      <c r="A73" s="21">
        <f t="shared" si="14"/>
        <v>28</v>
      </c>
      <c r="B73" s="792"/>
      <c r="C73" s="296"/>
      <c r="D73" s="21" t="s">
        <v>102</v>
      </c>
      <c r="E73" s="22">
        <v>36385</v>
      </c>
      <c r="F73" s="293">
        <v>6.8000000000000005E-2</v>
      </c>
      <c r="G73" s="21">
        <v>2019</v>
      </c>
      <c r="H73" s="714">
        <v>4500</v>
      </c>
      <c r="I73" s="714">
        <v>4500</v>
      </c>
      <c r="J73" s="719">
        <v>100</v>
      </c>
      <c r="K73" s="293">
        <v>6.8500000000000005E-2</v>
      </c>
      <c r="L73" s="717">
        <v>4500</v>
      </c>
      <c r="M73" s="717">
        <v>308.25</v>
      </c>
    </row>
    <row r="74" spans="1:14" x14ac:dyDescent="0.2">
      <c r="A74" s="21">
        <f t="shared" si="14"/>
        <v>29</v>
      </c>
      <c r="B74" s="792"/>
      <c r="C74" s="296"/>
      <c r="D74" s="21" t="s">
        <v>381</v>
      </c>
      <c r="E74" s="22">
        <v>36679</v>
      </c>
      <c r="F74" s="293">
        <v>7.0000000000000007E-2</v>
      </c>
      <c r="G74" s="21">
        <v>2008</v>
      </c>
      <c r="H74" s="714">
        <v>0</v>
      </c>
      <c r="I74" s="714">
        <v>0</v>
      </c>
      <c r="J74" s="719">
        <v>0</v>
      </c>
      <c r="K74" s="293">
        <v>7.0499999999999993E-2</v>
      </c>
      <c r="L74" s="717">
        <v>0</v>
      </c>
      <c r="M74" s="717">
        <v>0</v>
      </c>
    </row>
    <row r="75" spans="1:14" x14ac:dyDescent="0.2">
      <c r="A75" s="21">
        <f t="shared" si="14"/>
        <v>30</v>
      </c>
      <c r="B75" s="792"/>
      <c r="C75" s="296"/>
      <c r="D75" s="21" t="s">
        <v>382</v>
      </c>
      <c r="E75" s="22">
        <v>37582</v>
      </c>
      <c r="F75" s="293">
        <v>6.1600000000000002E-2</v>
      </c>
      <c r="G75" s="21">
        <v>2017</v>
      </c>
      <c r="H75" s="714">
        <v>3900</v>
      </c>
      <c r="I75" s="714">
        <v>3900</v>
      </c>
      <c r="J75" s="719">
        <v>100</v>
      </c>
      <c r="K75" s="293">
        <v>6.2100000000000002E-2</v>
      </c>
      <c r="L75" s="717">
        <v>3900</v>
      </c>
      <c r="M75" s="717">
        <v>242.19</v>
      </c>
    </row>
    <row r="76" spans="1:14" x14ac:dyDescent="0.2">
      <c r="A76" s="21">
        <f t="shared" si="14"/>
        <v>31</v>
      </c>
      <c r="B76" s="792"/>
      <c r="C76" s="296"/>
      <c r="D76" s="21" t="s">
        <v>383</v>
      </c>
      <c r="E76" s="22">
        <v>38009</v>
      </c>
      <c r="F76" s="293">
        <v>5.4199999999999998E-2</v>
      </c>
      <c r="G76" s="21">
        <v>2019</v>
      </c>
      <c r="H76" s="714">
        <v>1000</v>
      </c>
      <c r="I76" s="714">
        <v>1000</v>
      </c>
      <c r="J76" s="719">
        <v>100</v>
      </c>
      <c r="K76" s="293">
        <v>5.4699999999999999E-2</v>
      </c>
      <c r="L76" s="717">
        <v>1000</v>
      </c>
      <c r="M76" s="717">
        <v>54.7</v>
      </c>
    </row>
    <row r="77" spans="1:14" x14ac:dyDescent="0.2">
      <c r="A77" s="21">
        <f t="shared" si="14"/>
        <v>32</v>
      </c>
      <c r="B77" s="792"/>
      <c r="C77" s="296"/>
      <c r="D77" s="21" t="s">
        <v>384</v>
      </c>
      <c r="E77" s="22">
        <v>38309</v>
      </c>
      <c r="F77" s="293">
        <v>5.11E-2</v>
      </c>
      <c r="G77" s="21">
        <v>2014</v>
      </c>
      <c r="H77" s="714">
        <v>500</v>
      </c>
      <c r="I77" s="714">
        <v>500</v>
      </c>
      <c r="J77" s="719">
        <v>100</v>
      </c>
      <c r="K77" s="293">
        <v>5.16E-2</v>
      </c>
      <c r="L77" s="717">
        <v>500</v>
      </c>
      <c r="M77" s="717">
        <v>25.8</v>
      </c>
    </row>
    <row r="78" spans="1:14" x14ac:dyDescent="0.2">
      <c r="A78" s="21">
        <f t="shared" si="14"/>
        <v>33</v>
      </c>
      <c r="B78" s="792"/>
      <c r="C78" s="296"/>
      <c r="D78" s="21" t="s">
        <v>385</v>
      </c>
      <c r="E78" s="22">
        <v>38677</v>
      </c>
      <c r="F78" s="293">
        <v>5.1799999999999999E-2</v>
      </c>
      <c r="G78" s="21">
        <v>2035</v>
      </c>
      <c r="H78" s="717">
        <v>4300</v>
      </c>
      <c r="I78" s="714">
        <v>4300</v>
      </c>
      <c r="J78" s="719">
        <v>100</v>
      </c>
      <c r="K78" s="293">
        <v>5.2299999999999999E-2</v>
      </c>
      <c r="L78" s="717">
        <v>4300</v>
      </c>
      <c r="M78" s="717">
        <v>224.89</v>
      </c>
    </row>
    <row r="79" spans="1:14" x14ac:dyDescent="0.2">
      <c r="A79" s="21">
        <f t="shared" si="14"/>
        <v>34</v>
      </c>
      <c r="B79" s="792"/>
      <c r="C79" s="296"/>
      <c r="D79" s="21" t="s">
        <v>386</v>
      </c>
      <c r="E79" s="22">
        <v>39041</v>
      </c>
      <c r="F79" s="293">
        <v>5.0200000000000002E-2</v>
      </c>
      <c r="G79" s="21">
        <v>2036</v>
      </c>
      <c r="H79" s="717">
        <v>3000</v>
      </c>
      <c r="I79" s="714">
        <v>3000</v>
      </c>
      <c r="J79" s="719">
        <v>100</v>
      </c>
      <c r="K79" s="293">
        <v>5.0700000000000002E-2</v>
      </c>
      <c r="L79" s="717">
        <v>3000</v>
      </c>
      <c r="M79" s="717">
        <v>152.1</v>
      </c>
    </row>
    <row r="80" spans="1:14" x14ac:dyDescent="0.2">
      <c r="A80" s="21">
        <f t="shared" si="14"/>
        <v>35</v>
      </c>
      <c r="B80" s="792"/>
      <c r="C80" s="296"/>
      <c r="D80" s="21" t="s">
        <v>13</v>
      </c>
      <c r="E80" s="22">
        <v>39594</v>
      </c>
      <c r="F80" s="293">
        <v>5.6599999999999998E-2</v>
      </c>
      <c r="G80" s="21">
        <v>2028</v>
      </c>
      <c r="H80" s="717">
        <v>860</v>
      </c>
      <c r="I80" s="714">
        <v>860</v>
      </c>
      <c r="J80" s="719">
        <v>100</v>
      </c>
      <c r="K80" s="293">
        <v>5.6099999999999997E-2</v>
      </c>
      <c r="L80" s="717">
        <v>860</v>
      </c>
      <c r="M80" s="717">
        <v>48.245999999999995</v>
      </c>
      <c r="N80" s="485"/>
    </row>
    <row r="81" spans="1:16" x14ac:dyDescent="0.2">
      <c r="A81" s="21">
        <f t="shared" si="14"/>
        <v>36</v>
      </c>
      <c r="B81" s="792"/>
      <c r="C81" s="296"/>
      <c r="D81" s="21" t="s">
        <v>418</v>
      </c>
      <c r="E81" s="22">
        <v>39594</v>
      </c>
      <c r="F81" s="293">
        <v>5.67E-2</v>
      </c>
      <c r="G81" s="21">
        <v>2038</v>
      </c>
      <c r="H81" s="714">
        <v>1290</v>
      </c>
      <c r="I81" s="714">
        <v>1290</v>
      </c>
      <c r="J81" s="719">
        <v>100</v>
      </c>
      <c r="K81" s="293">
        <v>5.62E-2</v>
      </c>
      <c r="L81" s="717">
        <v>1290</v>
      </c>
      <c r="M81" s="717">
        <v>72.498000000000005</v>
      </c>
      <c r="N81" s="341"/>
    </row>
    <row r="82" spans="1:16" x14ac:dyDescent="0.2">
      <c r="A82" s="21">
        <f t="shared" si="14"/>
        <v>37</v>
      </c>
      <c r="B82" s="792"/>
      <c r="C82" s="296"/>
      <c r="D82" s="21" t="s">
        <v>419</v>
      </c>
      <c r="E82" s="22">
        <v>39878</v>
      </c>
      <c r="F82" s="293"/>
      <c r="G82" s="21">
        <v>2024</v>
      </c>
      <c r="H82" s="714">
        <v>2900</v>
      </c>
      <c r="I82" s="714">
        <v>2900</v>
      </c>
      <c r="J82" s="719">
        <v>100</v>
      </c>
      <c r="K82" s="293">
        <v>6.2799999999999995E-2</v>
      </c>
      <c r="L82" s="717">
        <v>2900</v>
      </c>
      <c r="M82" s="717">
        <v>182.12</v>
      </c>
      <c r="N82" s="341"/>
    </row>
    <row r="83" spans="1:16" x14ac:dyDescent="0.2">
      <c r="A83" s="21">
        <f t="shared" si="14"/>
        <v>38</v>
      </c>
      <c r="B83" s="792"/>
      <c r="C83" s="296"/>
      <c r="D83" s="21" t="s">
        <v>14</v>
      </c>
      <c r="E83" s="22">
        <v>39878</v>
      </c>
      <c r="F83" s="293"/>
      <c r="G83" s="21">
        <v>2039</v>
      </c>
      <c r="H83" s="715">
        <v>3700</v>
      </c>
      <c r="I83" s="714">
        <v>3700</v>
      </c>
      <c r="J83" s="719">
        <v>100</v>
      </c>
      <c r="K83" s="293">
        <v>6.5500000000000003E-2</v>
      </c>
      <c r="L83" s="715">
        <v>3700</v>
      </c>
      <c r="M83" s="715">
        <v>242.35</v>
      </c>
    </row>
    <row r="84" spans="1:16" x14ac:dyDescent="0.2">
      <c r="A84" s="21">
        <f t="shared" si="14"/>
        <v>39</v>
      </c>
      <c r="B84" s="792"/>
      <c r="C84" s="296" t="s">
        <v>27</v>
      </c>
      <c r="D84" s="21"/>
      <c r="E84" s="22"/>
      <c r="F84" s="294"/>
      <c r="G84" s="22"/>
      <c r="H84" s="714">
        <f>SUM(H70:H83)</f>
        <v>31950</v>
      </c>
      <c r="I84" s="714"/>
      <c r="J84" s="295"/>
      <c r="K84" s="294"/>
      <c r="L84" s="714">
        <f>SUM(L70:L83)</f>
        <v>29950</v>
      </c>
      <c r="M84" s="714">
        <f>SUM(M70:M83)</f>
        <v>1969.5439999999999</v>
      </c>
      <c r="N84" s="24">
        <v>6.5761068447412349E-2</v>
      </c>
    </row>
    <row r="85" spans="1:16" x14ac:dyDescent="0.2">
      <c r="A85" s="21">
        <f t="shared" si="14"/>
        <v>40</v>
      </c>
      <c r="B85" s="792"/>
      <c r="C85" s="296" t="s">
        <v>82</v>
      </c>
      <c r="D85" s="21"/>
      <c r="E85" s="22"/>
      <c r="F85" s="294"/>
      <c r="G85" s="22"/>
      <c r="H85" s="20"/>
      <c r="I85" s="20"/>
      <c r="J85" s="295"/>
      <c r="K85" s="294"/>
      <c r="L85" s="715">
        <v>25350</v>
      </c>
      <c r="M85" s="715">
        <v>1751.674</v>
      </c>
      <c r="N85" s="25">
        <v>6.9099566074950686E-2</v>
      </c>
    </row>
    <row r="86" spans="1:16" x14ac:dyDescent="0.2">
      <c r="A86" s="21">
        <f t="shared" si="14"/>
        <v>41</v>
      </c>
      <c r="B86" s="792"/>
      <c r="C86" s="296" t="s">
        <v>27</v>
      </c>
      <c r="D86" s="21"/>
      <c r="E86" s="22"/>
      <c r="F86" s="294"/>
      <c r="G86" s="22"/>
      <c r="H86" s="20"/>
      <c r="I86" s="20"/>
      <c r="J86" s="295"/>
      <c r="K86" s="294"/>
      <c r="L86" s="715">
        <v>55300</v>
      </c>
      <c r="M86" s="715">
        <v>3721.2179999999998</v>
      </c>
      <c r="N86" s="499"/>
    </row>
    <row r="87" spans="1:16" ht="13.5" thickBot="1" x14ac:dyDescent="0.25">
      <c r="A87" s="21">
        <f t="shared" si="14"/>
        <v>42</v>
      </c>
      <c r="B87" s="792"/>
      <c r="C87" s="296" t="s">
        <v>38</v>
      </c>
      <c r="D87" s="21"/>
      <c r="E87" s="22"/>
      <c r="F87" s="294"/>
      <c r="G87" s="22"/>
      <c r="H87" s="20"/>
      <c r="I87" s="20"/>
      <c r="J87" s="295"/>
      <c r="K87" s="294"/>
      <c r="L87" s="716">
        <v>27650</v>
      </c>
      <c r="M87" s="716">
        <v>1860.6089999999999</v>
      </c>
      <c r="N87" s="27">
        <v>6.7291464737793849E-2</v>
      </c>
    </row>
    <row r="88" spans="1:16" ht="15.75" customHeight="1" thickTop="1" x14ac:dyDescent="0.2">
      <c r="A88" s="501" t="s">
        <v>539</v>
      </c>
      <c r="B88" s="501"/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172" t="s">
        <v>809</v>
      </c>
    </row>
    <row r="89" spans="1:16" x14ac:dyDescent="0.2">
      <c r="A89" s="501" t="s">
        <v>489</v>
      </c>
      <c r="B89" s="501"/>
      <c r="C89" s="501"/>
      <c r="D89" s="501"/>
      <c r="E89" s="501"/>
      <c r="F89" s="501"/>
      <c r="G89" s="501"/>
      <c r="H89" s="501"/>
      <c r="I89" s="501"/>
      <c r="J89" s="501"/>
      <c r="K89" s="501"/>
      <c r="L89" s="501"/>
      <c r="M89" s="501"/>
      <c r="N89" s="501"/>
      <c r="O89" s="172" t="s">
        <v>989</v>
      </c>
      <c r="P89" s="172"/>
    </row>
    <row r="90" spans="1:16" x14ac:dyDescent="0.2">
      <c r="A90" s="501" t="s">
        <v>545</v>
      </c>
      <c r="B90" s="501"/>
      <c r="C90" s="501"/>
      <c r="D90" s="501"/>
      <c r="E90" s="501"/>
      <c r="F90" s="501"/>
      <c r="G90" s="501"/>
      <c r="H90" s="501"/>
      <c r="I90" s="501"/>
      <c r="J90" s="501"/>
      <c r="K90" s="501"/>
      <c r="L90" s="501"/>
      <c r="M90" s="501"/>
      <c r="N90" s="501"/>
      <c r="O90" s="239"/>
      <c r="P90" s="172"/>
    </row>
    <row r="91" spans="1:16" x14ac:dyDescent="0.2">
      <c r="A91" s="501" t="s">
        <v>33</v>
      </c>
      <c r="B91" s="501"/>
      <c r="C91" s="501"/>
      <c r="D91" s="501"/>
      <c r="E91" s="501"/>
      <c r="F91" s="501"/>
      <c r="G91" s="501"/>
      <c r="H91" s="501"/>
      <c r="I91" s="501"/>
      <c r="J91" s="501"/>
      <c r="K91" s="501"/>
      <c r="L91" s="501"/>
      <c r="M91" s="501"/>
      <c r="N91" s="501"/>
      <c r="O91" s="239"/>
      <c r="P91" s="488"/>
    </row>
    <row r="92" spans="1:16" x14ac:dyDescent="0.2">
      <c r="A92" s="291" t="s">
        <v>34</v>
      </c>
      <c r="B92" s="78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488"/>
      <c r="O92" s="569"/>
    </row>
    <row r="93" spans="1:16" x14ac:dyDescent="0.2">
      <c r="A93" s="299" t="s">
        <v>36</v>
      </c>
      <c r="B93" s="792"/>
      <c r="C93" s="296"/>
      <c r="D93" s="21"/>
      <c r="E93" s="22"/>
      <c r="F93" s="294"/>
      <c r="G93" s="22"/>
      <c r="H93" s="20"/>
      <c r="I93" s="20"/>
      <c r="J93" s="295"/>
      <c r="K93" s="294"/>
      <c r="L93" s="292"/>
      <c r="M93" s="292"/>
      <c r="N93" s="172"/>
    </row>
    <row r="94" spans="1:16" x14ac:dyDescent="0.2">
      <c r="B94" s="792"/>
      <c r="C94" s="296"/>
      <c r="D94" s="21"/>
      <c r="E94" s="22"/>
      <c r="F94" s="294"/>
      <c r="G94" s="22"/>
      <c r="H94" s="20"/>
      <c r="I94" s="20"/>
      <c r="J94" s="295"/>
      <c r="K94" s="294"/>
      <c r="L94" s="292"/>
      <c r="M94" s="292"/>
      <c r="N94" s="172"/>
    </row>
    <row r="95" spans="1:16" x14ac:dyDescent="0.2">
      <c r="A95" s="21">
        <f>A87+1</f>
        <v>43</v>
      </c>
      <c r="B95" s="789" t="s">
        <v>10</v>
      </c>
      <c r="C95" s="296"/>
      <c r="D95" s="296"/>
      <c r="E95" s="296"/>
      <c r="F95" s="296"/>
      <c r="G95" s="296"/>
      <c r="H95" s="296"/>
      <c r="I95" s="297" t="s">
        <v>61</v>
      </c>
      <c r="J95" s="298"/>
      <c r="K95" s="296"/>
      <c r="L95" s="296"/>
      <c r="M95" s="296"/>
    </row>
    <row r="96" spans="1:16" x14ac:dyDescent="0.2">
      <c r="A96" s="21">
        <f>A95+1</f>
        <v>44</v>
      </c>
      <c r="C96" s="291"/>
      <c r="D96" s="291"/>
      <c r="E96" s="291"/>
      <c r="F96" s="291"/>
      <c r="G96" s="291"/>
      <c r="H96" s="291" t="s">
        <v>62</v>
      </c>
      <c r="I96" s="291" t="s">
        <v>28</v>
      </c>
      <c r="J96" s="291" t="s">
        <v>63</v>
      </c>
      <c r="L96" s="291" t="s">
        <v>62</v>
      </c>
      <c r="M96" s="291" t="s">
        <v>28</v>
      </c>
      <c r="N96" s="291" t="s">
        <v>64</v>
      </c>
    </row>
    <row r="97" spans="1:14" x14ac:dyDescent="0.2">
      <c r="A97" s="21">
        <f t="shared" ref="A97:A137" si="15">A96+1</f>
        <v>45</v>
      </c>
      <c r="B97" s="790"/>
      <c r="C97" s="291"/>
      <c r="D97" s="291"/>
      <c r="E97" s="291" t="s">
        <v>65</v>
      </c>
      <c r="F97" s="291" t="s">
        <v>66</v>
      </c>
      <c r="G97" s="291" t="s">
        <v>67</v>
      </c>
      <c r="H97" s="291" t="s">
        <v>68</v>
      </c>
      <c r="I97" s="291" t="s">
        <v>27</v>
      </c>
      <c r="J97" s="291" t="s">
        <v>62</v>
      </c>
      <c r="K97" s="291" t="s">
        <v>74</v>
      </c>
      <c r="L97" s="291" t="s">
        <v>75</v>
      </c>
      <c r="M97" s="291" t="s">
        <v>76</v>
      </c>
      <c r="N97" s="291" t="s">
        <v>77</v>
      </c>
    </row>
    <row r="98" spans="1:14" x14ac:dyDescent="0.2">
      <c r="A98" s="21">
        <f t="shared" si="15"/>
        <v>46</v>
      </c>
      <c r="B98" s="790"/>
      <c r="C98" s="299" t="s">
        <v>178</v>
      </c>
      <c r="D98" s="299" t="s">
        <v>78</v>
      </c>
      <c r="E98" s="299" t="s">
        <v>79</v>
      </c>
      <c r="F98" s="299" t="s">
        <v>39</v>
      </c>
      <c r="G98" s="299" t="s">
        <v>79</v>
      </c>
      <c r="H98" s="299" t="s">
        <v>80</v>
      </c>
      <c r="I98" s="299" t="s">
        <v>68</v>
      </c>
      <c r="J98" s="299" t="s">
        <v>68</v>
      </c>
      <c r="K98" s="299" t="s">
        <v>81</v>
      </c>
      <c r="L98" s="791">
        <v>40543</v>
      </c>
      <c r="M98" s="299" t="s">
        <v>40</v>
      </c>
      <c r="N98" s="299" t="s">
        <v>81</v>
      </c>
    </row>
    <row r="99" spans="1:14" x14ac:dyDescent="0.2">
      <c r="A99" s="21">
        <f t="shared" si="15"/>
        <v>47</v>
      </c>
      <c r="B99" s="792"/>
      <c r="C99" s="296"/>
      <c r="D99" s="21" t="s">
        <v>379</v>
      </c>
      <c r="E99" s="22">
        <v>33205</v>
      </c>
      <c r="F99" s="293">
        <v>0.11849999999999999</v>
      </c>
      <c r="G99" s="795">
        <v>2020</v>
      </c>
      <c r="H99" s="717">
        <v>1500</v>
      </c>
      <c r="I99" s="717">
        <v>1500</v>
      </c>
      <c r="J99" s="718">
        <v>100</v>
      </c>
      <c r="K99" s="300">
        <v>0.1191</v>
      </c>
      <c r="L99" s="717">
        <v>1500</v>
      </c>
      <c r="M99" s="717">
        <v>178.65</v>
      </c>
      <c r="N99" s="485"/>
    </row>
    <row r="100" spans="1:14" x14ac:dyDescent="0.2">
      <c r="A100" s="21">
        <f t="shared" si="15"/>
        <v>48</v>
      </c>
      <c r="B100" s="792"/>
      <c r="D100" s="21" t="s">
        <v>380</v>
      </c>
      <c r="E100" s="22">
        <v>33732</v>
      </c>
      <c r="F100" s="293">
        <v>9.4600000000000004E-2</v>
      </c>
      <c r="G100" s="795">
        <v>2023</v>
      </c>
      <c r="H100" s="717">
        <v>2500</v>
      </c>
      <c r="I100" s="714">
        <v>2500</v>
      </c>
      <c r="J100" s="719">
        <v>100</v>
      </c>
      <c r="K100" s="300">
        <v>9.5100000000000004E-2</v>
      </c>
      <c r="L100" s="717">
        <v>2500</v>
      </c>
      <c r="M100" s="717">
        <v>237.75</v>
      </c>
    </row>
    <row r="101" spans="1:14" x14ac:dyDescent="0.2">
      <c r="A101" s="21">
        <f t="shared" si="15"/>
        <v>49</v>
      </c>
      <c r="B101" s="792"/>
      <c r="C101" s="296"/>
      <c r="D101" s="21" t="s">
        <v>102</v>
      </c>
      <c r="E101" s="22">
        <v>36385</v>
      </c>
      <c r="F101" s="293">
        <v>6.8000000000000005E-2</v>
      </c>
      <c r="G101" s="21">
        <v>2019</v>
      </c>
      <c r="H101" s="714">
        <v>4500</v>
      </c>
      <c r="I101" s="714">
        <v>4500</v>
      </c>
      <c r="J101" s="719">
        <v>100</v>
      </c>
      <c r="K101" s="293">
        <v>6.8500000000000005E-2</v>
      </c>
      <c r="L101" s="717">
        <v>4500</v>
      </c>
      <c r="M101" s="717">
        <v>308.25</v>
      </c>
    </row>
    <row r="102" spans="1:14" x14ac:dyDescent="0.2">
      <c r="A102" s="21">
        <f t="shared" si="15"/>
        <v>50</v>
      </c>
      <c r="B102" s="792"/>
      <c r="C102" s="296"/>
      <c r="D102" s="21" t="s">
        <v>381</v>
      </c>
      <c r="E102" s="22">
        <v>36679</v>
      </c>
      <c r="F102" s="293">
        <v>7.0000000000000007E-2</v>
      </c>
      <c r="G102" s="21">
        <v>2008</v>
      </c>
      <c r="H102" s="714">
        <v>0</v>
      </c>
      <c r="I102" s="714">
        <v>0</v>
      </c>
      <c r="J102" s="719">
        <v>0</v>
      </c>
      <c r="K102" s="293">
        <v>7.0499999999999993E-2</v>
      </c>
      <c r="L102" s="717">
        <v>0</v>
      </c>
      <c r="M102" s="717">
        <v>0</v>
      </c>
    </row>
    <row r="103" spans="1:14" x14ac:dyDescent="0.2">
      <c r="A103" s="21">
        <f t="shared" si="15"/>
        <v>51</v>
      </c>
      <c r="B103" s="792"/>
      <c r="C103" s="296"/>
      <c r="D103" s="21" t="s">
        <v>382</v>
      </c>
      <c r="E103" s="22">
        <v>37582</v>
      </c>
      <c r="F103" s="293">
        <v>6.1600000000000002E-2</v>
      </c>
      <c r="G103" s="21">
        <v>2017</v>
      </c>
      <c r="H103" s="714">
        <v>3900</v>
      </c>
      <c r="I103" s="714">
        <v>3900</v>
      </c>
      <c r="J103" s="719">
        <v>100</v>
      </c>
      <c r="K103" s="293">
        <v>6.2100000000000002E-2</v>
      </c>
      <c r="L103" s="717">
        <v>3900</v>
      </c>
      <c r="M103" s="717">
        <v>242.19</v>
      </c>
    </row>
    <row r="104" spans="1:14" x14ac:dyDescent="0.2">
      <c r="A104" s="21">
        <f t="shared" si="15"/>
        <v>52</v>
      </c>
      <c r="B104" s="792"/>
      <c r="C104" s="296"/>
      <c r="D104" s="21" t="s">
        <v>383</v>
      </c>
      <c r="E104" s="22">
        <v>38009</v>
      </c>
      <c r="F104" s="293">
        <v>5.4199999999999998E-2</v>
      </c>
      <c r="G104" s="21">
        <v>2019</v>
      </c>
      <c r="H104" s="714">
        <v>1000</v>
      </c>
      <c r="I104" s="714">
        <v>1000</v>
      </c>
      <c r="J104" s="719">
        <v>100</v>
      </c>
      <c r="K104" s="293">
        <v>5.4699999999999999E-2</v>
      </c>
      <c r="L104" s="717">
        <v>1000</v>
      </c>
      <c r="M104" s="717">
        <v>54.7</v>
      </c>
    </row>
    <row r="105" spans="1:14" x14ac:dyDescent="0.2">
      <c r="A105" s="21">
        <f t="shared" si="15"/>
        <v>53</v>
      </c>
      <c r="B105" s="792"/>
      <c r="C105" s="296"/>
      <c r="D105" s="21" t="s">
        <v>384</v>
      </c>
      <c r="E105" s="22">
        <v>38309</v>
      </c>
      <c r="F105" s="293">
        <v>5.11E-2</v>
      </c>
      <c r="G105" s="21">
        <v>2014</v>
      </c>
      <c r="H105" s="714">
        <v>500</v>
      </c>
      <c r="I105" s="714">
        <v>500</v>
      </c>
      <c r="J105" s="719">
        <v>100</v>
      </c>
      <c r="K105" s="293">
        <v>5.16E-2</v>
      </c>
      <c r="L105" s="717">
        <v>500</v>
      </c>
      <c r="M105" s="717">
        <v>25.8</v>
      </c>
    </row>
    <row r="106" spans="1:14" x14ac:dyDescent="0.2">
      <c r="A106" s="21">
        <f t="shared" si="15"/>
        <v>54</v>
      </c>
      <c r="B106" s="792"/>
      <c r="C106" s="296"/>
      <c r="D106" s="21" t="s">
        <v>385</v>
      </c>
      <c r="E106" s="22">
        <v>38677</v>
      </c>
      <c r="F106" s="293">
        <v>5.1799999999999999E-2</v>
      </c>
      <c r="G106" s="21">
        <v>2035</v>
      </c>
      <c r="H106" s="717">
        <v>4300</v>
      </c>
      <c r="I106" s="714">
        <v>4300</v>
      </c>
      <c r="J106" s="719">
        <v>100</v>
      </c>
      <c r="K106" s="293">
        <v>5.2299999999999999E-2</v>
      </c>
      <c r="L106" s="717">
        <v>4300</v>
      </c>
      <c r="M106" s="717">
        <v>224.89</v>
      </c>
    </row>
    <row r="107" spans="1:14" x14ac:dyDescent="0.2">
      <c r="A107" s="21">
        <f t="shared" si="15"/>
        <v>55</v>
      </c>
      <c r="B107" s="792"/>
      <c r="C107" s="296"/>
      <c r="D107" s="21" t="s">
        <v>386</v>
      </c>
      <c r="E107" s="22">
        <v>39041</v>
      </c>
      <c r="F107" s="293">
        <v>5.0200000000000002E-2</v>
      </c>
      <c r="G107" s="21">
        <v>2036</v>
      </c>
      <c r="H107" s="717">
        <v>3000</v>
      </c>
      <c r="I107" s="714">
        <v>3000</v>
      </c>
      <c r="J107" s="719">
        <v>100</v>
      </c>
      <c r="K107" s="293">
        <v>5.0700000000000002E-2</v>
      </c>
      <c r="L107" s="717">
        <v>3000</v>
      </c>
      <c r="M107" s="717">
        <v>152.1</v>
      </c>
    </row>
    <row r="108" spans="1:14" x14ac:dyDescent="0.2">
      <c r="A108" s="21">
        <f t="shared" si="15"/>
        <v>56</v>
      </c>
      <c r="B108" s="792"/>
      <c r="C108" s="296"/>
      <c r="D108" s="21" t="s">
        <v>13</v>
      </c>
      <c r="E108" s="22">
        <v>39594</v>
      </c>
      <c r="F108" s="293">
        <v>5.6599999999999998E-2</v>
      </c>
      <c r="G108" s="21">
        <v>2028</v>
      </c>
      <c r="H108" s="717">
        <v>860</v>
      </c>
      <c r="I108" s="714">
        <v>860</v>
      </c>
      <c r="J108" s="719">
        <v>100</v>
      </c>
      <c r="K108" s="293">
        <v>5.6099999999999997E-2</v>
      </c>
      <c r="L108" s="717">
        <v>860</v>
      </c>
      <c r="M108" s="717">
        <v>48.245999999999995</v>
      </c>
      <c r="N108" s="485"/>
    </row>
    <row r="109" spans="1:14" x14ac:dyDescent="0.2">
      <c r="A109" s="21">
        <f t="shared" si="15"/>
        <v>57</v>
      </c>
      <c r="B109" s="792"/>
      <c r="C109" s="296"/>
      <c r="D109" s="21" t="s">
        <v>418</v>
      </c>
      <c r="E109" s="22">
        <v>39594</v>
      </c>
      <c r="F109" s="293">
        <v>5.67E-2</v>
      </c>
      <c r="G109" s="21">
        <v>2038</v>
      </c>
      <c r="H109" s="714">
        <v>1290</v>
      </c>
      <c r="I109" s="714">
        <v>1290</v>
      </c>
      <c r="J109" s="719">
        <v>100</v>
      </c>
      <c r="K109" s="293">
        <v>5.62E-2</v>
      </c>
      <c r="L109" s="717">
        <v>1290</v>
      </c>
      <c r="M109" s="717">
        <v>72.498000000000005</v>
      </c>
      <c r="N109" s="341"/>
    </row>
    <row r="110" spans="1:14" x14ac:dyDescent="0.2">
      <c r="A110" s="21">
        <f t="shared" si="15"/>
        <v>58</v>
      </c>
      <c r="B110" s="792"/>
      <c r="C110" s="296"/>
      <c r="D110" s="21" t="s">
        <v>419</v>
      </c>
      <c r="E110" s="22">
        <v>39878</v>
      </c>
      <c r="F110" s="293">
        <f>+K110+0.005</f>
        <v>6.7799999999999999E-2</v>
      </c>
      <c r="G110" s="21">
        <v>2024</v>
      </c>
      <c r="H110" s="714">
        <v>2900</v>
      </c>
      <c r="I110" s="714">
        <v>2900</v>
      </c>
      <c r="J110" s="719">
        <v>100</v>
      </c>
      <c r="K110" s="293">
        <v>6.2799999999999995E-2</v>
      </c>
      <c r="L110" s="717">
        <v>2900</v>
      </c>
      <c r="M110" s="717">
        <v>182.12</v>
      </c>
      <c r="N110" s="341"/>
    </row>
    <row r="111" spans="1:14" x14ac:dyDescent="0.2">
      <c r="A111" s="21">
        <f t="shared" si="15"/>
        <v>59</v>
      </c>
      <c r="B111" s="792"/>
      <c r="C111" s="296"/>
      <c r="D111" s="21" t="s">
        <v>14</v>
      </c>
      <c r="E111" s="22">
        <v>39878</v>
      </c>
      <c r="F111" s="293">
        <f>+K111+0.005</f>
        <v>7.0500000000000007E-2</v>
      </c>
      <c r="G111" s="21">
        <v>2039</v>
      </c>
      <c r="H111" s="715">
        <v>3700</v>
      </c>
      <c r="I111" s="714">
        <v>3700</v>
      </c>
      <c r="J111" s="719">
        <v>100</v>
      </c>
      <c r="K111" s="293">
        <v>6.5500000000000003E-2</v>
      </c>
      <c r="L111" s="715">
        <v>3700</v>
      </c>
      <c r="M111" s="715">
        <v>242.35</v>
      </c>
    </row>
    <row r="112" spans="1:14" x14ac:dyDescent="0.2">
      <c r="A112" s="21">
        <f t="shared" si="15"/>
        <v>60</v>
      </c>
      <c r="B112" s="792"/>
      <c r="C112" s="296" t="s">
        <v>27</v>
      </c>
      <c r="D112" s="21"/>
      <c r="E112" s="22"/>
      <c r="F112" s="294"/>
      <c r="G112" s="22"/>
      <c r="H112" s="714">
        <f>SUM(H99:H111)</f>
        <v>29950</v>
      </c>
      <c r="I112" s="714"/>
      <c r="J112" s="295"/>
      <c r="K112" s="294"/>
      <c r="L112" s="714">
        <f>SUM(L99:L111)</f>
        <v>29950</v>
      </c>
      <c r="M112" s="714">
        <f>SUM(M99:M111)</f>
        <v>1969.5439999999999</v>
      </c>
      <c r="N112" s="24">
        <f>M112/L112</f>
        <v>6.5761068447412349E-2</v>
      </c>
    </row>
    <row r="113" spans="1:14" x14ac:dyDescent="0.2">
      <c r="A113" s="21">
        <f t="shared" si="15"/>
        <v>61</v>
      </c>
      <c r="B113" s="792"/>
      <c r="C113" s="296" t="s">
        <v>82</v>
      </c>
      <c r="D113" s="21"/>
      <c r="E113" s="22"/>
      <c r="F113" s="294"/>
      <c r="G113" s="22"/>
      <c r="H113" s="20"/>
      <c r="I113" s="20"/>
      <c r="J113" s="295"/>
      <c r="K113" s="294"/>
      <c r="L113" s="715">
        <f>L84</f>
        <v>29950</v>
      </c>
      <c r="M113" s="715">
        <f>M84</f>
        <v>1969.5439999999999</v>
      </c>
      <c r="N113" s="25">
        <f>N84</f>
        <v>6.5761068447412349E-2</v>
      </c>
    </row>
    <row r="114" spans="1:14" x14ac:dyDescent="0.2">
      <c r="A114" s="21">
        <f t="shared" si="15"/>
        <v>62</v>
      </c>
      <c r="B114" s="792"/>
      <c r="C114" s="296" t="s">
        <v>27</v>
      </c>
      <c r="D114" s="21"/>
      <c r="E114" s="22"/>
      <c r="F114" s="294"/>
      <c r="G114" s="22"/>
      <c r="H114" s="20"/>
      <c r="I114" s="20"/>
      <c r="J114" s="295"/>
      <c r="K114" s="294"/>
      <c r="L114" s="715">
        <f>L112+L113</f>
        <v>59900</v>
      </c>
      <c r="M114" s="715">
        <f>M112+M113</f>
        <v>3939.0879999999997</v>
      </c>
      <c r="N114" s="499"/>
    </row>
    <row r="115" spans="1:14" ht="13.5" thickBot="1" x14ac:dyDescent="0.25">
      <c r="A115" s="21">
        <f t="shared" si="15"/>
        <v>63</v>
      </c>
      <c r="B115" s="792"/>
      <c r="C115" s="296" t="s">
        <v>38</v>
      </c>
      <c r="D115" s="21"/>
      <c r="E115" s="22"/>
      <c r="F115" s="294"/>
      <c r="G115" s="22"/>
      <c r="H115" s="20"/>
      <c r="I115" s="20"/>
      <c r="J115" s="295"/>
      <c r="K115" s="294"/>
      <c r="L115" s="716">
        <f>L114/2</f>
        <v>29950</v>
      </c>
      <c r="M115" s="716">
        <f>M114/2</f>
        <v>1969.5439999999999</v>
      </c>
      <c r="N115" s="27">
        <f>M115/L115</f>
        <v>6.5761068447412349E-2</v>
      </c>
    </row>
    <row r="116" spans="1:14" ht="13.5" thickTop="1" x14ac:dyDescent="0.2">
      <c r="A116" s="21">
        <f t="shared" si="15"/>
        <v>64</v>
      </c>
      <c r="B116" s="792"/>
      <c r="C116" s="296"/>
      <c r="D116" s="21"/>
      <c r="E116" s="22"/>
      <c r="F116" s="294"/>
      <c r="G116" s="22"/>
      <c r="H116" s="20"/>
      <c r="I116" s="20"/>
      <c r="J116" s="295"/>
      <c r="K116" s="294"/>
      <c r="L116" s="292"/>
      <c r="M116" s="292"/>
      <c r="N116" s="172"/>
    </row>
    <row r="117" spans="1:14" x14ac:dyDescent="0.2">
      <c r="A117" s="21">
        <f t="shared" si="15"/>
        <v>65</v>
      </c>
      <c r="B117" s="789" t="s">
        <v>0</v>
      </c>
      <c r="C117" s="296"/>
      <c r="D117" s="296"/>
      <c r="E117" s="296"/>
      <c r="F117" s="296"/>
      <c r="G117" s="296"/>
      <c r="H117" s="296"/>
      <c r="I117" s="297" t="s">
        <v>61</v>
      </c>
      <c r="J117" s="298"/>
      <c r="K117" s="296"/>
      <c r="L117" s="296"/>
      <c r="M117" s="296"/>
    </row>
    <row r="118" spans="1:14" x14ac:dyDescent="0.2">
      <c r="A118" s="21">
        <f t="shared" si="15"/>
        <v>66</v>
      </c>
      <c r="C118" s="291"/>
      <c r="D118" s="291"/>
      <c r="E118" s="291"/>
      <c r="F118" s="291"/>
      <c r="G118" s="291"/>
      <c r="H118" s="291" t="s">
        <v>62</v>
      </c>
      <c r="I118" s="291" t="s">
        <v>28</v>
      </c>
      <c r="J118" s="291" t="s">
        <v>63</v>
      </c>
      <c r="L118" s="291" t="s">
        <v>62</v>
      </c>
      <c r="M118" s="291" t="s">
        <v>28</v>
      </c>
      <c r="N118" s="291" t="s">
        <v>64</v>
      </c>
    </row>
    <row r="119" spans="1:14" x14ac:dyDescent="0.2">
      <c r="A119" s="21">
        <f t="shared" si="15"/>
        <v>67</v>
      </c>
      <c r="B119" s="790"/>
      <c r="C119" s="291"/>
      <c r="D119" s="291"/>
      <c r="E119" s="291" t="s">
        <v>65</v>
      </c>
      <c r="F119" s="291" t="s">
        <v>66</v>
      </c>
      <c r="G119" s="291" t="s">
        <v>67</v>
      </c>
      <c r="H119" s="291" t="s">
        <v>68</v>
      </c>
      <c r="I119" s="291" t="s">
        <v>27</v>
      </c>
      <c r="J119" s="291" t="s">
        <v>62</v>
      </c>
      <c r="K119" s="291" t="s">
        <v>74</v>
      </c>
      <c r="L119" s="291" t="s">
        <v>75</v>
      </c>
      <c r="M119" s="291" t="s">
        <v>76</v>
      </c>
      <c r="N119" s="291" t="s">
        <v>77</v>
      </c>
    </row>
    <row r="120" spans="1:14" x14ac:dyDescent="0.2">
      <c r="A120" s="21">
        <f t="shared" si="15"/>
        <v>68</v>
      </c>
      <c r="B120" s="790"/>
      <c r="C120" s="299" t="s">
        <v>178</v>
      </c>
      <c r="D120" s="299" t="s">
        <v>78</v>
      </c>
      <c r="E120" s="299" t="s">
        <v>79</v>
      </c>
      <c r="F120" s="299" t="s">
        <v>39</v>
      </c>
      <c r="G120" s="299" t="s">
        <v>79</v>
      </c>
      <c r="H120" s="299" t="s">
        <v>80</v>
      </c>
      <c r="I120" s="299" t="s">
        <v>68</v>
      </c>
      <c r="J120" s="299" t="s">
        <v>68</v>
      </c>
      <c r="K120" s="299" t="s">
        <v>81</v>
      </c>
      <c r="L120" s="791">
        <v>40908</v>
      </c>
      <c r="M120" s="299" t="s">
        <v>40</v>
      </c>
      <c r="N120" s="299" t="s">
        <v>81</v>
      </c>
    </row>
    <row r="121" spans="1:14" x14ac:dyDescent="0.2">
      <c r="A121" s="21">
        <f t="shared" si="15"/>
        <v>69</v>
      </c>
      <c r="B121" s="792"/>
      <c r="C121" s="296"/>
      <c r="D121" s="21" t="s">
        <v>379</v>
      </c>
      <c r="E121" s="22">
        <v>33205</v>
      </c>
      <c r="F121" s="293">
        <v>0.11849999999999999</v>
      </c>
      <c r="G121" s="795">
        <v>2020</v>
      </c>
      <c r="H121" s="717">
        <v>1500</v>
      </c>
      <c r="I121" s="717">
        <v>1500</v>
      </c>
      <c r="J121" s="718">
        <v>100</v>
      </c>
      <c r="K121" s="300">
        <v>0.1191</v>
      </c>
      <c r="L121" s="717">
        <v>1500</v>
      </c>
      <c r="M121" s="717">
        <v>178.65</v>
      </c>
      <c r="N121" s="485"/>
    </row>
    <row r="122" spans="1:14" x14ac:dyDescent="0.2">
      <c r="A122" s="21">
        <f t="shared" si="15"/>
        <v>70</v>
      </c>
      <c r="B122" s="792"/>
      <c r="D122" s="21" t="s">
        <v>380</v>
      </c>
      <c r="E122" s="22">
        <v>33732</v>
      </c>
      <c r="F122" s="293">
        <v>9.4600000000000004E-2</v>
      </c>
      <c r="G122" s="795">
        <v>2023</v>
      </c>
      <c r="H122" s="717">
        <v>2500</v>
      </c>
      <c r="I122" s="714">
        <v>2500</v>
      </c>
      <c r="J122" s="719">
        <v>100</v>
      </c>
      <c r="K122" s="300">
        <v>9.5100000000000004E-2</v>
      </c>
      <c r="L122" s="717">
        <v>2500</v>
      </c>
      <c r="M122" s="717">
        <v>237.75</v>
      </c>
    </row>
    <row r="123" spans="1:14" x14ac:dyDescent="0.2">
      <c r="A123" s="21">
        <f t="shared" si="15"/>
        <v>71</v>
      </c>
      <c r="B123" s="792"/>
      <c r="C123" s="296"/>
      <c r="D123" s="21" t="s">
        <v>102</v>
      </c>
      <c r="E123" s="22">
        <v>36385</v>
      </c>
      <c r="F123" s="293">
        <v>6.8000000000000005E-2</v>
      </c>
      <c r="G123" s="21">
        <v>2019</v>
      </c>
      <c r="H123" s="714">
        <v>4500</v>
      </c>
      <c r="I123" s="714">
        <v>4500</v>
      </c>
      <c r="J123" s="719">
        <v>100</v>
      </c>
      <c r="K123" s="293">
        <v>6.8500000000000005E-2</v>
      </c>
      <c r="L123" s="717">
        <v>4500</v>
      </c>
      <c r="M123" s="717">
        <v>308.25</v>
      </c>
    </row>
    <row r="124" spans="1:14" x14ac:dyDescent="0.2">
      <c r="A124" s="21">
        <f t="shared" si="15"/>
        <v>72</v>
      </c>
      <c r="B124" s="792"/>
      <c r="C124" s="296"/>
      <c r="D124" s="21" t="s">
        <v>382</v>
      </c>
      <c r="E124" s="22">
        <v>37582</v>
      </c>
      <c r="F124" s="293">
        <v>6.1600000000000002E-2</v>
      </c>
      <c r="G124" s="21">
        <v>2017</v>
      </c>
      <c r="H124" s="714">
        <v>3900</v>
      </c>
      <c r="I124" s="714">
        <v>3900</v>
      </c>
      <c r="J124" s="719">
        <v>100</v>
      </c>
      <c r="K124" s="293">
        <v>6.2100000000000002E-2</v>
      </c>
      <c r="L124" s="717">
        <v>3900</v>
      </c>
      <c r="M124" s="717">
        <v>242.19</v>
      </c>
    </row>
    <row r="125" spans="1:14" x14ac:dyDescent="0.2">
      <c r="A125" s="21">
        <f t="shared" si="15"/>
        <v>73</v>
      </c>
      <c r="B125" s="792"/>
      <c r="C125" s="296"/>
      <c r="D125" s="21" t="s">
        <v>383</v>
      </c>
      <c r="E125" s="22">
        <v>38009</v>
      </c>
      <c r="F125" s="293">
        <v>5.4199999999999998E-2</v>
      </c>
      <c r="G125" s="21">
        <v>2019</v>
      </c>
      <c r="H125" s="714">
        <v>1000</v>
      </c>
      <c r="I125" s="714">
        <v>1000</v>
      </c>
      <c r="J125" s="719">
        <v>100</v>
      </c>
      <c r="K125" s="293">
        <v>5.4699999999999999E-2</v>
      </c>
      <c r="L125" s="717">
        <v>1000</v>
      </c>
      <c r="M125" s="717">
        <v>54.7</v>
      </c>
    </row>
    <row r="126" spans="1:14" x14ac:dyDescent="0.2">
      <c r="A126" s="21">
        <f t="shared" si="15"/>
        <v>74</v>
      </c>
      <c r="B126" s="792"/>
      <c r="C126" s="296"/>
      <c r="D126" s="21" t="s">
        <v>384</v>
      </c>
      <c r="E126" s="22">
        <v>38309</v>
      </c>
      <c r="F126" s="293">
        <v>5.11E-2</v>
      </c>
      <c r="G126" s="21">
        <v>2014</v>
      </c>
      <c r="H126" s="714">
        <v>500</v>
      </c>
      <c r="I126" s="714">
        <v>500</v>
      </c>
      <c r="J126" s="719">
        <v>100</v>
      </c>
      <c r="K126" s="293">
        <v>5.16E-2</v>
      </c>
      <c r="L126" s="717">
        <v>500</v>
      </c>
      <c r="M126" s="717">
        <v>25.8</v>
      </c>
    </row>
    <row r="127" spans="1:14" x14ac:dyDescent="0.2">
      <c r="A127" s="21">
        <f t="shared" si="15"/>
        <v>75</v>
      </c>
      <c r="B127" s="792"/>
      <c r="C127" s="296"/>
      <c r="D127" s="21" t="s">
        <v>385</v>
      </c>
      <c r="E127" s="22">
        <v>38677</v>
      </c>
      <c r="F127" s="293">
        <v>5.1799999999999999E-2</v>
      </c>
      <c r="G127" s="21">
        <v>2035</v>
      </c>
      <c r="H127" s="717">
        <v>4300</v>
      </c>
      <c r="I127" s="714">
        <v>4300</v>
      </c>
      <c r="J127" s="719">
        <v>100</v>
      </c>
      <c r="K127" s="293">
        <v>5.2299999999999999E-2</v>
      </c>
      <c r="L127" s="717">
        <v>4300</v>
      </c>
      <c r="M127" s="717">
        <v>224.89</v>
      </c>
    </row>
    <row r="128" spans="1:14" x14ac:dyDescent="0.2">
      <c r="A128" s="21">
        <f t="shared" si="15"/>
        <v>76</v>
      </c>
      <c r="B128" s="792"/>
      <c r="C128" s="296"/>
      <c r="D128" s="21" t="s">
        <v>386</v>
      </c>
      <c r="E128" s="22">
        <v>39041</v>
      </c>
      <c r="F128" s="293">
        <v>5.0200000000000002E-2</v>
      </c>
      <c r="G128" s="21">
        <v>2036</v>
      </c>
      <c r="H128" s="717">
        <v>3000</v>
      </c>
      <c r="I128" s="714">
        <v>3000</v>
      </c>
      <c r="J128" s="719">
        <v>100</v>
      </c>
      <c r="K128" s="293">
        <v>5.0700000000000002E-2</v>
      </c>
      <c r="L128" s="717">
        <v>3000</v>
      </c>
      <c r="M128" s="717">
        <v>152.1</v>
      </c>
    </row>
    <row r="129" spans="1:16" x14ac:dyDescent="0.2">
      <c r="A129" s="21">
        <f t="shared" si="15"/>
        <v>77</v>
      </c>
      <c r="B129" s="792"/>
      <c r="C129" s="296"/>
      <c r="D129" s="21" t="s">
        <v>13</v>
      </c>
      <c r="E129" s="22">
        <v>39594</v>
      </c>
      <c r="F129" s="293">
        <v>5.6599999999999998E-2</v>
      </c>
      <c r="G129" s="21">
        <v>2028</v>
      </c>
      <c r="H129" s="717">
        <v>860</v>
      </c>
      <c r="I129" s="714">
        <v>860</v>
      </c>
      <c r="J129" s="719">
        <v>100</v>
      </c>
      <c r="K129" s="293">
        <v>5.6099999999999997E-2</v>
      </c>
      <c r="L129" s="717">
        <v>860</v>
      </c>
      <c r="M129" s="717">
        <v>48.245999999999995</v>
      </c>
      <c r="N129" s="485"/>
    </row>
    <row r="130" spans="1:16" x14ac:dyDescent="0.2">
      <c r="A130" s="21">
        <f t="shared" si="15"/>
        <v>78</v>
      </c>
      <c r="B130" s="792"/>
      <c r="C130" s="296"/>
      <c r="D130" s="21" t="s">
        <v>418</v>
      </c>
      <c r="E130" s="22">
        <v>39594</v>
      </c>
      <c r="F130" s="293">
        <v>5.67E-2</v>
      </c>
      <c r="G130" s="21">
        <v>2038</v>
      </c>
      <c r="H130" s="714">
        <v>1290</v>
      </c>
      <c r="I130" s="714">
        <v>1290</v>
      </c>
      <c r="J130" s="719">
        <v>100</v>
      </c>
      <c r="K130" s="293">
        <v>5.62E-2</v>
      </c>
      <c r="L130" s="717">
        <v>1290</v>
      </c>
      <c r="M130" s="717">
        <v>72.498000000000005</v>
      </c>
      <c r="N130" s="341"/>
    </row>
    <row r="131" spans="1:16" x14ac:dyDescent="0.2">
      <c r="A131" s="21">
        <f t="shared" si="15"/>
        <v>79</v>
      </c>
      <c r="B131" s="792"/>
      <c r="C131" s="296"/>
      <c r="D131" s="21" t="s">
        <v>419</v>
      </c>
      <c r="E131" s="22">
        <v>39878</v>
      </c>
      <c r="F131" s="293">
        <f>+K131+0.005</f>
        <v>6.7799999999999999E-2</v>
      </c>
      <c r="G131" s="21">
        <v>2024</v>
      </c>
      <c r="H131" s="714">
        <v>2900</v>
      </c>
      <c r="I131" s="714">
        <v>2900</v>
      </c>
      <c r="J131" s="719">
        <v>100</v>
      </c>
      <c r="K131" s="293">
        <v>6.2799999999999995E-2</v>
      </c>
      <c r="L131" s="717">
        <v>2900</v>
      </c>
      <c r="M131" s="717">
        <v>182.12</v>
      </c>
      <c r="N131" s="341"/>
    </row>
    <row r="132" spans="1:16" x14ac:dyDescent="0.2">
      <c r="A132" s="21">
        <f t="shared" si="15"/>
        <v>80</v>
      </c>
      <c r="B132" s="792"/>
      <c r="C132" s="296"/>
      <c r="D132" s="21" t="s">
        <v>14</v>
      </c>
      <c r="E132" s="22">
        <v>39878</v>
      </c>
      <c r="F132" s="293">
        <f>+K132+0.005</f>
        <v>7.0500000000000007E-2</v>
      </c>
      <c r="G132" s="21">
        <v>2039</v>
      </c>
      <c r="H132" s="717">
        <v>3700</v>
      </c>
      <c r="I132" s="714">
        <v>3700</v>
      </c>
      <c r="J132" s="719">
        <v>100</v>
      </c>
      <c r="K132" s="293">
        <v>6.5500000000000003E-2</v>
      </c>
      <c r="L132" s="717">
        <v>3700</v>
      </c>
      <c r="M132" s="717">
        <v>242.35</v>
      </c>
      <c r="N132" s="485"/>
    </row>
    <row r="133" spans="1:16" x14ac:dyDescent="0.2">
      <c r="A133" s="21">
        <f t="shared" si="15"/>
        <v>81</v>
      </c>
      <c r="B133" s="792"/>
      <c r="C133" s="296"/>
      <c r="D133" s="21" t="s">
        <v>692</v>
      </c>
      <c r="E133" s="22">
        <v>40840</v>
      </c>
      <c r="F133" s="293">
        <f>+K133+0.005</f>
        <v>5.0799999999999998E-2</v>
      </c>
      <c r="G133" s="21">
        <v>2041</v>
      </c>
      <c r="H133" s="715">
        <v>5000</v>
      </c>
      <c r="I133" s="714">
        <v>5000</v>
      </c>
      <c r="J133" s="719">
        <v>100</v>
      </c>
      <c r="K133" s="293">
        <v>4.58E-2</v>
      </c>
      <c r="L133" s="715">
        <f>+I133</f>
        <v>5000</v>
      </c>
      <c r="M133" s="715">
        <f>+L133*K133</f>
        <v>229</v>
      </c>
      <c r="N133" s="485"/>
    </row>
    <row r="134" spans="1:16" x14ac:dyDescent="0.2">
      <c r="A134" s="21">
        <f t="shared" si="15"/>
        <v>82</v>
      </c>
      <c r="B134" s="792"/>
      <c r="C134" s="296" t="s">
        <v>27</v>
      </c>
      <c r="D134" s="21"/>
      <c r="E134" s="22"/>
      <c r="F134" s="294"/>
      <c r="G134" s="22"/>
      <c r="H134" s="714">
        <f>SUM(H121:H133)</f>
        <v>34950</v>
      </c>
      <c r="I134" s="714"/>
      <c r="J134" s="295"/>
      <c r="K134" s="294"/>
      <c r="L134" s="714">
        <f>SUM(L121:L133)</f>
        <v>34950</v>
      </c>
      <c r="M134" s="714">
        <f>SUM(M121:M133)</f>
        <v>2198.5439999999999</v>
      </c>
      <c r="N134" s="301">
        <f>M134/L134</f>
        <v>6.2905407725321882E-2</v>
      </c>
    </row>
    <row r="135" spans="1:16" x14ac:dyDescent="0.2">
      <c r="A135" s="21">
        <f t="shared" si="15"/>
        <v>83</v>
      </c>
      <c r="B135" s="792"/>
      <c r="C135" s="296" t="s">
        <v>82</v>
      </c>
      <c r="D135" s="21"/>
      <c r="E135" s="22"/>
      <c r="F135" s="294"/>
      <c r="G135" s="22"/>
      <c r="H135" s="20"/>
      <c r="I135" s="20"/>
      <c r="J135" s="295"/>
      <c r="K135" s="294"/>
      <c r="L135" s="715">
        <f>L112</f>
        <v>29950</v>
      </c>
      <c r="M135" s="715">
        <f>M112</f>
        <v>1969.5439999999999</v>
      </c>
      <c r="N135" s="25">
        <f>N112</f>
        <v>6.5761068447412349E-2</v>
      </c>
    </row>
    <row r="136" spans="1:16" x14ac:dyDescent="0.2">
      <c r="A136" s="21">
        <f t="shared" si="15"/>
        <v>84</v>
      </c>
      <c r="B136" s="792"/>
      <c r="C136" s="296" t="s">
        <v>27</v>
      </c>
      <c r="D136" s="21"/>
      <c r="E136" s="22"/>
      <c r="F136" s="294"/>
      <c r="G136" s="22"/>
      <c r="H136" s="20"/>
      <c r="I136" s="20"/>
      <c r="J136" s="295"/>
      <c r="K136" s="294"/>
      <c r="L136" s="715">
        <f>L134+L135</f>
        <v>64900</v>
      </c>
      <c r="M136" s="715">
        <f>M134+M135</f>
        <v>4168.0879999999997</v>
      </c>
      <c r="N136" s="499"/>
    </row>
    <row r="137" spans="1:16" ht="13.5" thickBot="1" x14ac:dyDescent="0.25">
      <c r="A137" s="21">
        <f t="shared" si="15"/>
        <v>85</v>
      </c>
      <c r="B137" s="792"/>
      <c r="C137" s="296" t="s">
        <v>38</v>
      </c>
      <c r="D137" s="21"/>
      <c r="E137" s="22"/>
      <c r="F137" s="294"/>
      <c r="G137" s="22"/>
      <c r="H137" s="20"/>
      <c r="I137" s="20"/>
      <c r="J137" s="295"/>
      <c r="K137" s="294"/>
      <c r="L137" s="716">
        <f>L136/2</f>
        <v>32450</v>
      </c>
      <c r="M137" s="716">
        <f>M136/2</f>
        <v>2084.0439999999999</v>
      </c>
      <c r="N137" s="27">
        <f>M137/L137</f>
        <v>6.4223235747303542E-2</v>
      </c>
    </row>
    <row r="138" spans="1:16" ht="15.75" customHeight="1" thickTop="1" x14ac:dyDescent="0.2">
      <c r="A138" s="501" t="s">
        <v>539</v>
      </c>
      <c r="B138" s="501"/>
      <c r="C138" s="501"/>
      <c r="D138" s="501"/>
      <c r="E138" s="501"/>
      <c r="F138" s="501"/>
      <c r="G138" s="501"/>
      <c r="H138" s="501"/>
      <c r="I138" s="501"/>
      <c r="J138" s="501"/>
      <c r="K138" s="501"/>
      <c r="L138" s="501"/>
      <c r="M138" s="501"/>
      <c r="N138" s="501"/>
      <c r="O138" s="172" t="s">
        <v>809</v>
      </c>
    </row>
    <row r="139" spans="1:16" x14ac:dyDescent="0.2">
      <c r="A139" s="501" t="s">
        <v>489</v>
      </c>
      <c r="B139" s="501"/>
      <c r="C139" s="501"/>
      <c r="D139" s="501"/>
      <c r="E139" s="501"/>
      <c r="F139" s="501"/>
      <c r="G139" s="501"/>
      <c r="H139" s="501"/>
      <c r="I139" s="501"/>
      <c r="J139" s="501"/>
      <c r="K139" s="501"/>
      <c r="L139" s="501"/>
      <c r="M139" s="501"/>
      <c r="N139" s="501"/>
      <c r="O139" s="172" t="s">
        <v>988</v>
      </c>
      <c r="P139" s="172"/>
    </row>
    <row r="140" spans="1:16" x14ac:dyDescent="0.2">
      <c r="A140" s="501" t="s">
        <v>545</v>
      </c>
      <c r="B140" s="501"/>
      <c r="C140" s="501"/>
      <c r="D140" s="501"/>
      <c r="E140" s="501"/>
      <c r="F140" s="501"/>
      <c r="G140" s="501"/>
      <c r="H140" s="501"/>
      <c r="I140" s="501"/>
      <c r="J140" s="501"/>
      <c r="K140" s="501"/>
      <c r="L140" s="501"/>
      <c r="M140" s="501"/>
      <c r="N140" s="501"/>
      <c r="O140" s="239"/>
      <c r="P140" s="172"/>
    </row>
    <row r="141" spans="1:16" x14ac:dyDescent="0.2">
      <c r="A141" s="501" t="s">
        <v>33</v>
      </c>
      <c r="B141" s="501"/>
      <c r="C141" s="501"/>
      <c r="D141" s="501"/>
      <c r="E141" s="501"/>
      <c r="F141" s="501"/>
      <c r="G141" s="501"/>
      <c r="H141" s="501"/>
      <c r="I141" s="501"/>
      <c r="J141" s="501"/>
      <c r="K141" s="501"/>
      <c r="L141" s="501"/>
      <c r="M141" s="501"/>
      <c r="N141" s="501"/>
      <c r="O141" s="239"/>
      <c r="P141" s="488"/>
    </row>
    <row r="142" spans="1:16" x14ac:dyDescent="0.2">
      <c r="A142" s="291" t="s">
        <v>34</v>
      </c>
      <c r="B142" s="792"/>
      <c r="C142" s="296"/>
      <c r="D142" s="21"/>
      <c r="E142" s="22"/>
      <c r="F142" s="294"/>
      <c r="G142" s="22"/>
      <c r="H142" s="20"/>
      <c r="I142" s="20"/>
      <c r="J142" s="295"/>
      <c r="K142" s="294"/>
      <c r="L142" s="292"/>
      <c r="M142" s="292"/>
      <c r="N142" s="172"/>
    </row>
    <row r="143" spans="1:16" x14ac:dyDescent="0.2">
      <c r="A143" s="299" t="s">
        <v>36</v>
      </c>
      <c r="B143" s="792"/>
      <c r="C143" s="296"/>
      <c r="D143" s="21"/>
      <c r="E143" s="22"/>
      <c r="F143" s="294"/>
      <c r="G143" s="22"/>
      <c r="H143" s="20"/>
      <c r="I143" s="20"/>
      <c r="J143" s="295"/>
      <c r="K143" s="294"/>
      <c r="L143" s="292"/>
      <c r="M143" s="292"/>
      <c r="N143" s="172"/>
    </row>
    <row r="144" spans="1:16" x14ac:dyDescent="0.2">
      <c r="B144" s="792"/>
      <c r="C144" s="296"/>
      <c r="D144" s="21"/>
      <c r="E144" s="22"/>
      <c r="F144" s="294"/>
      <c r="G144" s="22"/>
      <c r="H144" s="20"/>
      <c r="I144" s="20"/>
      <c r="J144" s="295"/>
      <c r="K144" s="294"/>
      <c r="L144" s="292"/>
      <c r="M144" s="292"/>
      <c r="N144" s="172"/>
    </row>
    <row r="145" spans="1:15" x14ac:dyDescent="0.2">
      <c r="A145" s="21">
        <f>A137+1</f>
        <v>86</v>
      </c>
      <c r="B145" s="789" t="s">
        <v>486</v>
      </c>
      <c r="C145" s="296"/>
      <c r="D145" s="296"/>
      <c r="E145" s="296"/>
      <c r="F145" s="296"/>
      <c r="G145" s="296"/>
      <c r="H145" s="296"/>
      <c r="I145" s="297" t="s">
        <v>61</v>
      </c>
      <c r="J145" s="298"/>
      <c r="K145" s="296"/>
      <c r="L145" s="296"/>
      <c r="M145" s="296"/>
    </row>
    <row r="146" spans="1:15" x14ac:dyDescent="0.2">
      <c r="A146" s="21">
        <f>A145+1</f>
        <v>87</v>
      </c>
      <c r="C146" s="291"/>
      <c r="D146" s="291"/>
      <c r="E146" s="291"/>
      <c r="F146" s="291"/>
      <c r="G146" s="291"/>
      <c r="H146" s="291" t="s">
        <v>62</v>
      </c>
      <c r="I146" s="291" t="s">
        <v>28</v>
      </c>
      <c r="J146" s="291" t="s">
        <v>63</v>
      </c>
      <c r="L146" s="291" t="s">
        <v>62</v>
      </c>
      <c r="M146" s="291" t="s">
        <v>28</v>
      </c>
      <c r="N146" s="291" t="s">
        <v>64</v>
      </c>
    </row>
    <row r="147" spans="1:15" x14ac:dyDescent="0.2">
      <c r="A147" s="21">
        <f t="shared" ref="A147:A166" si="16">A146+1</f>
        <v>88</v>
      </c>
      <c r="B147" s="790"/>
      <c r="C147" s="291"/>
      <c r="D147" s="291"/>
      <c r="E147" s="291" t="s">
        <v>65</v>
      </c>
      <c r="F147" s="291" t="s">
        <v>66</v>
      </c>
      <c r="G147" s="291" t="s">
        <v>67</v>
      </c>
      <c r="H147" s="291" t="s">
        <v>68</v>
      </c>
      <c r="I147" s="291" t="s">
        <v>27</v>
      </c>
      <c r="J147" s="291" t="s">
        <v>62</v>
      </c>
      <c r="K147" s="291" t="s">
        <v>74</v>
      </c>
      <c r="L147" s="291" t="s">
        <v>75</v>
      </c>
      <c r="M147" s="291" t="s">
        <v>76</v>
      </c>
      <c r="N147" s="291" t="s">
        <v>77</v>
      </c>
    </row>
    <row r="148" spans="1:15" x14ac:dyDescent="0.2">
      <c r="A148" s="21">
        <f t="shared" si="16"/>
        <v>89</v>
      </c>
      <c r="B148" s="790"/>
      <c r="C148" s="299" t="s">
        <v>178</v>
      </c>
      <c r="D148" s="299" t="s">
        <v>78</v>
      </c>
      <c r="E148" s="299" t="s">
        <v>79</v>
      </c>
      <c r="F148" s="299" t="s">
        <v>39</v>
      </c>
      <c r="G148" s="299" t="s">
        <v>79</v>
      </c>
      <c r="H148" s="299" t="s">
        <v>80</v>
      </c>
      <c r="I148" s="299" t="s">
        <v>68</v>
      </c>
      <c r="J148" s="299" t="s">
        <v>68</v>
      </c>
      <c r="K148" s="299" t="s">
        <v>81</v>
      </c>
      <c r="L148" s="791">
        <v>41274</v>
      </c>
      <c r="M148" s="299" t="s">
        <v>40</v>
      </c>
      <c r="N148" s="299" t="s">
        <v>81</v>
      </c>
    </row>
    <row r="149" spans="1:15" x14ac:dyDescent="0.2">
      <c r="A149" s="21">
        <f t="shared" si="16"/>
        <v>90</v>
      </c>
      <c r="B149" s="792"/>
      <c r="C149" s="296"/>
      <c r="D149" s="21" t="s">
        <v>379</v>
      </c>
      <c r="E149" s="22">
        <v>33205</v>
      </c>
      <c r="F149" s="293">
        <v>0.11849999999999999</v>
      </c>
      <c r="G149" s="795">
        <v>2020</v>
      </c>
      <c r="H149" s="717">
        <v>1500</v>
      </c>
      <c r="I149" s="717">
        <v>1500</v>
      </c>
      <c r="J149" s="718">
        <v>100</v>
      </c>
      <c r="K149" s="300">
        <v>0.1191</v>
      </c>
      <c r="L149" s="717">
        <v>1500</v>
      </c>
      <c r="M149" s="717">
        <v>178.65</v>
      </c>
      <c r="N149" s="485"/>
    </row>
    <row r="150" spans="1:15" x14ac:dyDescent="0.2">
      <c r="A150" s="21">
        <f t="shared" si="16"/>
        <v>91</v>
      </c>
      <c r="B150" s="792"/>
      <c r="D150" s="21" t="s">
        <v>380</v>
      </c>
      <c r="E150" s="22">
        <v>33732</v>
      </c>
      <c r="F150" s="293">
        <v>9.4600000000000004E-2</v>
      </c>
      <c r="G150" s="795">
        <v>2023</v>
      </c>
      <c r="H150" s="717">
        <v>2500</v>
      </c>
      <c r="I150" s="714">
        <v>2500</v>
      </c>
      <c r="J150" s="719">
        <v>100</v>
      </c>
      <c r="K150" s="300">
        <v>9.5100000000000004E-2</v>
      </c>
      <c r="L150" s="717">
        <v>2500</v>
      </c>
      <c r="M150" s="717">
        <v>237.75</v>
      </c>
    </row>
    <row r="151" spans="1:15" x14ac:dyDescent="0.2">
      <c r="A151" s="21">
        <f t="shared" si="16"/>
        <v>92</v>
      </c>
      <c r="B151" s="792"/>
      <c r="C151" s="296"/>
      <c r="D151" s="21" t="s">
        <v>102</v>
      </c>
      <c r="E151" s="22">
        <v>36385</v>
      </c>
      <c r="F151" s="293">
        <v>6.8000000000000005E-2</v>
      </c>
      <c r="G151" s="21">
        <v>2019</v>
      </c>
      <c r="H151" s="714">
        <v>4500</v>
      </c>
      <c r="I151" s="714">
        <v>4500</v>
      </c>
      <c r="J151" s="719">
        <v>100</v>
      </c>
      <c r="K151" s="293">
        <v>6.8500000000000005E-2</v>
      </c>
      <c r="L151" s="717">
        <v>4500</v>
      </c>
      <c r="M151" s="717">
        <v>308.25</v>
      </c>
    </row>
    <row r="152" spans="1:15" x14ac:dyDescent="0.2">
      <c r="A152" s="21">
        <f t="shared" si="16"/>
        <v>93</v>
      </c>
      <c r="B152" s="792"/>
      <c r="C152" s="296"/>
      <c r="D152" s="21" t="s">
        <v>382</v>
      </c>
      <c r="E152" s="22">
        <v>37582</v>
      </c>
      <c r="F152" s="293">
        <v>6.1600000000000002E-2</v>
      </c>
      <c r="G152" s="21">
        <v>2017</v>
      </c>
      <c r="H152" s="714">
        <v>3900</v>
      </c>
      <c r="I152" s="714">
        <v>3900</v>
      </c>
      <c r="J152" s="719">
        <v>100</v>
      </c>
      <c r="K152" s="293">
        <v>6.2100000000000002E-2</v>
      </c>
      <c r="L152" s="717">
        <v>3900</v>
      </c>
      <c r="M152" s="717">
        <v>242.19</v>
      </c>
    </row>
    <row r="153" spans="1:15" x14ac:dyDescent="0.2">
      <c r="A153" s="21">
        <f t="shared" si="16"/>
        <v>94</v>
      </c>
      <c r="B153" s="792"/>
      <c r="C153" s="296"/>
      <c r="D153" s="21" t="s">
        <v>383</v>
      </c>
      <c r="E153" s="22">
        <v>38009</v>
      </c>
      <c r="F153" s="293">
        <v>5.4199999999999998E-2</v>
      </c>
      <c r="G153" s="21">
        <v>2019</v>
      </c>
      <c r="H153" s="714">
        <v>1000</v>
      </c>
      <c r="I153" s="714">
        <v>1000</v>
      </c>
      <c r="J153" s="719">
        <v>100</v>
      </c>
      <c r="K153" s="293">
        <v>5.4699999999999999E-2</v>
      </c>
      <c r="L153" s="717">
        <v>1000</v>
      </c>
      <c r="M153" s="717">
        <v>54.7</v>
      </c>
    </row>
    <row r="154" spans="1:15" x14ac:dyDescent="0.2">
      <c r="A154" s="21">
        <f t="shared" si="16"/>
        <v>95</v>
      </c>
      <c r="B154" s="792"/>
      <c r="C154" s="296"/>
      <c r="D154" s="21" t="s">
        <v>384</v>
      </c>
      <c r="E154" s="22">
        <v>38309</v>
      </c>
      <c r="F154" s="293">
        <v>5.11E-2</v>
      </c>
      <c r="G154" s="21">
        <v>2014</v>
      </c>
      <c r="H154" s="714">
        <v>500</v>
      </c>
      <c r="I154" s="714">
        <v>500</v>
      </c>
      <c r="J154" s="719">
        <v>100</v>
      </c>
      <c r="K154" s="293">
        <v>5.16E-2</v>
      </c>
      <c r="L154" s="717">
        <v>500</v>
      </c>
      <c r="M154" s="717">
        <v>25.8</v>
      </c>
    </row>
    <row r="155" spans="1:15" x14ac:dyDescent="0.2">
      <c r="A155" s="21">
        <f t="shared" si="16"/>
        <v>96</v>
      </c>
      <c r="B155" s="792"/>
      <c r="C155" s="296"/>
      <c r="D155" s="21" t="s">
        <v>385</v>
      </c>
      <c r="E155" s="22">
        <v>38677</v>
      </c>
      <c r="F155" s="293">
        <v>5.1799999999999999E-2</v>
      </c>
      <c r="G155" s="21">
        <v>2035</v>
      </c>
      <c r="H155" s="717">
        <v>4300</v>
      </c>
      <c r="I155" s="714">
        <v>4300</v>
      </c>
      <c r="J155" s="719">
        <v>100</v>
      </c>
      <c r="K155" s="293">
        <v>5.2299999999999999E-2</v>
      </c>
      <c r="L155" s="717">
        <v>4300</v>
      </c>
      <c r="M155" s="717">
        <v>224.89</v>
      </c>
    </row>
    <row r="156" spans="1:15" x14ac:dyDescent="0.2">
      <c r="A156" s="21">
        <f t="shared" si="16"/>
        <v>97</v>
      </c>
      <c r="B156" s="792"/>
      <c r="C156" s="296"/>
      <c r="D156" s="21" t="s">
        <v>386</v>
      </c>
      <c r="E156" s="22">
        <v>39041</v>
      </c>
      <c r="F156" s="293">
        <v>5.0200000000000002E-2</v>
      </c>
      <c r="G156" s="21">
        <v>2036</v>
      </c>
      <c r="H156" s="717">
        <v>3000</v>
      </c>
      <c r="I156" s="714">
        <v>3000</v>
      </c>
      <c r="J156" s="719">
        <v>100</v>
      </c>
      <c r="K156" s="293">
        <v>5.0700000000000002E-2</v>
      </c>
      <c r="L156" s="717">
        <v>3000</v>
      </c>
      <c r="M156" s="717">
        <v>152.1</v>
      </c>
    </row>
    <row r="157" spans="1:15" x14ac:dyDescent="0.2">
      <c r="A157" s="21">
        <f t="shared" si="16"/>
        <v>98</v>
      </c>
      <c r="B157" s="792"/>
      <c r="C157" s="296"/>
      <c r="D157" s="21" t="s">
        <v>13</v>
      </c>
      <c r="E157" s="22">
        <v>39594</v>
      </c>
      <c r="F157" s="293">
        <f t="shared" ref="F157:F162" si="17">+K157-0.0005</f>
        <v>5.5599999999999997E-2</v>
      </c>
      <c r="G157" s="21">
        <v>2028</v>
      </c>
      <c r="H157" s="717">
        <v>860</v>
      </c>
      <c r="I157" s="714">
        <v>860</v>
      </c>
      <c r="J157" s="719">
        <v>100</v>
      </c>
      <c r="K157" s="293">
        <v>5.6099999999999997E-2</v>
      </c>
      <c r="L157" s="717">
        <v>860</v>
      </c>
      <c r="M157" s="717">
        <v>48.245999999999995</v>
      </c>
      <c r="N157" s="485"/>
    </row>
    <row r="158" spans="1:15" x14ac:dyDescent="0.2">
      <c r="A158" s="21">
        <f t="shared" si="16"/>
        <v>99</v>
      </c>
      <c r="B158" s="792"/>
      <c r="C158" s="296"/>
      <c r="D158" s="21" t="s">
        <v>418</v>
      </c>
      <c r="E158" s="22">
        <v>39594</v>
      </c>
      <c r="F158" s="293">
        <f t="shared" si="17"/>
        <v>5.57E-2</v>
      </c>
      <c r="G158" s="21">
        <v>2038</v>
      </c>
      <c r="H158" s="714">
        <v>1290</v>
      </c>
      <c r="I158" s="714">
        <v>1290</v>
      </c>
      <c r="J158" s="719">
        <v>100</v>
      </c>
      <c r="K158" s="293">
        <v>5.62E-2</v>
      </c>
      <c r="L158" s="717">
        <v>1290</v>
      </c>
      <c r="M158" s="717">
        <v>72.498000000000005</v>
      </c>
      <c r="N158" s="341"/>
    </row>
    <row r="159" spans="1:15" x14ac:dyDescent="0.2">
      <c r="A159" s="21">
        <f t="shared" si="16"/>
        <v>100</v>
      </c>
      <c r="B159" s="792"/>
      <c r="C159" s="296"/>
      <c r="D159" s="21" t="s">
        <v>419</v>
      </c>
      <c r="E159" s="22">
        <v>39878</v>
      </c>
      <c r="F159" s="293">
        <f t="shared" si="17"/>
        <v>6.2299999999999994E-2</v>
      </c>
      <c r="G159" s="21">
        <v>2024</v>
      </c>
      <c r="H159" s="714">
        <v>2900</v>
      </c>
      <c r="I159" s="714">
        <v>2900</v>
      </c>
      <c r="J159" s="719">
        <v>100</v>
      </c>
      <c r="K159" s="293">
        <v>6.2799999999999995E-2</v>
      </c>
      <c r="L159" s="717">
        <v>2900</v>
      </c>
      <c r="M159" s="717">
        <v>182.12</v>
      </c>
      <c r="N159" s="341"/>
    </row>
    <row r="160" spans="1:15" x14ac:dyDescent="0.2">
      <c r="A160" s="21">
        <f t="shared" si="16"/>
        <v>101</v>
      </c>
      <c r="B160" s="792"/>
      <c r="C160" s="296"/>
      <c r="D160" s="21" t="s">
        <v>14</v>
      </c>
      <c r="E160" s="22">
        <v>39878</v>
      </c>
      <c r="F160" s="293">
        <f t="shared" si="17"/>
        <v>6.5000000000000002E-2</v>
      </c>
      <c r="G160" s="21">
        <v>2039</v>
      </c>
      <c r="H160" s="717">
        <v>3700</v>
      </c>
      <c r="I160" s="717">
        <v>3700</v>
      </c>
      <c r="J160" s="718">
        <v>100</v>
      </c>
      <c r="K160" s="301">
        <v>6.5500000000000003E-2</v>
      </c>
      <c r="L160" s="717">
        <v>3700</v>
      </c>
      <c r="M160" s="717">
        <v>242.35</v>
      </c>
      <c r="N160" s="485"/>
      <c r="O160" s="485"/>
    </row>
    <row r="161" spans="1:16" x14ac:dyDescent="0.2">
      <c r="A161" s="21">
        <f t="shared" si="16"/>
        <v>102</v>
      </c>
      <c r="B161" s="792"/>
      <c r="C161" s="296"/>
      <c r="D161" s="21" t="s">
        <v>692</v>
      </c>
      <c r="E161" s="22">
        <v>40840</v>
      </c>
      <c r="F161" s="293">
        <f t="shared" si="17"/>
        <v>4.53E-2</v>
      </c>
      <c r="G161" s="21">
        <v>2041</v>
      </c>
      <c r="H161" s="717">
        <v>5000</v>
      </c>
      <c r="I161" s="717">
        <v>5000</v>
      </c>
      <c r="J161" s="718">
        <v>100</v>
      </c>
      <c r="K161" s="301">
        <v>4.58E-2</v>
      </c>
      <c r="L161" s="717">
        <f>+I161</f>
        <v>5000</v>
      </c>
      <c r="M161" s="717">
        <f>+L161*K161</f>
        <v>229</v>
      </c>
      <c r="N161" s="485"/>
      <c r="O161" s="485"/>
    </row>
    <row r="162" spans="1:16" x14ac:dyDescent="0.2">
      <c r="A162" s="21">
        <f t="shared" si="16"/>
        <v>103</v>
      </c>
      <c r="B162" s="792"/>
      <c r="C162" s="296"/>
      <c r="D162" s="21" t="s">
        <v>693</v>
      </c>
      <c r="E162" s="22">
        <v>41214</v>
      </c>
      <c r="F162" s="293">
        <f t="shared" si="17"/>
        <v>3.8399999999999997E-2</v>
      </c>
      <c r="G162" s="21">
        <v>2052</v>
      </c>
      <c r="H162" s="715">
        <v>4000</v>
      </c>
      <c r="I162" s="714">
        <f>+H162</f>
        <v>4000</v>
      </c>
      <c r="J162" s="718">
        <v>100</v>
      </c>
      <c r="K162" s="293">
        <v>3.8899999999999997E-2</v>
      </c>
      <c r="L162" s="715">
        <f>+I162</f>
        <v>4000</v>
      </c>
      <c r="M162" s="715">
        <f>+L162*K162</f>
        <v>155.6</v>
      </c>
      <c r="N162" s="485"/>
    </row>
    <row r="163" spans="1:16" x14ac:dyDescent="0.2">
      <c r="A163" s="21">
        <f t="shared" si="16"/>
        <v>104</v>
      </c>
      <c r="B163" s="792"/>
      <c r="C163" s="296" t="s">
        <v>27</v>
      </c>
      <c r="D163" s="21"/>
      <c r="E163" s="22"/>
      <c r="F163" s="294"/>
      <c r="G163" s="22"/>
      <c r="H163" s="714">
        <f>SUM(H149:H162)</f>
        <v>38950</v>
      </c>
      <c r="I163" s="714"/>
      <c r="J163" s="295"/>
      <c r="K163" s="294"/>
      <c r="L163" s="714">
        <f>SUM(L149:L162)</f>
        <v>38950</v>
      </c>
      <c r="M163" s="714">
        <f>SUM(M149:M162)</f>
        <v>2354.1439999999998</v>
      </c>
      <c r="N163" s="301">
        <f>M163/L163</f>
        <v>6.0440154043645694E-2</v>
      </c>
    </row>
    <row r="164" spans="1:16" x14ac:dyDescent="0.2">
      <c r="A164" s="21">
        <f t="shared" si="16"/>
        <v>105</v>
      </c>
      <c r="B164" s="792"/>
      <c r="C164" s="296" t="s">
        <v>82</v>
      </c>
      <c r="D164" s="21"/>
      <c r="E164" s="22"/>
      <c r="F164" s="294"/>
      <c r="G164" s="22"/>
      <c r="H164" s="20"/>
      <c r="I164" s="20"/>
      <c r="J164" s="295"/>
      <c r="K164" s="294"/>
      <c r="L164" s="715">
        <f>+L134</f>
        <v>34950</v>
      </c>
      <c r="M164" s="715">
        <f>+M134</f>
        <v>2198.5439999999999</v>
      </c>
      <c r="N164" s="796">
        <f>+N134</f>
        <v>6.2905407725321882E-2</v>
      </c>
    </row>
    <row r="165" spans="1:16" x14ac:dyDescent="0.2">
      <c r="A165" s="21">
        <f t="shared" si="16"/>
        <v>106</v>
      </c>
      <c r="B165" s="792"/>
      <c r="C165" s="296" t="s">
        <v>27</v>
      </c>
      <c r="D165" s="21"/>
      <c r="E165" s="22"/>
      <c r="F165" s="294"/>
      <c r="G165" s="22"/>
      <c r="H165" s="20"/>
      <c r="I165" s="20"/>
      <c r="J165" s="295"/>
      <c r="K165" s="294"/>
      <c r="L165" s="715">
        <f>L163+L164</f>
        <v>73900</v>
      </c>
      <c r="M165" s="715">
        <f>M163+M164</f>
        <v>4552.6880000000001</v>
      </c>
      <c r="N165" s="499"/>
    </row>
    <row r="166" spans="1:16" ht="13.5" thickBot="1" x14ac:dyDescent="0.25">
      <c r="A166" s="21">
        <f t="shared" si="16"/>
        <v>107</v>
      </c>
      <c r="B166" s="792"/>
      <c r="C166" s="296" t="s">
        <v>38</v>
      </c>
      <c r="D166" s="21"/>
      <c r="E166" s="22"/>
      <c r="F166" s="294"/>
      <c r="G166" s="22"/>
      <c r="H166" s="20"/>
      <c r="I166" s="20"/>
      <c r="J166" s="295"/>
      <c r="K166" s="294"/>
      <c r="L166" s="716">
        <f>L165/2</f>
        <v>36950</v>
      </c>
      <c r="M166" s="716">
        <f>M165/2</f>
        <v>2276.3440000000001</v>
      </c>
      <c r="N166" s="27">
        <f>M166/L166</f>
        <v>6.1606062246278757E-2</v>
      </c>
    </row>
    <row r="167" spans="1:16" ht="15.75" customHeight="1" thickTop="1" x14ac:dyDescent="0.2">
      <c r="A167" s="501" t="s">
        <v>539</v>
      </c>
      <c r="B167" s="501"/>
      <c r="C167" s="501"/>
      <c r="D167" s="501"/>
      <c r="E167" s="501"/>
      <c r="F167" s="501"/>
      <c r="G167" s="501"/>
      <c r="H167" s="501"/>
      <c r="I167" s="501"/>
      <c r="J167" s="501"/>
      <c r="K167" s="501"/>
      <c r="L167" s="501"/>
      <c r="M167" s="501"/>
      <c r="N167" s="501"/>
      <c r="O167" s="172" t="s">
        <v>809</v>
      </c>
    </row>
    <row r="168" spans="1:16" x14ac:dyDescent="0.2">
      <c r="A168" s="501" t="s">
        <v>489</v>
      </c>
      <c r="B168" s="501"/>
      <c r="C168" s="501"/>
      <c r="D168" s="501"/>
      <c r="E168" s="501"/>
      <c r="F168" s="501"/>
      <c r="G168" s="501"/>
      <c r="H168" s="501"/>
      <c r="I168" s="501"/>
      <c r="J168" s="501"/>
      <c r="K168" s="501"/>
      <c r="L168" s="501"/>
      <c r="M168" s="501"/>
      <c r="N168" s="501"/>
      <c r="O168" s="172" t="s">
        <v>987</v>
      </c>
      <c r="P168" s="172"/>
    </row>
    <row r="169" spans="1:16" x14ac:dyDescent="0.2">
      <c r="A169" s="501" t="s">
        <v>545</v>
      </c>
      <c r="B169" s="501"/>
      <c r="C169" s="501"/>
      <c r="D169" s="501"/>
      <c r="E169" s="501"/>
      <c r="F169" s="501"/>
      <c r="G169" s="501"/>
      <c r="H169" s="501"/>
      <c r="I169" s="501"/>
      <c r="J169" s="501"/>
      <c r="K169" s="501"/>
      <c r="L169" s="501"/>
      <c r="M169" s="501"/>
      <c r="N169" s="501"/>
      <c r="O169" s="239"/>
      <c r="P169" s="172"/>
    </row>
    <row r="170" spans="1:16" x14ac:dyDescent="0.2">
      <c r="A170" s="501" t="s">
        <v>33</v>
      </c>
      <c r="B170" s="501"/>
      <c r="C170" s="501"/>
      <c r="D170" s="501"/>
      <c r="E170" s="501"/>
      <c r="F170" s="501"/>
      <c r="G170" s="501"/>
      <c r="H170" s="501"/>
      <c r="I170" s="501"/>
      <c r="J170" s="501"/>
      <c r="K170" s="501"/>
      <c r="L170" s="501"/>
      <c r="M170" s="501"/>
      <c r="N170" s="501"/>
      <c r="O170" s="239"/>
      <c r="P170" s="488"/>
    </row>
    <row r="171" spans="1:16" x14ac:dyDescent="0.2">
      <c r="A171" s="291" t="s">
        <v>34</v>
      </c>
      <c r="B171" s="792"/>
      <c r="C171" s="296"/>
      <c r="D171" s="21"/>
      <c r="E171" s="22"/>
      <c r="F171" s="294"/>
      <c r="G171" s="22"/>
      <c r="H171" s="20"/>
      <c r="I171" s="20"/>
      <c r="J171" s="295"/>
      <c r="K171" s="294"/>
      <c r="L171" s="292"/>
      <c r="M171" s="292"/>
      <c r="N171" s="172"/>
    </row>
    <row r="172" spans="1:16" x14ac:dyDescent="0.2">
      <c r="A172" s="299" t="s">
        <v>36</v>
      </c>
      <c r="B172" s="792"/>
      <c r="C172" s="296"/>
      <c r="D172" s="21"/>
      <c r="E172" s="22"/>
      <c r="F172" s="294"/>
      <c r="G172" s="22"/>
      <c r="H172" s="20"/>
      <c r="I172" s="20"/>
      <c r="J172" s="295"/>
      <c r="K172" s="294"/>
      <c r="L172" s="292"/>
      <c r="M172" s="292"/>
      <c r="N172" s="172"/>
    </row>
    <row r="173" spans="1:16" x14ac:dyDescent="0.2">
      <c r="B173" s="788"/>
      <c r="C173" s="298"/>
      <c r="D173" s="298"/>
      <c r="E173" s="298"/>
      <c r="F173" s="298"/>
      <c r="G173" s="298"/>
      <c r="H173" s="298"/>
      <c r="I173" s="298"/>
      <c r="J173" s="298"/>
      <c r="K173" s="298"/>
      <c r="L173" s="298"/>
      <c r="M173" s="298"/>
      <c r="N173" s="488"/>
      <c r="O173" s="569"/>
    </row>
    <row r="174" spans="1:16" x14ac:dyDescent="0.2">
      <c r="A174" s="21">
        <f>A166+1</f>
        <v>108</v>
      </c>
      <c r="B174" s="789" t="s">
        <v>543</v>
      </c>
      <c r="C174" s="296"/>
      <c r="D174" s="296"/>
      <c r="E174" s="296"/>
      <c r="F174" s="296"/>
      <c r="G174" s="296"/>
      <c r="H174" s="296"/>
      <c r="I174" s="297" t="s">
        <v>61</v>
      </c>
      <c r="J174" s="298"/>
      <c r="K174" s="296"/>
      <c r="L174" s="296"/>
      <c r="M174" s="296"/>
    </row>
    <row r="175" spans="1:16" x14ac:dyDescent="0.2">
      <c r="A175" s="21">
        <f>A174+1</f>
        <v>109</v>
      </c>
      <c r="C175" s="291"/>
      <c r="D175" s="291"/>
      <c r="E175" s="291"/>
      <c r="F175" s="291"/>
      <c r="G175" s="291"/>
      <c r="H175" s="291" t="s">
        <v>62</v>
      </c>
      <c r="I175" s="291" t="s">
        <v>28</v>
      </c>
      <c r="J175" s="291" t="s">
        <v>63</v>
      </c>
      <c r="L175" s="291" t="s">
        <v>62</v>
      </c>
      <c r="M175" s="291" t="s">
        <v>28</v>
      </c>
      <c r="N175" s="291" t="s">
        <v>64</v>
      </c>
    </row>
    <row r="176" spans="1:16" x14ac:dyDescent="0.2">
      <c r="A176" s="21">
        <f t="shared" ref="A176:A214" si="18">A175+1</f>
        <v>110</v>
      </c>
      <c r="B176" s="790"/>
      <c r="C176" s="291"/>
      <c r="D176" s="291"/>
      <c r="E176" s="291" t="s">
        <v>65</v>
      </c>
      <c r="F176" s="291" t="s">
        <v>66</v>
      </c>
      <c r="G176" s="291" t="s">
        <v>67</v>
      </c>
      <c r="H176" s="291" t="s">
        <v>68</v>
      </c>
      <c r="I176" s="291" t="s">
        <v>27</v>
      </c>
      <c r="J176" s="291" t="s">
        <v>62</v>
      </c>
      <c r="K176" s="291" t="s">
        <v>74</v>
      </c>
      <c r="L176" s="291" t="s">
        <v>75</v>
      </c>
      <c r="M176" s="291" t="s">
        <v>76</v>
      </c>
      <c r="N176" s="291" t="s">
        <v>77</v>
      </c>
    </row>
    <row r="177" spans="1:14" x14ac:dyDescent="0.2">
      <c r="A177" s="21">
        <f t="shared" si="18"/>
        <v>111</v>
      </c>
      <c r="B177" s="790"/>
      <c r="C177" s="299" t="s">
        <v>178</v>
      </c>
      <c r="D177" s="299" t="s">
        <v>78</v>
      </c>
      <c r="E177" s="299" t="s">
        <v>79</v>
      </c>
      <c r="F177" s="299" t="s">
        <v>39</v>
      </c>
      <c r="G177" s="299" t="s">
        <v>79</v>
      </c>
      <c r="H177" s="299" t="s">
        <v>80</v>
      </c>
      <c r="I177" s="299" t="s">
        <v>68</v>
      </c>
      <c r="J177" s="299" t="s">
        <v>68</v>
      </c>
      <c r="K177" s="299" t="s">
        <v>81</v>
      </c>
      <c r="L177" s="791">
        <v>39813</v>
      </c>
      <c r="M177" s="299" t="s">
        <v>40</v>
      </c>
      <c r="N177" s="299" t="s">
        <v>81</v>
      </c>
    </row>
    <row r="178" spans="1:14" x14ac:dyDescent="0.2">
      <c r="A178" s="21">
        <f t="shared" si="18"/>
        <v>112</v>
      </c>
      <c r="B178" s="792"/>
      <c r="C178" s="296"/>
      <c r="D178" s="21" t="s">
        <v>376</v>
      </c>
      <c r="E178" s="22">
        <v>32842</v>
      </c>
      <c r="F178" s="293">
        <v>0.1028</v>
      </c>
      <c r="G178" s="21">
        <v>2009</v>
      </c>
      <c r="H178" s="714">
        <v>2000</v>
      </c>
      <c r="I178" s="717">
        <f>H178</f>
        <v>2000</v>
      </c>
      <c r="J178" s="718">
        <f>I178/H178*100</f>
        <v>100</v>
      </c>
      <c r="K178" s="300">
        <v>0.1033</v>
      </c>
      <c r="L178" s="717">
        <f>I178</f>
        <v>2000</v>
      </c>
      <c r="M178" s="717">
        <f>L178*K178</f>
        <v>206.6</v>
      </c>
      <c r="N178" s="485"/>
    </row>
    <row r="179" spans="1:14" x14ac:dyDescent="0.2">
      <c r="A179" s="21">
        <f t="shared" si="18"/>
        <v>113</v>
      </c>
      <c r="B179" s="792"/>
      <c r="C179" s="296"/>
      <c r="D179" s="21" t="s">
        <v>379</v>
      </c>
      <c r="E179" s="22">
        <v>33205</v>
      </c>
      <c r="F179" s="293">
        <v>0.11849999999999999</v>
      </c>
      <c r="G179" s="21">
        <v>2020</v>
      </c>
      <c r="H179" s="717">
        <v>1500</v>
      </c>
      <c r="I179" s="717">
        <f t="shared" ref="I179:I184" si="19">H179</f>
        <v>1500</v>
      </c>
      <c r="J179" s="718">
        <f t="shared" ref="J179:J184" si="20">I179/H179*100</f>
        <v>100</v>
      </c>
      <c r="K179" s="300">
        <v>0.1191</v>
      </c>
      <c r="L179" s="717">
        <f t="shared" ref="L179:L185" si="21">I179</f>
        <v>1500</v>
      </c>
      <c r="M179" s="717">
        <f t="shared" ref="M179:M185" si="22">L179*K179</f>
        <v>178.65</v>
      </c>
      <c r="N179" s="485"/>
    </row>
    <row r="180" spans="1:14" x14ac:dyDescent="0.2">
      <c r="A180" s="21">
        <f t="shared" si="18"/>
        <v>114</v>
      </c>
      <c r="B180" s="792"/>
      <c r="C180" s="296"/>
      <c r="D180" s="21" t="s">
        <v>380</v>
      </c>
      <c r="E180" s="22">
        <v>33732</v>
      </c>
      <c r="F180" s="293">
        <v>9.4600000000000004E-2</v>
      </c>
      <c r="G180" s="21">
        <v>2023</v>
      </c>
      <c r="H180" s="717">
        <v>2500</v>
      </c>
      <c r="I180" s="717">
        <f t="shared" si="19"/>
        <v>2500</v>
      </c>
      <c r="J180" s="718">
        <f t="shared" si="20"/>
        <v>100</v>
      </c>
      <c r="K180" s="300">
        <v>9.5100000000000004E-2</v>
      </c>
      <c r="L180" s="717">
        <f t="shared" si="21"/>
        <v>2500</v>
      </c>
      <c r="M180" s="717">
        <f t="shared" si="22"/>
        <v>237.75</v>
      </c>
      <c r="N180" s="485"/>
    </row>
    <row r="181" spans="1:14" x14ac:dyDescent="0.2">
      <c r="A181" s="21">
        <f t="shared" si="18"/>
        <v>115</v>
      </c>
      <c r="B181" s="792"/>
      <c r="C181" s="296"/>
      <c r="D181" s="21" t="s">
        <v>102</v>
      </c>
      <c r="E181" s="22">
        <v>36385</v>
      </c>
      <c r="F181" s="293">
        <v>6.8000000000000005E-2</v>
      </c>
      <c r="G181" s="21">
        <v>2019</v>
      </c>
      <c r="H181" s="714">
        <v>4500</v>
      </c>
      <c r="I181" s="717">
        <f t="shared" si="19"/>
        <v>4500</v>
      </c>
      <c r="J181" s="718">
        <f t="shared" si="20"/>
        <v>100</v>
      </c>
      <c r="K181" s="293">
        <v>6.8500000000000005E-2</v>
      </c>
      <c r="L181" s="717">
        <f t="shared" si="21"/>
        <v>4500</v>
      </c>
      <c r="M181" s="717">
        <f t="shared" si="22"/>
        <v>308.25</v>
      </c>
      <c r="N181" s="485"/>
    </row>
    <row r="182" spans="1:14" x14ac:dyDescent="0.2">
      <c r="A182" s="21">
        <f t="shared" si="18"/>
        <v>116</v>
      </c>
      <c r="B182" s="792"/>
      <c r="C182" s="296"/>
      <c r="D182" s="21" t="s">
        <v>381</v>
      </c>
      <c r="E182" s="22">
        <v>36679</v>
      </c>
      <c r="F182" s="293">
        <v>7.0000000000000007E-2</v>
      </c>
      <c r="G182" s="21">
        <v>2008</v>
      </c>
      <c r="H182" s="714">
        <v>0</v>
      </c>
      <c r="I182" s="717">
        <f t="shared" si="19"/>
        <v>0</v>
      </c>
      <c r="J182" s="718">
        <v>0</v>
      </c>
      <c r="K182" s="293">
        <v>7.0499999999999993E-2</v>
      </c>
      <c r="L182" s="717">
        <v>0</v>
      </c>
      <c r="M182" s="717">
        <f t="shared" si="22"/>
        <v>0</v>
      </c>
      <c r="N182" s="485"/>
    </row>
    <row r="183" spans="1:14" x14ac:dyDescent="0.2">
      <c r="A183" s="21">
        <f t="shared" si="18"/>
        <v>117</v>
      </c>
      <c r="B183" s="792"/>
      <c r="C183" s="296"/>
      <c r="D183" s="21" t="s">
        <v>382</v>
      </c>
      <c r="E183" s="22">
        <v>37582</v>
      </c>
      <c r="F183" s="293">
        <v>6.1600000000000002E-2</v>
      </c>
      <c r="G183" s="21">
        <v>2017</v>
      </c>
      <c r="H183" s="714">
        <v>3900</v>
      </c>
      <c r="I183" s="717">
        <f t="shared" si="19"/>
        <v>3900</v>
      </c>
      <c r="J183" s="718">
        <f t="shared" si="20"/>
        <v>100</v>
      </c>
      <c r="K183" s="293">
        <v>6.2100000000000002E-2</v>
      </c>
      <c r="L183" s="717">
        <f t="shared" si="21"/>
        <v>3900</v>
      </c>
      <c r="M183" s="717">
        <f t="shared" si="22"/>
        <v>242.19</v>
      </c>
      <c r="N183" s="485"/>
    </row>
    <row r="184" spans="1:14" x14ac:dyDescent="0.2">
      <c r="A184" s="21">
        <f t="shared" si="18"/>
        <v>118</v>
      </c>
      <c r="B184" s="792"/>
      <c r="C184" s="296"/>
      <c r="D184" s="21" t="s">
        <v>383</v>
      </c>
      <c r="E184" s="22">
        <v>38009</v>
      </c>
      <c r="F184" s="293">
        <v>5.4199999999999998E-2</v>
      </c>
      <c r="G184" s="21">
        <v>2019</v>
      </c>
      <c r="H184" s="714">
        <v>1000</v>
      </c>
      <c r="I184" s="717">
        <f t="shared" si="19"/>
        <v>1000</v>
      </c>
      <c r="J184" s="718">
        <f t="shared" si="20"/>
        <v>100</v>
      </c>
      <c r="K184" s="293">
        <v>5.4699999999999999E-2</v>
      </c>
      <c r="L184" s="717">
        <f t="shared" si="21"/>
        <v>1000</v>
      </c>
      <c r="M184" s="717">
        <f t="shared" si="22"/>
        <v>54.699999999999996</v>
      </c>
      <c r="N184" s="485"/>
    </row>
    <row r="185" spans="1:14" x14ac:dyDescent="0.2">
      <c r="A185" s="21">
        <f t="shared" si="18"/>
        <v>119</v>
      </c>
      <c r="B185" s="792"/>
      <c r="D185" s="21" t="s">
        <v>384</v>
      </c>
      <c r="E185" s="22">
        <v>38309</v>
      </c>
      <c r="F185" s="293">
        <v>5.11E-2</v>
      </c>
      <c r="G185" s="21">
        <v>2014</v>
      </c>
      <c r="H185" s="714">
        <v>500</v>
      </c>
      <c r="I185" s="714">
        <f>H185</f>
        <v>500</v>
      </c>
      <c r="J185" s="719">
        <f>I185/H185*100</f>
        <v>100</v>
      </c>
      <c r="K185" s="293">
        <v>5.16E-2</v>
      </c>
      <c r="L185" s="717">
        <f t="shared" si="21"/>
        <v>500</v>
      </c>
      <c r="M185" s="717">
        <f t="shared" si="22"/>
        <v>25.8</v>
      </c>
    </row>
    <row r="186" spans="1:14" x14ac:dyDescent="0.2">
      <c r="A186" s="21">
        <f t="shared" si="18"/>
        <v>120</v>
      </c>
      <c r="B186" s="792"/>
      <c r="C186" s="296"/>
      <c r="D186" s="21" t="s">
        <v>385</v>
      </c>
      <c r="E186" s="22">
        <v>38677</v>
      </c>
      <c r="F186" s="293">
        <v>5.1799999999999999E-2</v>
      </c>
      <c r="G186" s="21">
        <v>2035</v>
      </c>
      <c r="H186" s="714">
        <v>4300</v>
      </c>
      <c r="I186" s="714">
        <f>H186</f>
        <v>4300</v>
      </c>
      <c r="J186" s="719">
        <f>I186/H186*100</f>
        <v>100</v>
      </c>
      <c r="K186" s="293">
        <v>5.2299999999999999E-2</v>
      </c>
      <c r="L186" s="717">
        <f>I186</f>
        <v>4300</v>
      </c>
      <c r="M186" s="717">
        <f>L186*K186</f>
        <v>224.89</v>
      </c>
    </row>
    <row r="187" spans="1:14" x14ac:dyDescent="0.2">
      <c r="A187" s="21">
        <f t="shared" si="18"/>
        <v>121</v>
      </c>
      <c r="B187" s="792"/>
      <c r="C187" s="296"/>
      <c r="D187" s="21" t="s">
        <v>386</v>
      </c>
      <c r="E187" s="22">
        <v>39041</v>
      </c>
      <c r="F187" s="293">
        <v>5.0200000000000002E-2</v>
      </c>
      <c r="G187" s="21">
        <v>2036</v>
      </c>
      <c r="H187" s="717">
        <v>3000</v>
      </c>
      <c r="I187" s="717">
        <f>H187</f>
        <v>3000</v>
      </c>
      <c r="J187" s="718">
        <f>I187/H187*100</f>
        <v>100</v>
      </c>
      <c r="K187" s="293">
        <v>5.0700000000000002E-2</v>
      </c>
      <c r="L187" s="717">
        <f>I187</f>
        <v>3000</v>
      </c>
      <c r="M187" s="717">
        <f>L187*K187</f>
        <v>152.1</v>
      </c>
    </row>
    <row r="188" spans="1:14" x14ac:dyDescent="0.2">
      <c r="A188" s="21">
        <f t="shared" si="18"/>
        <v>122</v>
      </c>
      <c r="B188" s="792"/>
      <c r="C188" s="296"/>
      <c r="D188" s="21" t="s">
        <v>418</v>
      </c>
      <c r="E188" s="22">
        <v>39772</v>
      </c>
      <c r="F188" s="293">
        <f>+K188-0.005</f>
        <v>5.1230000000000005E-2</v>
      </c>
      <c r="G188" s="21">
        <v>2038</v>
      </c>
      <c r="H188" s="715">
        <v>6242</v>
      </c>
      <c r="I188" s="717">
        <f>H188</f>
        <v>6242</v>
      </c>
      <c r="J188" s="718">
        <f>I188/H188*100</f>
        <v>100</v>
      </c>
      <c r="K188" s="294">
        <v>5.6230000000000002E-2</v>
      </c>
      <c r="L188" s="715">
        <f>I188</f>
        <v>6242</v>
      </c>
      <c r="M188" s="715">
        <f>L188*K188</f>
        <v>350.98766000000001</v>
      </c>
    </row>
    <row r="189" spans="1:14" x14ac:dyDescent="0.2">
      <c r="A189" s="21">
        <f t="shared" si="18"/>
        <v>123</v>
      </c>
      <c r="B189" s="792"/>
      <c r="C189" s="296" t="s">
        <v>27</v>
      </c>
      <c r="D189" s="21"/>
      <c r="E189" s="22"/>
      <c r="F189" s="294"/>
      <c r="G189" s="22"/>
      <c r="H189" s="714">
        <f>SUM(H178:H188)</f>
        <v>29442</v>
      </c>
      <c r="I189" s="714"/>
      <c r="J189" s="295"/>
      <c r="K189" s="294"/>
      <c r="L189" s="714">
        <f>SUM(L178:L188)</f>
        <v>29442</v>
      </c>
      <c r="M189" s="714">
        <f>SUM(M178:M188)</f>
        <v>1981.9176599999998</v>
      </c>
      <c r="N189" s="24">
        <f>M189/L189</f>
        <v>6.731599959241899E-2</v>
      </c>
    </row>
    <row r="190" spans="1:14" x14ac:dyDescent="0.2">
      <c r="A190" s="21">
        <f t="shared" si="18"/>
        <v>124</v>
      </c>
      <c r="B190" s="792"/>
      <c r="C190" s="296" t="s">
        <v>82</v>
      </c>
      <c r="D190" s="21"/>
      <c r="E190" s="22"/>
      <c r="F190" s="294"/>
      <c r="G190" s="22"/>
      <c r="H190" s="20"/>
      <c r="I190" s="20"/>
      <c r="J190" s="295"/>
      <c r="K190" s="294"/>
      <c r="L190" s="715">
        <f>L41</f>
        <v>23800</v>
      </c>
      <c r="M190" s="715">
        <f>M41</f>
        <v>1673.23</v>
      </c>
      <c r="N190" s="25">
        <f>M190/L190</f>
        <v>7.0303781512605037E-2</v>
      </c>
    </row>
    <row r="191" spans="1:14" x14ac:dyDescent="0.2">
      <c r="A191" s="21">
        <f t="shared" si="18"/>
        <v>125</v>
      </c>
      <c r="B191" s="792"/>
      <c r="C191" s="296" t="s">
        <v>27</v>
      </c>
      <c r="D191" s="21"/>
      <c r="E191" s="22"/>
      <c r="F191" s="294"/>
      <c r="G191" s="22"/>
      <c r="H191" s="20"/>
      <c r="I191" s="20"/>
      <c r="J191" s="295"/>
      <c r="K191" s="294"/>
      <c r="L191" s="715">
        <f>SUM(L189:L190)</f>
        <v>53242</v>
      </c>
      <c r="M191" s="715">
        <f>SUM(M189:M190)</f>
        <v>3655.1476599999996</v>
      </c>
      <c r="N191" s="499"/>
    </row>
    <row r="192" spans="1:14" ht="13.5" thickBot="1" x14ac:dyDescent="0.25">
      <c r="A192" s="21">
        <f t="shared" si="18"/>
        <v>126</v>
      </c>
      <c r="B192" s="792"/>
      <c r="C192" s="296" t="s">
        <v>38</v>
      </c>
      <c r="D192" s="21"/>
      <c r="E192" s="22"/>
      <c r="F192" s="294"/>
      <c r="G192" s="22"/>
      <c r="H192" s="20"/>
      <c r="I192" s="20"/>
      <c r="J192" s="295"/>
      <c r="K192" s="294"/>
      <c r="L192" s="716">
        <f>L191/2</f>
        <v>26621</v>
      </c>
      <c r="M192" s="716">
        <f>M191/2</f>
        <v>1827.5738299999998</v>
      </c>
      <c r="N192" s="27">
        <f>M192/L192</f>
        <v>6.8651584463393561E-2</v>
      </c>
    </row>
    <row r="193" spans="1:14" ht="13.5" thickTop="1" x14ac:dyDescent="0.2">
      <c r="A193" s="21">
        <f t="shared" si="18"/>
        <v>127</v>
      </c>
    </row>
    <row r="194" spans="1:14" x14ac:dyDescent="0.2">
      <c r="A194" s="21">
        <f t="shared" si="18"/>
        <v>128</v>
      </c>
    </row>
    <row r="195" spans="1:14" x14ac:dyDescent="0.2">
      <c r="A195" s="21">
        <f t="shared" si="18"/>
        <v>129</v>
      </c>
    </row>
    <row r="196" spans="1:14" x14ac:dyDescent="0.2">
      <c r="A196" s="21">
        <f t="shared" si="18"/>
        <v>130</v>
      </c>
      <c r="B196" s="789" t="s">
        <v>544</v>
      </c>
      <c r="C196" s="296"/>
      <c r="D196" s="296"/>
      <c r="E196" s="296"/>
      <c r="F196" s="296"/>
      <c r="G196" s="296"/>
      <c r="H196" s="296"/>
      <c r="I196" s="297" t="s">
        <v>61</v>
      </c>
      <c r="J196" s="298"/>
      <c r="K196" s="296"/>
      <c r="L196" s="296"/>
      <c r="M196" s="296"/>
    </row>
    <row r="197" spans="1:14" x14ac:dyDescent="0.2">
      <c r="A197" s="21">
        <f t="shared" si="18"/>
        <v>131</v>
      </c>
      <c r="C197" s="291"/>
      <c r="D197" s="291"/>
      <c r="E197" s="291"/>
      <c r="F197" s="291"/>
      <c r="G197" s="291"/>
      <c r="H197" s="291" t="s">
        <v>62</v>
      </c>
      <c r="I197" s="291" t="s">
        <v>28</v>
      </c>
      <c r="J197" s="291" t="s">
        <v>63</v>
      </c>
      <c r="L197" s="291" t="s">
        <v>62</v>
      </c>
      <c r="M197" s="291" t="s">
        <v>28</v>
      </c>
      <c r="N197" s="291" t="s">
        <v>64</v>
      </c>
    </row>
    <row r="198" spans="1:14" x14ac:dyDescent="0.2">
      <c r="A198" s="21">
        <f t="shared" si="18"/>
        <v>132</v>
      </c>
      <c r="B198" s="790"/>
      <c r="C198" s="291"/>
      <c r="D198" s="291"/>
      <c r="E198" s="291" t="s">
        <v>65</v>
      </c>
      <c r="F198" s="291" t="s">
        <v>66</v>
      </c>
      <c r="G198" s="291" t="s">
        <v>67</v>
      </c>
      <c r="H198" s="291" t="s">
        <v>68</v>
      </c>
      <c r="I198" s="291" t="s">
        <v>27</v>
      </c>
      <c r="J198" s="291" t="s">
        <v>62</v>
      </c>
      <c r="K198" s="291" t="s">
        <v>74</v>
      </c>
      <c r="L198" s="291" t="s">
        <v>75</v>
      </c>
      <c r="M198" s="291" t="s">
        <v>76</v>
      </c>
      <c r="N198" s="291" t="s">
        <v>77</v>
      </c>
    </row>
    <row r="199" spans="1:14" x14ac:dyDescent="0.2">
      <c r="A199" s="21">
        <f t="shared" si="18"/>
        <v>133</v>
      </c>
      <c r="B199" s="790"/>
      <c r="C199" s="299" t="s">
        <v>178</v>
      </c>
      <c r="D199" s="299" t="s">
        <v>78</v>
      </c>
      <c r="E199" s="299" t="s">
        <v>79</v>
      </c>
      <c r="F199" s="299" t="s">
        <v>39</v>
      </c>
      <c r="G199" s="299" t="s">
        <v>79</v>
      </c>
      <c r="H199" s="299" t="s">
        <v>80</v>
      </c>
      <c r="I199" s="299" t="s">
        <v>68</v>
      </c>
      <c r="J199" s="299" t="s">
        <v>68</v>
      </c>
      <c r="K199" s="299" t="s">
        <v>81</v>
      </c>
      <c r="L199" s="791">
        <v>40178</v>
      </c>
      <c r="M199" s="299" t="s">
        <v>40</v>
      </c>
      <c r="N199" s="299" t="s">
        <v>81</v>
      </c>
    </row>
    <row r="200" spans="1:14" x14ac:dyDescent="0.2">
      <c r="A200" s="21">
        <f t="shared" si="18"/>
        <v>134</v>
      </c>
      <c r="B200" s="792"/>
      <c r="C200" s="296"/>
      <c r="D200" s="21" t="s">
        <v>379</v>
      </c>
      <c r="E200" s="22">
        <v>33205</v>
      </c>
      <c r="F200" s="293">
        <v>0.11849999999999999</v>
      </c>
      <c r="G200" s="21">
        <v>2020</v>
      </c>
      <c r="H200" s="717">
        <v>1500</v>
      </c>
      <c r="I200" s="717">
        <f t="shared" ref="I200:I207" si="23">H200</f>
        <v>1500</v>
      </c>
      <c r="J200" s="718">
        <f t="shared" ref="J200:J207" si="24">I200/H200*100</f>
        <v>100</v>
      </c>
      <c r="K200" s="300">
        <v>0.1191</v>
      </c>
      <c r="L200" s="717">
        <f t="shared" ref="L200:L206" si="25">I200</f>
        <v>1500</v>
      </c>
      <c r="M200" s="717">
        <f t="shared" ref="M200:M206" si="26">L200*K200</f>
        <v>178.65</v>
      </c>
      <c r="N200" s="485"/>
    </row>
    <row r="201" spans="1:14" x14ac:dyDescent="0.2">
      <c r="A201" s="21">
        <f t="shared" si="18"/>
        <v>135</v>
      </c>
      <c r="B201" s="792"/>
      <c r="C201" s="296"/>
      <c r="D201" s="21" t="s">
        <v>380</v>
      </c>
      <c r="E201" s="22">
        <v>33732</v>
      </c>
      <c r="F201" s="293">
        <v>9.4600000000000004E-2</v>
      </c>
      <c r="G201" s="21">
        <v>2023</v>
      </c>
      <c r="H201" s="717">
        <v>2500</v>
      </c>
      <c r="I201" s="717">
        <f t="shared" si="23"/>
        <v>2500</v>
      </c>
      <c r="J201" s="718">
        <f t="shared" si="24"/>
        <v>100</v>
      </c>
      <c r="K201" s="300">
        <v>9.5100000000000004E-2</v>
      </c>
      <c r="L201" s="717">
        <f t="shared" si="25"/>
        <v>2500</v>
      </c>
      <c r="M201" s="717">
        <f t="shared" si="26"/>
        <v>237.75</v>
      </c>
      <c r="N201" s="485"/>
    </row>
    <row r="202" spans="1:14" x14ac:dyDescent="0.2">
      <c r="A202" s="21">
        <f t="shared" si="18"/>
        <v>136</v>
      </c>
      <c r="B202" s="792"/>
      <c r="C202" s="296"/>
      <c r="D202" s="21" t="s">
        <v>102</v>
      </c>
      <c r="E202" s="22">
        <v>36385</v>
      </c>
      <c r="F202" s="293">
        <v>6.8000000000000005E-2</v>
      </c>
      <c r="G202" s="21">
        <v>2019</v>
      </c>
      <c r="H202" s="714">
        <v>4500</v>
      </c>
      <c r="I202" s="717">
        <f t="shared" si="23"/>
        <v>4500</v>
      </c>
      <c r="J202" s="718">
        <f t="shared" si="24"/>
        <v>100</v>
      </c>
      <c r="K202" s="293">
        <v>6.8500000000000005E-2</v>
      </c>
      <c r="L202" s="717">
        <f t="shared" si="25"/>
        <v>4500</v>
      </c>
      <c r="M202" s="717">
        <f t="shared" si="26"/>
        <v>308.25</v>
      </c>
      <c r="N202" s="485"/>
    </row>
    <row r="203" spans="1:14" x14ac:dyDescent="0.2">
      <c r="A203" s="21">
        <f t="shared" si="18"/>
        <v>137</v>
      </c>
      <c r="B203" s="792"/>
      <c r="C203" s="296"/>
      <c r="D203" s="21" t="s">
        <v>381</v>
      </c>
      <c r="E203" s="22">
        <v>36679</v>
      </c>
      <c r="F203" s="293">
        <v>7.0000000000000007E-2</v>
      </c>
      <c r="G203" s="21">
        <v>2008</v>
      </c>
      <c r="H203" s="714">
        <v>0</v>
      </c>
      <c r="I203" s="717">
        <f t="shared" si="23"/>
        <v>0</v>
      </c>
      <c r="J203" s="718">
        <v>0</v>
      </c>
      <c r="K203" s="293">
        <v>7.0499999999999993E-2</v>
      </c>
      <c r="L203" s="717">
        <v>0</v>
      </c>
      <c r="M203" s="717">
        <f t="shared" si="26"/>
        <v>0</v>
      </c>
      <c r="N203" s="485"/>
    </row>
    <row r="204" spans="1:14" x14ac:dyDescent="0.2">
      <c r="A204" s="21">
        <f t="shared" si="18"/>
        <v>138</v>
      </c>
      <c r="B204" s="792"/>
      <c r="C204" s="296"/>
      <c r="D204" s="21" t="s">
        <v>382</v>
      </c>
      <c r="E204" s="22">
        <v>37582</v>
      </c>
      <c r="F204" s="293">
        <v>6.1600000000000002E-2</v>
      </c>
      <c r="G204" s="21">
        <v>2017</v>
      </c>
      <c r="H204" s="714">
        <v>3900</v>
      </c>
      <c r="I204" s="717">
        <f t="shared" si="23"/>
        <v>3900</v>
      </c>
      <c r="J204" s="718">
        <f t="shared" si="24"/>
        <v>100</v>
      </c>
      <c r="K204" s="293">
        <v>6.2100000000000002E-2</v>
      </c>
      <c r="L204" s="717">
        <f t="shared" si="25"/>
        <v>3900</v>
      </c>
      <c r="M204" s="717">
        <f t="shared" si="26"/>
        <v>242.19</v>
      </c>
      <c r="N204" s="485"/>
    </row>
    <row r="205" spans="1:14" x14ac:dyDescent="0.2">
      <c r="A205" s="21">
        <f t="shared" si="18"/>
        <v>139</v>
      </c>
      <c r="B205" s="792"/>
      <c r="C205" s="296"/>
      <c r="D205" s="21" t="s">
        <v>383</v>
      </c>
      <c r="E205" s="22">
        <v>38009</v>
      </c>
      <c r="F205" s="293">
        <v>5.4199999999999998E-2</v>
      </c>
      <c r="G205" s="21">
        <v>2019</v>
      </c>
      <c r="H205" s="714">
        <v>1000</v>
      </c>
      <c r="I205" s="717">
        <f t="shared" si="23"/>
        <v>1000</v>
      </c>
      <c r="J205" s="718">
        <f t="shared" si="24"/>
        <v>100</v>
      </c>
      <c r="K205" s="293">
        <v>5.4699999999999999E-2</v>
      </c>
      <c r="L205" s="717">
        <f t="shared" si="25"/>
        <v>1000</v>
      </c>
      <c r="M205" s="717">
        <f t="shared" si="26"/>
        <v>54.699999999999996</v>
      </c>
      <c r="N205" s="485"/>
    </row>
    <row r="206" spans="1:14" x14ac:dyDescent="0.2">
      <c r="A206" s="21">
        <f t="shared" si="18"/>
        <v>140</v>
      </c>
      <c r="B206" s="792"/>
      <c r="C206" s="296"/>
      <c r="D206" s="21" t="s">
        <v>384</v>
      </c>
      <c r="E206" s="22">
        <v>38309</v>
      </c>
      <c r="F206" s="293">
        <v>5.11E-2</v>
      </c>
      <c r="G206" s="21">
        <v>2014</v>
      </c>
      <c r="H206" s="714">
        <v>500</v>
      </c>
      <c r="I206" s="717">
        <f t="shared" si="23"/>
        <v>500</v>
      </c>
      <c r="J206" s="718">
        <f t="shared" si="24"/>
        <v>100</v>
      </c>
      <c r="K206" s="293">
        <v>5.16E-2</v>
      </c>
      <c r="L206" s="717">
        <f t="shared" si="25"/>
        <v>500</v>
      </c>
      <c r="M206" s="717">
        <f t="shared" si="26"/>
        <v>25.8</v>
      </c>
      <c r="N206" s="485"/>
    </row>
    <row r="207" spans="1:14" x14ac:dyDescent="0.2">
      <c r="A207" s="21">
        <f t="shared" si="18"/>
        <v>141</v>
      </c>
      <c r="B207" s="792"/>
      <c r="D207" s="21" t="s">
        <v>385</v>
      </c>
      <c r="E207" s="22">
        <v>38677</v>
      </c>
      <c r="F207" s="293">
        <v>5.1799999999999999E-2</v>
      </c>
      <c r="G207" s="21">
        <v>2035</v>
      </c>
      <c r="H207" s="714">
        <v>4300</v>
      </c>
      <c r="I207" s="717">
        <f t="shared" si="23"/>
        <v>4300</v>
      </c>
      <c r="J207" s="718">
        <f t="shared" si="24"/>
        <v>100</v>
      </c>
      <c r="K207" s="293">
        <v>5.2299999999999999E-2</v>
      </c>
      <c r="L207" s="717">
        <f>I207</f>
        <v>4300</v>
      </c>
      <c r="M207" s="717">
        <f>L207*K207</f>
        <v>224.89</v>
      </c>
    </row>
    <row r="208" spans="1:14" x14ac:dyDescent="0.2">
      <c r="A208" s="21">
        <f t="shared" si="18"/>
        <v>142</v>
      </c>
      <c r="B208" s="792"/>
      <c r="C208" s="296"/>
      <c r="D208" s="21" t="s">
        <v>386</v>
      </c>
      <c r="E208" s="22">
        <v>39041</v>
      </c>
      <c r="F208" s="293">
        <v>5.0200000000000002E-2</v>
      </c>
      <c r="G208" s="21">
        <v>2036</v>
      </c>
      <c r="H208" s="717">
        <v>3000</v>
      </c>
      <c r="I208" s="717">
        <f>H208</f>
        <v>3000</v>
      </c>
      <c r="J208" s="718">
        <f>I208/H208*100</f>
        <v>100</v>
      </c>
      <c r="K208" s="301">
        <v>5.0700000000000002E-2</v>
      </c>
      <c r="L208" s="717">
        <f>I208</f>
        <v>3000</v>
      </c>
      <c r="M208" s="717">
        <f>L208*K208</f>
        <v>152.1</v>
      </c>
      <c r="N208" s="485"/>
    </row>
    <row r="209" spans="1:16" x14ac:dyDescent="0.2">
      <c r="A209" s="21">
        <f t="shared" si="18"/>
        <v>143</v>
      </c>
      <c r="B209" s="792"/>
      <c r="C209" s="296"/>
      <c r="D209" s="21" t="s">
        <v>418</v>
      </c>
      <c r="E209" s="22">
        <v>39772</v>
      </c>
      <c r="F209" s="293">
        <f>+F188</f>
        <v>5.1230000000000005E-2</v>
      </c>
      <c r="G209" s="21">
        <v>2038</v>
      </c>
      <c r="H209" s="717">
        <f>+H188</f>
        <v>6242</v>
      </c>
      <c r="I209" s="714">
        <f>H209</f>
        <v>6242</v>
      </c>
      <c r="J209" s="719">
        <f>I209/H209*100</f>
        <v>100</v>
      </c>
      <c r="K209" s="294">
        <f>+K188</f>
        <v>5.6230000000000002E-2</v>
      </c>
      <c r="L209" s="717">
        <f>I209</f>
        <v>6242</v>
      </c>
      <c r="M209" s="717">
        <f>L209*K209</f>
        <v>350.98766000000001</v>
      </c>
    </row>
    <row r="210" spans="1:16" x14ac:dyDescent="0.2">
      <c r="A210" s="21">
        <f t="shared" si="18"/>
        <v>144</v>
      </c>
      <c r="B210" s="792"/>
      <c r="C210" s="296"/>
      <c r="D210" s="21" t="s">
        <v>419</v>
      </c>
      <c r="E210" s="22">
        <v>40137</v>
      </c>
      <c r="F210" s="293">
        <v>6.5500000000000003E-2</v>
      </c>
      <c r="G210" s="21">
        <v>2039</v>
      </c>
      <c r="H210" s="715">
        <v>2576</v>
      </c>
      <c r="I210" s="714">
        <f>H210</f>
        <v>2576</v>
      </c>
      <c r="J210" s="719">
        <f>I210/H210*100</f>
        <v>100</v>
      </c>
      <c r="K210" s="293">
        <v>6.6000000000000003E-2</v>
      </c>
      <c r="L210" s="715">
        <f>I210</f>
        <v>2576</v>
      </c>
      <c r="M210" s="715">
        <f>L210*K210</f>
        <v>170.01600000000002</v>
      </c>
    </row>
    <row r="211" spans="1:16" x14ac:dyDescent="0.2">
      <c r="A211" s="21">
        <f t="shared" si="18"/>
        <v>145</v>
      </c>
      <c r="B211" s="792"/>
      <c r="C211" s="296" t="s">
        <v>27</v>
      </c>
      <c r="D211" s="21"/>
      <c r="E211" s="22"/>
      <c r="F211" s="294"/>
      <c r="G211" s="22"/>
      <c r="H211" s="714">
        <f>SUM(H200:H210)</f>
        <v>30018</v>
      </c>
      <c r="I211" s="714"/>
      <c r="J211" s="295"/>
      <c r="K211" s="294"/>
      <c r="L211" s="714">
        <f>SUM(L200:L210)</f>
        <v>30018</v>
      </c>
      <c r="M211" s="714">
        <f>SUM(M200:M210)</f>
        <v>1945.33366</v>
      </c>
      <c r="N211" s="24">
        <f>M211/L211</f>
        <v>6.4805571990139255E-2</v>
      </c>
    </row>
    <row r="212" spans="1:16" x14ac:dyDescent="0.2">
      <c r="A212" s="21">
        <f t="shared" si="18"/>
        <v>146</v>
      </c>
      <c r="B212" s="792"/>
      <c r="C212" s="296" t="s">
        <v>82</v>
      </c>
      <c r="D212" s="21"/>
      <c r="E212" s="22"/>
      <c r="F212" s="294"/>
      <c r="G212" s="22"/>
      <c r="H212" s="20"/>
      <c r="I212" s="20"/>
      <c r="J212" s="295"/>
      <c r="K212" s="294"/>
      <c r="L212" s="715">
        <f>L189</f>
        <v>29442</v>
      </c>
      <c r="M212" s="715">
        <f>M189</f>
        <v>1981.9176599999998</v>
      </c>
      <c r="N212" s="25">
        <f>M212/L212</f>
        <v>6.731599959241899E-2</v>
      </c>
    </row>
    <row r="213" spans="1:16" x14ac:dyDescent="0.2">
      <c r="A213" s="21">
        <f t="shared" si="18"/>
        <v>147</v>
      </c>
      <c r="B213" s="792"/>
      <c r="C213" s="296" t="s">
        <v>27</v>
      </c>
      <c r="D213" s="21"/>
      <c r="E213" s="22"/>
      <c r="F213" s="294"/>
      <c r="G213" s="22"/>
      <c r="H213" s="20"/>
      <c r="I213" s="20"/>
      <c r="J213" s="295"/>
      <c r="K213" s="294"/>
      <c r="L213" s="715">
        <f>SUM(L211:L212)</f>
        <v>59460</v>
      </c>
      <c r="M213" s="715">
        <f>SUM(M211:M212)</f>
        <v>3927.2513199999999</v>
      </c>
      <c r="N213" s="499"/>
    </row>
    <row r="214" spans="1:16" ht="13.5" thickBot="1" x14ac:dyDescent="0.25">
      <c r="A214" s="21">
        <f t="shared" si="18"/>
        <v>148</v>
      </c>
      <c r="B214" s="792"/>
      <c r="C214" s="296" t="s">
        <v>38</v>
      </c>
      <c r="D214" s="21"/>
      <c r="E214" s="22"/>
      <c r="F214" s="294"/>
      <c r="G214" s="22"/>
      <c r="H214" s="20"/>
      <c r="I214" s="20"/>
      <c r="J214" s="295"/>
      <c r="K214" s="294"/>
      <c r="L214" s="716">
        <f>L213/2</f>
        <v>29730</v>
      </c>
      <c r="M214" s="716">
        <f>M213/2</f>
        <v>1963.6256599999999</v>
      </c>
      <c r="N214" s="27">
        <f>M214/L214</f>
        <v>6.6048626303397237E-2</v>
      </c>
    </row>
    <row r="215" spans="1:16" ht="15.75" customHeight="1" thickTop="1" x14ac:dyDescent="0.2">
      <c r="A215" s="501" t="s">
        <v>539</v>
      </c>
      <c r="B215" s="501"/>
      <c r="C215" s="501"/>
      <c r="D215" s="501"/>
      <c r="E215" s="501"/>
      <c r="F215" s="501"/>
      <c r="G215" s="501"/>
      <c r="H215" s="501"/>
      <c r="I215" s="501"/>
      <c r="J215" s="501"/>
      <c r="K215" s="501"/>
      <c r="L215" s="501"/>
      <c r="M215" s="501"/>
      <c r="N215" s="501"/>
      <c r="O215" s="172" t="s">
        <v>810</v>
      </c>
    </row>
    <row r="216" spans="1:16" x14ac:dyDescent="0.2">
      <c r="A216" s="501" t="s">
        <v>489</v>
      </c>
      <c r="B216" s="501"/>
      <c r="C216" s="501"/>
      <c r="D216" s="501"/>
      <c r="E216" s="501"/>
      <c r="F216" s="501"/>
      <c r="G216" s="501"/>
      <c r="H216" s="501"/>
      <c r="I216" s="501"/>
      <c r="J216" s="501"/>
      <c r="K216" s="501"/>
      <c r="L216" s="501"/>
      <c r="M216" s="501"/>
      <c r="N216" s="501"/>
      <c r="O216" s="172" t="s">
        <v>986</v>
      </c>
      <c r="P216" s="172"/>
    </row>
    <row r="217" spans="1:16" x14ac:dyDescent="0.2">
      <c r="A217" s="501" t="s">
        <v>545</v>
      </c>
      <c r="B217" s="501"/>
      <c r="C217" s="501"/>
      <c r="D217" s="501"/>
      <c r="E217" s="501"/>
      <c r="F217" s="501"/>
      <c r="G217" s="501"/>
      <c r="H217" s="501"/>
      <c r="I217" s="501"/>
      <c r="J217" s="501"/>
      <c r="K217" s="501"/>
      <c r="L217" s="501"/>
      <c r="M217" s="501"/>
      <c r="N217" s="501"/>
      <c r="O217" s="239"/>
      <c r="P217" s="172"/>
    </row>
    <row r="218" spans="1:16" x14ac:dyDescent="0.2">
      <c r="A218" s="501" t="s">
        <v>33</v>
      </c>
      <c r="B218" s="501"/>
      <c r="C218" s="501"/>
      <c r="D218" s="501"/>
      <c r="E218" s="501"/>
      <c r="F218" s="501"/>
      <c r="G218" s="501"/>
      <c r="H218" s="501"/>
      <c r="I218" s="501"/>
      <c r="J218" s="501"/>
      <c r="K218" s="501"/>
      <c r="L218" s="501"/>
      <c r="M218" s="501"/>
      <c r="N218" s="501"/>
      <c r="O218" s="239"/>
      <c r="P218" s="488"/>
    </row>
    <row r="219" spans="1:16" x14ac:dyDescent="0.2">
      <c r="A219" s="291" t="s">
        <v>34</v>
      </c>
      <c r="B219" s="792"/>
      <c r="C219" s="296"/>
      <c r="D219" s="21"/>
      <c r="E219" s="22"/>
      <c r="F219" s="294"/>
      <c r="G219" s="22"/>
      <c r="H219" s="20"/>
      <c r="I219" s="20"/>
      <c r="J219" s="295"/>
      <c r="K219" s="294"/>
      <c r="L219" s="292"/>
      <c r="M219" s="292"/>
      <c r="N219" s="172"/>
    </row>
    <row r="220" spans="1:16" x14ac:dyDescent="0.2">
      <c r="A220" s="299" t="s">
        <v>36</v>
      </c>
      <c r="B220" s="792"/>
      <c r="C220" s="296"/>
      <c r="D220" s="21"/>
      <c r="E220" s="22"/>
      <c r="F220" s="294"/>
      <c r="G220" s="22"/>
      <c r="H220" s="20"/>
      <c r="I220" s="20"/>
      <c r="J220" s="295"/>
      <c r="K220" s="294"/>
      <c r="L220" s="292"/>
      <c r="M220" s="292"/>
      <c r="N220" s="172"/>
    </row>
    <row r="221" spans="1:16" x14ac:dyDescent="0.2">
      <c r="B221" s="792"/>
      <c r="C221" s="296"/>
      <c r="D221" s="21"/>
      <c r="E221" s="22"/>
      <c r="F221" s="294"/>
      <c r="G221" s="22"/>
      <c r="H221" s="20"/>
      <c r="I221" s="20"/>
      <c r="J221" s="295"/>
      <c r="K221" s="294"/>
      <c r="L221" s="292"/>
      <c r="M221" s="292"/>
      <c r="N221" s="172"/>
    </row>
    <row r="222" spans="1:16" x14ac:dyDescent="0.2">
      <c r="A222" s="21">
        <v>1</v>
      </c>
      <c r="B222" s="789" t="s">
        <v>540</v>
      </c>
      <c r="C222" s="296"/>
      <c r="D222" s="296"/>
      <c r="E222" s="296"/>
      <c r="F222" s="296"/>
      <c r="G222" s="296"/>
      <c r="H222" s="296"/>
      <c r="I222" s="297" t="s">
        <v>61</v>
      </c>
      <c r="J222" s="298"/>
      <c r="K222" s="296"/>
      <c r="L222" s="296"/>
      <c r="M222" s="296"/>
    </row>
    <row r="223" spans="1:16" x14ac:dyDescent="0.2">
      <c r="A223" s="21">
        <f>A222+1</f>
        <v>2</v>
      </c>
      <c r="C223" s="291"/>
      <c r="D223" s="291"/>
      <c r="E223" s="291"/>
      <c r="F223" s="291"/>
      <c r="G223" s="291"/>
      <c r="H223" s="291" t="s">
        <v>62</v>
      </c>
      <c r="I223" s="291" t="s">
        <v>28</v>
      </c>
      <c r="J223" s="291" t="s">
        <v>63</v>
      </c>
      <c r="L223" s="291" t="s">
        <v>62</v>
      </c>
      <c r="M223" s="291" t="s">
        <v>28</v>
      </c>
      <c r="N223" s="291" t="s">
        <v>64</v>
      </c>
    </row>
    <row r="224" spans="1:16" x14ac:dyDescent="0.2">
      <c r="A224" s="21">
        <f t="shared" ref="A224:A269" si="27">A223+1</f>
        <v>3</v>
      </c>
      <c r="B224" s="790"/>
      <c r="C224" s="291"/>
      <c r="D224" s="291"/>
      <c r="E224" s="291" t="s">
        <v>65</v>
      </c>
      <c r="F224" s="291" t="s">
        <v>66</v>
      </c>
      <c r="G224" s="291" t="s">
        <v>67</v>
      </c>
      <c r="H224" s="291" t="s">
        <v>68</v>
      </c>
      <c r="I224" s="291" t="s">
        <v>27</v>
      </c>
      <c r="J224" s="291" t="s">
        <v>62</v>
      </c>
      <c r="K224" s="291" t="s">
        <v>74</v>
      </c>
      <c r="L224" s="291" t="s">
        <v>75</v>
      </c>
      <c r="M224" s="291" t="s">
        <v>76</v>
      </c>
      <c r="N224" s="291" t="s">
        <v>77</v>
      </c>
    </row>
    <row r="225" spans="1:15" x14ac:dyDescent="0.2">
      <c r="A225" s="21">
        <f t="shared" si="27"/>
        <v>4</v>
      </c>
      <c r="B225" s="790"/>
      <c r="C225" s="299" t="s">
        <v>178</v>
      </c>
      <c r="D225" s="299" t="s">
        <v>78</v>
      </c>
      <c r="E225" s="299" t="s">
        <v>79</v>
      </c>
      <c r="F225" s="299" t="s">
        <v>39</v>
      </c>
      <c r="G225" s="299" t="s">
        <v>79</v>
      </c>
      <c r="H225" s="299" t="s">
        <v>80</v>
      </c>
      <c r="I225" s="299" t="s">
        <v>68</v>
      </c>
      <c r="J225" s="299" t="s">
        <v>68</v>
      </c>
      <c r="K225" s="299" t="s">
        <v>81</v>
      </c>
      <c r="L225" s="791">
        <v>41639</v>
      </c>
      <c r="M225" s="299" t="s">
        <v>40</v>
      </c>
      <c r="N225" s="299" t="s">
        <v>81</v>
      </c>
    </row>
    <row r="226" spans="1:15" x14ac:dyDescent="0.2">
      <c r="A226" s="21">
        <f t="shared" si="27"/>
        <v>5</v>
      </c>
      <c r="B226" s="792"/>
      <c r="C226" s="296"/>
      <c r="D226" s="21" t="s">
        <v>379</v>
      </c>
      <c r="E226" s="22">
        <v>33205</v>
      </c>
      <c r="F226" s="293">
        <v>0.11849999999999999</v>
      </c>
      <c r="G226" s="795">
        <v>2020</v>
      </c>
      <c r="H226" s="717">
        <v>1500</v>
      </c>
      <c r="I226" s="717">
        <v>1500</v>
      </c>
      <c r="J226" s="718">
        <v>100</v>
      </c>
      <c r="K226" s="300">
        <v>0.1191</v>
      </c>
      <c r="L226" s="717">
        <v>1500</v>
      </c>
      <c r="M226" s="717">
        <v>178.65</v>
      </c>
      <c r="N226" s="485"/>
      <c r="O226" s="499"/>
    </row>
    <row r="227" spans="1:15" x14ac:dyDescent="0.2">
      <c r="A227" s="21">
        <f t="shared" si="27"/>
        <v>6</v>
      </c>
      <c r="B227" s="792"/>
      <c r="D227" s="21" t="s">
        <v>380</v>
      </c>
      <c r="E227" s="22">
        <v>33732</v>
      </c>
      <c r="F227" s="293">
        <v>9.4600000000000004E-2</v>
      </c>
      <c r="G227" s="795">
        <v>2023</v>
      </c>
      <c r="H227" s="717">
        <v>2500</v>
      </c>
      <c r="I227" s="714">
        <v>2500</v>
      </c>
      <c r="J227" s="719">
        <v>100</v>
      </c>
      <c r="K227" s="300">
        <v>9.5100000000000004E-2</v>
      </c>
      <c r="L227" s="717">
        <v>2500</v>
      </c>
      <c r="M227" s="717">
        <v>237.75</v>
      </c>
      <c r="O227" s="499"/>
    </row>
    <row r="228" spans="1:15" x14ac:dyDescent="0.2">
      <c r="A228" s="21">
        <f t="shared" si="27"/>
        <v>7</v>
      </c>
      <c r="B228" s="792"/>
      <c r="C228" s="296"/>
      <c r="D228" s="21" t="s">
        <v>102</v>
      </c>
      <c r="E228" s="22">
        <v>36385</v>
      </c>
      <c r="F228" s="293">
        <v>6.8000000000000005E-2</v>
      </c>
      <c r="G228" s="21">
        <v>2019</v>
      </c>
      <c r="H228" s="714">
        <v>4500</v>
      </c>
      <c r="I228" s="714">
        <v>4500</v>
      </c>
      <c r="J228" s="719">
        <v>100</v>
      </c>
      <c r="K228" s="293">
        <v>6.8500000000000005E-2</v>
      </c>
      <c r="L228" s="717">
        <v>4500</v>
      </c>
      <c r="M228" s="717">
        <v>308.25</v>
      </c>
      <c r="O228" s="499"/>
    </row>
    <row r="229" spans="1:15" x14ac:dyDescent="0.2">
      <c r="A229" s="21">
        <f t="shared" si="27"/>
        <v>8</v>
      </c>
      <c r="B229" s="792"/>
      <c r="C229" s="296"/>
      <c r="D229" s="21" t="s">
        <v>382</v>
      </c>
      <c r="E229" s="22">
        <v>37582</v>
      </c>
      <c r="F229" s="293">
        <v>6.1600000000000002E-2</v>
      </c>
      <c r="G229" s="21">
        <v>2017</v>
      </c>
      <c r="H229" s="714">
        <v>3900</v>
      </c>
      <c r="I229" s="714">
        <v>3900</v>
      </c>
      <c r="J229" s="719">
        <v>100</v>
      </c>
      <c r="K229" s="293">
        <v>6.2100000000000002E-2</v>
      </c>
      <c r="L229" s="717">
        <v>3900</v>
      </c>
      <c r="M229" s="717">
        <v>242.19</v>
      </c>
      <c r="O229" s="499"/>
    </row>
    <row r="230" spans="1:15" x14ac:dyDescent="0.2">
      <c r="A230" s="21">
        <f t="shared" si="27"/>
        <v>9</v>
      </c>
      <c r="B230" s="792"/>
      <c r="C230" s="296"/>
      <c r="D230" s="21" t="s">
        <v>383</v>
      </c>
      <c r="E230" s="22">
        <v>38009</v>
      </c>
      <c r="F230" s="293">
        <v>5.4199999999999998E-2</v>
      </c>
      <c r="G230" s="21">
        <v>2019</v>
      </c>
      <c r="H230" s="714">
        <v>1000</v>
      </c>
      <c r="I230" s="714">
        <v>1000</v>
      </c>
      <c r="J230" s="719">
        <v>100</v>
      </c>
      <c r="K230" s="293">
        <v>5.4699999999999999E-2</v>
      </c>
      <c r="L230" s="717">
        <v>1000</v>
      </c>
      <c r="M230" s="717">
        <v>54.7</v>
      </c>
      <c r="O230" s="499"/>
    </row>
    <row r="231" spans="1:15" x14ac:dyDescent="0.2">
      <c r="A231" s="21">
        <f t="shared" si="27"/>
        <v>10</v>
      </c>
      <c r="B231" s="792"/>
      <c r="C231" s="296"/>
      <c r="D231" s="21" t="s">
        <v>384</v>
      </c>
      <c r="E231" s="22">
        <v>38309</v>
      </c>
      <c r="F231" s="293">
        <v>5.11E-2</v>
      </c>
      <c r="G231" s="21">
        <v>2014</v>
      </c>
      <c r="H231" s="714">
        <v>500</v>
      </c>
      <c r="I231" s="714">
        <v>500</v>
      </c>
      <c r="J231" s="719">
        <v>100</v>
      </c>
      <c r="K231" s="293">
        <v>5.16E-2</v>
      </c>
      <c r="L231" s="717">
        <v>500</v>
      </c>
      <c r="M231" s="717">
        <v>25.8</v>
      </c>
      <c r="O231" s="499"/>
    </row>
    <row r="232" spans="1:15" x14ac:dyDescent="0.2">
      <c r="A232" s="21">
        <f t="shared" si="27"/>
        <v>11</v>
      </c>
      <c r="B232" s="792"/>
      <c r="C232" s="296"/>
      <c r="D232" s="21" t="s">
        <v>385</v>
      </c>
      <c r="E232" s="22">
        <v>38677</v>
      </c>
      <c r="F232" s="293">
        <v>5.1799999999999999E-2</v>
      </c>
      <c r="G232" s="21">
        <v>2035</v>
      </c>
      <c r="H232" s="717">
        <v>4300</v>
      </c>
      <c r="I232" s="714">
        <v>4300</v>
      </c>
      <c r="J232" s="719">
        <v>100</v>
      </c>
      <c r="K232" s="293">
        <v>5.2299999999999999E-2</v>
      </c>
      <c r="L232" s="717">
        <v>4300</v>
      </c>
      <c r="M232" s="717">
        <v>224.89</v>
      </c>
      <c r="O232" s="499"/>
    </row>
    <row r="233" spans="1:15" x14ac:dyDescent="0.2">
      <c r="A233" s="21">
        <f t="shared" si="27"/>
        <v>12</v>
      </c>
      <c r="B233" s="792"/>
      <c r="C233" s="296"/>
      <c r="D233" s="21" t="s">
        <v>386</v>
      </c>
      <c r="E233" s="22">
        <v>39041</v>
      </c>
      <c r="F233" s="293">
        <v>5.0200000000000002E-2</v>
      </c>
      <c r="G233" s="21">
        <v>2036</v>
      </c>
      <c r="H233" s="717">
        <v>3000</v>
      </c>
      <c r="I233" s="714">
        <v>3000</v>
      </c>
      <c r="J233" s="719">
        <v>100</v>
      </c>
      <c r="K233" s="293">
        <v>5.0700000000000002E-2</v>
      </c>
      <c r="L233" s="717">
        <v>3000</v>
      </c>
      <c r="M233" s="717">
        <v>152.1</v>
      </c>
      <c r="O233" s="499"/>
    </row>
    <row r="234" spans="1:15" x14ac:dyDescent="0.2">
      <c r="A234" s="21">
        <f t="shared" si="27"/>
        <v>13</v>
      </c>
      <c r="B234" s="792"/>
      <c r="C234" s="296"/>
      <c r="D234" s="21" t="s">
        <v>13</v>
      </c>
      <c r="E234" s="22">
        <v>39594</v>
      </c>
      <c r="F234" s="293">
        <f>+K234-0.0005</f>
        <v>5.5599999999999997E-2</v>
      </c>
      <c r="G234" s="21">
        <v>2028</v>
      </c>
      <c r="H234" s="717">
        <v>860</v>
      </c>
      <c r="I234" s="714">
        <v>860</v>
      </c>
      <c r="J234" s="719">
        <v>100</v>
      </c>
      <c r="K234" s="293">
        <v>5.6099999999999997E-2</v>
      </c>
      <c r="L234" s="717">
        <v>860</v>
      </c>
      <c r="M234" s="717">
        <v>48.245999999999995</v>
      </c>
      <c r="N234" s="485"/>
      <c r="O234" s="499"/>
    </row>
    <row r="235" spans="1:15" x14ac:dyDescent="0.2">
      <c r="A235" s="21">
        <f t="shared" si="27"/>
        <v>14</v>
      </c>
      <c r="B235" s="792"/>
      <c r="C235" s="296"/>
      <c r="D235" s="21" t="s">
        <v>418</v>
      </c>
      <c r="E235" s="22">
        <v>39594</v>
      </c>
      <c r="F235" s="293">
        <f t="shared" ref="F235:F240" si="28">+K235-0.0005</f>
        <v>5.57E-2</v>
      </c>
      <c r="G235" s="21">
        <v>2038</v>
      </c>
      <c r="H235" s="714">
        <v>1290</v>
      </c>
      <c r="I235" s="714">
        <v>1290</v>
      </c>
      <c r="J235" s="719">
        <v>100</v>
      </c>
      <c r="K235" s="293">
        <v>5.62E-2</v>
      </c>
      <c r="L235" s="717">
        <v>1290</v>
      </c>
      <c r="M235" s="717">
        <v>72.498000000000005</v>
      </c>
      <c r="N235" s="341"/>
      <c r="O235" s="499"/>
    </row>
    <row r="236" spans="1:15" x14ac:dyDescent="0.2">
      <c r="A236" s="21">
        <f t="shared" si="27"/>
        <v>15</v>
      </c>
      <c r="B236" s="792"/>
      <c r="C236" s="296"/>
      <c r="D236" s="21" t="s">
        <v>419</v>
      </c>
      <c r="E236" s="22">
        <v>39878</v>
      </c>
      <c r="F236" s="293">
        <f t="shared" si="28"/>
        <v>6.2299999999999994E-2</v>
      </c>
      <c r="G236" s="21">
        <v>2024</v>
      </c>
      <c r="H236" s="714">
        <v>2900</v>
      </c>
      <c r="I236" s="714">
        <v>2900</v>
      </c>
      <c r="J236" s="719">
        <v>100</v>
      </c>
      <c r="K236" s="293">
        <v>6.2799999999999995E-2</v>
      </c>
      <c r="L236" s="717">
        <v>2900</v>
      </c>
      <c r="M236" s="717">
        <v>182.12</v>
      </c>
      <c r="N236" s="341"/>
      <c r="O236" s="499"/>
    </row>
    <row r="237" spans="1:15" x14ac:dyDescent="0.2">
      <c r="A237" s="21">
        <f t="shared" si="27"/>
        <v>16</v>
      </c>
      <c r="B237" s="792"/>
      <c r="C237" s="296"/>
      <c r="D237" s="21" t="s">
        <v>14</v>
      </c>
      <c r="E237" s="22">
        <v>39878</v>
      </c>
      <c r="F237" s="293">
        <f t="shared" si="28"/>
        <v>6.5000000000000002E-2</v>
      </c>
      <c r="G237" s="21">
        <v>2039</v>
      </c>
      <c r="H237" s="717">
        <v>3700</v>
      </c>
      <c r="I237" s="717">
        <v>3700</v>
      </c>
      <c r="J237" s="718">
        <v>100</v>
      </c>
      <c r="K237" s="301">
        <v>6.5500000000000003E-2</v>
      </c>
      <c r="L237" s="717">
        <v>3700</v>
      </c>
      <c r="M237" s="717">
        <v>242.35</v>
      </c>
      <c r="N237" s="485"/>
      <c r="O237" s="499"/>
    </row>
    <row r="238" spans="1:15" x14ac:dyDescent="0.2">
      <c r="A238" s="21">
        <f t="shared" si="27"/>
        <v>17</v>
      </c>
      <c r="B238" s="792"/>
      <c r="C238" s="296"/>
      <c r="D238" s="21" t="s">
        <v>692</v>
      </c>
      <c r="E238" s="22">
        <v>40840</v>
      </c>
      <c r="F238" s="293">
        <f t="shared" si="28"/>
        <v>4.53E-2</v>
      </c>
      <c r="G238" s="21">
        <v>2041</v>
      </c>
      <c r="H238" s="717">
        <v>5000</v>
      </c>
      <c r="I238" s="717">
        <v>5000</v>
      </c>
      <c r="J238" s="718">
        <v>100</v>
      </c>
      <c r="K238" s="301">
        <v>4.58E-2</v>
      </c>
      <c r="L238" s="717">
        <f>+I238</f>
        <v>5000</v>
      </c>
      <c r="M238" s="717">
        <f>+L238*K238</f>
        <v>229</v>
      </c>
      <c r="N238" s="485"/>
      <c r="O238" s="499"/>
    </row>
    <row r="239" spans="1:15" x14ac:dyDescent="0.2">
      <c r="A239" s="21">
        <f t="shared" si="27"/>
        <v>18</v>
      </c>
      <c r="B239" s="792"/>
      <c r="C239" s="296"/>
      <c r="D239" s="21" t="s">
        <v>693</v>
      </c>
      <c r="E239" s="22">
        <v>41214</v>
      </c>
      <c r="F239" s="293">
        <f t="shared" si="28"/>
        <v>3.8399999999999997E-2</v>
      </c>
      <c r="G239" s="21">
        <v>2052</v>
      </c>
      <c r="H239" s="717">
        <v>4000</v>
      </c>
      <c r="I239" s="717">
        <f>+H239</f>
        <v>4000</v>
      </c>
      <c r="J239" s="718">
        <v>100</v>
      </c>
      <c r="K239" s="301">
        <v>3.8899999999999997E-2</v>
      </c>
      <c r="L239" s="717">
        <f>+I239</f>
        <v>4000</v>
      </c>
      <c r="M239" s="717">
        <f>+L239*K239</f>
        <v>155.6</v>
      </c>
      <c r="N239" s="485"/>
      <c r="O239" s="499"/>
    </row>
    <row r="240" spans="1:15" x14ac:dyDescent="0.2">
      <c r="A240" s="21">
        <f t="shared" si="27"/>
        <v>19</v>
      </c>
      <c r="B240" s="792"/>
      <c r="C240" s="296"/>
      <c r="D240" s="21" t="s">
        <v>694</v>
      </c>
      <c r="E240" s="22">
        <v>41579</v>
      </c>
      <c r="F240" s="293">
        <f t="shared" si="28"/>
        <v>4.7109999999999999E-2</v>
      </c>
      <c r="G240" s="21">
        <v>2053</v>
      </c>
      <c r="H240" s="715">
        <f>2400+6700</f>
        <v>9100</v>
      </c>
      <c r="I240" s="714">
        <f>+H240</f>
        <v>9100</v>
      </c>
      <c r="J240" s="718">
        <v>100</v>
      </c>
      <c r="K240" s="293">
        <f>4.35%*0+4.761%</f>
        <v>4.761E-2</v>
      </c>
      <c r="L240" s="715">
        <f>+H240</f>
        <v>9100</v>
      </c>
      <c r="M240" s="715">
        <f>+L240*K240</f>
        <v>433.25099999999998</v>
      </c>
      <c r="N240" s="485"/>
      <c r="O240" s="499"/>
    </row>
    <row r="241" spans="1:14" x14ac:dyDescent="0.2">
      <c r="A241" s="21">
        <f t="shared" si="27"/>
        <v>20</v>
      </c>
      <c r="B241" s="792"/>
      <c r="C241" s="296" t="s">
        <v>27</v>
      </c>
      <c r="D241" s="21"/>
      <c r="E241" s="22"/>
      <c r="F241" s="294"/>
      <c r="G241" s="22"/>
      <c r="H241" s="714">
        <f>SUM(H226:H240)</f>
        <v>48050</v>
      </c>
      <c r="I241" s="714"/>
      <c r="J241" s="295"/>
      <c r="K241" s="294"/>
      <c r="L241" s="714">
        <f>SUM(L226:L240)</f>
        <v>48050</v>
      </c>
      <c r="M241" s="714">
        <f>SUM(M226:M240)</f>
        <v>2787.3949999999995</v>
      </c>
      <c r="N241" s="301">
        <f>M241/L241</f>
        <v>5.8010301768990628E-2</v>
      </c>
    </row>
    <row r="242" spans="1:14" x14ac:dyDescent="0.2">
      <c r="A242" s="21">
        <f t="shared" si="27"/>
        <v>21</v>
      </c>
      <c r="B242" s="792"/>
      <c r="C242" s="296" t="s">
        <v>82</v>
      </c>
      <c r="D242" s="21"/>
      <c r="E242" s="22"/>
      <c r="F242" s="294"/>
      <c r="G242" s="22"/>
      <c r="H242" s="20"/>
      <c r="I242" s="20"/>
      <c r="J242" s="295"/>
      <c r="K242" s="294"/>
      <c r="L242" s="715">
        <f>+L163</f>
        <v>38950</v>
      </c>
      <c r="M242" s="715">
        <f>+M163</f>
        <v>2354.1439999999998</v>
      </c>
      <c r="N242" s="25">
        <f>+N163</f>
        <v>6.0440154043645694E-2</v>
      </c>
    </row>
    <row r="243" spans="1:14" x14ac:dyDescent="0.2">
      <c r="A243" s="21">
        <f t="shared" si="27"/>
        <v>22</v>
      </c>
      <c r="B243" s="792"/>
      <c r="C243" s="296" t="s">
        <v>27</v>
      </c>
      <c r="D243" s="21"/>
      <c r="E243" s="22"/>
      <c r="F243" s="294"/>
      <c r="G243" s="22"/>
      <c r="H243" s="20"/>
      <c r="I243" s="20"/>
      <c r="J243" s="295"/>
      <c r="K243" s="294"/>
      <c r="L243" s="715">
        <f>L241+L242</f>
        <v>87000</v>
      </c>
      <c r="M243" s="715">
        <f>M241+M242</f>
        <v>5141.5389999999989</v>
      </c>
      <c r="N243" s="499"/>
    </row>
    <row r="244" spans="1:14" ht="13.5" thickBot="1" x14ac:dyDescent="0.25">
      <c r="A244" s="21">
        <f t="shared" si="27"/>
        <v>23</v>
      </c>
      <c r="B244" s="792"/>
      <c r="C244" s="296" t="s">
        <v>38</v>
      </c>
      <c r="D244" s="21"/>
      <c r="E244" s="22"/>
      <c r="F244" s="294"/>
      <c r="G244" s="22"/>
      <c r="H244" s="20"/>
      <c r="I244" s="20"/>
      <c r="J244" s="295"/>
      <c r="K244" s="294"/>
      <c r="L244" s="716">
        <f>L243/2</f>
        <v>43500</v>
      </c>
      <c r="M244" s="716">
        <f>M243/2</f>
        <v>2570.7694999999994</v>
      </c>
      <c r="N244" s="27">
        <f>M244/L244</f>
        <v>5.9098149425287343E-2</v>
      </c>
    </row>
    <row r="245" spans="1:14" ht="13.5" thickTop="1" x14ac:dyDescent="0.2">
      <c r="A245" s="21">
        <f t="shared" si="27"/>
        <v>24</v>
      </c>
      <c r="B245" s="792"/>
      <c r="C245" s="296"/>
      <c r="D245" s="21"/>
      <c r="E245" s="22"/>
      <c r="F245" s="294"/>
      <c r="G245" s="22"/>
      <c r="H245" s="20"/>
      <c r="I245" s="20"/>
      <c r="J245" s="295"/>
      <c r="K245" s="294"/>
      <c r="L245" s="292"/>
      <c r="M245" s="292"/>
      <c r="N245" s="172"/>
    </row>
    <row r="246" spans="1:14" x14ac:dyDescent="0.2">
      <c r="A246" s="21">
        <f t="shared" si="27"/>
        <v>25</v>
      </c>
      <c r="B246" s="789" t="s">
        <v>541</v>
      </c>
      <c r="C246" s="296"/>
      <c r="D246" s="296"/>
      <c r="E246" s="296"/>
      <c r="F246" s="296"/>
      <c r="G246" s="296"/>
      <c r="H246" s="296"/>
      <c r="I246" s="297" t="s">
        <v>61</v>
      </c>
      <c r="J246" s="298"/>
      <c r="K246" s="296"/>
      <c r="L246" s="296"/>
      <c r="M246" s="296"/>
    </row>
    <row r="247" spans="1:14" x14ac:dyDescent="0.2">
      <c r="A247" s="21">
        <f t="shared" si="27"/>
        <v>26</v>
      </c>
      <c r="C247" s="291"/>
      <c r="D247" s="291"/>
      <c r="E247" s="291"/>
      <c r="F247" s="291"/>
      <c r="G247" s="291"/>
      <c r="H247" s="291" t="s">
        <v>62</v>
      </c>
      <c r="I247" s="291" t="s">
        <v>28</v>
      </c>
      <c r="J247" s="291" t="s">
        <v>63</v>
      </c>
      <c r="L247" s="291" t="s">
        <v>62</v>
      </c>
      <c r="M247" s="291" t="s">
        <v>28</v>
      </c>
      <c r="N247" s="291" t="s">
        <v>64</v>
      </c>
    </row>
    <row r="248" spans="1:14" x14ac:dyDescent="0.2">
      <c r="A248" s="21">
        <f t="shared" si="27"/>
        <v>27</v>
      </c>
      <c r="B248" s="790"/>
      <c r="C248" s="291"/>
      <c r="D248" s="291"/>
      <c r="E248" s="291" t="s">
        <v>65</v>
      </c>
      <c r="F248" s="291" t="s">
        <v>66</v>
      </c>
      <c r="G248" s="291" t="s">
        <v>67</v>
      </c>
      <c r="H248" s="291" t="s">
        <v>68</v>
      </c>
      <c r="I248" s="291" t="s">
        <v>27</v>
      </c>
      <c r="J248" s="291" t="s">
        <v>62</v>
      </c>
      <c r="K248" s="291" t="s">
        <v>74</v>
      </c>
      <c r="L248" s="291" t="s">
        <v>75</v>
      </c>
      <c r="M248" s="291" t="s">
        <v>76</v>
      </c>
      <c r="N248" s="291" t="s">
        <v>77</v>
      </c>
    </row>
    <row r="249" spans="1:14" x14ac:dyDescent="0.2">
      <c r="A249" s="21">
        <f t="shared" si="27"/>
        <v>28</v>
      </c>
      <c r="B249" s="790"/>
      <c r="C249" s="299" t="s">
        <v>178</v>
      </c>
      <c r="D249" s="299" t="s">
        <v>78</v>
      </c>
      <c r="E249" s="299" t="s">
        <v>79</v>
      </c>
      <c r="F249" s="299" t="s">
        <v>39</v>
      </c>
      <c r="G249" s="299" t="s">
        <v>79</v>
      </c>
      <c r="H249" s="299" t="s">
        <v>80</v>
      </c>
      <c r="I249" s="299" t="s">
        <v>68</v>
      </c>
      <c r="J249" s="299" t="s">
        <v>68</v>
      </c>
      <c r="K249" s="299" t="s">
        <v>81</v>
      </c>
      <c r="L249" s="791">
        <v>42004</v>
      </c>
      <c r="M249" s="299" t="s">
        <v>40</v>
      </c>
      <c r="N249" s="299" t="s">
        <v>81</v>
      </c>
    </row>
    <row r="250" spans="1:14" x14ac:dyDescent="0.2">
      <c r="A250" s="21">
        <f t="shared" si="27"/>
        <v>29</v>
      </c>
      <c r="B250" s="792"/>
      <c r="C250" s="296"/>
      <c r="D250" s="21" t="s">
        <v>379</v>
      </c>
      <c r="E250" s="22">
        <v>33205</v>
      </c>
      <c r="F250" s="293">
        <v>0.11849999999999999</v>
      </c>
      <c r="G250" s="795">
        <v>2020</v>
      </c>
      <c r="H250" s="717">
        <v>1500</v>
      </c>
      <c r="I250" s="717">
        <v>1500</v>
      </c>
      <c r="J250" s="718">
        <v>100</v>
      </c>
      <c r="K250" s="300">
        <v>0.1191</v>
      </c>
      <c r="L250" s="717">
        <v>1500</v>
      </c>
      <c r="M250" s="717">
        <v>178.65</v>
      </c>
      <c r="N250" s="485"/>
    </row>
    <row r="251" spans="1:14" x14ac:dyDescent="0.2">
      <c r="A251" s="21">
        <f t="shared" si="27"/>
        <v>30</v>
      </c>
      <c r="B251" s="792"/>
      <c r="D251" s="21" t="s">
        <v>380</v>
      </c>
      <c r="E251" s="22">
        <v>33732</v>
      </c>
      <c r="F251" s="293">
        <v>9.4600000000000004E-2</v>
      </c>
      <c r="G251" s="795">
        <v>2023</v>
      </c>
      <c r="H251" s="717">
        <v>2500</v>
      </c>
      <c r="I251" s="714">
        <v>2500</v>
      </c>
      <c r="J251" s="719">
        <v>100</v>
      </c>
      <c r="K251" s="300">
        <v>9.5100000000000004E-2</v>
      </c>
      <c r="L251" s="717">
        <v>2500</v>
      </c>
      <c r="M251" s="717">
        <v>237.75</v>
      </c>
    </row>
    <row r="252" spans="1:14" x14ac:dyDescent="0.2">
      <c r="A252" s="21">
        <f t="shared" si="27"/>
        <v>31</v>
      </c>
      <c r="B252" s="792"/>
      <c r="C252" s="296"/>
      <c r="D252" s="21" t="s">
        <v>102</v>
      </c>
      <c r="E252" s="22">
        <v>36385</v>
      </c>
      <c r="F252" s="293">
        <v>6.8000000000000005E-2</v>
      </c>
      <c r="G252" s="21">
        <v>2019</v>
      </c>
      <c r="H252" s="714">
        <v>4500</v>
      </c>
      <c r="I252" s="714">
        <v>4500</v>
      </c>
      <c r="J252" s="719">
        <v>100</v>
      </c>
      <c r="K252" s="293">
        <v>6.8500000000000005E-2</v>
      </c>
      <c r="L252" s="717">
        <v>4500</v>
      </c>
      <c r="M252" s="717">
        <v>308.25</v>
      </c>
    </row>
    <row r="253" spans="1:14" x14ac:dyDescent="0.2">
      <c r="A253" s="21">
        <f t="shared" si="27"/>
        <v>32</v>
      </c>
      <c r="B253" s="792"/>
      <c r="C253" s="296"/>
      <c r="D253" s="21" t="s">
        <v>382</v>
      </c>
      <c r="E253" s="22">
        <v>37582</v>
      </c>
      <c r="F253" s="293">
        <v>6.1600000000000002E-2</v>
      </c>
      <c r="G253" s="21">
        <v>2017</v>
      </c>
      <c r="H253" s="714">
        <v>3900</v>
      </c>
      <c r="I253" s="714">
        <v>3900</v>
      </c>
      <c r="J253" s="719">
        <v>100</v>
      </c>
      <c r="K253" s="293">
        <v>6.2100000000000002E-2</v>
      </c>
      <c r="L253" s="717">
        <v>3900</v>
      </c>
      <c r="M253" s="717">
        <v>242.19</v>
      </c>
    </row>
    <row r="254" spans="1:14" x14ac:dyDescent="0.2">
      <c r="A254" s="21">
        <f t="shared" si="27"/>
        <v>33</v>
      </c>
      <c r="B254" s="792"/>
      <c r="C254" s="296"/>
      <c r="D254" s="21" t="s">
        <v>383</v>
      </c>
      <c r="E254" s="22">
        <v>38009</v>
      </c>
      <c r="F254" s="293">
        <v>5.4199999999999998E-2</v>
      </c>
      <c r="G254" s="21">
        <v>2019</v>
      </c>
      <c r="H254" s="714">
        <v>1000</v>
      </c>
      <c r="I254" s="714">
        <v>1000</v>
      </c>
      <c r="J254" s="719">
        <v>100</v>
      </c>
      <c r="K254" s="293">
        <v>5.4699999999999999E-2</v>
      </c>
      <c r="L254" s="717">
        <v>1000</v>
      </c>
      <c r="M254" s="717">
        <v>54.7</v>
      </c>
    </row>
    <row r="255" spans="1:14" x14ac:dyDescent="0.2">
      <c r="A255" s="21">
        <f t="shared" si="27"/>
        <v>34</v>
      </c>
      <c r="B255" s="792"/>
      <c r="C255" s="296"/>
      <c r="D255" s="21" t="s">
        <v>384</v>
      </c>
      <c r="E255" s="22">
        <v>38309</v>
      </c>
      <c r="F255" s="293">
        <v>5.11E-2</v>
      </c>
      <c r="G255" s="21">
        <v>2014</v>
      </c>
      <c r="H255" s="714">
        <v>500</v>
      </c>
      <c r="I255" s="714">
        <v>500</v>
      </c>
      <c r="J255" s="719">
        <v>100</v>
      </c>
      <c r="K255" s="293">
        <v>5.16E-2</v>
      </c>
      <c r="L255" s="797">
        <v>0</v>
      </c>
      <c r="M255" s="717">
        <v>25.8</v>
      </c>
    </row>
    <row r="256" spans="1:14" x14ac:dyDescent="0.2">
      <c r="A256" s="21">
        <f t="shared" si="27"/>
        <v>35</v>
      </c>
      <c r="B256" s="792"/>
      <c r="C256" s="296"/>
      <c r="D256" s="21" t="s">
        <v>385</v>
      </c>
      <c r="E256" s="22">
        <v>38677</v>
      </c>
      <c r="F256" s="293">
        <v>5.1799999999999999E-2</v>
      </c>
      <c r="G256" s="21">
        <v>2035</v>
      </c>
      <c r="H256" s="717">
        <v>4300</v>
      </c>
      <c r="I256" s="714">
        <v>4300</v>
      </c>
      <c r="J256" s="719">
        <v>100</v>
      </c>
      <c r="K256" s="293">
        <v>5.2299999999999999E-2</v>
      </c>
      <c r="L256" s="717">
        <v>4300</v>
      </c>
      <c r="M256" s="717">
        <v>224.89</v>
      </c>
    </row>
    <row r="257" spans="1:16" x14ac:dyDescent="0.2">
      <c r="A257" s="21">
        <f t="shared" si="27"/>
        <v>36</v>
      </c>
      <c r="B257" s="792"/>
      <c r="C257" s="296"/>
      <c r="D257" s="21" t="s">
        <v>386</v>
      </c>
      <c r="E257" s="22">
        <v>39041</v>
      </c>
      <c r="F257" s="293">
        <v>5.0200000000000002E-2</v>
      </c>
      <c r="G257" s="21">
        <v>2036</v>
      </c>
      <c r="H257" s="717">
        <v>3000</v>
      </c>
      <c r="I257" s="714">
        <v>3000</v>
      </c>
      <c r="J257" s="719">
        <v>100</v>
      </c>
      <c r="K257" s="293">
        <v>5.0700000000000002E-2</v>
      </c>
      <c r="L257" s="717">
        <v>3000</v>
      </c>
      <c r="M257" s="717">
        <v>152.1</v>
      </c>
    </row>
    <row r="258" spans="1:16" x14ac:dyDescent="0.2">
      <c r="A258" s="21">
        <f t="shared" si="27"/>
        <v>37</v>
      </c>
      <c r="B258" s="792"/>
      <c r="C258" s="296"/>
      <c r="D258" s="21" t="s">
        <v>13</v>
      </c>
      <c r="E258" s="22">
        <v>39594</v>
      </c>
      <c r="F258" s="293">
        <f>+K258-0.0005</f>
        <v>5.5599999999999997E-2</v>
      </c>
      <c r="G258" s="21">
        <v>2028</v>
      </c>
      <c r="H258" s="717">
        <v>860</v>
      </c>
      <c r="I258" s="714">
        <v>860</v>
      </c>
      <c r="J258" s="719">
        <v>100</v>
      </c>
      <c r="K258" s="293">
        <v>5.6099999999999997E-2</v>
      </c>
      <c r="L258" s="717">
        <v>860</v>
      </c>
      <c r="M258" s="717">
        <v>48.245999999999995</v>
      </c>
      <c r="N258" s="485"/>
    </row>
    <row r="259" spans="1:16" x14ac:dyDescent="0.2">
      <c r="A259" s="21">
        <f t="shared" si="27"/>
        <v>38</v>
      </c>
      <c r="B259" s="792"/>
      <c r="C259" s="296"/>
      <c r="D259" s="21" t="s">
        <v>418</v>
      </c>
      <c r="E259" s="22">
        <v>39594</v>
      </c>
      <c r="F259" s="293">
        <f t="shared" ref="F259:F265" si="29">+K259-0.0005</f>
        <v>5.57E-2</v>
      </c>
      <c r="G259" s="21">
        <v>2038</v>
      </c>
      <c r="H259" s="714">
        <v>1290</v>
      </c>
      <c r="I259" s="714">
        <v>1290</v>
      </c>
      <c r="J259" s="719">
        <v>100</v>
      </c>
      <c r="K259" s="293">
        <v>5.62E-2</v>
      </c>
      <c r="L259" s="717">
        <v>1290</v>
      </c>
      <c r="M259" s="717">
        <v>72.498000000000005</v>
      </c>
      <c r="N259" s="341"/>
    </row>
    <row r="260" spans="1:16" x14ac:dyDescent="0.2">
      <c r="A260" s="21">
        <f t="shared" si="27"/>
        <v>39</v>
      </c>
      <c r="B260" s="792"/>
      <c r="C260" s="296"/>
      <c r="D260" s="21" t="s">
        <v>419</v>
      </c>
      <c r="E260" s="22">
        <v>39878</v>
      </c>
      <c r="F260" s="293">
        <f t="shared" si="29"/>
        <v>6.2299999999999994E-2</v>
      </c>
      <c r="G260" s="21">
        <v>2024</v>
      </c>
      <c r="H260" s="714">
        <v>2900</v>
      </c>
      <c r="I260" s="714">
        <v>2900</v>
      </c>
      <c r="J260" s="719">
        <v>100</v>
      </c>
      <c r="K260" s="293">
        <v>6.2799999999999995E-2</v>
      </c>
      <c r="L260" s="717">
        <v>2900</v>
      </c>
      <c r="M260" s="717">
        <v>182.12</v>
      </c>
      <c r="N260" s="341"/>
    </row>
    <row r="261" spans="1:16" x14ac:dyDescent="0.2">
      <c r="A261" s="21">
        <f t="shared" si="27"/>
        <v>40</v>
      </c>
      <c r="B261" s="792"/>
      <c r="C261" s="296"/>
      <c r="D261" s="21" t="s">
        <v>14</v>
      </c>
      <c r="E261" s="22">
        <v>39878</v>
      </c>
      <c r="F261" s="293">
        <f t="shared" si="29"/>
        <v>6.5000000000000002E-2</v>
      </c>
      <c r="G261" s="21">
        <v>2039</v>
      </c>
      <c r="H261" s="717">
        <v>3700</v>
      </c>
      <c r="I261" s="717">
        <v>3700</v>
      </c>
      <c r="J261" s="718">
        <v>100</v>
      </c>
      <c r="K261" s="301">
        <v>6.5500000000000003E-2</v>
      </c>
      <c r="L261" s="717">
        <v>3700</v>
      </c>
      <c r="M261" s="717">
        <v>242.35</v>
      </c>
      <c r="N261" s="485"/>
    </row>
    <row r="262" spans="1:16" x14ac:dyDescent="0.2">
      <c r="A262" s="21">
        <f t="shared" si="27"/>
        <v>41</v>
      </c>
      <c r="B262" s="792"/>
      <c r="C262" s="296"/>
      <c r="D262" s="21" t="s">
        <v>692</v>
      </c>
      <c r="E262" s="22">
        <v>40840</v>
      </c>
      <c r="F262" s="293">
        <f t="shared" si="29"/>
        <v>4.53E-2</v>
      </c>
      <c r="G262" s="21">
        <v>2041</v>
      </c>
      <c r="H262" s="717">
        <v>5000</v>
      </c>
      <c r="I262" s="717">
        <v>5000</v>
      </c>
      <c r="J262" s="718">
        <v>100</v>
      </c>
      <c r="K262" s="301">
        <v>4.58E-2</v>
      </c>
      <c r="L262" s="717">
        <f>+I262</f>
        <v>5000</v>
      </c>
      <c r="M262" s="717">
        <f>+L262*K262</f>
        <v>229</v>
      </c>
      <c r="N262" s="485"/>
    </row>
    <row r="263" spans="1:16" x14ac:dyDescent="0.2">
      <c r="A263" s="21">
        <f t="shared" si="27"/>
        <v>42</v>
      </c>
      <c r="B263" s="792"/>
      <c r="C263" s="296"/>
      <c r="D263" s="21" t="s">
        <v>693</v>
      </c>
      <c r="E263" s="22">
        <v>41214</v>
      </c>
      <c r="F263" s="293">
        <f t="shared" si="29"/>
        <v>3.8399999999999997E-2</v>
      </c>
      <c r="G263" s="21">
        <v>2052</v>
      </c>
      <c r="H263" s="717">
        <f>H239</f>
        <v>4000</v>
      </c>
      <c r="I263" s="717">
        <f>+H263</f>
        <v>4000</v>
      </c>
      <c r="J263" s="718">
        <v>100</v>
      </c>
      <c r="K263" s="301">
        <v>3.8899999999999997E-2</v>
      </c>
      <c r="L263" s="717">
        <f>+I263</f>
        <v>4000</v>
      </c>
      <c r="M263" s="717">
        <f>+L263*K263</f>
        <v>155.6</v>
      </c>
      <c r="N263" s="485"/>
    </row>
    <row r="264" spans="1:16" x14ac:dyDescent="0.2">
      <c r="A264" s="21">
        <f t="shared" si="27"/>
        <v>43</v>
      </c>
      <c r="B264" s="792"/>
      <c r="C264" s="296"/>
      <c r="D264" s="21" t="s">
        <v>694</v>
      </c>
      <c r="E264" s="22">
        <v>41579</v>
      </c>
      <c r="F264" s="293">
        <f t="shared" si="29"/>
        <v>4.7109999999999999E-2</v>
      </c>
      <c r="G264" s="21">
        <v>2053</v>
      </c>
      <c r="H264" s="717">
        <f>+H240</f>
        <v>9100</v>
      </c>
      <c r="I264" s="717">
        <f>+H264</f>
        <v>9100</v>
      </c>
      <c r="J264" s="718">
        <v>100</v>
      </c>
      <c r="K264" s="301">
        <f>+K240</f>
        <v>4.761E-2</v>
      </c>
      <c r="L264" s="717">
        <f>+H264</f>
        <v>9100</v>
      </c>
      <c r="M264" s="717">
        <f>+L264*K264</f>
        <v>433.25099999999998</v>
      </c>
      <c r="N264" s="485"/>
    </row>
    <row r="265" spans="1:16" x14ac:dyDescent="0.2">
      <c r="A265" s="21">
        <f t="shared" si="27"/>
        <v>44</v>
      </c>
      <c r="B265" s="792"/>
      <c r="C265" s="296"/>
      <c r="D265" s="21" t="s">
        <v>695</v>
      </c>
      <c r="E265" s="22">
        <v>41944</v>
      </c>
      <c r="F265" s="293">
        <f t="shared" si="29"/>
        <v>5.0299999999999997E-2</v>
      </c>
      <c r="G265" s="21">
        <v>2054</v>
      </c>
      <c r="H265" s="715">
        <f>13700-7900+600</f>
        <v>6400</v>
      </c>
      <c r="I265" s="717">
        <f>+H265</f>
        <v>6400</v>
      </c>
      <c r="J265" s="718">
        <v>100</v>
      </c>
      <c r="K265" s="301">
        <f>5.05%*0+5.08%</f>
        <v>5.0799999999999998E-2</v>
      </c>
      <c r="L265" s="715">
        <f>+H265</f>
        <v>6400</v>
      </c>
      <c r="M265" s="715">
        <f>+L265*K265</f>
        <v>325.12</v>
      </c>
      <c r="N265" s="485"/>
    </row>
    <row r="266" spans="1:16" x14ac:dyDescent="0.2">
      <c r="A266" s="21">
        <f t="shared" si="27"/>
        <v>45</v>
      </c>
      <c r="B266" s="792"/>
      <c r="C266" s="296" t="s">
        <v>27</v>
      </c>
      <c r="D266" s="21"/>
      <c r="E266" s="22"/>
      <c r="F266" s="294"/>
      <c r="G266" s="22"/>
      <c r="H266" s="714">
        <f>SUM(H250:H265)</f>
        <v>54450</v>
      </c>
      <c r="I266" s="714"/>
      <c r="J266" s="295"/>
      <c r="K266" s="294"/>
      <c r="L266" s="714">
        <f>SUM(L250:L265)</f>
        <v>53950</v>
      </c>
      <c r="M266" s="714">
        <f>SUM(M250:M265)</f>
        <v>3112.5149999999994</v>
      </c>
      <c r="N266" s="301">
        <f>M266/L266</f>
        <v>5.7692585727525475E-2</v>
      </c>
    </row>
    <row r="267" spans="1:16" x14ac:dyDescent="0.2">
      <c r="A267" s="21">
        <f t="shared" si="27"/>
        <v>46</v>
      </c>
      <c r="B267" s="792"/>
      <c r="C267" s="296" t="s">
        <v>82</v>
      </c>
      <c r="D267" s="21"/>
      <c r="E267" s="22"/>
      <c r="F267" s="294"/>
      <c r="G267" s="22"/>
      <c r="H267" s="20"/>
      <c r="I267" s="20"/>
      <c r="J267" s="295"/>
      <c r="K267" s="294"/>
      <c r="L267" s="715">
        <f>+L241</f>
        <v>48050</v>
      </c>
      <c r="M267" s="715">
        <f>+M241</f>
        <v>2787.3949999999995</v>
      </c>
      <c r="N267" s="25">
        <f>+N241</f>
        <v>5.8010301768990628E-2</v>
      </c>
    </row>
    <row r="268" spans="1:16" x14ac:dyDescent="0.2">
      <c r="A268" s="21">
        <f t="shared" si="27"/>
        <v>47</v>
      </c>
      <c r="B268" s="792"/>
      <c r="C268" s="296" t="s">
        <v>27</v>
      </c>
      <c r="D268" s="21"/>
      <c r="E268" s="22"/>
      <c r="F268" s="294"/>
      <c r="G268" s="22"/>
      <c r="H268" s="20"/>
      <c r="I268" s="20"/>
      <c r="J268" s="295"/>
      <c r="K268" s="294"/>
      <c r="L268" s="715">
        <f>L266+L267</f>
        <v>102000</v>
      </c>
      <c r="M268" s="715">
        <f>M266+M267</f>
        <v>5899.9099999999989</v>
      </c>
      <c r="N268" s="499"/>
    </row>
    <row r="269" spans="1:16" ht="13.5" thickBot="1" x14ac:dyDescent="0.25">
      <c r="A269" s="21">
        <f t="shared" si="27"/>
        <v>48</v>
      </c>
      <c r="B269" s="792"/>
      <c r="C269" s="296" t="s">
        <v>38</v>
      </c>
      <c r="D269" s="21"/>
      <c r="E269" s="22"/>
      <c r="F269" s="294"/>
      <c r="G269" s="22"/>
      <c r="H269" s="20"/>
      <c r="I269" s="20"/>
      <c r="J269" s="295"/>
      <c r="K269" s="294"/>
      <c r="L269" s="716">
        <f>L268/2</f>
        <v>51000</v>
      </c>
      <c r="M269" s="716">
        <f>M268/2</f>
        <v>2949.9549999999995</v>
      </c>
      <c r="N269" s="27">
        <f>M269/L269</f>
        <v>5.7842254901960773E-2</v>
      </c>
    </row>
    <row r="270" spans="1:16" ht="15.75" customHeight="1" thickTop="1" x14ac:dyDescent="0.2">
      <c r="A270" s="501" t="s">
        <v>539</v>
      </c>
      <c r="B270" s="501"/>
      <c r="C270" s="501"/>
      <c r="D270" s="501"/>
      <c r="E270" s="501"/>
      <c r="F270" s="501"/>
      <c r="G270" s="501"/>
      <c r="H270" s="501"/>
      <c r="I270" s="501"/>
      <c r="J270" s="501"/>
      <c r="K270" s="501"/>
      <c r="L270" s="501"/>
      <c r="M270" s="501"/>
      <c r="N270" s="501"/>
      <c r="O270" s="172" t="s">
        <v>810</v>
      </c>
    </row>
    <row r="271" spans="1:16" x14ac:dyDescent="0.2">
      <c r="A271" s="501" t="s">
        <v>489</v>
      </c>
      <c r="B271" s="501"/>
      <c r="C271" s="501"/>
      <c r="D271" s="501"/>
      <c r="E271" s="501"/>
      <c r="F271" s="501"/>
      <c r="G271" s="501"/>
      <c r="H271" s="501"/>
      <c r="I271" s="501"/>
      <c r="J271" s="501"/>
      <c r="K271" s="501"/>
      <c r="L271" s="501"/>
      <c r="M271" s="501"/>
      <c r="N271" s="501"/>
      <c r="O271" s="172" t="s">
        <v>985</v>
      </c>
      <c r="P271" s="172"/>
    </row>
    <row r="272" spans="1:16" x14ac:dyDescent="0.2">
      <c r="A272" s="501" t="s">
        <v>545</v>
      </c>
      <c r="B272" s="501"/>
      <c r="C272" s="501"/>
      <c r="D272" s="501"/>
      <c r="E272" s="501"/>
      <c r="F272" s="501"/>
      <c r="G272" s="501"/>
      <c r="H272" s="501"/>
      <c r="I272" s="501"/>
      <c r="J272" s="501"/>
      <c r="K272" s="501"/>
      <c r="L272" s="501"/>
      <c r="M272" s="501"/>
      <c r="N272" s="501"/>
      <c r="O272" s="239"/>
      <c r="P272" s="172"/>
    </row>
    <row r="273" spans="1:16" x14ac:dyDescent="0.2">
      <c r="A273" s="501" t="s">
        <v>33</v>
      </c>
      <c r="B273" s="501"/>
      <c r="C273" s="501"/>
      <c r="D273" s="501"/>
      <c r="E273" s="501"/>
      <c r="F273" s="501"/>
      <c r="G273" s="501"/>
      <c r="H273" s="501"/>
      <c r="I273" s="501"/>
      <c r="J273" s="501"/>
      <c r="K273" s="501"/>
      <c r="L273" s="501"/>
      <c r="M273" s="501"/>
      <c r="N273" s="501"/>
      <c r="O273" s="239"/>
      <c r="P273" s="488"/>
    </row>
    <row r="274" spans="1:16" x14ac:dyDescent="0.2">
      <c r="A274" s="291" t="s">
        <v>34</v>
      </c>
      <c r="B274" s="792"/>
      <c r="C274" s="296"/>
      <c r="D274" s="21"/>
      <c r="E274" s="22"/>
      <c r="F274" s="294"/>
      <c r="G274" s="22"/>
      <c r="H274" s="20"/>
      <c r="I274" s="20"/>
      <c r="J274" s="295"/>
      <c r="K274" s="294"/>
      <c r="L274" s="292"/>
      <c r="M274" s="292"/>
      <c r="N274" s="172"/>
    </row>
    <row r="275" spans="1:16" x14ac:dyDescent="0.2">
      <c r="A275" s="299" t="s">
        <v>36</v>
      </c>
      <c r="B275" s="792"/>
      <c r="C275" s="296"/>
      <c r="D275" s="21"/>
      <c r="E275" s="22"/>
      <c r="F275" s="294"/>
      <c r="G275" s="22"/>
      <c r="H275" s="20"/>
      <c r="I275" s="20"/>
      <c r="J275" s="295"/>
      <c r="K275" s="294"/>
      <c r="L275" s="292"/>
      <c r="M275" s="292"/>
      <c r="N275" s="172"/>
    </row>
    <row r="276" spans="1:16" x14ac:dyDescent="0.2">
      <c r="B276" s="792"/>
      <c r="C276" s="296"/>
      <c r="D276" s="21"/>
      <c r="E276" s="22"/>
      <c r="F276" s="294"/>
      <c r="G276" s="22"/>
      <c r="H276" s="20"/>
      <c r="I276" s="20"/>
      <c r="J276" s="295"/>
      <c r="K276" s="294"/>
      <c r="L276" s="292"/>
      <c r="M276" s="292"/>
      <c r="N276" s="172"/>
    </row>
    <row r="277" spans="1:16" x14ac:dyDescent="0.2">
      <c r="A277" s="21">
        <f>A269+1</f>
        <v>49</v>
      </c>
      <c r="B277" s="789" t="s">
        <v>542</v>
      </c>
      <c r="C277" s="296"/>
      <c r="D277" s="296"/>
      <c r="E277" s="296"/>
      <c r="F277" s="296"/>
      <c r="G277" s="296"/>
      <c r="H277" s="296"/>
      <c r="I277" s="297" t="s">
        <v>61</v>
      </c>
      <c r="J277" s="298"/>
      <c r="K277" s="296"/>
      <c r="L277" s="296"/>
      <c r="M277" s="296"/>
    </row>
    <row r="278" spans="1:16" x14ac:dyDescent="0.2">
      <c r="A278" s="21">
        <f>A277+1</f>
        <v>50</v>
      </c>
      <c r="C278" s="291"/>
      <c r="D278" s="291"/>
      <c r="E278" s="291"/>
      <c r="F278" s="291"/>
      <c r="G278" s="291"/>
      <c r="H278" s="291" t="s">
        <v>62</v>
      </c>
      <c r="I278" s="291" t="s">
        <v>28</v>
      </c>
      <c r="J278" s="291" t="s">
        <v>63</v>
      </c>
      <c r="L278" s="291" t="s">
        <v>62</v>
      </c>
      <c r="M278" s="291" t="s">
        <v>28</v>
      </c>
      <c r="N278" s="291" t="s">
        <v>64</v>
      </c>
    </row>
    <row r="279" spans="1:16" x14ac:dyDescent="0.2">
      <c r="A279" s="21">
        <f t="shared" ref="A279:A301" si="30">A278+1</f>
        <v>51</v>
      </c>
      <c r="B279" s="790"/>
      <c r="C279" s="291"/>
      <c r="D279" s="291"/>
      <c r="E279" s="291" t="s">
        <v>65</v>
      </c>
      <c r="F279" s="291" t="s">
        <v>66</v>
      </c>
      <c r="G279" s="291" t="s">
        <v>67</v>
      </c>
      <c r="H279" s="291" t="s">
        <v>68</v>
      </c>
      <c r="I279" s="291" t="s">
        <v>27</v>
      </c>
      <c r="J279" s="291" t="s">
        <v>62</v>
      </c>
      <c r="K279" s="291" t="s">
        <v>74</v>
      </c>
      <c r="L279" s="291" t="s">
        <v>75</v>
      </c>
      <c r="M279" s="291" t="s">
        <v>76</v>
      </c>
      <c r="N279" s="291" t="s">
        <v>77</v>
      </c>
    </row>
    <row r="280" spans="1:16" x14ac:dyDescent="0.2">
      <c r="A280" s="21">
        <f t="shared" si="30"/>
        <v>52</v>
      </c>
      <c r="B280" s="790"/>
      <c r="C280" s="299" t="s">
        <v>178</v>
      </c>
      <c r="D280" s="299" t="s">
        <v>78</v>
      </c>
      <c r="E280" s="299" t="s">
        <v>79</v>
      </c>
      <c r="F280" s="299" t="s">
        <v>39</v>
      </c>
      <c r="G280" s="299" t="s">
        <v>79</v>
      </c>
      <c r="H280" s="299" t="s">
        <v>80</v>
      </c>
      <c r="I280" s="299" t="s">
        <v>68</v>
      </c>
      <c r="J280" s="299" t="s">
        <v>68</v>
      </c>
      <c r="K280" s="299" t="s">
        <v>81</v>
      </c>
      <c r="L280" s="791">
        <v>42369</v>
      </c>
      <c r="M280" s="299" t="s">
        <v>40</v>
      </c>
      <c r="N280" s="299" t="s">
        <v>81</v>
      </c>
    </row>
    <row r="281" spans="1:16" x14ac:dyDescent="0.2">
      <c r="A281" s="21">
        <f t="shared" si="30"/>
        <v>53</v>
      </c>
      <c r="B281" s="792"/>
      <c r="C281" s="296"/>
      <c r="D281" s="21" t="s">
        <v>379</v>
      </c>
      <c r="E281" s="22">
        <v>33205</v>
      </c>
      <c r="F281" s="293">
        <v>0.11849999999999999</v>
      </c>
      <c r="G281" s="795">
        <v>2020</v>
      </c>
      <c r="H281" s="717">
        <v>1500</v>
      </c>
      <c r="I281" s="717">
        <v>1500</v>
      </c>
      <c r="J281" s="718">
        <v>100</v>
      </c>
      <c r="K281" s="300">
        <v>0.1191</v>
      </c>
      <c r="L281" s="717">
        <v>1500</v>
      </c>
      <c r="M281" s="717">
        <v>178.65</v>
      </c>
      <c r="N281" s="485"/>
    </row>
    <row r="282" spans="1:16" x14ac:dyDescent="0.2">
      <c r="A282" s="21">
        <f t="shared" si="30"/>
        <v>54</v>
      </c>
      <c r="B282" s="792"/>
      <c r="D282" s="21" t="s">
        <v>380</v>
      </c>
      <c r="E282" s="22">
        <v>33732</v>
      </c>
      <c r="F282" s="293">
        <v>9.4600000000000004E-2</v>
      </c>
      <c r="G282" s="795">
        <v>2023</v>
      </c>
      <c r="H282" s="717">
        <v>2500</v>
      </c>
      <c r="I282" s="714">
        <v>2500</v>
      </c>
      <c r="J282" s="719">
        <v>100</v>
      </c>
      <c r="K282" s="300">
        <v>9.5100000000000004E-2</v>
      </c>
      <c r="L282" s="717">
        <v>2500</v>
      </c>
      <c r="M282" s="717">
        <v>237.75</v>
      </c>
    </row>
    <row r="283" spans="1:16" x14ac:dyDescent="0.2">
      <c r="A283" s="21">
        <f t="shared" si="30"/>
        <v>55</v>
      </c>
      <c r="B283" s="792"/>
      <c r="C283" s="296"/>
      <c r="D283" s="21" t="s">
        <v>102</v>
      </c>
      <c r="E283" s="22">
        <v>36385</v>
      </c>
      <c r="F283" s="293">
        <v>6.8000000000000005E-2</v>
      </c>
      <c r="G283" s="21">
        <v>2019</v>
      </c>
      <c r="H283" s="714">
        <v>4500</v>
      </c>
      <c r="I283" s="714">
        <v>4500</v>
      </c>
      <c r="J283" s="719">
        <v>100</v>
      </c>
      <c r="K283" s="293">
        <v>6.8500000000000005E-2</v>
      </c>
      <c r="L283" s="717">
        <v>4500</v>
      </c>
      <c r="M283" s="717">
        <v>308.25</v>
      </c>
    </row>
    <row r="284" spans="1:16" x14ac:dyDescent="0.2">
      <c r="A284" s="21">
        <f t="shared" si="30"/>
        <v>56</v>
      </c>
      <c r="B284" s="792"/>
      <c r="C284" s="296"/>
      <c r="D284" s="21" t="s">
        <v>382</v>
      </c>
      <c r="E284" s="22">
        <v>37582</v>
      </c>
      <c r="F284" s="293">
        <v>6.1600000000000002E-2</v>
      </c>
      <c r="G284" s="21">
        <v>2017</v>
      </c>
      <c r="H284" s="714">
        <v>3900</v>
      </c>
      <c r="I284" s="714">
        <v>3900</v>
      </c>
      <c r="J284" s="719">
        <v>100</v>
      </c>
      <c r="K284" s="293">
        <v>6.2100000000000002E-2</v>
      </c>
      <c r="L284" s="717">
        <v>3900</v>
      </c>
      <c r="M284" s="717">
        <v>242.19</v>
      </c>
    </row>
    <row r="285" spans="1:16" x14ac:dyDescent="0.2">
      <c r="A285" s="21">
        <f t="shared" si="30"/>
        <v>57</v>
      </c>
      <c r="B285" s="792"/>
      <c r="C285" s="296"/>
      <c r="D285" s="21" t="s">
        <v>383</v>
      </c>
      <c r="E285" s="22">
        <v>38009</v>
      </c>
      <c r="F285" s="293">
        <v>5.4199999999999998E-2</v>
      </c>
      <c r="G285" s="21">
        <v>2019</v>
      </c>
      <c r="H285" s="714">
        <v>1000</v>
      </c>
      <c r="I285" s="714">
        <v>1000</v>
      </c>
      <c r="J285" s="719">
        <v>100</v>
      </c>
      <c r="K285" s="293">
        <v>5.4699999999999999E-2</v>
      </c>
      <c r="L285" s="717">
        <v>1000</v>
      </c>
      <c r="M285" s="717">
        <v>54.7</v>
      </c>
    </row>
    <row r="286" spans="1:16" x14ac:dyDescent="0.2">
      <c r="A286" s="21">
        <f t="shared" si="30"/>
        <v>58</v>
      </c>
      <c r="B286" s="792"/>
      <c r="C286" s="296"/>
      <c r="D286" s="21" t="s">
        <v>384</v>
      </c>
      <c r="E286" s="22">
        <v>38309</v>
      </c>
      <c r="F286" s="293">
        <v>5.11E-2</v>
      </c>
      <c r="G286" s="21">
        <v>2014</v>
      </c>
      <c r="H286" s="714">
        <v>500</v>
      </c>
      <c r="I286" s="714">
        <v>500</v>
      </c>
      <c r="J286" s="719">
        <v>100</v>
      </c>
      <c r="K286" s="293">
        <v>5.16E-2</v>
      </c>
      <c r="L286" s="797">
        <v>0</v>
      </c>
      <c r="M286" s="717">
        <v>25.8</v>
      </c>
    </row>
    <row r="287" spans="1:16" x14ac:dyDescent="0.2">
      <c r="A287" s="21">
        <f t="shared" si="30"/>
        <v>59</v>
      </c>
      <c r="B287" s="792"/>
      <c r="C287" s="296"/>
      <c r="D287" s="21" t="s">
        <v>385</v>
      </c>
      <c r="E287" s="22">
        <v>38677</v>
      </c>
      <c r="F287" s="293">
        <v>5.1799999999999999E-2</v>
      </c>
      <c r="G287" s="21">
        <v>2035</v>
      </c>
      <c r="H287" s="717">
        <v>4300</v>
      </c>
      <c r="I287" s="714">
        <v>4300</v>
      </c>
      <c r="J287" s="719">
        <v>100</v>
      </c>
      <c r="K287" s="293">
        <v>5.2299999999999999E-2</v>
      </c>
      <c r="L287" s="717">
        <v>4300</v>
      </c>
      <c r="M287" s="717">
        <v>224.89</v>
      </c>
    </row>
    <row r="288" spans="1:16" x14ac:dyDescent="0.2">
      <c r="A288" s="21">
        <f t="shared" si="30"/>
        <v>60</v>
      </c>
      <c r="B288" s="792"/>
      <c r="C288" s="296"/>
      <c r="D288" s="21" t="s">
        <v>386</v>
      </c>
      <c r="E288" s="22">
        <v>39041</v>
      </c>
      <c r="F288" s="293">
        <v>5.0200000000000002E-2</v>
      </c>
      <c r="G288" s="21">
        <v>2036</v>
      </c>
      <c r="H288" s="717">
        <v>3000</v>
      </c>
      <c r="I288" s="714">
        <v>3000</v>
      </c>
      <c r="J288" s="719">
        <v>100</v>
      </c>
      <c r="K288" s="293">
        <v>5.0700000000000002E-2</v>
      </c>
      <c r="L288" s="717">
        <v>3000</v>
      </c>
      <c r="M288" s="717">
        <v>152.1</v>
      </c>
    </row>
    <row r="289" spans="1:14" x14ac:dyDescent="0.2">
      <c r="A289" s="21">
        <f t="shared" si="30"/>
        <v>61</v>
      </c>
      <c r="B289" s="792"/>
      <c r="C289" s="296"/>
      <c r="D289" s="21" t="s">
        <v>13</v>
      </c>
      <c r="E289" s="22">
        <v>39594</v>
      </c>
      <c r="F289" s="293">
        <f>+K289-0.0005</f>
        <v>5.5599999999999997E-2</v>
      </c>
      <c r="G289" s="21">
        <v>2028</v>
      </c>
      <c r="H289" s="717">
        <v>860</v>
      </c>
      <c r="I289" s="714">
        <v>860</v>
      </c>
      <c r="J289" s="719">
        <v>100</v>
      </c>
      <c r="K289" s="293">
        <v>5.6099999999999997E-2</v>
      </c>
      <c r="L289" s="717">
        <v>860</v>
      </c>
      <c r="M289" s="717">
        <v>48.245999999999995</v>
      </c>
      <c r="N289" s="485"/>
    </row>
    <row r="290" spans="1:14" x14ac:dyDescent="0.2">
      <c r="A290" s="21">
        <f t="shared" si="30"/>
        <v>62</v>
      </c>
      <c r="B290" s="792"/>
      <c r="C290" s="296"/>
      <c r="D290" s="21" t="s">
        <v>418</v>
      </c>
      <c r="E290" s="22">
        <v>39594</v>
      </c>
      <c r="F290" s="293">
        <f t="shared" ref="F290:F297" si="31">+K290-0.0005</f>
        <v>5.57E-2</v>
      </c>
      <c r="G290" s="21">
        <v>2038</v>
      </c>
      <c r="H290" s="714">
        <v>1290</v>
      </c>
      <c r="I290" s="714">
        <v>1290</v>
      </c>
      <c r="J290" s="719">
        <v>100</v>
      </c>
      <c r="K290" s="293">
        <v>5.62E-2</v>
      </c>
      <c r="L290" s="717">
        <v>1290</v>
      </c>
      <c r="M290" s="717">
        <v>72.498000000000005</v>
      </c>
      <c r="N290" s="341"/>
    </row>
    <row r="291" spans="1:14" x14ac:dyDescent="0.2">
      <c r="A291" s="21">
        <f t="shared" si="30"/>
        <v>63</v>
      </c>
      <c r="B291" s="792"/>
      <c r="C291" s="296"/>
      <c r="D291" s="21" t="s">
        <v>419</v>
      </c>
      <c r="E291" s="22">
        <v>39878</v>
      </c>
      <c r="F291" s="293">
        <f t="shared" si="31"/>
        <v>6.2299999999999994E-2</v>
      </c>
      <c r="G291" s="21">
        <v>2024</v>
      </c>
      <c r="H291" s="714">
        <v>2900</v>
      </c>
      <c r="I291" s="714">
        <v>2900</v>
      </c>
      <c r="J291" s="719">
        <v>100</v>
      </c>
      <c r="K291" s="293">
        <v>6.2799999999999995E-2</v>
      </c>
      <c r="L291" s="717">
        <v>2900</v>
      </c>
      <c r="M291" s="717">
        <v>182.12</v>
      </c>
      <c r="N291" s="341"/>
    </row>
    <row r="292" spans="1:14" x14ac:dyDescent="0.2">
      <c r="A292" s="21">
        <f t="shared" si="30"/>
        <v>64</v>
      </c>
      <c r="B292" s="792"/>
      <c r="C292" s="296"/>
      <c r="D292" s="21" t="s">
        <v>14</v>
      </c>
      <c r="E292" s="22">
        <v>39878</v>
      </c>
      <c r="F292" s="293">
        <f t="shared" si="31"/>
        <v>6.5000000000000002E-2</v>
      </c>
      <c r="G292" s="21">
        <v>2039</v>
      </c>
      <c r="H292" s="717">
        <v>3700</v>
      </c>
      <c r="I292" s="714">
        <v>3700</v>
      </c>
      <c r="J292" s="719">
        <v>100</v>
      </c>
      <c r="K292" s="293">
        <v>6.5500000000000003E-2</v>
      </c>
      <c r="L292" s="717">
        <v>3700</v>
      </c>
      <c r="M292" s="717">
        <v>242.35</v>
      </c>
      <c r="N292" s="485"/>
    </row>
    <row r="293" spans="1:14" x14ac:dyDescent="0.2">
      <c r="A293" s="21">
        <f t="shared" si="30"/>
        <v>65</v>
      </c>
      <c r="B293" s="792"/>
      <c r="C293" s="296"/>
      <c r="D293" s="21" t="s">
        <v>692</v>
      </c>
      <c r="E293" s="22">
        <v>40840</v>
      </c>
      <c r="F293" s="293">
        <f t="shared" si="31"/>
        <v>4.53E-2</v>
      </c>
      <c r="G293" s="21">
        <v>2041</v>
      </c>
      <c r="H293" s="717">
        <v>5000</v>
      </c>
      <c r="I293" s="717">
        <v>5000</v>
      </c>
      <c r="J293" s="718">
        <v>100</v>
      </c>
      <c r="K293" s="301">
        <v>4.58E-2</v>
      </c>
      <c r="L293" s="717">
        <f>+I293</f>
        <v>5000</v>
      </c>
      <c r="M293" s="717">
        <f>+L293*K293</f>
        <v>229</v>
      </c>
      <c r="N293" s="485"/>
    </row>
    <row r="294" spans="1:14" x14ac:dyDescent="0.2">
      <c r="A294" s="21">
        <f t="shared" si="30"/>
        <v>66</v>
      </c>
      <c r="B294" s="792"/>
      <c r="C294" s="296"/>
      <c r="D294" s="21" t="s">
        <v>693</v>
      </c>
      <c r="E294" s="22">
        <v>41214</v>
      </c>
      <c r="F294" s="293">
        <f t="shared" si="31"/>
        <v>3.8399999999999997E-2</v>
      </c>
      <c r="G294" s="21">
        <v>2052</v>
      </c>
      <c r="H294" s="717">
        <f>H263</f>
        <v>4000</v>
      </c>
      <c r="I294" s="717">
        <f>+H294</f>
        <v>4000</v>
      </c>
      <c r="J294" s="718">
        <v>100</v>
      </c>
      <c r="K294" s="301">
        <v>3.8899999999999997E-2</v>
      </c>
      <c r="L294" s="717">
        <f>+I294</f>
        <v>4000</v>
      </c>
      <c r="M294" s="717">
        <f>+L294*K294</f>
        <v>155.6</v>
      </c>
      <c r="N294" s="485"/>
    </row>
    <row r="295" spans="1:14" x14ac:dyDescent="0.2">
      <c r="A295" s="21">
        <f t="shared" si="30"/>
        <v>67</v>
      </c>
      <c r="B295" s="792"/>
      <c r="C295" s="296"/>
      <c r="D295" s="21" t="s">
        <v>694</v>
      </c>
      <c r="E295" s="22">
        <v>41579</v>
      </c>
      <c r="F295" s="293">
        <f t="shared" si="31"/>
        <v>4.7109999999999999E-2</v>
      </c>
      <c r="G295" s="21">
        <v>2053</v>
      </c>
      <c r="H295" s="717">
        <f>+H240</f>
        <v>9100</v>
      </c>
      <c r="I295" s="717">
        <f>+H295</f>
        <v>9100</v>
      </c>
      <c r="J295" s="718">
        <v>100</v>
      </c>
      <c r="K295" s="301">
        <f>+K264</f>
        <v>4.761E-2</v>
      </c>
      <c r="L295" s="717">
        <f>+H295</f>
        <v>9100</v>
      </c>
      <c r="M295" s="717">
        <f>+L295*K295</f>
        <v>433.25099999999998</v>
      </c>
      <c r="N295" s="485"/>
    </row>
    <row r="296" spans="1:14" x14ac:dyDescent="0.2">
      <c r="A296" s="21">
        <f t="shared" si="30"/>
        <v>68</v>
      </c>
      <c r="B296" s="792"/>
      <c r="C296" s="296"/>
      <c r="D296" s="21" t="s">
        <v>695</v>
      </c>
      <c r="E296" s="22">
        <v>41944</v>
      </c>
      <c r="F296" s="293">
        <f t="shared" si="31"/>
        <v>5.0299999999999997E-2</v>
      </c>
      <c r="G296" s="21">
        <v>2054</v>
      </c>
      <c r="H296" s="717">
        <f>+H265</f>
        <v>6400</v>
      </c>
      <c r="I296" s="717">
        <f>+H296</f>
        <v>6400</v>
      </c>
      <c r="J296" s="718">
        <v>100</v>
      </c>
      <c r="K296" s="301">
        <f>+K265</f>
        <v>5.0799999999999998E-2</v>
      </c>
      <c r="L296" s="717">
        <f>+H296</f>
        <v>6400</v>
      </c>
      <c r="M296" s="717">
        <f>+L296*K296</f>
        <v>325.12</v>
      </c>
      <c r="N296" s="485"/>
    </row>
    <row r="297" spans="1:14" x14ac:dyDescent="0.2">
      <c r="A297" s="21">
        <f t="shared" si="30"/>
        <v>69</v>
      </c>
      <c r="B297" s="792"/>
      <c r="C297" s="296"/>
      <c r="D297" s="21" t="s">
        <v>696</v>
      </c>
      <c r="E297" s="22">
        <v>42309</v>
      </c>
      <c r="F297" s="293">
        <f t="shared" si="31"/>
        <v>5.0299999999999997E-2</v>
      </c>
      <c r="G297" s="21">
        <v>2055</v>
      </c>
      <c r="H297" s="715">
        <v>4900</v>
      </c>
      <c r="I297" s="717">
        <f>+H297</f>
        <v>4900</v>
      </c>
      <c r="J297" s="718">
        <v>100</v>
      </c>
      <c r="K297" s="301">
        <f>5.8%*0+5.08%</f>
        <v>5.0799999999999998E-2</v>
      </c>
      <c r="L297" s="715">
        <f>+H297</f>
        <v>4900</v>
      </c>
      <c r="M297" s="715">
        <f>+L297*K297</f>
        <v>248.92</v>
      </c>
      <c r="N297" s="485"/>
    </row>
    <row r="298" spans="1:14" x14ac:dyDescent="0.2">
      <c r="A298" s="21">
        <f t="shared" si="30"/>
        <v>70</v>
      </c>
      <c r="B298" s="792"/>
      <c r="C298" s="296" t="s">
        <v>27</v>
      </c>
      <c r="D298" s="21"/>
      <c r="E298" s="22"/>
      <c r="F298" s="294"/>
      <c r="G298" s="22"/>
      <c r="H298" s="714">
        <f>SUM(H281:H297)</f>
        <v>59350</v>
      </c>
      <c r="I298" s="714"/>
      <c r="J298" s="295"/>
      <c r="K298" s="294"/>
      <c r="L298" s="714">
        <f>SUM(L281:L297)</f>
        <v>58850</v>
      </c>
      <c r="M298" s="714">
        <f>SUM(M281:M297)</f>
        <v>3361.4349999999995</v>
      </c>
      <c r="N298" s="301">
        <f>M298/L298</f>
        <v>5.7118691588785041E-2</v>
      </c>
    </row>
    <row r="299" spans="1:14" x14ac:dyDescent="0.2">
      <c r="A299" s="21">
        <f t="shared" si="30"/>
        <v>71</v>
      </c>
      <c r="B299" s="792"/>
      <c r="C299" s="296" t="s">
        <v>82</v>
      </c>
      <c r="D299" s="21"/>
      <c r="E299" s="22"/>
      <c r="F299" s="294"/>
      <c r="G299" s="22"/>
      <c r="H299" s="20"/>
      <c r="I299" s="20"/>
      <c r="J299" s="295"/>
      <c r="K299" s="294"/>
      <c r="L299" s="715">
        <f>+L266</f>
        <v>53950</v>
      </c>
      <c r="M299" s="715">
        <f>+M266</f>
        <v>3112.5149999999994</v>
      </c>
      <c r="N299" s="25">
        <f>+N266</f>
        <v>5.7692585727525475E-2</v>
      </c>
    </row>
    <row r="300" spans="1:14" x14ac:dyDescent="0.2">
      <c r="A300" s="21">
        <f t="shared" si="30"/>
        <v>72</v>
      </c>
      <c r="B300" s="792"/>
      <c r="C300" s="296" t="s">
        <v>27</v>
      </c>
      <c r="D300" s="21"/>
      <c r="E300" s="22"/>
      <c r="F300" s="294"/>
      <c r="G300" s="22"/>
      <c r="H300" s="20"/>
      <c r="I300" s="20"/>
      <c r="J300" s="295"/>
      <c r="K300" s="294"/>
      <c r="L300" s="715">
        <f>L298+L299</f>
        <v>112800</v>
      </c>
      <c r="M300" s="715">
        <f>M298+M299</f>
        <v>6473.9499999999989</v>
      </c>
      <c r="N300" s="499"/>
    </row>
    <row r="301" spans="1:14" ht="13.5" thickBot="1" x14ac:dyDescent="0.25">
      <c r="A301" s="21">
        <f t="shared" si="30"/>
        <v>73</v>
      </c>
      <c r="B301" s="792"/>
      <c r="C301" s="296" t="s">
        <v>38</v>
      </c>
      <c r="D301" s="21"/>
      <c r="E301" s="22"/>
      <c r="F301" s="294"/>
      <c r="G301" s="22"/>
      <c r="H301" s="20"/>
      <c r="I301" s="20"/>
      <c r="J301" s="295"/>
      <c r="K301" s="294"/>
      <c r="L301" s="716">
        <f>L300/2</f>
        <v>56400</v>
      </c>
      <c r="M301" s="716">
        <f>M300/2</f>
        <v>3236.9749999999995</v>
      </c>
      <c r="N301" s="27">
        <f>M301/L301</f>
        <v>5.739317375886524E-2</v>
      </c>
    </row>
    <row r="302" spans="1:14" ht="13.5" thickTop="1" x14ac:dyDescent="0.2">
      <c r="B302" s="792"/>
      <c r="C302" s="296"/>
      <c r="D302" s="21"/>
      <c r="E302" s="22"/>
      <c r="F302" s="294"/>
      <c r="G302" s="22"/>
      <c r="H302" s="20"/>
      <c r="I302" s="20"/>
      <c r="J302" s="295"/>
      <c r="K302" s="294"/>
      <c r="L302" s="292"/>
      <c r="M302" s="292"/>
      <c r="N302" s="172"/>
    </row>
    <row r="303" spans="1:14" x14ac:dyDescent="0.2">
      <c r="B303" s="792"/>
      <c r="C303" s="296"/>
      <c r="D303" s="21"/>
      <c r="E303" s="22"/>
      <c r="F303" s="294"/>
      <c r="G303" s="22"/>
      <c r="H303" s="20"/>
      <c r="I303" s="20"/>
      <c r="J303" s="295"/>
      <c r="K303" s="294"/>
      <c r="L303" s="292"/>
      <c r="M303" s="292"/>
      <c r="N303" s="172"/>
    </row>
    <row r="304" spans="1:14" x14ac:dyDescent="0.2">
      <c r="B304" s="792"/>
      <c r="C304" s="296"/>
      <c r="D304" s="21"/>
      <c r="E304" s="22"/>
      <c r="F304" s="294"/>
      <c r="G304" s="22"/>
      <c r="H304" s="20"/>
      <c r="I304" s="20"/>
      <c r="J304" s="295"/>
      <c r="K304" s="294"/>
      <c r="L304" s="292"/>
      <c r="M304" s="292"/>
      <c r="N304" s="172"/>
    </row>
    <row r="305" spans="2:14" x14ac:dyDescent="0.2">
      <c r="B305" s="792"/>
      <c r="C305" s="296"/>
      <c r="D305" s="21"/>
      <c r="E305" s="22"/>
      <c r="F305" s="294"/>
      <c r="G305" s="22"/>
      <c r="H305" s="20"/>
      <c r="I305" s="20"/>
      <c r="J305" s="295"/>
      <c r="K305" s="294"/>
      <c r="L305" s="292"/>
      <c r="M305" s="292"/>
      <c r="N305" s="172"/>
    </row>
    <row r="306" spans="2:14" x14ac:dyDescent="0.2">
      <c r="B306" s="792"/>
      <c r="C306" s="296"/>
      <c r="D306" s="21"/>
      <c r="E306" s="22"/>
      <c r="F306" s="294"/>
      <c r="G306" s="22"/>
      <c r="H306" s="20"/>
      <c r="I306" s="20"/>
      <c r="J306" s="295"/>
      <c r="K306" s="294"/>
      <c r="L306" s="292"/>
      <c r="M306" s="292"/>
      <c r="N306" s="172"/>
    </row>
  </sheetData>
  <customSheetViews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5" right="0.5" top="0.75" bottom="0.75" header="0.71" footer="0.5"/>
  <pageSetup scale="73" fitToHeight="6" orientation="landscape" r:id="rId3"/>
  <headerFooter alignWithMargins="0"/>
  <rowBreaks count="5" manualBreakCount="5">
    <brk id="87" max="14" man="1"/>
    <brk id="137" max="14" man="1"/>
    <brk id="166" max="14" man="1"/>
    <brk id="214" max="14" man="1"/>
    <brk id="269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pageSetUpPr fitToPage="1"/>
  </sheetPr>
  <dimension ref="A1:Z72"/>
  <sheetViews>
    <sheetView view="pageBreakPreview" zoomScale="75" zoomScaleNormal="85" zoomScaleSheetLayoutView="75" workbookViewId="0">
      <selection activeCell="A39" sqref="A39:XFD39"/>
    </sheetView>
  </sheetViews>
  <sheetFormatPr defaultColWidth="7.5703125" defaultRowHeight="15" x14ac:dyDescent="0.2"/>
  <cols>
    <col min="1" max="1" width="8.5703125" style="32" customWidth="1"/>
    <col min="2" max="2" width="2.28515625" style="32" customWidth="1"/>
    <col min="3" max="3" width="51.7109375" style="32" customWidth="1"/>
    <col min="4" max="4" width="2.28515625" style="32" customWidth="1"/>
    <col min="5" max="5" width="34.5703125" style="35" bestFit="1" customWidth="1"/>
    <col min="6" max="6" width="2.28515625" style="32" customWidth="1"/>
    <col min="7" max="7" width="14" style="32" customWidth="1"/>
    <col min="8" max="8" width="2.28515625" style="32" customWidth="1"/>
    <col min="9" max="9" width="14" style="32" customWidth="1"/>
    <col min="10" max="10" width="2.28515625" style="32" customWidth="1"/>
    <col min="11" max="11" width="14" style="32" customWidth="1"/>
    <col min="12" max="12" width="2.28515625" style="32" customWidth="1"/>
    <col min="13" max="13" width="14" style="32" customWidth="1"/>
    <col min="14" max="14" width="2.28515625" style="32" customWidth="1"/>
    <col min="15" max="15" width="14" style="32" customWidth="1"/>
    <col min="16" max="16" width="2.28515625" style="32" customWidth="1"/>
    <col min="17" max="17" width="14" style="32" customWidth="1"/>
    <col min="18" max="18" width="2.28515625" style="32" customWidth="1"/>
    <col min="19" max="19" width="14" style="32" customWidth="1"/>
    <col min="20" max="20" width="2.28515625" style="32" customWidth="1"/>
    <col min="21" max="21" width="14" style="32" customWidth="1"/>
    <col min="22" max="22" width="2.28515625" style="32" customWidth="1"/>
    <col min="23" max="23" width="14" style="32" customWidth="1"/>
    <col min="24" max="24" width="2.28515625" style="32" customWidth="1"/>
    <col min="25" max="25" width="14" style="32" customWidth="1"/>
    <col min="26" max="26" width="2.28515625" style="32" customWidth="1"/>
    <col min="27" max="27" width="15.5703125" style="32" bestFit="1" customWidth="1"/>
    <col min="28" max="16384" width="7.5703125" style="32"/>
  </cols>
  <sheetData>
    <row r="1" spans="1:26" ht="15.75" x14ac:dyDescent="0.25">
      <c r="A1" s="40" t="s">
        <v>539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1"/>
      <c r="Z1" s="66" t="s">
        <v>841</v>
      </c>
    </row>
    <row r="2" spans="1:26" ht="15.75" x14ac:dyDescent="0.25">
      <c r="A2" s="40" t="s">
        <v>489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15"/>
    </row>
    <row r="3" spans="1:26" ht="15.75" x14ac:dyDescent="0.25">
      <c r="A3" s="40" t="s">
        <v>214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33"/>
    </row>
    <row r="4" spans="1:26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/>
      <c r="Z4" s="31"/>
    </row>
    <row r="5" spans="1:26" ht="15.75" x14ac:dyDescent="0.25">
      <c r="A5" s="30"/>
      <c r="B5" s="31"/>
      <c r="C5" s="31"/>
      <c r="D5" s="31"/>
      <c r="F5" s="31"/>
      <c r="Q5" s="14"/>
      <c r="R5" s="14"/>
      <c r="S5" s="14"/>
      <c r="T5" s="14"/>
      <c r="U5" s="14"/>
      <c r="V5" s="14"/>
      <c r="W5" s="9" t="s">
        <v>461</v>
      </c>
      <c r="X5" s="60"/>
      <c r="Y5" s="9" t="s">
        <v>461</v>
      </c>
    </row>
    <row r="6" spans="1:26" ht="15.75" x14ac:dyDescent="0.25">
      <c r="A6" s="33" t="s">
        <v>34</v>
      </c>
      <c r="B6" s="33"/>
      <c r="C6" s="33"/>
      <c r="D6" s="33"/>
      <c r="E6" s="33" t="s">
        <v>35</v>
      </c>
      <c r="F6" s="33"/>
      <c r="G6" s="9" t="s">
        <v>26</v>
      </c>
      <c r="H6" s="9"/>
      <c r="I6" s="9" t="s">
        <v>26</v>
      </c>
      <c r="J6" s="9"/>
      <c r="K6" s="9" t="s">
        <v>26</v>
      </c>
      <c r="L6" s="9"/>
      <c r="M6" s="9" t="s">
        <v>26</v>
      </c>
      <c r="N6" s="9"/>
      <c r="O6" s="9" t="s">
        <v>26</v>
      </c>
      <c r="P6" s="9"/>
      <c r="Q6" s="847" t="s">
        <v>330</v>
      </c>
      <c r="R6" s="847"/>
      <c r="S6" s="847"/>
      <c r="T6" s="847"/>
      <c r="U6" s="847"/>
      <c r="V6" s="225"/>
      <c r="W6" s="10" t="s">
        <v>15</v>
      </c>
      <c r="X6" s="9"/>
      <c r="Y6" s="10" t="s">
        <v>15</v>
      </c>
      <c r="Z6" s="9"/>
    </row>
    <row r="7" spans="1:26" ht="15.75" x14ac:dyDescent="0.25">
      <c r="A7" s="34" t="s">
        <v>36</v>
      </c>
      <c r="B7" s="33"/>
      <c r="C7" s="34" t="s">
        <v>178</v>
      </c>
      <c r="D7" s="33"/>
      <c r="E7" s="34" t="s">
        <v>37</v>
      </c>
      <c r="F7" s="33"/>
      <c r="G7" s="11">
        <v>2008</v>
      </c>
      <c r="H7" s="9"/>
      <c r="I7" s="11">
        <v>2009</v>
      </c>
      <c r="J7" s="9"/>
      <c r="K7" s="11">
        <v>2010</v>
      </c>
      <c r="L7" s="9"/>
      <c r="M7" s="11">
        <v>2011</v>
      </c>
      <c r="N7" s="10"/>
      <c r="O7" s="382">
        <v>2012</v>
      </c>
      <c r="P7" s="10"/>
      <c r="Q7" s="227">
        <v>2013</v>
      </c>
      <c r="R7" s="225"/>
      <c r="S7" s="227">
        <v>2014</v>
      </c>
      <c r="T7" s="9"/>
      <c r="U7" s="227">
        <v>2015</v>
      </c>
      <c r="V7" s="227"/>
      <c r="W7" s="382">
        <v>2008</v>
      </c>
      <c r="X7" s="9"/>
      <c r="Y7" s="382">
        <v>2009</v>
      </c>
      <c r="Z7" s="9"/>
    </row>
    <row r="9" spans="1:26" ht="15.75" x14ac:dyDescent="0.25">
      <c r="A9" s="35">
        <v>1</v>
      </c>
      <c r="C9" s="36" t="s">
        <v>83</v>
      </c>
      <c r="K9" s="70"/>
    </row>
    <row r="10" spans="1:26" ht="15.75" x14ac:dyDescent="0.25">
      <c r="A10" s="35">
        <f t="shared" ref="A10:A15" si="0">A9+1</f>
        <v>2</v>
      </c>
      <c r="C10" s="36" t="s">
        <v>377</v>
      </c>
      <c r="K10" s="289"/>
      <c r="W10" s="70"/>
    </row>
    <row r="11" spans="1:26" ht="15" customHeight="1" x14ac:dyDescent="0.25">
      <c r="A11" s="482">
        <f t="shared" si="0"/>
        <v>3</v>
      </c>
      <c r="C11" s="116"/>
      <c r="G11" s="99"/>
      <c r="H11" s="99"/>
      <c r="I11" s="331"/>
      <c r="J11" s="99"/>
      <c r="K11" s="342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35"/>
      <c r="X11" s="99"/>
      <c r="Y11" s="130"/>
    </row>
    <row r="12" spans="1:26" ht="15" customHeight="1" x14ac:dyDescent="0.25">
      <c r="A12" s="482">
        <f t="shared" si="0"/>
        <v>4</v>
      </c>
      <c r="C12" s="283" t="s">
        <v>447</v>
      </c>
      <c r="K12" s="70"/>
      <c r="W12" s="70"/>
    </row>
    <row r="13" spans="1:26" ht="15" customHeight="1" x14ac:dyDescent="0.2">
      <c r="A13" s="482">
        <f t="shared" si="0"/>
        <v>5</v>
      </c>
      <c r="C13" s="32" t="s">
        <v>437</v>
      </c>
      <c r="E13" s="482" t="s">
        <v>699</v>
      </c>
      <c r="G13" s="130">
        <f>G26</f>
        <v>537</v>
      </c>
      <c r="H13" s="99"/>
      <c r="I13" s="135">
        <f>I26</f>
        <v>537</v>
      </c>
      <c r="J13" s="134"/>
      <c r="K13" s="135">
        <f>K26</f>
        <v>537</v>
      </c>
      <c r="L13" s="134"/>
      <c r="M13" s="135">
        <f>M26</f>
        <v>537</v>
      </c>
      <c r="N13" s="135"/>
      <c r="O13" s="135">
        <f>O26</f>
        <v>537</v>
      </c>
      <c r="P13" s="135"/>
      <c r="Q13" s="135">
        <f>Q26</f>
        <v>537</v>
      </c>
      <c r="R13" s="135"/>
      <c r="S13" s="135">
        <f>S26</f>
        <v>537</v>
      </c>
      <c r="T13" s="135"/>
      <c r="U13" s="135">
        <f>U26</f>
        <v>537</v>
      </c>
      <c r="V13" s="99"/>
      <c r="W13" s="135">
        <f>W26</f>
        <v>537</v>
      </c>
      <c r="X13" s="99"/>
      <c r="Y13" s="130">
        <f>Y26</f>
        <v>537</v>
      </c>
    </row>
    <row r="14" spans="1:26" ht="15" customHeight="1" x14ac:dyDescent="0.2">
      <c r="A14" s="482">
        <f t="shared" si="0"/>
        <v>6</v>
      </c>
      <c r="C14" s="32" t="s">
        <v>438</v>
      </c>
      <c r="E14" s="482" t="s">
        <v>698</v>
      </c>
      <c r="G14" s="130">
        <f>G34</f>
        <v>170</v>
      </c>
      <c r="H14" s="99"/>
      <c r="I14" s="135">
        <f>I34</f>
        <v>166.5</v>
      </c>
      <c r="J14" s="134"/>
      <c r="K14" s="135">
        <f>K34</f>
        <v>162.5</v>
      </c>
      <c r="L14" s="134"/>
      <c r="M14" s="135">
        <f>M34</f>
        <v>159.5</v>
      </c>
      <c r="N14" s="135"/>
      <c r="O14" s="135">
        <f>O34</f>
        <v>156</v>
      </c>
      <c r="P14" s="135"/>
      <c r="Q14" s="135">
        <f>Q34</f>
        <v>152</v>
      </c>
      <c r="R14" s="135"/>
      <c r="S14" s="135">
        <f>S34</f>
        <v>148</v>
      </c>
      <c r="T14" s="135"/>
      <c r="U14" s="135">
        <f>U34</f>
        <v>144</v>
      </c>
      <c r="V14" s="99"/>
      <c r="W14" s="135">
        <f>W34</f>
        <v>171</v>
      </c>
      <c r="X14" s="99"/>
      <c r="Y14" s="130">
        <f>Y34</f>
        <v>171</v>
      </c>
    </row>
    <row r="15" spans="1:26" ht="15" customHeight="1" x14ac:dyDescent="0.2">
      <c r="A15" s="482">
        <f t="shared" si="0"/>
        <v>7</v>
      </c>
      <c r="C15" s="121" t="s">
        <v>439</v>
      </c>
      <c r="E15" s="482" t="s">
        <v>452</v>
      </c>
      <c r="G15" s="130">
        <f>+G42</f>
        <v>-14.5</v>
      </c>
      <c r="H15" s="99"/>
      <c r="I15" s="135">
        <f>+I42</f>
        <v>-2</v>
      </c>
      <c r="J15" s="134"/>
      <c r="K15" s="135">
        <f>+K42</f>
        <v>-34</v>
      </c>
      <c r="L15" s="134"/>
      <c r="M15" s="135">
        <f>+M42</f>
        <v>-48</v>
      </c>
      <c r="N15" s="135"/>
      <c r="O15" s="135">
        <f>+O42</f>
        <v>-62</v>
      </c>
      <c r="P15" s="135"/>
      <c r="Q15" s="135">
        <f>+Q42</f>
        <v>-552.16666666666674</v>
      </c>
      <c r="R15" s="135"/>
      <c r="S15" s="135">
        <f>+S42</f>
        <v>-776.50000000000023</v>
      </c>
      <c r="T15" s="135"/>
      <c r="U15" s="135">
        <f>+U42</f>
        <v>-258.83333333333354</v>
      </c>
      <c r="V15" s="99"/>
      <c r="W15" s="135">
        <f>+W42</f>
        <v>-39</v>
      </c>
      <c r="X15" s="99"/>
      <c r="Y15" s="130">
        <f>+Y42</f>
        <v>-13</v>
      </c>
    </row>
    <row r="16" spans="1:26" ht="5.25" customHeight="1" x14ac:dyDescent="0.2">
      <c r="A16" s="35"/>
      <c r="C16" s="121"/>
      <c r="G16" s="130"/>
      <c r="H16" s="99"/>
      <c r="I16" s="135"/>
      <c r="J16" s="134"/>
      <c r="K16" s="135"/>
      <c r="L16" s="134"/>
      <c r="M16" s="135"/>
      <c r="N16" s="135"/>
      <c r="O16" s="135"/>
      <c r="P16" s="135"/>
      <c r="Q16" s="135"/>
      <c r="R16" s="135"/>
      <c r="S16" s="135"/>
      <c r="T16" s="135"/>
      <c r="U16" s="135"/>
      <c r="V16" s="134"/>
      <c r="W16" s="135"/>
      <c r="X16" s="99"/>
      <c r="Y16" s="130"/>
    </row>
    <row r="17" spans="1:25" ht="20.25" customHeight="1" thickBot="1" x14ac:dyDescent="0.3">
      <c r="A17" s="35">
        <f>A15+1</f>
        <v>8</v>
      </c>
      <c r="C17" s="284" t="s">
        <v>446</v>
      </c>
      <c r="E17" s="482" t="s">
        <v>697</v>
      </c>
      <c r="G17" s="122">
        <f>SUM(G13:G15)</f>
        <v>692.5</v>
      </c>
      <c r="H17" s="99"/>
      <c r="I17" s="332">
        <f>SUM(I13:I15)</f>
        <v>701.5</v>
      </c>
      <c r="J17" s="134"/>
      <c r="K17" s="332">
        <f>SUM(K13:K15)</f>
        <v>665.5</v>
      </c>
      <c r="L17" s="134"/>
      <c r="M17" s="332">
        <f>SUM(M13:M15)</f>
        <v>648.5</v>
      </c>
      <c r="N17" s="135"/>
      <c r="O17" s="332">
        <f>SUM(O13:O15)</f>
        <v>631</v>
      </c>
      <c r="P17" s="135"/>
      <c r="Q17" s="332">
        <f>SUM(Q13:Q15)</f>
        <v>136.83333333333326</v>
      </c>
      <c r="R17" s="135"/>
      <c r="S17" s="332">
        <f>SUM(S13:S15)</f>
        <v>-91.500000000000227</v>
      </c>
      <c r="T17" s="135"/>
      <c r="U17" s="332">
        <f>SUM(U13:U15)</f>
        <v>422.16666666666646</v>
      </c>
      <c r="V17" s="134"/>
      <c r="W17" s="332">
        <f>SUM(W13:W15)</f>
        <v>669</v>
      </c>
      <c r="X17" s="99"/>
      <c r="Y17" s="122">
        <f>SUM(Y13:Y15)</f>
        <v>695</v>
      </c>
    </row>
    <row r="18" spans="1:25" ht="15" customHeight="1" thickTop="1" x14ac:dyDescent="0.35">
      <c r="A18" s="482">
        <f>A17+1</f>
        <v>9</v>
      </c>
      <c r="C18" s="137"/>
      <c r="G18" s="99"/>
      <c r="H18" s="99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99"/>
      <c r="W18" s="135"/>
      <c r="X18" s="99"/>
      <c r="Y18" s="130"/>
    </row>
    <row r="19" spans="1:25" ht="15" customHeight="1" x14ac:dyDescent="0.35">
      <c r="A19" s="482">
        <f t="shared" ref="A19:A24" si="1">A18+1</f>
        <v>10</v>
      </c>
      <c r="C19" s="137"/>
      <c r="G19" s="99"/>
      <c r="H19" s="99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99"/>
      <c r="W19" s="135"/>
      <c r="X19" s="99"/>
      <c r="Y19" s="130"/>
    </row>
    <row r="20" spans="1:25" ht="15.75" x14ac:dyDescent="0.25">
      <c r="A20" s="482">
        <f t="shared" si="1"/>
        <v>11</v>
      </c>
      <c r="C20" s="36" t="s">
        <v>438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5" x14ac:dyDescent="0.2">
      <c r="A21" s="482">
        <f t="shared" si="1"/>
        <v>12</v>
      </c>
      <c r="C21" s="481" t="s">
        <v>582</v>
      </c>
      <c r="G21" s="134">
        <v>537</v>
      </c>
      <c r="H21" s="134"/>
      <c r="I21" s="134">
        <f>+G24</f>
        <v>537</v>
      </c>
      <c r="J21" s="134"/>
      <c r="K21" s="394">
        <f>+I24</f>
        <v>537</v>
      </c>
      <c r="L21" s="134"/>
      <c r="M21" s="134">
        <f>+K24</f>
        <v>537</v>
      </c>
      <c r="N21" s="134"/>
      <c r="O21" s="134">
        <f>+M24</f>
        <v>537</v>
      </c>
      <c r="P21" s="134"/>
      <c r="Q21" s="134">
        <f>+O24</f>
        <v>537</v>
      </c>
      <c r="R21" s="134"/>
      <c r="S21" s="134">
        <f>+Q24</f>
        <v>537</v>
      </c>
      <c r="T21" s="134"/>
      <c r="U21" s="134">
        <f>+S24</f>
        <v>537</v>
      </c>
      <c r="V21" s="134"/>
      <c r="W21" s="134">
        <v>537</v>
      </c>
      <c r="X21" s="134"/>
      <c r="Y21" s="134">
        <f>W24</f>
        <v>537</v>
      </c>
    </row>
    <row r="22" spans="1:25" x14ac:dyDescent="0.2">
      <c r="A22" s="482">
        <f>A21+1</f>
        <v>13</v>
      </c>
      <c r="C22" s="229" t="s">
        <v>448</v>
      </c>
      <c r="G22" s="134">
        <f>-G23</f>
        <v>37</v>
      </c>
      <c r="H22" s="134"/>
      <c r="I22" s="394">
        <f>-I23</f>
        <v>24</v>
      </c>
      <c r="J22" s="134"/>
      <c r="K22" s="394">
        <f>-K23</f>
        <v>20</v>
      </c>
      <c r="L22" s="134"/>
      <c r="M22" s="394">
        <f>-M23</f>
        <v>11</v>
      </c>
      <c r="N22" s="134"/>
      <c r="O22" s="394">
        <f>-O23</f>
        <v>37</v>
      </c>
      <c r="P22" s="134"/>
      <c r="Q22" s="394">
        <f>-Q23</f>
        <v>37</v>
      </c>
      <c r="R22" s="134"/>
      <c r="S22" s="394">
        <f>-S23</f>
        <v>37</v>
      </c>
      <c r="T22" s="134"/>
      <c r="U22" s="394">
        <f>-U23</f>
        <v>37</v>
      </c>
      <c r="V22" s="134"/>
      <c r="W22" s="134">
        <v>60</v>
      </c>
      <c r="X22" s="134"/>
      <c r="Y22" s="134">
        <v>60</v>
      </c>
    </row>
    <row r="23" spans="1:25" x14ac:dyDescent="0.2">
      <c r="A23" s="482">
        <f t="shared" si="1"/>
        <v>14</v>
      </c>
      <c r="C23" s="229" t="s">
        <v>449</v>
      </c>
      <c r="G23" s="61">
        <v>-37</v>
      </c>
      <c r="H23" s="39"/>
      <c r="I23" s="95">
        <v>-24</v>
      </c>
      <c r="J23" s="79"/>
      <c r="K23" s="95">
        <v>-20</v>
      </c>
      <c r="L23" s="79"/>
      <c r="M23" s="95">
        <v>-11</v>
      </c>
      <c r="N23" s="90"/>
      <c r="O23" s="95">
        <v>-37</v>
      </c>
      <c r="P23" s="90"/>
      <c r="Q23" s="95">
        <v>-37</v>
      </c>
      <c r="R23" s="90"/>
      <c r="S23" s="95">
        <v>-37</v>
      </c>
      <c r="T23" s="90"/>
      <c r="U23" s="95">
        <v>-37</v>
      </c>
      <c r="V23" s="39"/>
      <c r="W23" s="95">
        <v>-60</v>
      </c>
      <c r="X23" s="39"/>
      <c r="Y23" s="61">
        <v>-60</v>
      </c>
    </row>
    <row r="24" spans="1:25" x14ac:dyDescent="0.2">
      <c r="A24" s="482">
        <f t="shared" si="1"/>
        <v>15</v>
      </c>
      <c r="C24" s="278" t="s">
        <v>649</v>
      </c>
      <c r="G24" s="129">
        <f>SUM(G21:G23)</f>
        <v>537</v>
      </c>
      <c r="H24" s="99"/>
      <c r="I24" s="136">
        <f>SUM(I21:I23)</f>
        <v>537</v>
      </c>
      <c r="J24" s="134"/>
      <c r="K24" s="136">
        <f>SUM(K21:K23)</f>
        <v>537</v>
      </c>
      <c r="L24" s="134"/>
      <c r="M24" s="136">
        <f>SUM(M21:M23)</f>
        <v>537</v>
      </c>
      <c r="N24" s="135"/>
      <c r="O24" s="136">
        <f>SUM(O21:O23)</f>
        <v>537</v>
      </c>
      <c r="P24" s="135"/>
      <c r="Q24" s="136">
        <f>SUM(Q21:Q23)</f>
        <v>537</v>
      </c>
      <c r="R24" s="135"/>
      <c r="S24" s="136">
        <f>SUM(S21:S23)</f>
        <v>537</v>
      </c>
      <c r="T24" s="135"/>
      <c r="U24" s="136">
        <f>SUM(U21:U23)</f>
        <v>537</v>
      </c>
      <c r="V24" s="99"/>
      <c r="W24" s="136">
        <f>W21+W22+W23</f>
        <v>537</v>
      </c>
      <c r="X24" s="99"/>
      <c r="Y24" s="129">
        <f>Y21+Y22+Y23</f>
        <v>537</v>
      </c>
    </row>
    <row r="25" spans="1:25" ht="5.25" customHeight="1" x14ac:dyDescent="0.2">
      <c r="A25" s="35"/>
      <c r="C25" s="121"/>
      <c r="G25" s="99"/>
      <c r="H25" s="99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99"/>
      <c r="W25" s="134"/>
      <c r="X25" s="99"/>
      <c r="Y25" s="99"/>
    </row>
    <row r="26" spans="1:25" ht="15.75" thickBot="1" x14ac:dyDescent="0.25">
      <c r="A26" s="482">
        <f>A24+1</f>
        <v>16</v>
      </c>
      <c r="C26" s="278" t="s">
        <v>664</v>
      </c>
      <c r="E26" s="482" t="s">
        <v>700</v>
      </c>
      <c r="G26" s="138">
        <f>(G21+G24)/2</f>
        <v>537</v>
      </c>
      <c r="H26" s="99"/>
      <c r="I26" s="329">
        <f>(I21+I24)/2</f>
        <v>537</v>
      </c>
      <c r="J26" s="134"/>
      <c r="K26" s="329">
        <f>(K21+K24)/2</f>
        <v>537</v>
      </c>
      <c r="L26" s="134"/>
      <c r="M26" s="329">
        <f>(M21+M24)/2</f>
        <v>537</v>
      </c>
      <c r="N26" s="135"/>
      <c r="O26" s="329">
        <f>(O21+O24)/2</f>
        <v>537</v>
      </c>
      <c r="P26" s="135"/>
      <c r="Q26" s="329">
        <f>(Q21+Q24)/2</f>
        <v>537</v>
      </c>
      <c r="R26" s="135"/>
      <c r="S26" s="329">
        <f>(S21+S24)/2</f>
        <v>537</v>
      </c>
      <c r="T26" s="135"/>
      <c r="U26" s="329">
        <f>(U21+U24)/2</f>
        <v>537</v>
      </c>
      <c r="V26" s="99"/>
      <c r="W26" s="329">
        <f>(W21+W24)/2</f>
        <v>537</v>
      </c>
      <c r="X26" s="99"/>
      <c r="Y26" s="138">
        <f>(Y21+Y24)/2</f>
        <v>537</v>
      </c>
    </row>
    <row r="27" spans="1:25" ht="15.75" thickTop="1" x14ac:dyDescent="0.2">
      <c r="A27" s="482">
        <f>A26+1</f>
        <v>17</v>
      </c>
      <c r="C27" s="121"/>
      <c r="G27" s="99"/>
      <c r="H27" s="99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99"/>
      <c r="W27" s="135"/>
      <c r="X27" s="99"/>
      <c r="Y27" s="130"/>
    </row>
    <row r="28" spans="1:25" ht="15" customHeight="1" x14ac:dyDescent="0.25">
      <c r="A28" s="482">
        <f>A27+1</f>
        <v>18</v>
      </c>
      <c r="C28" s="36" t="s">
        <v>437</v>
      </c>
      <c r="G28" s="99"/>
      <c r="H28" s="99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99"/>
      <c r="W28" s="134"/>
      <c r="X28" s="99"/>
      <c r="Y28" s="99"/>
    </row>
    <row r="29" spans="1:25" ht="15" customHeight="1" x14ac:dyDescent="0.2">
      <c r="A29" s="482">
        <f>A28+1</f>
        <v>19</v>
      </c>
      <c r="C29" s="481" t="s">
        <v>582</v>
      </c>
      <c r="G29" s="134">
        <v>171</v>
      </c>
      <c r="H29" s="134"/>
      <c r="I29" s="134">
        <f>+G32</f>
        <v>169</v>
      </c>
      <c r="J29" s="134"/>
      <c r="K29" s="134">
        <f>+I32</f>
        <v>164</v>
      </c>
      <c r="L29" s="134"/>
      <c r="M29" s="134">
        <f>+K32</f>
        <v>161</v>
      </c>
      <c r="N29" s="134"/>
      <c r="O29" s="134">
        <f>+M32</f>
        <v>158</v>
      </c>
      <c r="P29" s="134"/>
      <c r="Q29" s="134">
        <f>+O32</f>
        <v>154</v>
      </c>
      <c r="R29" s="134"/>
      <c r="S29" s="134">
        <f>+Q32</f>
        <v>150</v>
      </c>
      <c r="T29" s="134"/>
      <c r="U29" s="134">
        <f>+S32</f>
        <v>146</v>
      </c>
      <c r="V29" s="134"/>
      <c r="W29" s="134">
        <v>171</v>
      </c>
      <c r="X29" s="134"/>
      <c r="Y29" s="134">
        <f>W32</f>
        <v>171</v>
      </c>
    </row>
    <row r="30" spans="1:25" ht="15" customHeight="1" x14ac:dyDescent="0.2">
      <c r="A30" s="482">
        <f>A29+1</f>
        <v>20</v>
      </c>
      <c r="C30" s="229" t="s">
        <v>448</v>
      </c>
      <c r="G30" s="134">
        <v>629</v>
      </c>
      <c r="H30" s="134"/>
      <c r="I30" s="134">
        <v>659</v>
      </c>
      <c r="J30" s="134"/>
      <c r="K30" s="134">
        <v>798</v>
      </c>
      <c r="L30" s="134"/>
      <c r="M30" s="134">
        <f>843+8</f>
        <v>851</v>
      </c>
      <c r="N30" s="134"/>
      <c r="O30" s="134">
        <f>1270+6</f>
        <v>1276</v>
      </c>
      <c r="P30" s="134"/>
      <c r="Q30" s="394">
        <v>686.755</v>
      </c>
      <c r="R30" s="394"/>
      <c r="S30" s="394">
        <v>602</v>
      </c>
      <c r="T30" s="394"/>
      <c r="U30" s="394">
        <v>602</v>
      </c>
      <c r="V30" s="134"/>
      <c r="W30" s="134">
        <v>587.76368785157433</v>
      </c>
      <c r="X30" s="134"/>
      <c r="Y30" s="134">
        <v>623.02950912266886</v>
      </c>
    </row>
    <row r="31" spans="1:25" x14ac:dyDescent="0.2">
      <c r="A31" s="35">
        <f t="shared" ref="A31:A40" si="2">A30+1</f>
        <v>21</v>
      </c>
      <c r="C31" s="229" t="s">
        <v>449</v>
      </c>
      <c r="G31" s="61">
        <v>-631</v>
      </c>
      <c r="H31" s="39"/>
      <c r="I31" s="95">
        <v>-664</v>
      </c>
      <c r="J31" s="79"/>
      <c r="K31" s="95">
        <f>-798-3</f>
        <v>-801</v>
      </c>
      <c r="L31" s="79"/>
      <c r="M31" s="95">
        <f>-11-843</f>
        <v>-854</v>
      </c>
      <c r="N31" s="90"/>
      <c r="O31" s="95">
        <f>-1270-10</f>
        <v>-1280</v>
      </c>
      <c r="P31" s="90"/>
      <c r="Q31" s="95">
        <f>-Q30-4</f>
        <v>-690.755</v>
      </c>
      <c r="R31" s="90"/>
      <c r="S31" s="95">
        <f>-S30-4</f>
        <v>-606</v>
      </c>
      <c r="T31" s="90"/>
      <c r="U31" s="95">
        <f>-U30-4</f>
        <v>-606</v>
      </c>
      <c r="V31" s="39"/>
      <c r="W31" s="95">
        <v>-587.76368785157433</v>
      </c>
      <c r="X31" s="39"/>
      <c r="Y31" s="95">
        <v>-623.02950912266886</v>
      </c>
    </row>
    <row r="32" spans="1:25" x14ac:dyDescent="0.2">
      <c r="A32" s="35">
        <f t="shared" si="2"/>
        <v>22</v>
      </c>
      <c r="C32" s="278" t="s">
        <v>649</v>
      </c>
      <c r="G32" s="129">
        <f>G31+G30+G29</f>
        <v>169</v>
      </c>
      <c r="H32" s="99"/>
      <c r="I32" s="136">
        <f>I31+I30+I29</f>
        <v>164</v>
      </c>
      <c r="J32" s="134"/>
      <c r="K32" s="136">
        <f>K31+K30+K29</f>
        <v>161</v>
      </c>
      <c r="L32" s="134"/>
      <c r="M32" s="136">
        <f>M31+M30+M29</f>
        <v>158</v>
      </c>
      <c r="N32" s="135"/>
      <c r="O32" s="136">
        <f>O31+O30+O29</f>
        <v>154</v>
      </c>
      <c r="P32" s="135"/>
      <c r="Q32" s="136">
        <f>Q31+Q30+Q29</f>
        <v>150</v>
      </c>
      <c r="R32" s="135"/>
      <c r="S32" s="136">
        <f>S31+S30+S29</f>
        <v>146</v>
      </c>
      <c r="T32" s="135"/>
      <c r="U32" s="136">
        <f>U31+U30+U29</f>
        <v>142</v>
      </c>
      <c r="V32" s="99"/>
      <c r="W32" s="136">
        <f>W31+W30+W29</f>
        <v>171</v>
      </c>
      <c r="X32" s="99"/>
      <c r="Y32" s="129">
        <f>Y31+Y30+Y29</f>
        <v>171</v>
      </c>
    </row>
    <row r="33" spans="1:25" ht="5.25" customHeight="1" x14ac:dyDescent="0.2">
      <c r="A33" s="35"/>
      <c r="C33" s="118"/>
      <c r="G33" s="99"/>
      <c r="H33" s="99"/>
      <c r="I33" s="134"/>
      <c r="J33" s="134"/>
      <c r="K33" s="134"/>
      <c r="L33" s="134"/>
      <c r="M33" s="134"/>
      <c r="N33" s="134"/>
      <c r="O33" s="134"/>
      <c r="P33" s="134"/>
      <c r="Q33" s="394"/>
      <c r="R33" s="394"/>
      <c r="S33" s="394"/>
      <c r="T33" s="394"/>
      <c r="U33" s="394"/>
      <c r="V33" s="99"/>
      <c r="W33" s="134"/>
      <c r="X33" s="99"/>
      <c r="Y33" s="99"/>
    </row>
    <row r="34" spans="1:25" ht="15.75" thickBot="1" x14ac:dyDescent="0.25">
      <c r="A34" s="35">
        <f>+A32+1</f>
        <v>23</v>
      </c>
      <c r="C34" s="278" t="s">
        <v>664</v>
      </c>
      <c r="E34" s="482" t="s">
        <v>701</v>
      </c>
      <c r="G34" s="138">
        <f>(G32+G29)/2</f>
        <v>170</v>
      </c>
      <c r="H34" s="99"/>
      <c r="I34" s="329">
        <f>(I32+I29)/2</f>
        <v>166.5</v>
      </c>
      <c r="J34" s="134"/>
      <c r="K34" s="329">
        <f>(K32+K29)/2</f>
        <v>162.5</v>
      </c>
      <c r="L34" s="134"/>
      <c r="M34" s="329">
        <f>(M32+M29)/2</f>
        <v>159.5</v>
      </c>
      <c r="N34" s="135"/>
      <c r="O34" s="329">
        <f>(O32+O29)/2</f>
        <v>156</v>
      </c>
      <c r="P34" s="135"/>
      <c r="Q34" s="329">
        <f>(Q32+Q29)/2</f>
        <v>152</v>
      </c>
      <c r="R34" s="135"/>
      <c r="S34" s="329">
        <f>(S32+S29)/2</f>
        <v>148</v>
      </c>
      <c r="T34" s="135"/>
      <c r="U34" s="329">
        <f>(U32+U29)/2</f>
        <v>144</v>
      </c>
      <c r="V34" s="99"/>
      <c r="W34" s="329">
        <f>(W32+W29)/2</f>
        <v>171</v>
      </c>
      <c r="X34" s="99"/>
      <c r="Y34" s="138">
        <f>(Y32+Y29)/2</f>
        <v>171</v>
      </c>
    </row>
    <row r="35" spans="1:25" ht="15.75" thickTop="1" x14ac:dyDescent="0.2">
      <c r="A35" s="35">
        <f t="shared" si="2"/>
        <v>24</v>
      </c>
      <c r="C35" s="118"/>
      <c r="G35" s="99"/>
      <c r="H35" s="99"/>
      <c r="I35" s="134"/>
      <c r="J35" s="134"/>
      <c r="K35" s="134"/>
      <c r="L35" s="134"/>
      <c r="M35" s="134"/>
      <c r="N35" s="134"/>
      <c r="O35" s="134"/>
      <c r="P35" s="134"/>
      <c r="Q35" s="394"/>
      <c r="R35" s="394"/>
      <c r="S35" s="394"/>
      <c r="T35" s="394"/>
      <c r="U35" s="394"/>
      <c r="V35" s="99"/>
      <c r="W35" s="134"/>
      <c r="X35" s="99"/>
      <c r="Y35" s="99"/>
    </row>
    <row r="36" spans="1:25" ht="15.75" x14ac:dyDescent="0.25">
      <c r="A36" s="35">
        <f t="shared" si="2"/>
        <v>25</v>
      </c>
      <c r="C36" s="114" t="s">
        <v>439</v>
      </c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394"/>
      <c r="R36" s="394"/>
      <c r="S36" s="394"/>
      <c r="T36" s="394"/>
      <c r="U36" s="394"/>
      <c r="V36" s="134"/>
      <c r="W36" s="134"/>
      <c r="X36" s="134"/>
      <c r="Y36" s="134"/>
    </row>
    <row r="37" spans="1:25" x14ac:dyDescent="0.2">
      <c r="A37" s="35">
        <f t="shared" si="2"/>
        <v>26</v>
      </c>
      <c r="C37" s="481" t="s">
        <v>582</v>
      </c>
      <c r="G37" s="135">
        <v>-52</v>
      </c>
      <c r="H37" s="135"/>
      <c r="I37" s="135">
        <f>+G40</f>
        <v>23</v>
      </c>
      <c r="J37" s="135"/>
      <c r="K37" s="135">
        <f>+I40</f>
        <v>-27</v>
      </c>
      <c r="L37" s="135"/>
      <c r="M37" s="135">
        <f>+K40</f>
        <v>-41</v>
      </c>
      <c r="N37" s="135"/>
      <c r="O37" s="135">
        <f>+M40</f>
        <v>-55</v>
      </c>
      <c r="P37" s="135"/>
      <c r="Q37" s="135">
        <f>+O40</f>
        <v>-69</v>
      </c>
      <c r="R37" s="135"/>
      <c r="S37" s="135">
        <f>+Q40</f>
        <v>-1035.3333333333335</v>
      </c>
      <c r="T37" s="135"/>
      <c r="U37" s="135">
        <f>+S40</f>
        <v>-517.66666666666686</v>
      </c>
      <c r="V37" s="135"/>
      <c r="W37" s="135">
        <v>-52</v>
      </c>
      <c r="X37" s="135"/>
      <c r="Y37" s="135">
        <f>W40</f>
        <v>-26</v>
      </c>
    </row>
    <row r="38" spans="1:25" x14ac:dyDescent="0.2">
      <c r="A38" s="35">
        <f t="shared" si="2"/>
        <v>27</v>
      </c>
      <c r="C38" s="229" t="s">
        <v>450</v>
      </c>
      <c r="E38" s="35" t="s">
        <v>425</v>
      </c>
      <c r="G38" s="134">
        <v>75</v>
      </c>
      <c r="H38" s="134"/>
      <c r="I38" s="134">
        <v>97</v>
      </c>
      <c r="J38" s="134"/>
      <c r="K38" s="134">
        <v>86</v>
      </c>
      <c r="L38" s="134"/>
      <c r="M38" s="134">
        <v>86</v>
      </c>
      <c r="N38" s="134"/>
      <c r="O38" s="134">
        <v>86</v>
      </c>
      <c r="P38" s="134"/>
      <c r="Q38" s="135">
        <f>1853/3</f>
        <v>617.66666666666663</v>
      </c>
      <c r="R38" s="394"/>
      <c r="S38" s="135">
        <f>1853/3</f>
        <v>617.66666666666663</v>
      </c>
      <c r="T38" s="394"/>
      <c r="U38" s="135">
        <f>1853/3</f>
        <v>617.66666666666663</v>
      </c>
      <c r="V38" s="134"/>
      <c r="W38" s="134">
        <v>86</v>
      </c>
      <c r="X38" s="134"/>
      <c r="Y38" s="134">
        <v>86</v>
      </c>
    </row>
    <row r="39" spans="1:25" x14ac:dyDescent="0.2">
      <c r="A39" s="35">
        <f t="shared" si="2"/>
        <v>28</v>
      </c>
      <c r="C39" s="229" t="s">
        <v>451</v>
      </c>
      <c r="E39" s="35" t="s">
        <v>424</v>
      </c>
      <c r="G39" s="136">
        <v>0</v>
      </c>
      <c r="H39" s="134"/>
      <c r="I39" s="136">
        <v>-147</v>
      </c>
      <c r="J39" s="134"/>
      <c r="K39" s="136">
        <f>-100</f>
        <v>-100</v>
      </c>
      <c r="L39" s="394"/>
      <c r="M39" s="136">
        <f>-100</f>
        <v>-100</v>
      </c>
      <c r="N39" s="135"/>
      <c r="O39" s="136">
        <f>-100</f>
        <v>-100</v>
      </c>
      <c r="P39" s="135"/>
      <c r="Q39" s="136">
        <f>-100-346-367-402-369</f>
        <v>-1584</v>
      </c>
      <c r="R39" s="135"/>
      <c r="S39" s="136">
        <v>-100</v>
      </c>
      <c r="T39" s="135"/>
      <c r="U39" s="136">
        <v>-100</v>
      </c>
      <c r="V39" s="134"/>
      <c r="W39" s="136">
        <v>-60</v>
      </c>
      <c r="X39" s="95">
        <v>0</v>
      </c>
      <c r="Y39" s="61">
        <v>-60</v>
      </c>
    </row>
    <row r="40" spans="1:25" x14ac:dyDescent="0.2">
      <c r="A40" s="35">
        <f t="shared" si="2"/>
        <v>29</v>
      </c>
      <c r="C40" s="278" t="s">
        <v>649</v>
      </c>
      <c r="G40" s="129">
        <f>G37+G38+G39:G39</f>
        <v>23</v>
      </c>
      <c r="H40" s="99"/>
      <c r="I40" s="136">
        <f>I37+I38+I39:I39</f>
        <v>-27</v>
      </c>
      <c r="J40" s="134"/>
      <c r="K40" s="136">
        <f>K37+K38+K39:K39</f>
        <v>-41</v>
      </c>
      <c r="L40" s="134"/>
      <c r="M40" s="136">
        <f>M37+M38+M39:M39</f>
        <v>-55</v>
      </c>
      <c r="N40" s="135"/>
      <c r="O40" s="136">
        <f>O37+O38+O39:O39</f>
        <v>-69</v>
      </c>
      <c r="P40" s="135"/>
      <c r="Q40" s="136">
        <f>Q37+Q38+Q39:Q39</f>
        <v>-1035.3333333333335</v>
      </c>
      <c r="R40" s="135"/>
      <c r="S40" s="136">
        <f>S37+S38+S39:S39</f>
        <v>-517.66666666666686</v>
      </c>
      <c r="T40" s="135"/>
      <c r="U40" s="136">
        <f>U37+U38+U39:U39</f>
        <v>-2.2737367544323206E-13</v>
      </c>
      <c r="V40" s="99"/>
      <c r="W40" s="129">
        <f>W37+W38+W39:W39</f>
        <v>-26</v>
      </c>
      <c r="X40" s="99"/>
      <c r="Y40" s="129">
        <f>Y37+Y38+Y39:Y39</f>
        <v>0</v>
      </c>
    </row>
    <row r="41" spans="1:25" ht="5.25" customHeight="1" x14ac:dyDescent="0.2">
      <c r="A41" s="35"/>
      <c r="C41" s="121"/>
      <c r="G41" s="99"/>
      <c r="H41" s="99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99"/>
      <c r="W41" s="99"/>
      <c r="X41" s="99"/>
      <c r="Y41" s="99"/>
    </row>
    <row r="42" spans="1:25" ht="15.75" thickBot="1" x14ac:dyDescent="0.25">
      <c r="A42" s="35">
        <f>+A40+1</f>
        <v>30</v>
      </c>
      <c r="C42" s="278" t="s">
        <v>664</v>
      </c>
      <c r="E42" s="482" t="s">
        <v>702</v>
      </c>
      <c r="G42" s="138">
        <f>(G40+G37)/2</f>
        <v>-14.5</v>
      </c>
      <c r="H42" s="99"/>
      <c r="I42" s="329">
        <f>(I40+I37)/2</f>
        <v>-2</v>
      </c>
      <c r="J42" s="134"/>
      <c r="K42" s="329">
        <f>(K40+K37)/2</f>
        <v>-34</v>
      </c>
      <c r="L42" s="134"/>
      <c r="M42" s="329">
        <f>(M40+M37)/2</f>
        <v>-48</v>
      </c>
      <c r="N42" s="135"/>
      <c r="O42" s="329">
        <f>(O40+O37)/2</f>
        <v>-62</v>
      </c>
      <c r="P42" s="135"/>
      <c r="Q42" s="329">
        <f>(Q40+Q37)/2</f>
        <v>-552.16666666666674</v>
      </c>
      <c r="R42" s="135"/>
      <c r="S42" s="329">
        <f>(S40+S37)/2</f>
        <v>-776.50000000000023</v>
      </c>
      <c r="T42" s="135"/>
      <c r="U42" s="329">
        <f>(U40+U37)/2</f>
        <v>-258.83333333333354</v>
      </c>
      <c r="V42" s="99"/>
      <c r="W42" s="138">
        <f>(W40+W37)/2</f>
        <v>-39</v>
      </c>
      <c r="X42" s="99"/>
      <c r="Y42" s="138">
        <f>(Y40+Y37)/2</f>
        <v>-13</v>
      </c>
    </row>
    <row r="43" spans="1:25" ht="15.75" thickTop="1" x14ac:dyDescent="0.2">
      <c r="A43" s="35"/>
      <c r="C43" s="59"/>
      <c r="G43" s="120"/>
      <c r="H43" s="119"/>
      <c r="I43" s="336"/>
      <c r="J43" s="330"/>
      <c r="K43" s="336"/>
      <c r="L43" s="330"/>
      <c r="M43" s="336"/>
      <c r="N43" s="336"/>
      <c r="O43" s="336"/>
      <c r="P43" s="336"/>
      <c r="Q43" s="336"/>
      <c r="R43" s="336"/>
      <c r="S43" s="336"/>
      <c r="T43" s="336"/>
      <c r="U43" s="336"/>
      <c r="V43" s="119"/>
      <c r="W43" s="120"/>
      <c r="X43" s="119"/>
      <c r="Y43" s="120"/>
    </row>
    <row r="44" spans="1:25" x14ac:dyDescent="0.2">
      <c r="C44" s="59"/>
      <c r="G44" s="119"/>
      <c r="H44" s="119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119"/>
      <c r="W44" s="120"/>
      <c r="X44" s="119"/>
      <c r="Y44" s="120"/>
    </row>
    <row r="45" spans="1:25" x14ac:dyDescent="0.2">
      <c r="C45" s="59"/>
      <c r="G45" s="119"/>
      <c r="H45" s="119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119"/>
      <c r="W45" s="120"/>
      <c r="X45" s="119"/>
      <c r="Y45" s="120"/>
    </row>
    <row r="46" spans="1:25" x14ac:dyDescent="0.2">
      <c r="C46" s="59"/>
      <c r="G46" s="119"/>
      <c r="H46" s="119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119"/>
      <c r="W46" s="120"/>
      <c r="X46" s="119"/>
      <c r="Y46" s="120"/>
    </row>
    <row r="47" spans="1:25" x14ac:dyDescent="0.2">
      <c r="C47" s="59"/>
      <c r="G47" s="119"/>
      <c r="H47" s="119"/>
      <c r="I47" s="119"/>
      <c r="J47" s="119"/>
      <c r="K47" s="330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20"/>
      <c r="X47" s="119"/>
      <c r="Y47" s="120"/>
    </row>
    <row r="48" spans="1:25" x14ac:dyDescent="0.2">
      <c r="K48" s="70"/>
    </row>
    <row r="49" spans="11:11" x14ac:dyDescent="0.2">
      <c r="K49" s="70"/>
    </row>
    <row r="50" spans="11:11" x14ac:dyDescent="0.2">
      <c r="K50" s="70"/>
    </row>
    <row r="51" spans="11:11" x14ac:dyDescent="0.2">
      <c r="K51" s="70"/>
    </row>
    <row r="52" spans="11:11" x14ac:dyDescent="0.2">
      <c r="K52" s="70"/>
    </row>
    <row r="53" spans="11:11" x14ac:dyDescent="0.2">
      <c r="K53" s="70"/>
    </row>
    <row r="54" spans="11:11" x14ac:dyDescent="0.2">
      <c r="K54" s="70"/>
    </row>
    <row r="55" spans="11:11" x14ac:dyDescent="0.2">
      <c r="K55" s="70"/>
    </row>
    <row r="56" spans="11:11" x14ac:dyDescent="0.2">
      <c r="K56" s="70"/>
    </row>
    <row r="57" spans="11:11" x14ac:dyDescent="0.2">
      <c r="K57" s="70"/>
    </row>
    <row r="58" spans="11:11" x14ac:dyDescent="0.2">
      <c r="K58" s="70"/>
    </row>
    <row r="59" spans="11:11" x14ac:dyDescent="0.2">
      <c r="K59" s="70"/>
    </row>
    <row r="60" spans="11:11" x14ac:dyDescent="0.2">
      <c r="K60" s="70"/>
    </row>
    <row r="61" spans="11:11" x14ac:dyDescent="0.2">
      <c r="K61" s="70"/>
    </row>
    <row r="62" spans="11:11" x14ac:dyDescent="0.2">
      <c r="K62" s="70"/>
    </row>
    <row r="63" spans="11:11" x14ac:dyDescent="0.2">
      <c r="K63" s="70"/>
    </row>
    <row r="64" spans="11:11" x14ac:dyDescent="0.2">
      <c r="K64" s="70"/>
    </row>
    <row r="65" spans="11:11" x14ac:dyDescent="0.2">
      <c r="K65" s="70"/>
    </row>
    <row r="66" spans="11:11" x14ac:dyDescent="0.2">
      <c r="K66" s="70"/>
    </row>
    <row r="67" spans="11:11" x14ac:dyDescent="0.2">
      <c r="K67" s="70"/>
    </row>
    <row r="68" spans="11:11" x14ac:dyDescent="0.2">
      <c r="K68" s="70"/>
    </row>
    <row r="69" spans="11:11" x14ac:dyDescent="0.2">
      <c r="K69" s="70"/>
    </row>
    <row r="70" spans="11:11" x14ac:dyDescent="0.2">
      <c r="K70" s="70"/>
    </row>
    <row r="71" spans="11:11" x14ac:dyDescent="0.2">
      <c r="K71" s="70"/>
    </row>
    <row r="72" spans="11:11" x14ac:dyDescent="0.2">
      <c r="K72" s="70"/>
    </row>
  </sheetData>
  <customSheetViews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5" bottom="0.75" header="0.5" footer="0.5"/>
  <pageSetup scale="49" orientation="landscape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pageSetUpPr fitToPage="1"/>
  </sheetPr>
  <dimension ref="A1:AA57"/>
  <sheetViews>
    <sheetView view="pageBreakPreview" zoomScaleNormal="100" zoomScaleSheetLayoutView="100" workbookViewId="0">
      <selection activeCell="C42" sqref="C42"/>
    </sheetView>
  </sheetViews>
  <sheetFormatPr defaultColWidth="7.5703125" defaultRowHeight="15" x14ac:dyDescent="0.2"/>
  <cols>
    <col min="1" max="1" width="7.140625" style="419" customWidth="1"/>
    <col min="2" max="2" width="2.28515625" style="419" customWidth="1"/>
    <col min="3" max="3" width="42.140625" style="419" customWidth="1"/>
    <col min="4" max="4" width="2.28515625" style="419" customWidth="1"/>
    <col min="5" max="5" width="20" style="117" bestFit="1" customWidth="1"/>
    <col min="6" max="6" width="2.5703125" style="419" customWidth="1"/>
    <col min="7" max="7" width="12.7109375" style="419" customWidth="1"/>
    <col min="8" max="8" width="2.28515625" style="419" customWidth="1"/>
    <col min="9" max="9" width="12.7109375" style="419" customWidth="1"/>
    <col min="10" max="10" width="2.28515625" style="419" customWidth="1"/>
    <col min="11" max="11" width="12.7109375" style="419" customWidth="1"/>
    <col min="12" max="12" width="2.28515625" style="419" customWidth="1"/>
    <col min="13" max="13" width="12.7109375" style="419" customWidth="1"/>
    <col min="14" max="14" width="2.28515625" style="419" customWidth="1"/>
    <col min="15" max="15" width="12.7109375" style="419" customWidth="1"/>
    <col min="16" max="16" width="2.28515625" style="419" customWidth="1"/>
    <col min="17" max="17" width="12.7109375" style="419" customWidth="1"/>
    <col min="18" max="18" width="2.28515625" style="419" customWidth="1"/>
    <col min="19" max="19" width="12.7109375" style="419" customWidth="1"/>
    <col min="20" max="20" width="2.28515625" style="419" customWidth="1"/>
    <col min="21" max="21" width="12.7109375" style="419" customWidth="1"/>
    <col min="22" max="22" width="2.28515625" style="419" customWidth="1"/>
    <col min="23" max="23" width="14" style="419" bestFit="1" customWidth="1"/>
    <col min="24" max="24" width="2.28515625" style="419" customWidth="1"/>
    <col min="25" max="25" width="14.85546875" style="419" customWidth="1"/>
    <col min="26" max="26" width="2.28515625" style="419" customWidth="1"/>
    <col min="27" max="27" width="15.5703125" style="419" bestFit="1" customWidth="1"/>
    <col min="28" max="16384" width="7.5703125" style="419"/>
  </cols>
  <sheetData>
    <row r="1" spans="1:26" ht="15.75" x14ac:dyDescent="0.25">
      <c r="A1" s="370" t="s">
        <v>539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51"/>
      <c r="Z1" s="80" t="s">
        <v>842</v>
      </c>
    </row>
    <row r="2" spans="1:26" ht="15.75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772"/>
    </row>
    <row r="3" spans="1:26" ht="15.75" x14ac:dyDescent="0.25">
      <c r="A3" s="370" t="s">
        <v>105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772"/>
    </row>
    <row r="4" spans="1:26" ht="15.75" x14ac:dyDescent="0.25">
      <c r="A4" s="370" t="s">
        <v>33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772"/>
    </row>
    <row r="5" spans="1:26" ht="15.75" x14ac:dyDescent="0.25">
      <c r="A5" s="370"/>
      <c r="B5" s="351"/>
      <c r="C5" s="351"/>
      <c r="D5" s="351"/>
    </row>
    <row r="6" spans="1:26" ht="15.75" x14ac:dyDescent="0.25">
      <c r="A6" s="772"/>
      <c r="B6" s="772"/>
      <c r="C6" s="772"/>
      <c r="D6" s="772"/>
      <c r="E6" s="772"/>
      <c r="Q6" s="404"/>
      <c r="R6" s="404"/>
      <c r="S6" s="404"/>
      <c r="T6" s="404"/>
      <c r="U6" s="404"/>
      <c r="V6" s="404"/>
      <c r="W6" s="772" t="s">
        <v>461</v>
      </c>
      <c r="X6" s="404"/>
      <c r="Y6" s="772" t="s">
        <v>461</v>
      </c>
    </row>
    <row r="7" spans="1:26" ht="15.75" x14ac:dyDescent="0.25">
      <c r="A7" s="772" t="s">
        <v>34</v>
      </c>
      <c r="B7" s="772"/>
      <c r="C7" s="772"/>
      <c r="D7" s="772"/>
      <c r="E7" s="772" t="s">
        <v>35</v>
      </c>
      <c r="F7" s="772"/>
      <c r="G7" s="772" t="s">
        <v>26</v>
      </c>
      <c r="H7" s="772"/>
      <c r="I7" s="772" t="s">
        <v>26</v>
      </c>
      <c r="J7" s="772"/>
      <c r="K7" s="772" t="s">
        <v>26</v>
      </c>
      <c r="L7" s="772"/>
      <c r="M7" s="772" t="s">
        <v>26</v>
      </c>
      <c r="N7" s="772"/>
      <c r="O7" s="772" t="s">
        <v>26</v>
      </c>
      <c r="P7" s="772"/>
      <c r="Q7" s="847" t="s">
        <v>330</v>
      </c>
      <c r="R7" s="847"/>
      <c r="S7" s="847"/>
      <c r="T7" s="847"/>
      <c r="U7" s="847"/>
      <c r="V7" s="772"/>
      <c r="W7" s="346" t="s">
        <v>15</v>
      </c>
      <c r="X7" s="772"/>
      <c r="Y7" s="346" t="s">
        <v>15</v>
      </c>
      <c r="Z7" s="772"/>
    </row>
    <row r="8" spans="1:26" ht="15.75" x14ac:dyDescent="0.25">
      <c r="A8" s="771" t="s">
        <v>36</v>
      </c>
      <c r="B8" s="772"/>
      <c r="C8" s="771" t="s">
        <v>178</v>
      </c>
      <c r="D8" s="772"/>
      <c r="E8" s="771" t="s">
        <v>37</v>
      </c>
      <c r="F8" s="772"/>
      <c r="G8" s="771">
        <v>2008</v>
      </c>
      <c r="H8" s="772"/>
      <c r="I8" s="771">
        <v>2009</v>
      </c>
      <c r="J8" s="772"/>
      <c r="K8" s="771">
        <v>2010</v>
      </c>
      <c r="L8" s="772"/>
      <c r="M8" s="771">
        <v>2011</v>
      </c>
      <c r="N8" s="346"/>
      <c r="O8" s="771">
        <v>2012</v>
      </c>
      <c r="P8" s="346"/>
      <c r="Q8" s="771">
        <v>2013</v>
      </c>
      <c r="R8" s="772"/>
      <c r="S8" s="771">
        <v>2014</v>
      </c>
      <c r="T8" s="772"/>
      <c r="U8" s="771">
        <v>2015</v>
      </c>
      <c r="V8" s="771"/>
      <c r="W8" s="771">
        <v>2008</v>
      </c>
      <c r="X8" s="772"/>
      <c r="Y8" s="771">
        <v>2009</v>
      </c>
      <c r="Z8" s="772"/>
    </row>
    <row r="10" spans="1:26" ht="15.75" x14ac:dyDescent="0.25">
      <c r="A10" s="117">
        <v>1</v>
      </c>
      <c r="C10" s="360" t="s">
        <v>106</v>
      </c>
      <c r="K10" s="361"/>
      <c r="M10" s="361"/>
      <c r="N10" s="361"/>
      <c r="P10" s="361"/>
      <c r="Q10" s="361"/>
      <c r="R10" s="361"/>
      <c r="S10" s="361"/>
      <c r="T10" s="361"/>
      <c r="U10" s="361"/>
    </row>
    <row r="11" spans="1:26" x14ac:dyDescent="0.2">
      <c r="A11" s="117">
        <v>2</v>
      </c>
      <c r="C11" s="419" t="s">
        <v>660</v>
      </c>
      <c r="E11" s="117" t="s">
        <v>422</v>
      </c>
      <c r="G11" s="361">
        <f>'S8.6 '!G22</f>
        <v>127008</v>
      </c>
      <c r="I11" s="361">
        <f>'S8.6 '!I22</f>
        <v>132981</v>
      </c>
      <c r="K11" s="361">
        <f>'S8.6 '!K22</f>
        <v>141372.90564000001</v>
      </c>
      <c r="M11" s="361">
        <f>'S8.6 '!M22</f>
        <v>154418.60537999999</v>
      </c>
      <c r="N11" s="361"/>
      <c r="O11" s="361">
        <f>'S8.6 '!O22</f>
        <v>167681.09751000002</v>
      </c>
      <c r="P11" s="361"/>
      <c r="Q11" s="361">
        <f>'S8.6 '!Q22</f>
        <v>185500.22550999999</v>
      </c>
      <c r="R11" s="361"/>
      <c r="S11" s="361">
        <f>'S8.6 '!S22</f>
        <v>204217.38901390965</v>
      </c>
      <c r="T11" s="361"/>
      <c r="U11" s="361">
        <f>'S8.6 '!U22</f>
        <v>217907.46504248597</v>
      </c>
      <c r="W11" s="361">
        <f>'S8.6 '!W22</f>
        <v>126434.207012</v>
      </c>
      <c r="Y11" s="361">
        <f>'S8.6 '!Y22</f>
        <v>133801.414024</v>
      </c>
    </row>
    <row r="12" spans="1:26" ht="6.75" customHeight="1" x14ac:dyDescent="0.2">
      <c r="A12" s="117"/>
    </row>
    <row r="13" spans="1:26" x14ac:dyDescent="0.2">
      <c r="A13" s="117">
        <v>3</v>
      </c>
      <c r="C13" s="419" t="s">
        <v>31</v>
      </c>
    </row>
    <row r="14" spans="1:26" x14ac:dyDescent="0.2">
      <c r="A14" s="117">
        <v>4</v>
      </c>
      <c r="C14" s="419" t="s">
        <v>177</v>
      </c>
      <c r="E14" s="117" t="s">
        <v>659</v>
      </c>
      <c r="G14" s="361">
        <f>'S8.6 '!G33</f>
        <v>56612</v>
      </c>
      <c r="I14" s="361">
        <f>'S8.6 '!I33</f>
        <v>59806</v>
      </c>
      <c r="K14" s="361">
        <f>'S8.6 '!K33</f>
        <v>62764</v>
      </c>
      <c r="M14" s="361">
        <f>'S8.6 '!M33</f>
        <v>64608.930999999997</v>
      </c>
      <c r="N14" s="361"/>
      <c r="O14" s="361">
        <f>'S8.6 '!O33</f>
        <v>67891.328130000009</v>
      </c>
      <c r="P14" s="361"/>
      <c r="Q14" s="361">
        <f>'S8.6 '!Q33</f>
        <v>70846.451130000001</v>
      </c>
      <c r="R14" s="361"/>
      <c r="S14" s="361">
        <f>'S8.6 '!S33</f>
        <v>75155.612633909652</v>
      </c>
      <c r="T14" s="361"/>
      <c r="U14" s="361">
        <f>'S8.6 '!U33</f>
        <v>80176.710662485973</v>
      </c>
      <c r="W14" s="361">
        <f>'S8.6 '!W33</f>
        <v>56682.252560000001</v>
      </c>
      <c r="Y14" s="361">
        <f>'S8.6 '!Y33</f>
        <v>59903.505120000002</v>
      </c>
    </row>
    <row r="15" spans="1:26" x14ac:dyDescent="0.2">
      <c r="A15" s="117">
        <v>5</v>
      </c>
      <c r="C15" s="419" t="s">
        <v>650</v>
      </c>
      <c r="E15" s="117" t="s">
        <v>638</v>
      </c>
      <c r="G15" s="406">
        <f>'S8.6 '!G20</f>
        <v>1771</v>
      </c>
      <c r="I15" s="406">
        <f>'S8.6 '!I20</f>
        <v>555</v>
      </c>
      <c r="K15" s="406">
        <f>'S8.6 '!K20</f>
        <v>2749</v>
      </c>
      <c r="M15" s="406">
        <f>'S8.6 '!M20</f>
        <v>5025.3999999999996</v>
      </c>
      <c r="N15" s="406"/>
      <c r="O15" s="406">
        <f>'S8.6 '!O20</f>
        <v>2093.5720799999999</v>
      </c>
      <c r="P15" s="406"/>
      <c r="Q15" s="406">
        <f>'S8.6 '!Q20</f>
        <v>1560.5067059999999</v>
      </c>
      <c r="R15" s="406"/>
      <c r="S15" s="406">
        <f>'S8.6 '!S20</f>
        <v>960.50670600000001</v>
      </c>
      <c r="T15" s="406"/>
      <c r="U15" s="406">
        <f>'S8.6 '!U20</f>
        <v>960.50670600000001</v>
      </c>
      <c r="W15" s="406">
        <f>'S8.6 '!W20</f>
        <v>620</v>
      </c>
      <c r="X15" s="79"/>
      <c r="Y15" s="406">
        <f>'S8.6 '!Y20</f>
        <v>580</v>
      </c>
      <c r="Z15" s="79"/>
    </row>
    <row r="16" spans="1:26" x14ac:dyDescent="0.2">
      <c r="A16" s="117">
        <v>6</v>
      </c>
      <c r="C16" s="419" t="s">
        <v>661</v>
      </c>
      <c r="G16" s="333">
        <f>SUM(G14:G15)</f>
        <v>58383</v>
      </c>
      <c r="I16" s="333">
        <f>SUM(I14:I15)</f>
        <v>60361</v>
      </c>
      <c r="K16" s="333">
        <f>SUM(K14:K15)</f>
        <v>65513</v>
      </c>
      <c r="M16" s="333">
        <f>SUM(M14:M15)</f>
        <v>69634.330999999991</v>
      </c>
      <c r="N16" s="366"/>
      <c r="O16" s="333">
        <f>SUM(O14:O15)</f>
        <v>69984.900210000007</v>
      </c>
      <c r="P16" s="366"/>
      <c r="Q16" s="333">
        <f>SUM(Q14:Q15)</f>
        <v>72406.957836000001</v>
      </c>
      <c r="R16" s="366"/>
      <c r="S16" s="333">
        <f>SUM(S14:S15)</f>
        <v>76116.119339909652</v>
      </c>
      <c r="T16" s="366"/>
      <c r="U16" s="333">
        <f>SUM(U14:U15)</f>
        <v>81137.217368485974</v>
      </c>
      <c r="W16" s="333">
        <f>SUM(W14:W15)</f>
        <v>57302.252560000001</v>
      </c>
      <c r="Y16" s="333">
        <f>SUM(Y14:Y15)</f>
        <v>60483.505120000002</v>
      </c>
    </row>
    <row r="17" spans="1:25" ht="6.75" customHeight="1" x14ac:dyDescent="0.2">
      <c r="A17" s="117"/>
    </row>
    <row r="18" spans="1:25" ht="15.75" x14ac:dyDescent="0.25">
      <c r="A18" s="117">
        <v>7</v>
      </c>
      <c r="C18" s="360" t="s">
        <v>689</v>
      </c>
    </row>
    <row r="19" spans="1:25" x14ac:dyDescent="0.2">
      <c r="A19" s="117">
        <v>8</v>
      </c>
      <c r="C19" s="419" t="s">
        <v>662</v>
      </c>
      <c r="G19" s="361">
        <f>G11-G16</f>
        <v>68625</v>
      </c>
      <c r="I19" s="361">
        <f>I11-I16</f>
        <v>72620</v>
      </c>
      <c r="K19" s="361">
        <f>K11-K16</f>
        <v>75859.905640000012</v>
      </c>
      <c r="M19" s="361">
        <f>M11-M16-0.5</f>
        <v>84783.774380000003</v>
      </c>
      <c r="N19" s="361"/>
      <c r="O19" s="361">
        <f>O11-O16</f>
        <v>97696.197300000014</v>
      </c>
      <c r="P19" s="361"/>
      <c r="Q19" s="361">
        <f>Q11-Q16</f>
        <v>113093.26767399999</v>
      </c>
      <c r="R19" s="361"/>
      <c r="S19" s="361">
        <f>S11-S16</f>
        <v>128101.269674</v>
      </c>
      <c r="T19" s="361"/>
      <c r="U19" s="361">
        <f>U11-U16</f>
        <v>136770.24767399998</v>
      </c>
      <c r="W19" s="361">
        <f>W11-W16</f>
        <v>69131.954452000005</v>
      </c>
      <c r="Y19" s="361">
        <f>Y11-Y16</f>
        <v>73317.908903999996</v>
      </c>
    </row>
    <row r="20" spans="1:25" x14ac:dyDescent="0.2">
      <c r="A20" s="117">
        <v>9</v>
      </c>
      <c r="C20" s="419" t="s">
        <v>663</v>
      </c>
      <c r="G20" s="361">
        <v>62683.31</v>
      </c>
      <c r="I20" s="361">
        <f>G19</f>
        <v>68625</v>
      </c>
      <c r="K20" s="361">
        <f>I19</f>
        <v>72620</v>
      </c>
      <c r="M20" s="361">
        <f>K19</f>
        <v>75859.905640000012</v>
      </c>
      <c r="N20" s="361"/>
      <c r="O20" s="361">
        <f>M19</f>
        <v>84783.774380000003</v>
      </c>
      <c r="P20" s="361"/>
      <c r="Q20" s="361">
        <f>O19</f>
        <v>97696.197300000014</v>
      </c>
      <c r="R20" s="361"/>
      <c r="S20" s="361">
        <f>Q19</f>
        <v>113093.26767399999</v>
      </c>
      <c r="T20" s="361"/>
      <c r="U20" s="361">
        <f>S19</f>
        <v>128101.269674</v>
      </c>
      <c r="W20" s="361">
        <v>62683.31</v>
      </c>
      <c r="Y20" s="361">
        <f>W19</f>
        <v>69131.954452000005</v>
      </c>
    </row>
    <row r="21" spans="1:25" x14ac:dyDescent="0.2">
      <c r="A21" s="117">
        <v>10</v>
      </c>
      <c r="C21" s="419" t="s">
        <v>27</v>
      </c>
      <c r="G21" s="333">
        <f>SUM(G19:G20)</f>
        <v>131308.31</v>
      </c>
      <c r="I21" s="333">
        <f>SUM(I19:I20)</f>
        <v>141245</v>
      </c>
      <c r="K21" s="333">
        <f>SUM(K19:K20)</f>
        <v>148479.90564000001</v>
      </c>
      <c r="M21" s="333">
        <f>SUM(M19:M20)</f>
        <v>160643.68002000003</v>
      </c>
      <c r="N21" s="366"/>
      <c r="O21" s="333">
        <f>SUM(O19:O20)</f>
        <v>182479.97168000002</v>
      </c>
      <c r="P21" s="366"/>
      <c r="Q21" s="333">
        <f>SUM(Q19:Q20)</f>
        <v>210789.464974</v>
      </c>
      <c r="R21" s="366"/>
      <c r="S21" s="333">
        <f>SUM(S19:S20)</f>
        <v>241194.53734799998</v>
      </c>
      <c r="T21" s="366"/>
      <c r="U21" s="333">
        <f>SUM(U19:U20)</f>
        <v>264871.51734799996</v>
      </c>
      <c r="W21" s="333">
        <f>SUM(W19:W20)</f>
        <v>131815.264452</v>
      </c>
      <c r="Y21" s="333">
        <f>SUM(Y19:Y20)</f>
        <v>142449.86335599999</v>
      </c>
    </row>
    <row r="22" spans="1:25" ht="6.75" customHeight="1" x14ac:dyDescent="0.2">
      <c r="A22" s="117"/>
      <c r="G22" s="361"/>
      <c r="I22" s="361"/>
      <c r="K22" s="361"/>
      <c r="M22" s="361"/>
      <c r="N22" s="361"/>
      <c r="O22" s="361"/>
      <c r="P22" s="361"/>
      <c r="Q22" s="361"/>
      <c r="R22" s="361"/>
      <c r="S22" s="361"/>
      <c r="T22" s="361"/>
      <c r="U22" s="361"/>
      <c r="W22" s="361"/>
      <c r="Y22" s="361"/>
    </row>
    <row r="23" spans="1:25" x14ac:dyDescent="0.2">
      <c r="A23" s="117">
        <v>11</v>
      </c>
      <c r="C23" s="419" t="s">
        <v>664</v>
      </c>
      <c r="G23" s="361">
        <f>ROUND(G21/2,0)</f>
        <v>65654</v>
      </c>
      <c r="I23" s="361">
        <f>ROUND(I21/2,0)</f>
        <v>70623</v>
      </c>
      <c r="K23" s="361">
        <f>ROUND(K21/2,0)</f>
        <v>74240</v>
      </c>
      <c r="M23" s="361">
        <f>ROUND(M21/2,0)</f>
        <v>80322</v>
      </c>
      <c r="N23" s="361"/>
      <c r="O23" s="361">
        <f>ROUND(O21/2,0)</f>
        <v>91240</v>
      </c>
      <c r="P23" s="361"/>
      <c r="Q23" s="361">
        <f>ROUND(Q21/2,0)</f>
        <v>105395</v>
      </c>
      <c r="R23" s="361"/>
      <c r="S23" s="361">
        <f>ROUND(S21/2,0)</f>
        <v>120597</v>
      </c>
      <c r="T23" s="361"/>
      <c r="U23" s="361">
        <f>ROUND(U21/2,0)</f>
        <v>132436</v>
      </c>
      <c r="W23" s="361">
        <f>ROUND(W21/2,0)</f>
        <v>65908</v>
      </c>
      <c r="Y23" s="361">
        <f>ROUND(Y21/2,0)</f>
        <v>71225</v>
      </c>
    </row>
    <row r="24" spans="1:25" ht="6.75" customHeight="1" x14ac:dyDescent="0.2">
      <c r="A24" s="117"/>
    </row>
    <row r="25" spans="1:25" x14ac:dyDescent="0.2">
      <c r="A25" s="117">
        <v>12</v>
      </c>
      <c r="C25" s="547" t="s">
        <v>665</v>
      </c>
      <c r="E25" s="117" t="s">
        <v>872</v>
      </c>
      <c r="G25" s="361">
        <f>'S8.8 '!G28</f>
        <v>463.5</v>
      </c>
      <c r="I25" s="361">
        <f>'S8.8 '!I28</f>
        <v>270</v>
      </c>
      <c r="K25" s="361">
        <f>'S8.8 '!K28</f>
        <v>269</v>
      </c>
      <c r="M25" s="361">
        <f>'S8.8 '!M28</f>
        <v>-457</v>
      </c>
      <c r="N25" s="361"/>
      <c r="O25" s="361">
        <f>+'S8.8 '!O28</f>
        <v>-515</v>
      </c>
      <c r="P25" s="361"/>
      <c r="Q25" s="361">
        <f>+'S8.8 '!Q28</f>
        <v>-367.875</v>
      </c>
      <c r="R25" s="361"/>
      <c r="S25" s="361">
        <f>+'S8.8 '!S28</f>
        <v>54.875</v>
      </c>
      <c r="T25" s="361"/>
      <c r="U25" s="361">
        <f>+'S8.8 '!U28</f>
        <v>401</v>
      </c>
      <c r="W25" s="361">
        <f>'S8.8 '!W28</f>
        <v>644.5</v>
      </c>
      <c r="Y25" s="361">
        <f>'S8.8 '!Y28</f>
        <v>457.5</v>
      </c>
    </row>
    <row r="26" spans="1:25" x14ac:dyDescent="0.2">
      <c r="A26" s="117">
        <v>13</v>
      </c>
      <c r="C26" s="419" t="s">
        <v>575</v>
      </c>
      <c r="E26" s="117" t="s">
        <v>576</v>
      </c>
      <c r="G26" s="340">
        <f>+S8.10!G45</f>
        <v>2901</v>
      </c>
      <c r="I26" s="340">
        <f>+S8.10!I45</f>
        <v>2842</v>
      </c>
      <c r="K26" s="340">
        <f>+S8.10!K45</f>
        <v>2380</v>
      </c>
      <c r="M26" s="340">
        <f>S8.10!M45</f>
        <v>2903</v>
      </c>
      <c r="N26" s="366"/>
      <c r="O26" s="340">
        <f>+S8.10!O45</f>
        <v>3013</v>
      </c>
      <c r="P26" s="366"/>
      <c r="Q26" s="340">
        <f>+S8.10!Q45</f>
        <v>3275</v>
      </c>
      <c r="R26" s="366"/>
      <c r="S26" s="340">
        <f>+S8.10!S45</f>
        <v>3267</v>
      </c>
      <c r="T26" s="366"/>
      <c r="U26" s="340">
        <f>+S8.10!U45</f>
        <v>3601</v>
      </c>
      <c r="W26" s="340">
        <f>S8.10!W45</f>
        <v>2833</v>
      </c>
      <c r="Y26" s="340">
        <f>S8.10!Y45</f>
        <v>2627</v>
      </c>
    </row>
    <row r="27" spans="1:25" ht="6.75" customHeight="1" x14ac:dyDescent="0.2">
      <c r="A27" s="117"/>
      <c r="G27" s="361"/>
      <c r="I27" s="361"/>
      <c r="K27" s="361"/>
      <c r="M27" s="361"/>
      <c r="N27" s="361"/>
      <c r="O27" s="361"/>
      <c r="P27" s="361"/>
      <c r="Q27" s="361"/>
      <c r="R27" s="361"/>
      <c r="S27" s="361"/>
      <c r="T27" s="361"/>
      <c r="U27" s="361"/>
      <c r="W27" s="361"/>
      <c r="Y27" s="361"/>
    </row>
    <row r="28" spans="1:25" ht="15.75" x14ac:dyDescent="0.25">
      <c r="A28" s="117">
        <v>14</v>
      </c>
      <c r="C28" s="360" t="s">
        <v>107</v>
      </c>
      <c r="G28" s="361">
        <f>G23+G25+G26</f>
        <v>69018.5</v>
      </c>
      <c r="I28" s="361">
        <f>I23+I25+I26</f>
        <v>73735</v>
      </c>
      <c r="K28" s="361">
        <f>K23+K25+K26</f>
        <v>76889</v>
      </c>
      <c r="M28" s="361">
        <f>M23+M25+M26</f>
        <v>82768</v>
      </c>
      <c r="N28" s="361"/>
      <c r="O28" s="361">
        <f>O23+O25+O26</f>
        <v>93738</v>
      </c>
      <c r="P28" s="361"/>
      <c r="Q28" s="361">
        <f>Q23+Q25+Q26</f>
        <v>108302.125</v>
      </c>
      <c r="R28" s="361"/>
      <c r="S28" s="361">
        <f>S23+S25+S26</f>
        <v>123918.875</v>
      </c>
      <c r="T28" s="361"/>
      <c r="U28" s="361">
        <f>U23+U25+U26</f>
        <v>136438</v>
      </c>
      <c r="W28" s="361">
        <f>W23+W25+W26</f>
        <v>69385.5</v>
      </c>
      <c r="Y28" s="361">
        <f>Y23+Y25+Y26</f>
        <v>74309.5</v>
      </c>
    </row>
    <row r="29" spans="1:25" ht="6.75" customHeight="1" x14ac:dyDescent="0.25">
      <c r="A29" s="117"/>
      <c r="C29" s="360"/>
    </row>
    <row r="30" spans="1:25" x14ac:dyDescent="0.2">
      <c r="A30" s="117">
        <v>15</v>
      </c>
      <c r="C30" s="419" t="s">
        <v>31</v>
      </c>
    </row>
    <row r="31" spans="1:25" ht="15.75" x14ac:dyDescent="0.25">
      <c r="A31" s="117">
        <v>16</v>
      </c>
      <c r="C31" s="360" t="s">
        <v>73</v>
      </c>
    </row>
    <row r="32" spans="1:25" x14ac:dyDescent="0.2">
      <c r="A32" s="117">
        <v>17</v>
      </c>
      <c r="C32" s="419" t="s">
        <v>662</v>
      </c>
      <c r="E32" s="117" t="s">
        <v>639</v>
      </c>
      <c r="G32" s="361">
        <f>S8.12!F28</f>
        <v>23649</v>
      </c>
      <c r="I32" s="361">
        <f>S8.12!H28</f>
        <v>25588</v>
      </c>
      <c r="K32" s="361">
        <f>S8.12!J28</f>
        <v>28138</v>
      </c>
      <c r="M32" s="361">
        <f>S8.12!L28</f>
        <v>32581</v>
      </c>
      <c r="N32" s="361"/>
      <c r="O32" s="361">
        <f>S8.12!N28</f>
        <v>34828</v>
      </c>
      <c r="P32" s="361"/>
      <c r="Q32" s="361">
        <f>S8.12!P28</f>
        <v>37302.294768200001</v>
      </c>
      <c r="R32" s="361"/>
      <c r="S32" s="361">
        <f>S8.12!R28</f>
        <v>40439.988840400001</v>
      </c>
      <c r="T32" s="361"/>
      <c r="U32" s="361">
        <f>S8.12!T28</f>
        <v>43116.788392199989</v>
      </c>
      <c r="W32" s="361">
        <f>S8.12!V28</f>
        <v>24093.013275351001</v>
      </c>
      <c r="Y32" s="361">
        <f>S8.12!X28</f>
        <v>25570.928450701998</v>
      </c>
    </row>
    <row r="33" spans="1:27" x14ac:dyDescent="0.2">
      <c r="A33" s="117">
        <v>18</v>
      </c>
      <c r="C33" s="419" t="s">
        <v>663</v>
      </c>
      <c r="E33" s="117" t="s">
        <v>28</v>
      </c>
      <c r="G33" s="361">
        <v>22496</v>
      </c>
      <c r="I33" s="361">
        <f>G32</f>
        <v>23649</v>
      </c>
      <c r="K33" s="361">
        <f>I32</f>
        <v>25588</v>
      </c>
      <c r="M33" s="361">
        <f>K32</f>
        <v>28138</v>
      </c>
      <c r="N33" s="361"/>
      <c r="O33" s="361">
        <f>M32</f>
        <v>32581</v>
      </c>
      <c r="P33" s="361"/>
      <c r="Q33" s="361">
        <f>O32</f>
        <v>34828</v>
      </c>
      <c r="R33" s="361"/>
      <c r="S33" s="361">
        <f>Q32</f>
        <v>37302.294768200001</v>
      </c>
      <c r="T33" s="361"/>
      <c r="U33" s="361">
        <f>S32</f>
        <v>40439.988840400001</v>
      </c>
      <c r="W33" s="361">
        <v>22496</v>
      </c>
      <c r="Y33" s="361">
        <f>W32</f>
        <v>24093.013275351001</v>
      </c>
    </row>
    <row r="34" spans="1:27" x14ac:dyDescent="0.2">
      <c r="A34" s="117">
        <v>19</v>
      </c>
      <c r="C34" s="419" t="s">
        <v>27</v>
      </c>
      <c r="G34" s="333">
        <f>SUM(G32:G33)</f>
        <v>46145</v>
      </c>
      <c r="I34" s="333">
        <f>SUM(I32:I33)</f>
        <v>49237</v>
      </c>
      <c r="K34" s="333">
        <f>SUM(K32:K33)</f>
        <v>53726</v>
      </c>
      <c r="M34" s="333">
        <f>SUM(M32:M33)</f>
        <v>60719</v>
      </c>
      <c r="N34" s="366"/>
      <c r="O34" s="333">
        <f>SUM(O32:O33)</f>
        <v>67409</v>
      </c>
      <c r="P34" s="366"/>
      <c r="Q34" s="333">
        <f>SUM(Q32:Q33)</f>
        <v>72130.294768199994</v>
      </c>
      <c r="R34" s="366"/>
      <c r="S34" s="333">
        <f>SUM(S32:S33)</f>
        <v>77742.283608600002</v>
      </c>
      <c r="T34" s="366"/>
      <c r="U34" s="333">
        <f>SUM(U32:U33)</f>
        <v>83556.777232599998</v>
      </c>
      <c r="W34" s="333">
        <f>SUM(W32:W33)</f>
        <v>46589.013275350997</v>
      </c>
      <c r="Y34" s="333">
        <f>SUM(Y32:Y33)</f>
        <v>49663.941726053003</v>
      </c>
    </row>
    <row r="35" spans="1:27" ht="6.75" customHeight="1" x14ac:dyDescent="0.2">
      <c r="A35" s="117"/>
      <c r="G35" s="361"/>
      <c r="I35" s="361"/>
      <c r="K35" s="361"/>
      <c r="M35" s="361"/>
      <c r="N35" s="361"/>
      <c r="O35" s="361"/>
      <c r="P35" s="361"/>
      <c r="Q35" s="361"/>
      <c r="R35" s="361"/>
      <c r="S35" s="361"/>
      <c r="T35" s="361"/>
      <c r="U35" s="361"/>
      <c r="W35" s="361"/>
      <c r="Y35" s="361"/>
    </row>
    <row r="36" spans="1:27" x14ac:dyDescent="0.2">
      <c r="A36" s="117">
        <v>20</v>
      </c>
      <c r="C36" s="419" t="s">
        <v>664</v>
      </c>
      <c r="F36" s="407"/>
      <c r="G36" s="340">
        <f>ROUND(G34/2,0)</f>
        <v>23073</v>
      </c>
      <c r="H36" s="407"/>
      <c r="I36" s="340">
        <f>ROUND(I34/2,0)</f>
        <v>24619</v>
      </c>
      <c r="J36" s="407"/>
      <c r="K36" s="340">
        <f>ROUND(K34/2,0)</f>
        <v>26863</v>
      </c>
      <c r="L36" s="407"/>
      <c r="M36" s="340">
        <f>ROUND(M34/2,0)</f>
        <v>30360</v>
      </c>
      <c r="N36" s="366"/>
      <c r="O36" s="340">
        <f>ROUND(O34/2,0)</f>
        <v>33705</v>
      </c>
      <c r="P36" s="366"/>
      <c r="Q36" s="340">
        <f>ROUND(Q34/2,0)</f>
        <v>36065</v>
      </c>
      <c r="R36" s="366"/>
      <c r="S36" s="340">
        <f>ROUND(S34/2,0)</f>
        <v>38871</v>
      </c>
      <c r="T36" s="366"/>
      <c r="U36" s="340">
        <f>ROUND(U34/2,0)+0.5</f>
        <v>41778.5</v>
      </c>
      <c r="V36" s="407"/>
      <c r="W36" s="340">
        <f>ROUND(W34/2,0)</f>
        <v>23295</v>
      </c>
      <c r="Y36" s="340">
        <f>ROUND(Y34/2,0)</f>
        <v>24832</v>
      </c>
    </row>
    <row r="37" spans="1:27" ht="6.75" hidden="1" customHeight="1" x14ac:dyDescent="0.2">
      <c r="A37" s="117"/>
      <c r="G37" s="366"/>
      <c r="I37" s="366"/>
      <c r="K37" s="366"/>
      <c r="M37" s="366"/>
      <c r="N37" s="366"/>
      <c r="O37" s="366"/>
      <c r="P37" s="366"/>
      <c r="Q37" s="366"/>
      <c r="R37" s="366"/>
      <c r="S37" s="366"/>
      <c r="T37" s="366"/>
      <c r="U37" s="366"/>
      <c r="W37" s="366"/>
      <c r="Y37" s="366"/>
    </row>
    <row r="38" spans="1:27" ht="6.75" hidden="1" customHeight="1" x14ac:dyDescent="0.2">
      <c r="A38" s="117"/>
      <c r="G38" s="361"/>
      <c r="I38" s="361"/>
      <c r="K38" s="361"/>
      <c r="M38" s="361"/>
      <c r="N38" s="361"/>
      <c r="O38" s="361"/>
      <c r="P38" s="361"/>
      <c r="Q38" s="361"/>
      <c r="R38" s="361"/>
      <c r="S38" s="361"/>
      <c r="T38" s="361"/>
      <c r="U38" s="361"/>
      <c r="W38" s="361"/>
      <c r="Y38" s="361"/>
    </row>
    <row r="39" spans="1:27" ht="46.5" thickBot="1" x14ac:dyDescent="0.3">
      <c r="A39" s="117">
        <f>A36+1</f>
        <v>21</v>
      </c>
      <c r="C39" s="360" t="s">
        <v>108</v>
      </c>
      <c r="E39" s="509" t="s">
        <v>666</v>
      </c>
      <c r="G39" s="264">
        <f>G28-G36</f>
        <v>45945.5</v>
      </c>
      <c r="I39" s="264">
        <f>I28-I36</f>
        <v>49116</v>
      </c>
      <c r="K39" s="264">
        <f>K28-K36</f>
        <v>50026</v>
      </c>
      <c r="M39" s="264">
        <f>M28-M36</f>
        <v>52408</v>
      </c>
      <c r="N39" s="366"/>
      <c r="O39" s="264">
        <f>O28-O36</f>
        <v>60033</v>
      </c>
      <c r="P39" s="366"/>
      <c r="Q39" s="264">
        <f>Q28-Q36</f>
        <v>72237.125</v>
      </c>
      <c r="R39" s="366"/>
      <c r="S39" s="264">
        <f>S28-S36</f>
        <v>85047.875</v>
      </c>
      <c r="T39" s="366"/>
      <c r="U39" s="264">
        <f>U28-U36</f>
        <v>94659.5</v>
      </c>
      <c r="W39" s="264">
        <f>W28-W36</f>
        <v>46090.5</v>
      </c>
      <c r="Y39" s="264">
        <f>Y28-Y36</f>
        <v>49477.5</v>
      </c>
      <c r="AA39" s="361"/>
    </row>
    <row r="40" spans="1:27" ht="10.5" customHeight="1" x14ac:dyDescent="0.2">
      <c r="A40" s="117"/>
    </row>
    <row r="41" spans="1:27" x14ac:dyDescent="0.2">
      <c r="A41" s="117"/>
      <c r="AA41" s="361"/>
    </row>
    <row r="42" spans="1:27" x14ac:dyDescent="0.2">
      <c r="A42" s="117"/>
      <c r="G42" s="140"/>
      <c r="H42" s="140"/>
      <c r="I42" s="140"/>
      <c r="J42" s="140"/>
      <c r="K42" s="140"/>
      <c r="L42" s="140"/>
      <c r="M42" s="140"/>
    </row>
    <row r="43" spans="1:27" x14ac:dyDescent="0.2">
      <c r="A43" s="117"/>
      <c r="G43" s="361"/>
      <c r="I43" s="361"/>
      <c r="K43" s="361"/>
      <c r="M43" s="361"/>
    </row>
    <row r="44" spans="1:27" x14ac:dyDescent="0.2">
      <c r="A44" s="117"/>
      <c r="AA44" s="361"/>
    </row>
    <row r="45" spans="1:27" x14ac:dyDescent="0.2">
      <c r="A45" s="117"/>
    </row>
    <row r="46" spans="1:27" x14ac:dyDescent="0.2">
      <c r="A46" s="117"/>
    </row>
    <row r="47" spans="1:27" x14ac:dyDescent="0.2">
      <c r="A47" s="117"/>
      <c r="O47" s="361"/>
    </row>
    <row r="48" spans="1:27" x14ac:dyDescent="0.2">
      <c r="A48" s="117"/>
    </row>
    <row r="49" spans="1:1" x14ac:dyDescent="0.2">
      <c r="A49" s="117"/>
    </row>
    <row r="50" spans="1:1" x14ac:dyDescent="0.2">
      <c r="A50" s="117"/>
    </row>
    <row r="51" spans="1:1" x14ac:dyDescent="0.2">
      <c r="A51" s="117"/>
    </row>
    <row r="52" spans="1:1" x14ac:dyDescent="0.2">
      <c r="A52" s="117"/>
    </row>
    <row r="53" spans="1:1" x14ac:dyDescent="0.2">
      <c r="A53" s="117"/>
    </row>
    <row r="54" spans="1:1" x14ac:dyDescent="0.2">
      <c r="A54" s="117"/>
    </row>
    <row r="55" spans="1:1" x14ac:dyDescent="0.2">
      <c r="A55" s="117"/>
    </row>
    <row r="56" spans="1:1" x14ac:dyDescent="0.2">
      <c r="A56" s="117"/>
    </row>
    <row r="57" spans="1:1" x14ac:dyDescent="0.2">
      <c r="A57" s="117"/>
    </row>
  </sheetData>
  <customSheetViews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1">
    <mergeCell ref="Q7:U7"/>
  </mergeCells>
  <phoneticPr fontId="8" type="noConversion"/>
  <printOptions horizontalCentered="1"/>
  <pageMargins left="0.5" right="0.5" top="0.75" bottom="0.75" header="0.5" footer="0.5"/>
  <pageSetup scale="56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K111"/>
  <sheetViews>
    <sheetView view="pageBreakPreview" topLeftCell="A34" zoomScale="80" zoomScaleNormal="70" zoomScaleSheetLayoutView="80" workbookViewId="0">
      <selection activeCell="E82" sqref="E82"/>
    </sheetView>
  </sheetViews>
  <sheetFormatPr defaultColWidth="7.5703125" defaultRowHeight="12.75" x14ac:dyDescent="0.2"/>
  <cols>
    <col min="1" max="1" width="7" style="441" customWidth="1"/>
    <col min="2" max="2" width="2.28515625" style="441" customWidth="1"/>
    <col min="3" max="3" width="69.5703125" style="441" customWidth="1"/>
    <col min="4" max="4" width="2.28515625" style="441" customWidth="1"/>
    <col min="5" max="5" width="13.42578125" style="442" bestFit="1" customWidth="1"/>
    <col min="6" max="6" width="2.5703125" style="423" customWidth="1"/>
    <col min="7" max="7" width="12.5703125" style="423" customWidth="1"/>
    <col min="8" max="8" width="2.28515625" style="423" customWidth="1"/>
    <col min="9" max="9" width="12.5703125" style="423" customWidth="1"/>
    <col min="10" max="10" width="2.28515625" style="423" customWidth="1"/>
    <col min="11" max="11" width="12.5703125" style="423" customWidth="1"/>
    <col min="12" max="12" width="2.28515625" style="423" customWidth="1"/>
    <col min="13" max="13" width="12.5703125" style="423" customWidth="1"/>
    <col min="14" max="14" width="2.28515625" style="441" customWidth="1"/>
    <col min="15" max="15" width="12.5703125" style="441" customWidth="1"/>
    <col min="16" max="16" width="2.28515625" style="441" customWidth="1"/>
    <col min="17" max="17" width="12.5703125" style="441" customWidth="1"/>
    <col min="18" max="18" width="12.5703125" style="423" customWidth="1"/>
    <col min="19" max="19" width="2.28515625" style="423" customWidth="1"/>
    <col min="20" max="20" width="12.5703125" style="441" customWidth="1"/>
    <col min="21" max="21" width="12.5703125" style="423" customWidth="1"/>
    <col min="22" max="22" width="2.28515625" style="423" customWidth="1"/>
    <col min="23" max="24" width="12.5703125" style="441" customWidth="1"/>
    <col min="25" max="25" width="2.28515625" style="441" customWidth="1"/>
    <col min="26" max="27" width="12.5703125" style="441" customWidth="1"/>
    <col min="28" max="28" width="2.28515625" style="441" customWidth="1"/>
    <col min="29" max="30" width="12.5703125" style="441" customWidth="1"/>
    <col min="31" max="31" width="2.28515625" style="441" customWidth="1"/>
    <col min="32" max="32" width="2.140625" style="441" customWidth="1"/>
    <col min="33" max="33" width="8.5703125" style="423" bestFit="1" customWidth="1"/>
    <col min="34" max="34" width="7.5703125" style="423"/>
    <col min="35" max="35" width="10.28515625" style="423" customWidth="1"/>
    <col min="36" max="36" width="7.5703125" style="423"/>
    <col min="37" max="37" width="14" style="423" customWidth="1"/>
    <col min="38" max="16384" width="7.5703125" style="423"/>
  </cols>
  <sheetData>
    <row r="1" spans="1:35" s="419" customFormat="1" ht="15.75" x14ac:dyDescent="0.25">
      <c r="A1" s="370" t="s">
        <v>539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41"/>
      <c r="O1" s="41"/>
      <c r="P1" s="41"/>
      <c r="Q1" s="41"/>
      <c r="R1" s="351"/>
      <c r="S1" s="351"/>
      <c r="T1" s="41"/>
      <c r="U1" s="351"/>
      <c r="V1" s="351"/>
      <c r="W1" s="41"/>
      <c r="X1" s="41"/>
      <c r="Y1" s="41"/>
      <c r="Z1" s="41"/>
      <c r="AA1" s="41"/>
      <c r="AB1" s="41"/>
      <c r="AC1" s="41"/>
      <c r="AD1" s="41"/>
      <c r="AE1" s="66" t="s">
        <v>826</v>
      </c>
      <c r="AF1" s="66"/>
    </row>
    <row r="2" spans="1:35" s="419" customFormat="1" ht="15.75" x14ac:dyDescent="0.25">
      <c r="A2" s="370" t="s">
        <v>489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41"/>
      <c r="O2" s="41"/>
      <c r="P2" s="41"/>
      <c r="Q2" s="41"/>
      <c r="R2" s="351"/>
      <c r="S2" s="351"/>
      <c r="T2" s="41"/>
      <c r="U2" s="351"/>
      <c r="V2" s="351"/>
      <c r="W2" s="41"/>
      <c r="X2" s="41"/>
      <c r="Y2" s="41"/>
      <c r="Z2" s="41"/>
      <c r="AA2" s="41"/>
      <c r="AB2" s="41"/>
      <c r="AC2" s="41"/>
      <c r="AD2" s="41"/>
      <c r="AE2" s="41"/>
      <c r="AF2" s="481"/>
    </row>
    <row r="3" spans="1:35" s="419" customFormat="1" ht="15.75" x14ac:dyDescent="0.25">
      <c r="A3" s="370" t="s">
        <v>52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41"/>
      <c r="O3" s="41"/>
      <c r="P3" s="41"/>
      <c r="Q3" s="41"/>
      <c r="R3" s="351"/>
      <c r="S3" s="351"/>
      <c r="T3" s="41"/>
      <c r="U3" s="351"/>
      <c r="V3" s="351"/>
      <c r="W3" s="41"/>
      <c r="X3" s="41"/>
      <c r="Y3" s="41"/>
      <c r="Z3" s="41"/>
      <c r="AA3" s="41"/>
      <c r="AB3" s="41"/>
      <c r="AC3" s="41"/>
      <c r="AD3" s="41"/>
      <c r="AE3" s="41"/>
      <c r="AF3" s="481"/>
    </row>
    <row r="4" spans="1:35" s="419" customFormat="1" ht="15.75" x14ac:dyDescent="0.25">
      <c r="A4" s="557"/>
      <c r="B4" s="351"/>
      <c r="C4" s="351"/>
      <c r="D4" s="351"/>
      <c r="E4" s="117"/>
      <c r="N4" s="481"/>
      <c r="O4" s="481"/>
      <c r="P4" s="481"/>
      <c r="Q4" s="481"/>
      <c r="T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</row>
    <row r="5" spans="1:35" s="419" customFormat="1" ht="15.75" x14ac:dyDescent="0.25">
      <c r="A5" s="557"/>
      <c r="B5" s="557"/>
      <c r="C5" s="557"/>
      <c r="D5" s="557"/>
      <c r="E5" s="557"/>
      <c r="F5" s="347"/>
      <c r="G5" s="347"/>
      <c r="H5" s="347"/>
      <c r="I5" s="347"/>
      <c r="J5" s="347"/>
      <c r="K5" s="347"/>
      <c r="L5" s="347"/>
      <c r="M5" s="347"/>
      <c r="N5" s="84"/>
      <c r="O5" s="84"/>
      <c r="P5" s="84"/>
      <c r="Q5" s="844" t="s">
        <v>330</v>
      </c>
      <c r="R5" s="844"/>
      <c r="S5" s="844"/>
      <c r="T5" s="844"/>
      <c r="U5" s="844"/>
      <c r="V5" s="844"/>
      <c r="W5" s="844"/>
      <c r="X5" s="844"/>
      <c r="Y5" s="84"/>
      <c r="Z5" s="391"/>
      <c r="AA5" s="205"/>
      <c r="AB5" s="84"/>
      <c r="AC5" s="205"/>
      <c r="AD5" s="205"/>
      <c r="AE5" s="84"/>
      <c r="AF5" s="481"/>
    </row>
    <row r="6" spans="1:35" s="419" customFormat="1" ht="15.75" x14ac:dyDescent="0.25">
      <c r="A6" s="559" t="s">
        <v>34</v>
      </c>
      <c r="B6" s="557"/>
      <c r="C6" s="557"/>
      <c r="D6" s="557"/>
      <c r="E6" s="557" t="s">
        <v>35</v>
      </c>
      <c r="F6" s="557"/>
      <c r="G6" s="348" t="s">
        <v>26</v>
      </c>
      <c r="H6" s="557"/>
      <c r="I6" s="348" t="s">
        <v>26</v>
      </c>
      <c r="J6" s="557"/>
      <c r="K6" s="348" t="s">
        <v>26</v>
      </c>
      <c r="L6" s="348"/>
      <c r="M6" s="348" t="s">
        <v>26</v>
      </c>
      <c r="N6" s="554"/>
      <c r="O6" s="348" t="s">
        <v>26</v>
      </c>
      <c r="P6" s="554"/>
      <c r="Q6" s="846">
        <v>2013</v>
      </c>
      <c r="R6" s="846"/>
      <c r="S6" s="475"/>
      <c r="T6" s="846">
        <v>2014</v>
      </c>
      <c r="U6" s="846"/>
      <c r="V6" s="475"/>
      <c r="W6" s="846">
        <v>2015</v>
      </c>
      <c r="X6" s="846"/>
      <c r="Y6" s="474"/>
      <c r="Z6" s="845">
        <v>2008</v>
      </c>
      <c r="AA6" s="845"/>
      <c r="AB6" s="476"/>
      <c r="AC6" s="845">
        <v>2009</v>
      </c>
      <c r="AD6" s="845"/>
      <c r="AE6" s="230"/>
      <c r="AF6" s="481"/>
    </row>
    <row r="7" spans="1:35" s="419" customFormat="1" ht="15.75" x14ac:dyDescent="0.25">
      <c r="A7" s="560" t="s">
        <v>36</v>
      </c>
      <c r="B7" s="557"/>
      <c r="C7" s="555" t="s">
        <v>178</v>
      </c>
      <c r="D7" s="346"/>
      <c r="E7" s="555" t="s">
        <v>37</v>
      </c>
      <c r="F7" s="557"/>
      <c r="G7" s="470">
        <v>2008</v>
      </c>
      <c r="H7" s="556"/>
      <c r="I7" s="470">
        <v>2009</v>
      </c>
      <c r="J7" s="556"/>
      <c r="K7" s="470">
        <v>2010</v>
      </c>
      <c r="L7" s="475"/>
      <c r="M7" s="470">
        <v>2011</v>
      </c>
      <c r="N7" s="474"/>
      <c r="O7" s="470">
        <v>2012</v>
      </c>
      <c r="P7" s="554"/>
      <c r="Q7" s="555" t="s">
        <v>211</v>
      </c>
      <c r="R7" s="731" t="s">
        <v>493</v>
      </c>
      <c r="T7" s="555" t="s">
        <v>211</v>
      </c>
      <c r="U7" s="397" t="s">
        <v>493</v>
      </c>
      <c r="W7" s="555" t="s">
        <v>211</v>
      </c>
      <c r="X7" s="397" t="s">
        <v>493</v>
      </c>
      <c r="Y7" s="554"/>
      <c r="Z7" s="553" t="s">
        <v>211</v>
      </c>
      <c r="AA7" s="553" t="s">
        <v>15</v>
      </c>
      <c r="AB7" s="554"/>
      <c r="AC7" s="553" t="s">
        <v>211</v>
      </c>
      <c r="AD7" s="320" t="s">
        <v>15</v>
      </c>
      <c r="AE7" s="554"/>
      <c r="AF7" s="481"/>
    </row>
    <row r="8" spans="1:35" s="419" customFormat="1" ht="9" customHeight="1" x14ac:dyDescent="0.25">
      <c r="A8" s="561"/>
      <c r="B8" s="557"/>
      <c r="C8" s="346"/>
      <c r="D8" s="346"/>
      <c r="E8" s="346"/>
      <c r="F8" s="557"/>
      <c r="G8" s="557"/>
      <c r="H8" s="557"/>
      <c r="I8" s="557"/>
      <c r="J8" s="557"/>
      <c r="K8" s="557"/>
      <c r="L8" s="557"/>
      <c r="M8" s="557"/>
      <c r="N8" s="554"/>
      <c r="O8" s="557"/>
      <c r="P8" s="554"/>
      <c r="Q8" s="557"/>
      <c r="R8" s="732"/>
      <c r="S8" s="732"/>
      <c r="T8" s="557"/>
      <c r="U8" s="732"/>
      <c r="V8" s="732"/>
      <c r="W8" s="557"/>
      <c r="X8" s="557"/>
      <c r="Y8" s="554"/>
      <c r="Z8" s="230"/>
      <c r="AA8" s="230"/>
      <c r="AB8" s="554"/>
      <c r="AC8" s="230"/>
      <c r="AD8" s="230"/>
      <c r="AE8" s="554"/>
      <c r="AF8" s="481"/>
    </row>
    <row r="9" spans="1:35" s="419" customFormat="1" ht="15.75" x14ac:dyDescent="0.25">
      <c r="A9" s="562">
        <v>1</v>
      </c>
      <c r="C9" s="360" t="s">
        <v>53</v>
      </c>
      <c r="D9" s="360"/>
      <c r="E9" s="557"/>
      <c r="N9" s="481"/>
      <c r="O9" s="481"/>
      <c r="P9" s="481"/>
      <c r="X9" s="481"/>
      <c r="Y9" s="481"/>
      <c r="AF9" s="481"/>
    </row>
    <row r="10" spans="1:35" s="419" customFormat="1" ht="15" x14ac:dyDescent="0.2">
      <c r="A10" s="562">
        <v>2</v>
      </c>
      <c r="C10" s="419" t="s">
        <v>278</v>
      </c>
      <c r="E10" s="117"/>
      <c r="G10" s="406">
        <v>12715</v>
      </c>
      <c r="H10" s="406"/>
      <c r="I10" s="406">
        <v>12943</v>
      </c>
      <c r="J10" s="406"/>
      <c r="K10" s="406">
        <v>13169</v>
      </c>
      <c r="L10" s="406"/>
      <c r="M10" s="406">
        <v>13482</v>
      </c>
      <c r="N10" s="170"/>
      <c r="O10" s="406">
        <v>13857</v>
      </c>
      <c r="P10" s="170"/>
      <c r="Q10" s="406">
        <f>14191.5679240355</f>
        <v>14191.5679240355</v>
      </c>
      <c r="R10" s="406"/>
      <c r="S10" s="406"/>
      <c r="T10" s="406">
        <v>14400.666666666668</v>
      </c>
      <c r="U10" s="406"/>
      <c r="V10" s="406"/>
      <c r="W10" s="406">
        <v>14647.166666666666</v>
      </c>
      <c r="X10" s="170"/>
      <c r="Y10" s="170"/>
      <c r="Z10" s="406">
        <v>12693.25</v>
      </c>
      <c r="AA10" s="406"/>
      <c r="AB10" s="406"/>
      <c r="AC10" s="406">
        <v>12908</v>
      </c>
      <c r="AD10" s="361"/>
      <c r="AF10" s="481"/>
    </row>
    <row r="11" spans="1:35" s="419" customFormat="1" ht="15" x14ac:dyDescent="0.2">
      <c r="A11" s="562">
        <v>3</v>
      </c>
      <c r="C11" s="419" t="s">
        <v>55</v>
      </c>
      <c r="E11" s="117"/>
      <c r="G11" s="406">
        <v>128302</v>
      </c>
      <c r="H11" s="406"/>
      <c r="I11" s="406">
        <v>130569</v>
      </c>
      <c r="J11" s="406"/>
      <c r="K11" s="406">
        <v>131273</v>
      </c>
      <c r="L11" s="406"/>
      <c r="M11" s="406">
        <v>141696</v>
      </c>
      <c r="N11" s="406"/>
      <c r="O11" s="406">
        <v>150350.231</v>
      </c>
      <c r="P11" s="406"/>
      <c r="Q11" s="406">
        <f>148009.619109256</f>
        <v>148009.61910925599</v>
      </c>
      <c r="R11" s="406"/>
      <c r="S11" s="406"/>
      <c r="T11" s="406">
        <v>154383.76135252469</v>
      </c>
      <c r="U11" s="406"/>
      <c r="V11" s="406"/>
      <c r="W11" s="406">
        <v>157032.44520037633</v>
      </c>
      <c r="X11" s="406"/>
      <c r="Y11" s="406"/>
      <c r="Z11" s="406">
        <v>126440.59022204875</v>
      </c>
      <c r="AA11" s="406"/>
      <c r="AB11" s="406"/>
      <c r="AC11" s="406">
        <v>128615.01121802657</v>
      </c>
      <c r="AD11" s="361"/>
      <c r="AF11" s="481"/>
      <c r="AH11" s="361"/>
    </row>
    <row r="12" spans="1:35" s="312" customFormat="1" ht="15" x14ac:dyDescent="0.2">
      <c r="A12" s="562">
        <v>4</v>
      </c>
      <c r="C12" s="312" t="s">
        <v>56</v>
      </c>
      <c r="E12" s="318"/>
      <c r="G12" s="446">
        <f>G11/G10</f>
        <v>10.090601651592607</v>
      </c>
      <c r="H12" s="446"/>
      <c r="I12" s="446">
        <f>I11/I10</f>
        <v>10.088001236189447</v>
      </c>
      <c r="J12" s="446"/>
      <c r="K12" s="446">
        <f>K11/K10</f>
        <v>9.968334725491685</v>
      </c>
      <c r="L12" s="446"/>
      <c r="M12" s="446">
        <f>M11/M10</f>
        <v>10.510013351134846</v>
      </c>
      <c r="N12" s="446"/>
      <c r="O12" s="446">
        <f>O11/O10</f>
        <v>10.850128527098217</v>
      </c>
      <c r="P12" s="446"/>
      <c r="Q12" s="446">
        <f>Q11/Q10</f>
        <v>10.429405679592316</v>
      </c>
      <c r="R12" s="446"/>
      <c r="S12" s="446"/>
      <c r="T12" s="446">
        <v>10.720598214378363</v>
      </c>
      <c r="U12" s="446"/>
      <c r="V12" s="446"/>
      <c r="W12" s="446">
        <v>10.721011699671815</v>
      </c>
      <c r="X12" s="446"/>
      <c r="Y12" s="446"/>
      <c r="Z12" s="446">
        <f>+Z11/Z10</f>
        <v>9.9612463492051884</v>
      </c>
      <c r="AA12" s="446"/>
      <c r="AB12" s="446"/>
      <c r="AC12" s="446">
        <f>+AC11/AC10</f>
        <v>9.9639766980187918</v>
      </c>
      <c r="AF12" s="311"/>
    </row>
    <row r="13" spans="1:35" s="419" customFormat="1" ht="15" x14ac:dyDescent="0.2">
      <c r="A13" s="562">
        <v>5</v>
      </c>
      <c r="C13" s="419" t="s">
        <v>57</v>
      </c>
      <c r="E13" s="94"/>
      <c r="G13" s="406">
        <f>16671</f>
        <v>16671</v>
      </c>
      <c r="H13" s="406"/>
      <c r="I13" s="406">
        <v>16307</v>
      </c>
      <c r="J13" s="406"/>
      <c r="K13" s="406">
        <v>16892</v>
      </c>
      <c r="L13" s="406"/>
      <c r="M13" s="406">
        <v>18928</v>
      </c>
      <c r="N13" s="406"/>
      <c r="O13" s="153">
        <v>21126.641667802829</v>
      </c>
      <c r="P13" s="406"/>
      <c r="Q13" s="406">
        <f>20764.7559245102</f>
        <v>20764.755924510198</v>
      </c>
      <c r="R13" s="406"/>
      <c r="S13" s="406"/>
      <c r="T13" s="406">
        <v>21657.452813351982</v>
      </c>
      <c r="U13" s="406"/>
      <c r="V13" s="406"/>
      <c r="W13" s="406">
        <v>22028.906305485667</v>
      </c>
      <c r="X13" s="406"/>
      <c r="Y13" s="406"/>
      <c r="Z13" s="406">
        <v>14527.962108812468</v>
      </c>
      <c r="AA13" s="406"/>
      <c r="AB13" s="406"/>
      <c r="AC13" s="406">
        <v>14774.926243033044</v>
      </c>
      <c r="AD13" s="361"/>
      <c r="AI13" s="361"/>
    </row>
    <row r="14" spans="1:35" s="310" customFormat="1" ht="15" x14ac:dyDescent="0.2">
      <c r="A14" s="562">
        <v>6</v>
      </c>
      <c r="C14" s="310" t="s">
        <v>794</v>
      </c>
      <c r="E14" s="317"/>
      <c r="G14" s="446">
        <f>G13/G11*100</f>
        <v>12.993562064504061</v>
      </c>
      <c r="H14" s="446"/>
      <c r="I14" s="446">
        <f>I13/I11*100</f>
        <v>12.489181965091255</v>
      </c>
      <c r="J14" s="446"/>
      <c r="K14" s="446">
        <f>K13/K11*100</f>
        <v>12.867840302270842</v>
      </c>
      <c r="L14" s="446"/>
      <c r="M14" s="446">
        <f>M13/M11*100</f>
        <v>13.358175248419151</v>
      </c>
      <c r="N14" s="446"/>
      <c r="O14" s="446">
        <f>O13/O11*100</f>
        <v>14.051619027976637</v>
      </c>
      <c r="P14" s="446"/>
      <c r="Q14" s="446">
        <f>Q13/Q11*100</f>
        <v>14.029328667606608</v>
      </c>
      <c r="R14" s="446"/>
      <c r="S14" s="446"/>
      <c r="T14" s="446">
        <v>14.028323072074064</v>
      </c>
      <c r="U14" s="446"/>
      <c r="V14" s="446"/>
      <c r="W14" s="446">
        <v>14.028251472093153</v>
      </c>
      <c r="X14" s="446"/>
      <c r="Y14" s="446"/>
      <c r="Z14" s="446">
        <f>+Z13/Z11*100</f>
        <v>11.48995119628845</v>
      </c>
      <c r="AA14" s="446"/>
      <c r="AB14" s="446"/>
      <c r="AC14" s="446">
        <f>+AC13/AC11*100</f>
        <v>11.487715238765382</v>
      </c>
      <c r="AF14" s="309"/>
    </row>
    <row r="15" spans="1:35" s="419" customFormat="1" ht="3.75" customHeight="1" x14ac:dyDescent="0.2">
      <c r="A15" s="562"/>
      <c r="E15" s="117"/>
      <c r="Z15" s="103"/>
      <c r="AA15" s="103"/>
      <c r="AC15" s="57"/>
      <c r="AD15" s="103"/>
      <c r="AF15" s="481"/>
    </row>
    <row r="16" spans="1:35" s="419" customFormat="1" ht="17.25" customHeight="1" x14ac:dyDescent="0.25">
      <c r="A16" s="562">
        <v>7</v>
      </c>
      <c r="C16" s="360" t="s">
        <v>58</v>
      </c>
      <c r="D16" s="360"/>
      <c r="E16" s="557"/>
      <c r="AC16" s="481"/>
      <c r="AF16" s="481"/>
    </row>
    <row r="17" spans="1:32" s="316" customFormat="1" ht="15" x14ac:dyDescent="0.2">
      <c r="A17" s="562">
        <v>8</v>
      </c>
      <c r="C17" s="316" t="s">
        <v>278</v>
      </c>
      <c r="E17" s="313"/>
      <c r="G17" s="406">
        <v>2600</v>
      </c>
      <c r="H17" s="406"/>
      <c r="I17" s="406">
        <v>2630</v>
      </c>
      <c r="J17" s="406"/>
      <c r="K17" s="406">
        <v>2692</v>
      </c>
      <c r="L17" s="406"/>
      <c r="M17" s="406">
        <v>2774</v>
      </c>
      <c r="N17" s="406"/>
      <c r="O17" s="406">
        <v>2841</v>
      </c>
      <c r="P17" s="406"/>
      <c r="Q17" s="406">
        <f>2921.9779525641</f>
        <v>2921.9779525641002</v>
      </c>
      <c r="R17" s="406"/>
      <c r="S17" s="406"/>
      <c r="T17" s="406">
        <v>2903.1666666666661</v>
      </c>
      <c r="U17" s="406"/>
      <c r="V17" s="406"/>
      <c r="W17" s="406">
        <v>2948.0833333333339</v>
      </c>
      <c r="X17" s="406"/>
      <c r="Y17" s="406"/>
      <c r="Z17" s="406">
        <v>2599.3333333333335</v>
      </c>
      <c r="AA17" s="406"/>
      <c r="AB17" s="406"/>
      <c r="AC17" s="406">
        <v>2628.9166666666665</v>
      </c>
      <c r="AF17" s="315"/>
    </row>
    <row r="18" spans="1:32" s="316" customFormat="1" ht="15" x14ac:dyDescent="0.2">
      <c r="A18" s="562">
        <v>9</v>
      </c>
      <c r="C18" s="316" t="s">
        <v>55</v>
      </c>
      <c r="E18" s="313"/>
      <c r="G18" s="406">
        <v>141704</v>
      </c>
      <c r="H18" s="406"/>
      <c r="I18" s="406">
        <v>142076</v>
      </c>
      <c r="J18" s="406"/>
      <c r="K18" s="406">
        <v>145776</v>
      </c>
      <c r="L18" s="406"/>
      <c r="M18" s="406">
        <v>150591</v>
      </c>
      <c r="N18" s="406"/>
      <c r="O18" s="406">
        <v>159561.78099999999</v>
      </c>
      <c r="P18" s="406"/>
      <c r="Q18" s="406">
        <f>157605.589260572</f>
        <v>157605.58926057199</v>
      </c>
      <c r="R18" s="406"/>
      <c r="S18" s="406"/>
      <c r="T18" s="406">
        <v>165106.05756217943</v>
      </c>
      <c r="U18" s="406"/>
      <c r="V18" s="406"/>
      <c r="W18" s="406">
        <v>168853.30929996865</v>
      </c>
      <c r="X18" s="406"/>
      <c r="Y18" s="406"/>
      <c r="Z18" s="406">
        <v>144700.88678311105</v>
      </c>
      <c r="AA18" s="406"/>
      <c r="AB18" s="406"/>
      <c r="AC18" s="406">
        <v>145365.19180412093</v>
      </c>
      <c r="AF18" s="315"/>
    </row>
    <row r="19" spans="1:32" s="312" customFormat="1" ht="15" x14ac:dyDescent="0.2">
      <c r="A19" s="562">
        <v>10</v>
      </c>
      <c r="C19" s="312" t="s">
        <v>56</v>
      </c>
      <c r="E19" s="318"/>
      <c r="G19" s="446">
        <f>G18/G17</f>
        <v>54.501538461538459</v>
      </c>
      <c r="H19" s="446"/>
      <c r="I19" s="446">
        <f>I18/I17</f>
        <v>54.021292775665401</v>
      </c>
      <c r="J19" s="446"/>
      <c r="K19" s="446">
        <f>K18/K17</f>
        <v>54.151560178306092</v>
      </c>
      <c r="L19" s="446"/>
      <c r="M19" s="446">
        <f>M18/M17</f>
        <v>54.286589762076424</v>
      </c>
      <c r="N19" s="446"/>
      <c r="O19" s="446">
        <f>O18/O17</f>
        <v>56.163949665610694</v>
      </c>
      <c r="P19" s="446"/>
      <c r="Q19" s="446">
        <f>Q18/Q17</f>
        <v>53.937980306206484</v>
      </c>
      <c r="R19" s="446"/>
      <c r="S19" s="446"/>
      <c r="T19" s="446">
        <v>56.871022755214234</v>
      </c>
      <c r="U19" s="446"/>
      <c r="V19" s="446"/>
      <c r="W19" s="446">
        <v>57.275622907528152</v>
      </c>
      <c r="X19" s="446"/>
      <c r="Y19" s="446"/>
      <c r="Z19" s="446">
        <f>+Z18/Z17</f>
        <v>55.668461188680837</v>
      </c>
      <c r="AA19" s="446"/>
      <c r="AB19" s="446"/>
      <c r="AC19" s="446">
        <f>+AC18/AC17</f>
        <v>55.294712703250745</v>
      </c>
      <c r="AF19" s="311"/>
    </row>
    <row r="20" spans="1:32" s="316" customFormat="1" ht="15" x14ac:dyDescent="0.2">
      <c r="A20" s="562">
        <v>11</v>
      </c>
      <c r="C20" s="316" t="s">
        <v>57</v>
      </c>
      <c r="E20" s="314"/>
      <c r="G20" s="406">
        <v>20818</v>
      </c>
      <c r="H20" s="406"/>
      <c r="I20" s="406">
        <v>20368</v>
      </c>
      <c r="J20" s="406"/>
      <c r="K20" s="406">
        <v>21621</v>
      </c>
      <c r="L20" s="406"/>
      <c r="M20" s="406">
        <v>23374</v>
      </c>
      <c r="N20" s="406"/>
      <c r="O20" s="406">
        <v>26057.067711566684</v>
      </c>
      <c r="P20" s="406"/>
      <c r="Q20" s="406">
        <f>25752.6172079663</f>
        <v>25752.617207966301</v>
      </c>
      <c r="R20" s="406"/>
      <c r="S20" s="406"/>
      <c r="T20" s="406">
        <v>27016.484972085869</v>
      </c>
      <c r="U20" s="406"/>
      <c r="V20" s="406"/>
      <c r="W20" s="406">
        <v>27651.75015666203</v>
      </c>
      <c r="X20" s="406"/>
      <c r="Y20" s="406"/>
      <c r="Z20" s="406">
        <v>18918.467916664304</v>
      </c>
      <c r="AA20" s="406"/>
      <c r="AB20" s="406"/>
      <c r="AC20" s="406">
        <v>19004.330209250227</v>
      </c>
    </row>
    <row r="21" spans="1:32" s="310" customFormat="1" ht="15" x14ac:dyDescent="0.2">
      <c r="A21" s="562">
        <v>12</v>
      </c>
      <c r="C21" s="310" t="s">
        <v>794</v>
      </c>
      <c r="E21" s="317"/>
      <c r="G21" s="446">
        <f>G20/G18*100</f>
        <v>14.691187263591713</v>
      </c>
      <c r="H21" s="446"/>
      <c r="I21" s="446">
        <f>I20/I18*100</f>
        <v>14.335989188884824</v>
      </c>
      <c r="J21" s="446"/>
      <c r="K21" s="446">
        <f>K20/K18*100</f>
        <v>14.831659532433322</v>
      </c>
      <c r="L21" s="446"/>
      <c r="M21" s="446">
        <f>M20/M18*100</f>
        <v>15.521511909742284</v>
      </c>
      <c r="N21" s="446"/>
      <c r="O21" s="446">
        <f>O20/O18*100</f>
        <v>16.330394125875724</v>
      </c>
      <c r="P21" s="446"/>
      <c r="Q21" s="446">
        <f>Q20/Q18*100</f>
        <v>16.339913659653952</v>
      </c>
      <c r="R21" s="446"/>
      <c r="S21" s="446"/>
      <c r="T21" s="446">
        <v>16.36310948913027</v>
      </c>
      <c r="U21" s="446"/>
      <c r="V21" s="446"/>
      <c r="W21" s="446">
        <v>16.376196754034932</v>
      </c>
      <c r="X21" s="446"/>
      <c r="Y21" s="446"/>
      <c r="Z21" s="446">
        <f>+Z20/Z18*100</f>
        <v>13.074189341369259</v>
      </c>
      <c r="AA21" s="446"/>
      <c r="AB21" s="446"/>
      <c r="AC21" s="446">
        <f>+AC20/AC18*100</f>
        <v>13.073508157894151</v>
      </c>
      <c r="AF21" s="309"/>
    </row>
    <row r="22" spans="1:32" s="310" customFormat="1" ht="4.5" customHeight="1" x14ac:dyDescent="0.2">
      <c r="A22" s="562"/>
      <c r="E22" s="317"/>
      <c r="AF22" s="309"/>
    </row>
    <row r="23" spans="1:32" s="310" customFormat="1" ht="15.75" x14ac:dyDescent="0.25">
      <c r="A23" s="562">
        <f>+A21+1</f>
        <v>13</v>
      </c>
      <c r="C23" s="360" t="s">
        <v>507</v>
      </c>
      <c r="E23" s="317"/>
      <c r="AF23" s="309"/>
    </row>
    <row r="24" spans="1:32" s="310" customFormat="1" ht="15" x14ac:dyDescent="0.2">
      <c r="A24" s="562">
        <f>A23+1</f>
        <v>14</v>
      </c>
      <c r="C24" s="316" t="s">
        <v>278</v>
      </c>
      <c r="E24" s="317"/>
      <c r="G24" s="406">
        <v>0</v>
      </c>
      <c r="H24" s="406"/>
      <c r="I24" s="406">
        <v>0</v>
      </c>
      <c r="J24" s="406"/>
      <c r="K24" s="406">
        <v>0</v>
      </c>
      <c r="L24" s="406"/>
      <c r="M24" s="406">
        <v>0</v>
      </c>
      <c r="N24" s="406"/>
      <c r="O24" s="406">
        <v>0</v>
      </c>
      <c r="P24" s="406"/>
      <c r="Q24" s="406">
        <v>0</v>
      </c>
      <c r="R24" s="406"/>
      <c r="S24" s="406"/>
      <c r="T24" s="406">
        <v>0</v>
      </c>
      <c r="U24" s="406"/>
      <c r="V24" s="406"/>
      <c r="W24" s="406">
        <v>0</v>
      </c>
      <c r="X24" s="406"/>
      <c r="Y24" s="406"/>
      <c r="Z24" s="406">
        <v>0</v>
      </c>
      <c r="AA24" s="406"/>
      <c r="AB24" s="406"/>
      <c r="AC24" s="406">
        <v>0</v>
      </c>
      <c r="AF24" s="309"/>
    </row>
    <row r="25" spans="1:32" s="310" customFormat="1" ht="15" x14ac:dyDescent="0.2">
      <c r="A25" s="562">
        <f>A24+1</f>
        <v>15</v>
      </c>
      <c r="C25" s="316" t="s">
        <v>55</v>
      </c>
      <c r="E25" s="317"/>
      <c r="G25" s="406">
        <v>0</v>
      </c>
      <c r="H25" s="406"/>
      <c r="I25" s="406">
        <v>0</v>
      </c>
      <c r="J25" s="406"/>
      <c r="K25" s="406">
        <v>0</v>
      </c>
      <c r="L25" s="406"/>
      <c r="M25" s="406">
        <v>0</v>
      </c>
      <c r="N25" s="406"/>
      <c r="O25" s="406">
        <v>0</v>
      </c>
      <c r="P25" s="406"/>
      <c r="Q25" s="406">
        <v>0</v>
      </c>
      <c r="R25" s="406"/>
      <c r="S25" s="406"/>
      <c r="T25" s="406">
        <v>0</v>
      </c>
      <c r="U25" s="406"/>
      <c r="V25" s="406"/>
      <c r="W25" s="406">
        <v>0</v>
      </c>
      <c r="X25" s="406"/>
      <c r="Y25" s="406"/>
      <c r="Z25" s="406">
        <v>0</v>
      </c>
      <c r="AA25" s="406"/>
      <c r="AB25" s="406"/>
      <c r="AC25" s="406">
        <v>0</v>
      </c>
      <c r="AF25" s="309"/>
    </row>
    <row r="26" spans="1:32" s="310" customFormat="1" ht="15" x14ac:dyDescent="0.2">
      <c r="A26" s="562">
        <f>A25+1</f>
        <v>16</v>
      </c>
      <c r="C26" s="312" t="s">
        <v>56</v>
      </c>
      <c r="E26" s="317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F26" s="309"/>
    </row>
    <row r="27" spans="1:32" s="310" customFormat="1" ht="15" x14ac:dyDescent="0.2">
      <c r="A27" s="562">
        <f>A26+1</f>
        <v>17</v>
      </c>
      <c r="C27" s="316" t="s">
        <v>57</v>
      </c>
      <c r="E27" s="317"/>
      <c r="G27" s="406">
        <v>0</v>
      </c>
      <c r="H27" s="406"/>
      <c r="I27" s="406">
        <v>0</v>
      </c>
      <c r="J27" s="406"/>
      <c r="K27" s="406">
        <v>0</v>
      </c>
      <c r="L27" s="406"/>
      <c r="M27" s="406">
        <v>0</v>
      </c>
      <c r="N27" s="406"/>
      <c r="O27" s="406">
        <v>0</v>
      </c>
      <c r="P27" s="406"/>
      <c r="Q27" s="153">
        <v>0</v>
      </c>
      <c r="R27" s="406"/>
      <c r="S27" s="406"/>
      <c r="T27" s="153">
        <v>0</v>
      </c>
      <c r="U27" s="406"/>
      <c r="V27" s="406"/>
      <c r="W27" s="153">
        <v>0</v>
      </c>
      <c r="X27" s="406"/>
      <c r="Y27" s="406"/>
      <c r="Z27" s="406">
        <v>0</v>
      </c>
      <c r="AA27" s="406"/>
      <c r="AB27" s="406"/>
      <c r="AC27" s="406">
        <v>0</v>
      </c>
      <c r="AF27" s="309"/>
    </row>
    <row r="28" spans="1:32" s="310" customFormat="1" ht="15" x14ac:dyDescent="0.2">
      <c r="A28" s="562">
        <f>A27+1</f>
        <v>18</v>
      </c>
      <c r="C28" s="310" t="s">
        <v>794</v>
      </c>
      <c r="E28" s="317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>
        <v>0</v>
      </c>
      <c r="U28" s="446"/>
      <c r="V28" s="446"/>
      <c r="W28" s="446">
        <v>0</v>
      </c>
      <c r="X28" s="446"/>
      <c r="Y28" s="446"/>
      <c r="Z28" s="446"/>
      <c r="AA28" s="446"/>
      <c r="AB28" s="446"/>
      <c r="AC28" s="446"/>
      <c r="AF28" s="309"/>
    </row>
    <row r="29" spans="1:32" s="310" customFormat="1" ht="4.5" customHeight="1" x14ac:dyDescent="0.2">
      <c r="A29" s="562"/>
      <c r="E29" s="317"/>
      <c r="Q29" s="419"/>
      <c r="R29" s="419"/>
      <c r="S29" s="419"/>
      <c r="T29" s="419"/>
      <c r="U29" s="419"/>
      <c r="V29" s="419"/>
      <c r="W29" s="419"/>
      <c r="AF29" s="309"/>
    </row>
    <row r="30" spans="1:32" s="419" customFormat="1" ht="15.75" x14ac:dyDescent="0.25">
      <c r="A30" s="562">
        <f>+A28+1</f>
        <v>19</v>
      </c>
      <c r="C30" s="360" t="s">
        <v>492</v>
      </c>
      <c r="D30" s="360"/>
      <c r="E30" s="557"/>
      <c r="AC30" s="481"/>
      <c r="AF30" s="481"/>
    </row>
    <row r="31" spans="1:32" s="316" customFormat="1" ht="15" x14ac:dyDescent="0.2">
      <c r="A31" s="562">
        <f>A30+1</f>
        <v>20</v>
      </c>
      <c r="C31" s="316" t="s">
        <v>55</v>
      </c>
      <c r="E31" s="313"/>
      <c r="G31" s="316">
        <v>3545</v>
      </c>
      <c r="I31" s="316">
        <v>3477</v>
      </c>
      <c r="K31" s="316">
        <v>3647</v>
      </c>
      <c r="M31" s="316">
        <v>3598</v>
      </c>
      <c r="O31" s="316">
        <v>3771.4969999999998</v>
      </c>
      <c r="Q31" s="316">
        <v>3724.9</v>
      </c>
      <c r="T31" s="316">
        <v>3789.3879999999999</v>
      </c>
      <c r="W31" s="316">
        <v>3853.8760000000002</v>
      </c>
      <c r="Z31" s="316">
        <v>3444.643</v>
      </c>
      <c r="AC31" s="316">
        <v>3521.88</v>
      </c>
      <c r="AF31" s="315"/>
    </row>
    <row r="32" spans="1:32" s="316" customFormat="1" ht="15" x14ac:dyDescent="0.2">
      <c r="A32" s="562">
        <f>A31+1</f>
        <v>21</v>
      </c>
      <c r="C32" s="316" t="s">
        <v>57</v>
      </c>
      <c r="E32" s="314"/>
      <c r="G32" s="316">
        <v>776</v>
      </c>
      <c r="I32" s="316">
        <v>764</v>
      </c>
      <c r="K32" s="316">
        <v>848</v>
      </c>
      <c r="M32" s="316">
        <v>880</v>
      </c>
      <c r="O32" s="316">
        <v>962.93416063049301</v>
      </c>
      <c r="Q32" s="140">
        <v>951.45111999999972</v>
      </c>
      <c r="T32" s="140">
        <v>966.09783999999991</v>
      </c>
      <c r="W32" s="140">
        <v>980.74455999999964</v>
      </c>
      <c r="Z32" s="316">
        <v>715.65029000000004</v>
      </c>
      <c r="AC32" s="316">
        <v>729.01739999999995</v>
      </c>
    </row>
    <row r="33" spans="1:30" s="310" customFormat="1" ht="15" x14ac:dyDescent="0.2">
      <c r="A33" s="562">
        <f>A32+1</f>
        <v>22</v>
      </c>
      <c r="C33" s="310" t="s">
        <v>794</v>
      </c>
      <c r="E33" s="317"/>
      <c r="G33" s="310">
        <f>G32/G31*100</f>
        <v>21.889985895627646</v>
      </c>
      <c r="I33" s="310">
        <f>I32/I31*100</f>
        <v>21.972965199884957</v>
      </c>
      <c r="K33" s="310">
        <f>K32/K31*100</f>
        <v>23.251987935289279</v>
      </c>
      <c r="M33" s="310">
        <f>M32/M31*100</f>
        <v>24.458032240133406</v>
      </c>
      <c r="O33" s="310">
        <f>O32/O31*100</f>
        <v>25.531881919314614</v>
      </c>
      <c r="Q33" s="310">
        <f>Q32/Q31*100</f>
        <v>25.542997664366819</v>
      </c>
      <c r="T33" s="310">
        <f>T32/T31*100</f>
        <v>25.494825021876881</v>
      </c>
      <c r="W33" s="310">
        <f>W32/W31*100</f>
        <v>25.448264552362339</v>
      </c>
      <c r="Z33" s="310">
        <f>+Z32/Z31*100</f>
        <v>20.775746281980457</v>
      </c>
      <c r="AC33" s="310">
        <f>+AC32/AC31*100</f>
        <v>20.699666087430575</v>
      </c>
    </row>
    <row r="34" spans="1:30" s="419" customFormat="1" ht="4.5" customHeight="1" x14ac:dyDescent="0.2">
      <c r="A34" s="562"/>
      <c r="E34" s="117"/>
      <c r="Z34" s="103"/>
      <c r="AA34" s="103"/>
      <c r="AC34" s="57"/>
      <c r="AD34" s="103"/>
    </row>
    <row r="35" spans="1:30" s="419" customFormat="1" ht="15.75" x14ac:dyDescent="0.25">
      <c r="A35" s="562">
        <f>+A33+1</f>
        <v>23</v>
      </c>
      <c r="C35" s="360" t="s">
        <v>785</v>
      </c>
      <c r="D35" s="360"/>
      <c r="E35" s="557"/>
      <c r="AC35" s="481"/>
    </row>
    <row r="36" spans="1:30" s="316" customFormat="1" ht="15" x14ac:dyDescent="0.2">
      <c r="A36" s="562">
        <f>A35+1</f>
        <v>24</v>
      </c>
      <c r="C36" s="316" t="s">
        <v>55</v>
      </c>
      <c r="E36" s="313"/>
      <c r="G36" s="406">
        <v>631</v>
      </c>
      <c r="H36" s="406"/>
      <c r="I36" s="406">
        <v>592</v>
      </c>
      <c r="J36" s="406"/>
      <c r="K36" s="406">
        <v>594</v>
      </c>
      <c r="L36" s="406"/>
      <c r="M36" s="406">
        <v>581</v>
      </c>
      <c r="N36" s="406"/>
      <c r="O36" s="406">
        <v>560.35500000000002</v>
      </c>
      <c r="P36" s="406"/>
      <c r="Q36" s="406">
        <v>554.10799999999995</v>
      </c>
      <c r="R36" s="406"/>
      <c r="S36" s="406"/>
      <c r="T36" s="406">
        <v>544.16</v>
      </c>
      <c r="U36" s="406"/>
      <c r="V36" s="406"/>
      <c r="W36" s="406">
        <v>534.21199999999999</v>
      </c>
      <c r="X36" s="406"/>
      <c r="Y36" s="406"/>
      <c r="Z36" s="406">
        <v>637.73599999999999</v>
      </c>
      <c r="AA36" s="406"/>
      <c r="AB36" s="406"/>
      <c r="AC36" s="406">
        <v>631.08000000000004</v>
      </c>
    </row>
    <row r="37" spans="1:30" s="316" customFormat="1" ht="15" x14ac:dyDescent="0.2">
      <c r="A37" s="562">
        <f>A36+1</f>
        <v>25</v>
      </c>
      <c r="C37" s="316" t="s">
        <v>57</v>
      </c>
      <c r="E37" s="314"/>
      <c r="G37" s="406">
        <v>139</v>
      </c>
      <c r="H37" s="406"/>
      <c r="I37" s="406">
        <v>131</v>
      </c>
      <c r="J37" s="406"/>
      <c r="K37" s="406">
        <v>138</v>
      </c>
      <c r="L37" s="406"/>
      <c r="M37" s="406">
        <v>143.55209999999997</v>
      </c>
      <c r="N37" s="406"/>
      <c r="O37" s="406">
        <v>146.79815999999997</v>
      </c>
      <c r="P37" s="406"/>
      <c r="Q37" s="406">
        <v>145.32856000000001</v>
      </c>
      <c r="R37" s="406"/>
      <c r="S37" s="406"/>
      <c r="T37" s="406">
        <v>142.94044</v>
      </c>
      <c r="U37" s="406"/>
      <c r="V37" s="406"/>
      <c r="W37" s="406">
        <v>140.55232000000001</v>
      </c>
      <c r="X37" s="406"/>
      <c r="Y37" s="406"/>
      <c r="Z37" s="406">
        <v>133.61090999999999</v>
      </c>
      <c r="AA37" s="406"/>
      <c r="AB37" s="406"/>
      <c r="AC37" s="406">
        <v>132.21551999999997</v>
      </c>
    </row>
    <row r="38" spans="1:30" s="310" customFormat="1" ht="15" x14ac:dyDescent="0.2">
      <c r="A38" s="562">
        <f>A37+1</f>
        <v>26</v>
      </c>
      <c r="C38" s="310" t="s">
        <v>794</v>
      </c>
      <c r="E38" s="317"/>
      <c r="G38" s="446">
        <f>G37/G36*100</f>
        <v>22.028526148969892</v>
      </c>
      <c r="H38" s="446"/>
      <c r="I38" s="446">
        <f>I37/I36*100</f>
        <v>22.128378378378379</v>
      </c>
      <c r="J38" s="446"/>
      <c r="K38" s="446">
        <f>K37/K36*100</f>
        <v>23.232323232323232</v>
      </c>
      <c r="L38" s="446"/>
      <c r="M38" s="446">
        <f>M37/M36*100</f>
        <v>24.707762478485364</v>
      </c>
      <c r="N38" s="446"/>
      <c r="O38" s="446">
        <f>O37/O36*100</f>
        <v>26.19734989426345</v>
      </c>
      <c r="P38" s="446"/>
      <c r="Q38" s="446">
        <f>Q37/Q36*100</f>
        <v>26.227479119594015</v>
      </c>
      <c r="R38" s="446"/>
      <c r="S38" s="446"/>
      <c r="T38" s="446">
        <f>T37/T36*100</f>
        <v>26.268090267568361</v>
      </c>
      <c r="U38" s="446"/>
      <c r="V38" s="446"/>
      <c r="W38" s="446">
        <f>W37/W36*100</f>
        <v>26.310213922562582</v>
      </c>
      <c r="X38" s="446"/>
      <c r="Y38" s="446"/>
      <c r="Z38" s="446">
        <f>+Z37/Z36*100</f>
        <v>20.950818206906931</v>
      </c>
      <c r="AA38" s="446"/>
      <c r="AB38" s="446"/>
      <c r="AC38" s="446">
        <f>+AC37/AC36*100</f>
        <v>20.95067503327628</v>
      </c>
    </row>
    <row r="39" spans="1:30" s="419" customFormat="1" ht="4.5" customHeight="1" x14ac:dyDescent="0.2">
      <c r="A39" s="562"/>
      <c r="E39" s="117"/>
      <c r="Z39" s="103"/>
      <c r="AA39" s="103"/>
      <c r="AC39" s="57"/>
      <c r="AD39" s="103"/>
    </row>
    <row r="40" spans="1:30" s="419" customFormat="1" ht="15" customHeight="1" x14ac:dyDescent="0.25">
      <c r="A40" s="562">
        <f>+A38+1</f>
        <v>27</v>
      </c>
      <c r="C40" s="360" t="s">
        <v>413</v>
      </c>
      <c r="D40" s="360"/>
      <c r="E40" s="557"/>
      <c r="AA40" s="481"/>
      <c r="AB40" s="481"/>
      <c r="AC40" s="481"/>
      <c r="AD40" s="103"/>
    </row>
    <row r="41" spans="1:30" s="316" customFormat="1" ht="15" customHeight="1" x14ac:dyDescent="0.2">
      <c r="A41" s="562">
        <f>A40+1</f>
        <v>28</v>
      </c>
      <c r="C41" s="316" t="s">
        <v>54</v>
      </c>
      <c r="E41" s="313"/>
      <c r="G41" s="406">
        <f>G10+G17</f>
        <v>15315</v>
      </c>
      <c r="H41" s="406"/>
      <c r="I41" s="406">
        <f>I10+I17</f>
        <v>15573</v>
      </c>
      <c r="J41" s="406"/>
      <c r="K41" s="406">
        <f>K10+K17</f>
        <v>15861</v>
      </c>
      <c r="L41" s="406"/>
      <c r="M41" s="406">
        <f>M10+M17</f>
        <v>16256</v>
      </c>
      <c r="N41" s="406"/>
      <c r="O41" s="406">
        <f>O10+O17</f>
        <v>16698</v>
      </c>
      <c r="P41" s="406"/>
      <c r="Q41" s="406">
        <f>Q10+Q17</f>
        <v>17113.545876599601</v>
      </c>
      <c r="R41" s="406"/>
      <c r="S41" s="406"/>
      <c r="T41" s="406">
        <f>T10+T17</f>
        <v>17303.833333333336</v>
      </c>
      <c r="U41" s="406"/>
      <c r="V41" s="406"/>
      <c r="W41" s="406">
        <f>W10+W17</f>
        <v>17595.25</v>
      </c>
      <c r="X41" s="406"/>
      <c r="Y41" s="406"/>
      <c r="Z41" s="406">
        <f>Z10+Z17</f>
        <v>15292.583333333334</v>
      </c>
      <c r="AA41" s="170"/>
      <c r="AB41" s="170"/>
      <c r="AC41" s="170">
        <f>AC10+AC17</f>
        <v>15536.916666666666</v>
      </c>
    </row>
    <row r="42" spans="1:30" s="316" customFormat="1" ht="15" customHeight="1" x14ac:dyDescent="0.2">
      <c r="A42" s="562">
        <f>A41+1</f>
        <v>29</v>
      </c>
      <c r="C42" s="316" t="s">
        <v>55</v>
      </c>
      <c r="E42" s="313"/>
      <c r="G42" s="406">
        <f>G11+G18+G31+G36+G25</f>
        <v>274182</v>
      </c>
      <c r="H42" s="406"/>
      <c r="I42" s="406">
        <f>I11+I18+I31+I36+I25</f>
        <v>276714</v>
      </c>
      <c r="J42" s="406"/>
      <c r="K42" s="406">
        <f>K11+K18+K31+K36+K25</f>
        <v>281290</v>
      </c>
      <c r="L42" s="406"/>
      <c r="M42" s="406">
        <f>M11+M18+M31+M36+M25</f>
        <v>296466</v>
      </c>
      <c r="N42" s="170"/>
      <c r="O42" s="406">
        <f>O11+O18+O31+O36+O25</f>
        <v>314243.86399999994</v>
      </c>
      <c r="P42" s="170"/>
      <c r="Q42" s="406">
        <f>Q11+Q18+Q31+Q36+Q25</f>
        <v>309894.21636982798</v>
      </c>
      <c r="R42" s="406"/>
      <c r="S42" s="406"/>
      <c r="T42" s="406">
        <f>T11+T18+T31+T36+T25</f>
        <v>323823.36691470409</v>
      </c>
      <c r="U42" s="406"/>
      <c r="V42" s="406"/>
      <c r="W42" s="406">
        <f>W11+W18+W31+W36+W25</f>
        <v>330273.84250034497</v>
      </c>
      <c r="X42" s="170"/>
      <c r="Y42" s="170"/>
      <c r="Z42" s="406">
        <f>Z11+Z18+Z31+Z36</f>
        <v>275223.85600515979</v>
      </c>
      <c r="AA42" s="170"/>
      <c r="AB42" s="170"/>
      <c r="AC42" s="170">
        <f>AC11+AC18+AC31+AC36</f>
        <v>278133.16302214755</v>
      </c>
    </row>
    <row r="43" spans="1:30" s="316" customFormat="1" ht="15" customHeight="1" x14ac:dyDescent="0.2">
      <c r="A43" s="562">
        <f>A42+1</f>
        <v>30</v>
      </c>
      <c r="C43" s="316" t="s">
        <v>57</v>
      </c>
      <c r="E43" s="313"/>
      <c r="G43" s="406">
        <f>G13+G20+G32+G37+G27</f>
        <v>38404</v>
      </c>
      <c r="H43" s="406"/>
      <c r="I43" s="406">
        <f>I13+I20+I32+I37+I27</f>
        <v>37570</v>
      </c>
      <c r="J43" s="406"/>
      <c r="K43" s="406">
        <f>K13+K20+K32+K37+K27</f>
        <v>39499</v>
      </c>
      <c r="L43" s="406"/>
      <c r="M43" s="406">
        <f>M13+M20+M32+M37+M27</f>
        <v>43325.552100000001</v>
      </c>
      <c r="N43" s="170"/>
      <c r="O43" s="406">
        <f>O13+O20+O32+O37+O27</f>
        <v>48293.441700000003</v>
      </c>
      <c r="P43" s="170"/>
      <c r="Q43" s="406">
        <f>Q13+Q20+Q32+Q37+Q27</f>
        <v>47614.152812476495</v>
      </c>
      <c r="R43" s="406"/>
      <c r="S43" s="406"/>
      <c r="T43" s="406">
        <f>T13+T20+T32+T37+T27</f>
        <v>49782.976065437855</v>
      </c>
      <c r="U43" s="406"/>
      <c r="V43" s="406"/>
      <c r="W43" s="406">
        <f>W13+W20+W32+W37+W27</f>
        <v>50801.953342147703</v>
      </c>
      <c r="X43" s="170"/>
      <c r="Y43" s="170"/>
      <c r="Z43" s="406">
        <f>Z13+Z20+Z32+Z37+Z27</f>
        <v>34295.691225476774</v>
      </c>
      <c r="AA43" s="170"/>
      <c r="AB43" s="170"/>
      <c r="AC43" s="406">
        <f>AC13+AC20+AC32+AC37+AC27</f>
        <v>34640.489372283264</v>
      </c>
    </row>
    <row r="44" spans="1:30" s="310" customFormat="1" ht="15" customHeight="1" x14ac:dyDescent="0.2">
      <c r="A44" s="562">
        <f>A43+1</f>
        <v>31</v>
      </c>
      <c r="C44" s="310" t="s">
        <v>794</v>
      </c>
      <c r="E44" s="317"/>
      <c r="G44" s="446">
        <f>G43/G42*100</f>
        <v>14.006754637430612</v>
      </c>
      <c r="H44" s="446"/>
      <c r="I44" s="446">
        <f>I43/I42*100</f>
        <v>13.577195226840711</v>
      </c>
      <c r="J44" s="446"/>
      <c r="K44" s="446">
        <f>K43/K42*100</f>
        <v>14.042091791389669</v>
      </c>
      <c r="L44" s="446"/>
      <c r="M44" s="446">
        <f>M43/M42*100</f>
        <v>14.61400366315193</v>
      </c>
      <c r="N44" s="445"/>
      <c r="O44" s="446">
        <f>O43/O42*100</f>
        <v>15.368141508086858</v>
      </c>
      <c r="P44" s="445"/>
      <c r="Q44" s="446">
        <f>Q43/Q42*100</f>
        <v>15.364647127087306</v>
      </c>
      <c r="R44" s="446"/>
      <c r="S44" s="446"/>
      <c r="T44" s="446">
        <f>T43/T42*100</f>
        <v>15.373497144370937</v>
      </c>
      <c r="U44" s="446"/>
      <c r="V44" s="446"/>
      <c r="W44" s="446">
        <f>W43/W42*100</f>
        <v>15.381767129225391</v>
      </c>
      <c r="X44" s="445"/>
      <c r="Y44" s="445"/>
      <c r="Z44" s="446">
        <f>Z43/Z42*100</f>
        <v>12.461016905756095</v>
      </c>
      <c r="AA44" s="445"/>
      <c r="AB44" s="445"/>
      <c r="AC44" s="445">
        <f>AC43/AC42*100</f>
        <v>12.454641868623508</v>
      </c>
    </row>
    <row r="45" spans="1:30" s="419" customFormat="1" ht="4.5" customHeight="1" x14ac:dyDescent="0.2">
      <c r="A45" s="562"/>
      <c r="E45" s="117"/>
      <c r="Z45" s="103"/>
      <c r="AA45" s="103"/>
      <c r="AC45" s="57"/>
      <c r="AD45" s="103"/>
    </row>
    <row r="46" spans="1:30" s="419" customFormat="1" ht="16.5" customHeight="1" x14ac:dyDescent="0.25">
      <c r="A46" s="562">
        <f>+A44+1</f>
        <v>32</v>
      </c>
      <c r="C46" s="360" t="s">
        <v>356</v>
      </c>
      <c r="E46" s="117"/>
      <c r="Z46" s="103"/>
      <c r="AA46" s="103"/>
      <c r="AC46" s="57"/>
      <c r="AD46" s="103"/>
    </row>
    <row r="47" spans="1:30" s="316" customFormat="1" ht="15" customHeight="1" x14ac:dyDescent="0.2">
      <c r="A47" s="562">
        <f>A46+1</f>
        <v>33</v>
      </c>
      <c r="C47" s="316" t="s">
        <v>278</v>
      </c>
      <c r="E47" s="313"/>
      <c r="G47" s="406">
        <v>22</v>
      </c>
      <c r="H47" s="406"/>
      <c r="I47" s="406">
        <v>21</v>
      </c>
      <c r="J47" s="406"/>
      <c r="K47" s="406">
        <v>21</v>
      </c>
      <c r="L47" s="406"/>
      <c r="M47" s="406">
        <v>14</v>
      </c>
      <c r="N47" s="406"/>
      <c r="O47" s="406">
        <v>2</v>
      </c>
      <c r="P47" s="406"/>
      <c r="Q47" s="153">
        <v>0</v>
      </c>
      <c r="R47" s="406"/>
      <c r="S47" s="406"/>
      <c r="T47" s="153">
        <v>0</v>
      </c>
      <c r="U47" s="406"/>
      <c r="V47" s="406"/>
      <c r="W47" s="153">
        <v>0</v>
      </c>
      <c r="X47" s="406"/>
      <c r="Y47" s="406"/>
      <c r="Z47" s="170">
        <v>22.333333333333332</v>
      </c>
      <c r="AA47" s="406"/>
      <c r="AB47" s="406"/>
      <c r="AC47" s="170">
        <v>23</v>
      </c>
    </row>
    <row r="48" spans="1:30" s="316" customFormat="1" ht="15" customHeight="1" x14ac:dyDescent="0.2">
      <c r="A48" s="562">
        <f>A47+1</f>
        <v>34</v>
      </c>
      <c r="C48" s="316" t="s">
        <v>55</v>
      </c>
      <c r="E48" s="313"/>
      <c r="G48" s="406">
        <v>18053</v>
      </c>
      <c r="H48" s="406"/>
      <c r="I48" s="406">
        <v>16843</v>
      </c>
      <c r="J48" s="406"/>
      <c r="K48" s="406">
        <v>10153</v>
      </c>
      <c r="L48" s="406"/>
      <c r="M48" s="406">
        <v>552</v>
      </c>
      <c r="N48" s="406"/>
      <c r="O48" s="406">
        <v>1993</v>
      </c>
      <c r="P48" s="406"/>
      <c r="Q48" s="153">
        <v>0</v>
      </c>
      <c r="R48" s="406"/>
      <c r="S48" s="406"/>
      <c r="T48" s="153">
        <v>0</v>
      </c>
      <c r="U48" s="406"/>
      <c r="V48" s="406"/>
      <c r="W48" s="153">
        <v>0</v>
      </c>
      <c r="X48" s="406"/>
      <c r="Y48" s="406"/>
      <c r="Z48" s="406">
        <v>16852.75</v>
      </c>
      <c r="AA48" s="406"/>
      <c r="AB48" s="406"/>
      <c r="AC48" s="406">
        <v>6954.05</v>
      </c>
    </row>
    <row r="49" spans="1:37" s="312" customFormat="1" ht="15" customHeight="1" x14ac:dyDescent="0.2">
      <c r="A49" s="562">
        <f>A48+1</f>
        <v>35</v>
      </c>
      <c r="C49" s="312" t="s">
        <v>56</v>
      </c>
      <c r="E49" s="318"/>
      <c r="G49" s="446">
        <f>G48/G47</f>
        <v>820.59090909090912</v>
      </c>
      <c r="H49" s="446"/>
      <c r="I49" s="446">
        <f>I48/I47</f>
        <v>802.04761904761904</v>
      </c>
      <c r="J49" s="446"/>
      <c r="K49" s="446">
        <f>K48/K47</f>
        <v>483.47619047619048</v>
      </c>
      <c r="L49" s="446"/>
      <c r="M49" s="446">
        <f>M48/M47</f>
        <v>39.428571428571431</v>
      </c>
      <c r="N49" s="445"/>
      <c r="O49" s="446">
        <f>O48/O47</f>
        <v>996.5</v>
      </c>
      <c r="P49" s="445"/>
      <c r="Q49" s="703">
        <v>0</v>
      </c>
      <c r="R49" s="446"/>
      <c r="S49" s="446"/>
      <c r="T49" s="703">
        <v>0</v>
      </c>
      <c r="U49" s="446"/>
      <c r="V49" s="446"/>
      <c r="W49" s="703">
        <v>0</v>
      </c>
      <c r="X49" s="445"/>
      <c r="Y49" s="445"/>
      <c r="Z49" s="445">
        <f>Z48/Z47</f>
        <v>754.60074626865674</v>
      </c>
      <c r="AA49" s="445"/>
      <c r="AB49" s="445"/>
      <c r="AC49" s="445">
        <f>AC48/AC47</f>
        <v>302.35000000000002</v>
      </c>
    </row>
    <row r="50" spans="1:37" s="312" customFormat="1" ht="15" customHeight="1" x14ac:dyDescent="0.2">
      <c r="A50" s="562">
        <f>A49+1</f>
        <v>36</v>
      </c>
      <c r="C50" s="312" t="s">
        <v>57</v>
      </c>
      <c r="E50" s="318"/>
      <c r="G50" s="406">
        <v>1389</v>
      </c>
      <c r="H50" s="406"/>
      <c r="I50" s="406">
        <v>1092.239</v>
      </c>
      <c r="J50" s="406"/>
      <c r="K50" s="406">
        <v>664.61</v>
      </c>
      <c r="L50" s="406"/>
      <c r="M50" s="406">
        <v>41</v>
      </c>
      <c r="N50" s="406"/>
      <c r="O50" s="406">
        <v>164.07726</v>
      </c>
      <c r="P50" s="406"/>
      <c r="Q50" s="153">
        <v>0</v>
      </c>
      <c r="R50" s="406"/>
      <c r="S50" s="406"/>
      <c r="T50" s="153">
        <v>0</v>
      </c>
      <c r="U50" s="406"/>
      <c r="V50" s="406"/>
      <c r="W50" s="153">
        <v>0</v>
      </c>
      <c r="X50" s="406"/>
      <c r="Y50" s="406"/>
      <c r="Z50" s="406">
        <v>1213.3979999999999</v>
      </c>
      <c r="AA50" s="406"/>
      <c r="AB50" s="406"/>
      <c r="AC50" s="406">
        <v>500.69159999999999</v>
      </c>
    </row>
    <row r="51" spans="1:37" s="419" customFormat="1" ht="15" customHeight="1" x14ac:dyDescent="0.2">
      <c r="A51" s="562">
        <f>A50+1</f>
        <v>37</v>
      </c>
      <c r="C51" s="310" t="s">
        <v>794</v>
      </c>
      <c r="E51" s="117"/>
      <c r="G51" s="446">
        <f>G50/G48*100</f>
        <v>7.6940120755553094</v>
      </c>
      <c r="H51" s="446"/>
      <c r="I51" s="446">
        <f>I50/I48*100</f>
        <v>6.4848245561954521</v>
      </c>
      <c r="J51" s="446"/>
      <c r="K51" s="446">
        <f>K50/K48*100</f>
        <v>6.5459470107357438</v>
      </c>
      <c r="L51" s="446"/>
      <c r="M51" s="446">
        <f>M50/M48*100</f>
        <v>7.4275362318840576</v>
      </c>
      <c r="N51" s="446"/>
      <c r="O51" s="446">
        <f>O50/O48*100</f>
        <v>8.2326773707977914</v>
      </c>
      <c r="P51" s="446"/>
      <c r="Q51" s="704">
        <v>0</v>
      </c>
      <c r="R51" s="446"/>
      <c r="S51" s="446"/>
      <c r="T51" s="704">
        <v>0</v>
      </c>
      <c r="U51" s="446"/>
      <c r="V51" s="446"/>
      <c r="W51" s="704">
        <v>0</v>
      </c>
      <c r="X51" s="446"/>
      <c r="Y51" s="446"/>
      <c r="Z51" s="446">
        <f>Z50/Z48*100</f>
        <v>7.1999999999999993</v>
      </c>
      <c r="AA51" s="446"/>
      <c r="AB51" s="446"/>
      <c r="AC51" s="446">
        <f>AC50/AC48*100</f>
        <v>7.1999999999999993</v>
      </c>
      <c r="AD51" s="103"/>
    </row>
    <row r="52" spans="1:37" s="419" customFormat="1" ht="4.5" customHeight="1" x14ac:dyDescent="0.2">
      <c r="A52" s="562"/>
      <c r="E52" s="117"/>
      <c r="Z52" s="57"/>
      <c r="AA52" s="103"/>
      <c r="AC52" s="57"/>
      <c r="AD52" s="103"/>
    </row>
    <row r="53" spans="1:37" s="419" customFormat="1" ht="16.5" customHeight="1" x14ac:dyDescent="0.25">
      <c r="A53" s="562">
        <f>+A51+1</f>
        <v>38</v>
      </c>
      <c r="C53" s="360" t="s">
        <v>357</v>
      </c>
      <c r="E53" s="117"/>
      <c r="Z53" s="57"/>
      <c r="AA53" s="103"/>
      <c r="AC53" s="57"/>
      <c r="AD53" s="103"/>
    </row>
    <row r="54" spans="1:37" s="419" customFormat="1" ht="15" customHeight="1" x14ac:dyDescent="0.2">
      <c r="A54" s="562">
        <f>+A53+1</f>
        <v>39</v>
      </c>
      <c r="C54" s="419" t="s">
        <v>278</v>
      </c>
      <c r="E54" s="117"/>
      <c r="G54" s="406">
        <v>2</v>
      </c>
      <c r="H54" s="406"/>
      <c r="I54" s="406">
        <v>2</v>
      </c>
      <c r="J54" s="406"/>
      <c r="K54" s="406">
        <v>2</v>
      </c>
      <c r="L54" s="406"/>
      <c r="M54" s="406">
        <v>2</v>
      </c>
      <c r="N54" s="406"/>
      <c r="O54" s="406">
        <v>2</v>
      </c>
      <c r="P54" s="406"/>
      <c r="Q54" s="406">
        <v>2</v>
      </c>
      <c r="R54" s="406"/>
      <c r="S54" s="406"/>
      <c r="T54" s="406">
        <v>2</v>
      </c>
      <c r="U54" s="406"/>
      <c r="V54" s="406"/>
      <c r="W54" s="406">
        <v>2</v>
      </c>
      <c r="X54" s="406"/>
      <c r="Y54" s="406"/>
      <c r="Z54" s="170">
        <v>2</v>
      </c>
      <c r="AA54" s="406"/>
      <c r="AB54" s="406"/>
      <c r="AC54" s="170">
        <v>2</v>
      </c>
      <c r="AD54" s="103"/>
    </row>
    <row r="55" spans="1:37" s="419" customFormat="1" ht="15" customHeight="1" x14ac:dyDescent="0.2">
      <c r="A55" s="562">
        <f>+A54+1</f>
        <v>40</v>
      </c>
      <c r="C55" s="419" t="s">
        <v>55</v>
      </c>
      <c r="E55" s="117"/>
      <c r="G55" s="153">
        <v>412</v>
      </c>
      <c r="H55" s="153"/>
      <c r="I55" s="153">
        <v>360</v>
      </c>
      <c r="J55" s="153"/>
      <c r="K55" s="153">
        <v>365</v>
      </c>
      <c r="L55" s="153"/>
      <c r="M55" s="153">
        <v>427</v>
      </c>
      <c r="N55" s="153"/>
      <c r="O55" s="153">
        <v>338.23</v>
      </c>
      <c r="P55" s="406"/>
      <c r="Q55" s="153">
        <v>338.23</v>
      </c>
      <c r="R55" s="406"/>
      <c r="S55" s="406"/>
      <c r="T55" s="153">
        <v>338.23</v>
      </c>
      <c r="U55" s="406"/>
      <c r="V55" s="406"/>
      <c r="W55" s="153">
        <v>338.23</v>
      </c>
      <c r="X55" s="406"/>
      <c r="Y55" s="406"/>
      <c r="Z55" s="406">
        <v>488.82666666666671</v>
      </c>
      <c r="AA55" s="406"/>
      <c r="AB55" s="406"/>
      <c r="AC55" s="406">
        <v>488.82666666666671</v>
      </c>
      <c r="AD55" s="103"/>
    </row>
    <row r="56" spans="1:37" s="419" customFormat="1" ht="15" customHeight="1" x14ac:dyDescent="0.2">
      <c r="A56" s="562">
        <f>+A55+1</f>
        <v>41</v>
      </c>
      <c r="C56" s="419" t="s">
        <v>56</v>
      </c>
      <c r="E56" s="117"/>
      <c r="G56" s="446">
        <f>G55/G54</f>
        <v>206</v>
      </c>
      <c r="H56" s="446"/>
      <c r="I56" s="446">
        <f>I55/I54</f>
        <v>180</v>
      </c>
      <c r="J56" s="446"/>
      <c r="K56" s="446">
        <f>K55/K54</f>
        <v>182.5</v>
      </c>
      <c r="L56" s="446"/>
      <c r="M56" s="446">
        <f>M55/M54</f>
        <v>213.5</v>
      </c>
      <c r="N56" s="445"/>
      <c r="O56" s="446">
        <f>O55/O54</f>
        <v>169.11500000000001</v>
      </c>
      <c r="P56" s="445"/>
      <c r="Q56" s="446">
        <f>Q55/Q54</f>
        <v>169.11500000000001</v>
      </c>
      <c r="R56" s="446"/>
      <c r="S56" s="446"/>
      <c r="T56" s="446">
        <f>T55/T54</f>
        <v>169.11500000000001</v>
      </c>
      <c r="U56" s="446"/>
      <c r="V56" s="446"/>
      <c r="W56" s="446">
        <f>W55/W54</f>
        <v>169.11500000000001</v>
      </c>
      <c r="X56" s="445"/>
      <c r="Y56" s="445"/>
      <c r="Z56" s="445">
        <f>Z55/Z54</f>
        <v>244.41333333333336</v>
      </c>
      <c r="AA56" s="445"/>
      <c r="AB56" s="445"/>
      <c r="AC56" s="445">
        <f>AC55/AC54</f>
        <v>244.41333333333336</v>
      </c>
      <c r="AD56" s="103"/>
    </row>
    <row r="57" spans="1:37" s="419" customFormat="1" ht="15" customHeight="1" x14ac:dyDescent="0.2">
      <c r="A57" s="562">
        <f>+A56+1</f>
        <v>42</v>
      </c>
      <c r="C57" s="419" t="s">
        <v>57</v>
      </c>
      <c r="E57" s="117"/>
      <c r="G57" s="406">
        <v>41</v>
      </c>
      <c r="H57" s="406"/>
      <c r="I57" s="406">
        <v>37</v>
      </c>
      <c r="J57" s="406"/>
      <c r="K57" s="406">
        <v>38</v>
      </c>
      <c r="L57" s="406"/>
      <c r="M57" s="406">
        <v>38</v>
      </c>
      <c r="N57" s="406"/>
      <c r="O57" s="153">
        <v>28.06635</v>
      </c>
      <c r="P57" s="406"/>
      <c r="Q57" s="153">
        <v>28.0663254</v>
      </c>
      <c r="R57" s="406"/>
      <c r="S57" s="406"/>
      <c r="T57" s="153">
        <v>28.0663254</v>
      </c>
      <c r="U57" s="406"/>
      <c r="V57" s="406"/>
      <c r="W57" s="153">
        <v>28.0663254</v>
      </c>
      <c r="X57" s="406"/>
      <c r="Y57" s="406"/>
      <c r="Z57" s="705">
        <v>51.815626666666667</v>
      </c>
      <c r="AA57" s="406"/>
      <c r="AB57" s="406"/>
      <c r="AC57" s="705">
        <v>51.815626666666667</v>
      </c>
      <c r="AD57" s="103"/>
    </row>
    <row r="58" spans="1:37" s="419" customFormat="1" ht="15" customHeight="1" x14ac:dyDescent="0.2">
      <c r="A58" s="562">
        <f>+A57+1</f>
        <v>43</v>
      </c>
      <c r="C58" s="310" t="s">
        <v>794</v>
      </c>
      <c r="E58" s="117"/>
      <c r="G58" s="446">
        <f>G57/G55*100</f>
        <v>9.9514563106796121</v>
      </c>
      <c r="H58" s="446"/>
      <c r="I58" s="446">
        <f>I57/I55*100</f>
        <v>10.277777777777777</v>
      </c>
      <c r="J58" s="446"/>
      <c r="K58" s="446">
        <f>K57/K55*100</f>
        <v>10.41095890410959</v>
      </c>
      <c r="L58" s="446"/>
      <c r="M58" s="446">
        <f>M57/M55*100</f>
        <v>8.8992974238875888</v>
      </c>
      <c r="N58" s="446"/>
      <c r="O58" s="446">
        <f>O57/O55*100</f>
        <v>8.2980072731573173</v>
      </c>
      <c r="P58" s="446"/>
      <c r="Q58" s="446">
        <f>Q57/Q55*100</f>
        <v>8.298</v>
      </c>
      <c r="R58" s="446"/>
      <c r="S58" s="446"/>
      <c r="T58" s="446">
        <f>T57/T55*100</f>
        <v>8.298</v>
      </c>
      <c r="U58" s="446"/>
      <c r="V58" s="446"/>
      <c r="W58" s="446">
        <f>W57/W55*100</f>
        <v>8.298</v>
      </c>
      <c r="X58" s="446"/>
      <c r="Y58" s="446"/>
      <c r="Z58" s="446">
        <f>Z57/Z55*100</f>
        <v>10.6</v>
      </c>
      <c r="AA58" s="446"/>
      <c r="AB58" s="446"/>
      <c r="AC58" s="446">
        <f>AC57/AC55*100</f>
        <v>10.6</v>
      </c>
      <c r="AD58" s="103"/>
      <c r="AK58" s="441"/>
    </row>
    <row r="59" spans="1:37" s="419" customFormat="1" ht="4.5" customHeight="1" x14ac:dyDescent="0.2">
      <c r="A59" s="562"/>
      <c r="E59" s="117"/>
      <c r="Z59" s="57"/>
      <c r="AA59" s="103"/>
      <c r="AC59" s="57"/>
      <c r="AD59" s="103"/>
    </row>
    <row r="60" spans="1:37" s="419" customFormat="1" ht="15.75" x14ac:dyDescent="0.25">
      <c r="A60" s="562">
        <f>+A58+1</f>
        <v>44</v>
      </c>
      <c r="C60" s="360" t="s">
        <v>59</v>
      </c>
      <c r="D60" s="360"/>
      <c r="E60" s="557"/>
      <c r="Z60" s="481"/>
      <c r="AC60" s="481"/>
    </row>
    <row r="61" spans="1:37" s="419" customFormat="1" ht="15" x14ac:dyDescent="0.2">
      <c r="A61" s="562">
        <f>+A60+1</f>
        <v>45</v>
      </c>
      <c r="C61" s="419" t="s">
        <v>54</v>
      </c>
      <c r="E61" s="117"/>
      <c r="G61" s="406">
        <f>G10+G17+G47+G54</f>
        <v>15339</v>
      </c>
      <c r="H61" s="406"/>
      <c r="I61" s="406">
        <f>I10+I17+I47+I54</f>
        <v>15596</v>
      </c>
      <c r="J61" s="406"/>
      <c r="K61" s="406">
        <f>K10+K17+K47+K54</f>
        <v>15884</v>
      </c>
      <c r="L61" s="406"/>
      <c r="M61" s="406">
        <f>M10+M17+M47+M54</f>
        <v>16272</v>
      </c>
      <c r="N61" s="406"/>
      <c r="O61" s="406">
        <f>O10+O17+O47+O54</f>
        <v>16702</v>
      </c>
      <c r="P61" s="406"/>
      <c r="Q61" s="406">
        <f>Q10+Q17+Q47+Q54</f>
        <v>17115.545876599601</v>
      </c>
      <c r="R61" s="406"/>
      <c r="S61" s="406"/>
      <c r="T61" s="406">
        <f>T10+T17+T47+T54</f>
        <v>17305.833333333336</v>
      </c>
      <c r="U61" s="406"/>
      <c r="V61" s="406"/>
      <c r="W61" s="406">
        <f>W10+W17+W47+W54</f>
        <v>17597.25</v>
      </c>
      <c r="X61" s="406"/>
      <c r="Y61" s="406"/>
      <c r="Z61" s="406">
        <f>Z10+Z17+Z47+Z54</f>
        <v>15316.916666666668</v>
      </c>
      <c r="AA61" s="406"/>
      <c r="AB61" s="406"/>
      <c r="AC61" s="406">
        <f>AC10+AC17+AC47+AC54</f>
        <v>15561.916666666666</v>
      </c>
      <c r="AD61" s="361"/>
      <c r="AG61" s="325"/>
      <c r="AI61" s="325"/>
      <c r="AK61" s="325"/>
    </row>
    <row r="62" spans="1:37" s="419" customFormat="1" ht="15" x14ac:dyDescent="0.2">
      <c r="A62" s="562">
        <f>+A61+1</f>
        <v>46</v>
      </c>
      <c r="C62" s="419" t="s">
        <v>55</v>
      </c>
      <c r="E62" s="117" t="s">
        <v>294</v>
      </c>
      <c r="G62" s="406">
        <f>G11+G18+G31+G36+G48+G55</f>
        <v>292647</v>
      </c>
      <c r="H62" s="406"/>
      <c r="I62" s="406">
        <f>I11+I18+I31+I36+I48+I55</f>
        <v>293917</v>
      </c>
      <c r="J62" s="406"/>
      <c r="K62" s="406">
        <f>K11+K18+K31+K36+K48+K55</f>
        <v>291808</v>
      </c>
      <c r="L62" s="406"/>
      <c r="M62" s="406">
        <f>M11+M18+M31+M36+M48+M55</f>
        <v>297445</v>
      </c>
      <c r="N62" s="406"/>
      <c r="O62" s="406">
        <f>O11+O18+O31+O36+O48+O55</f>
        <v>316575.09399999992</v>
      </c>
      <c r="P62" s="406"/>
      <c r="Q62" s="406">
        <f>Q11+Q18+Q25+Q31+Q36+Q48+Q55</f>
        <v>310232.44636982796</v>
      </c>
      <c r="R62" s="406"/>
      <c r="S62" s="406"/>
      <c r="T62" s="406">
        <f>T11+T18+T25+T31+T36+T48+T55</f>
        <v>324161.59691470407</v>
      </c>
      <c r="U62" s="406"/>
      <c r="V62" s="406"/>
      <c r="W62" s="406">
        <f>W11+W18+W25+W31+W36+W48+W55</f>
        <v>330612.07250034495</v>
      </c>
      <c r="X62" s="406"/>
      <c r="Y62" s="406"/>
      <c r="Z62" s="406">
        <f>Z11+Z18+Z31+Z36+Z48+Z55</f>
        <v>292565.43267182645</v>
      </c>
      <c r="AA62" s="494"/>
      <c r="AB62" s="406"/>
      <c r="AC62" s="406">
        <f>AC11+AC18+AC31+AC36+AC48+AC55</f>
        <v>285576.0396888142</v>
      </c>
      <c r="AD62" s="361"/>
    </row>
    <row r="63" spans="1:37" s="419" customFormat="1" ht="15" x14ac:dyDescent="0.2">
      <c r="A63" s="562">
        <f>+A62+1</f>
        <v>47</v>
      </c>
      <c r="C63" s="419" t="s">
        <v>57</v>
      </c>
      <c r="E63" s="117"/>
      <c r="G63" s="406">
        <f>G13+G20+G32+G37+G50+G57</f>
        <v>39834</v>
      </c>
      <c r="H63" s="406"/>
      <c r="I63" s="406">
        <f>I13+I20+I32+I37+I50+I57</f>
        <v>38699.239000000001</v>
      </c>
      <c r="J63" s="406"/>
      <c r="K63" s="406">
        <f>K13+K20+K32+K37+K50+K57</f>
        <v>40201.61</v>
      </c>
      <c r="L63" s="406"/>
      <c r="M63" s="406">
        <f>M13+M20+M32+M37+M50+M57</f>
        <v>43404.552100000001</v>
      </c>
      <c r="N63" s="406"/>
      <c r="O63" s="406">
        <f>O13+O20+O32+O37+O50+O57</f>
        <v>48485.585310000002</v>
      </c>
      <c r="P63" s="406"/>
      <c r="Q63" s="406">
        <f>Q13+Q20+Q27+Q32+Q37+Q50+Q57</f>
        <v>47642.219137876498</v>
      </c>
      <c r="R63" s="406"/>
      <c r="S63" s="406"/>
      <c r="T63" s="406">
        <f>T13+T20+T27+T32+T37+T50+T57</f>
        <v>49811.042390837858</v>
      </c>
      <c r="U63" s="406"/>
      <c r="V63" s="406"/>
      <c r="W63" s="406">
        <f>W13+W20+W27+W32+W37+W50+W57</f>
        <v>50830.019667547705</v>
      </c>
      <c r="X63" s="406"/>
      <c r="Y63" s="406"/>
      <c r="Z63" s="406">
        <f>Z13+Z20+Z32+Z37+Z50+Z57</f>
        <v>35560.904852143445</v>
      </c>
      <c r="AA63" s="494"/>
      <c r="AB63" s="406"/>
      <c r="AC63" s="406">
        <f>AC13+AC20+AC32+AC37+AC50+AC57</f>
        <v>35192.996598949932</v>
      </c>
      <c r="AD63" s="366"/>
      <c r="AI63" s="361"/>
    </row>
    <row r="64" spans="1:37" s="419" customFormat="1" ht="15" x14ac:dyDescent="0.2">
      <c r="A64" s="562">
        <f>+A63+1</f>
        <v>48</v>
      </c>
      <c r="C64" s="310" t="s">
        <v>794</v>
      </c>
      <c r="E64" s="117"/>
      <c r="G64" s="446">
        <f>+G63/G62*100</f>
        <v>13.611620826456447</v>
      </c>
      <c r="H64" s="446"/>
      <c r="I64" s="446">
        <f>+I63/I62*100</f>
        <v>13.166723598839129</v>
      </c>
      <c r="J64" s="446"/>
      <c r="K64" s="446">
        <f>+K63/K62*100</f>
        <v>13.776733331505648</v>
      </c>
      <c r="L64" s="446"/>
      <c r="M64" s="446">
        <f>+M63/M62*100</f>
        <v>14.592463178066534</v>
      </c>
      <c r="N64" s="445"/>
      <c r="O64" s="446">
        <f>+O63/O62*100</f>
        <v>15.315666402360767</v>
      </c>
      <c r="P64" s="445"/>
      <c r="Q64" s="446">
        <f>+Q63/Q62*100</f>
        <v>15.356942736119301</v>
      </c>
      <c r="R64" s="446"/>
      <c r="S64" s="446"/>
      <c r="T64" s="446">
        <f>+T63/T62*100</f>
        <v>15.366114575239006</v>
      </c>
      <c r="U64" s="446"/>
      <c r="V64" s="446"/>
      <c r="W64" s="446">
        <f>+W63/W62*100</f>
        <v>15.374520138702641</v>
      </c>
      <c r="X64" s="445"/>
      <c r="Y64" s="445"/>
      <c r="Z64" s="446">
        <f>+Z63/Z62*100</f>
        <v>12.154855249776711</v>
      </c>
      <c r="AA64" s="701"/>
      <c r="AB64" s="446"/>
      <c r="AC64" s="446">
        <f>+AC63/AC62*100</f>
        <v>12.323511677414867</v>
      </c>
      <c r="AD64" s="110"/>
      <c r="AF64" s="481"/>
    </row>
    <row r="65" spans="1:35" ht="4.5" customHeight="1" x14ac:dyDescent="0.2">
      <c r="A65" s="565"/>
      <c r="B65" s="423"/>
      <c r="C65" s="423"/>
      <c r="D65" s="423"/>
      <c r="E65" s="496"/>
      <c r="G65" s="440"/>
      <c r="I65" s="440"/>
      <c r="K65" s="440"/>
      <c r="L65" s="537"/>
      <c r="M65" s="440"/>
      <c r="O65" s="440"/>
      <c r="Q65" s="440"/>
      <c r="T65" s="440"/>
      <c r="W65" s="440"/>
      <c r="Z65" s="440"/>
      <c r="AA65" s="435"/>
      <c r="AC65" s="440"/>
      <c r="AD65" s="435"/>
    </row>
    <row r="66" spans="1:35" s="419" customFormat="1" ht="15" x14ac:dyDescent="0.2">
      <c r="A66" s="562">
        <f>+A64+1</f>
        <v>49</v>
      </c>
      <c r="C66" s="419" t="s">
        <v>218</v>
      </c>
      <c r="F66" s="407"/>
      <c r="G66" s="494">
        <f>G63</f>
        <v>39834</v>
      </c>
      <c r="H66" s="494"/>
      <c r="I66" s="494">
        <f>I63</f>
        <v>38699.239000000001</v>
      </c>
      <c r="J66" s="494"/>
      <c r="K66" s="494">
        <f>K63</f>
        <v>40201.61</v>
      </c>
      <c r="L66" s="494"/>
      <c r="M66" s="494">
        <f>M63</f>
        <v>43404.552100000001</v>
      </c>
      <c r="N66" s="706"/>
      <c r="O66" s="494">
        <f>O63</f>
        <v>48485.585310000002</v>
      </c>
      <c r="P66" s="706"/>
      <c r="Q66" s="494">
        <f>Q63</f>
        <v>47642.219137876498</v>
      </c>
      <c r="R66" s="494"/>
      <c r="S66" s="494"/>
      <c r="T66" s="494">
        <f>T63</f>
        <v>49811.042390837858</v>
      </c>
      <c r="U66" s="494"/>
      <c r="V66" s="494"/>
      <c r="W66" s="494">
        <f>W63</f>
        <v>50830.019667547705</v>
      </c>
      <c r="X66" s="706"/>
      <c r="Y66" s="706"/>
      <c r="Z66" s="494">
        <f>Z63</f>
        <v>35560.904852143445</v>
      </c>
      <c r="AA66" s="494"/>
      <c r="AB66" s="706"/>
      <c r="AC66" s="494">
        <f>AC63</f>
        <v>35192.996598949932</v>
      </c>
      <c r="AD66" s="494"/>
      <c r="AE66" s="401"/>
      <c r="AF66" s="481"/>
    </row>
    <row r="67" spans="1:35" s="427" customFormat="1" ht="4.5" customHeight="1" x14ac:dyDescent="0.2">
      <c r="A67" s="563"/>
      <c r="E67" s="350"/>
      <c r="G67" s="707"/>
      <c r="H67" s="707"/>
      <c r="I67" s="707"/>
      <c r="J67" s="707"/>
      <c r="K67" s="707"/>
      <c r="L67" s="707"/>
      <c r="M67" s="707"/>
      <c r="N67" s="708"/>
      <c r="O67" s="708"/>
      <c r="P67" s="708"/>
      <c r="Q67" s="708"/>
      <c r="R67" s="733"/>
      <c r="S67" s="707"/>
      <c r="T67" s="708"/>
      <c r="U67" s="707"/>
      <c r="V67" s="707"/>
      <c r="W67" s="708"/>
      <c r="X67" s="708"/>
      <c r="Y67" s="708"/>
      <c r="Z67" s="708"/>
      <c r="AA67" s="711"/>
      <c r="AB67" s="708"/>
      <c r="AC67" s="708"/>
      <c r="AD67" s="711"/>
      <c r="AE67" s="429"/>
      <c r="AF67" s="429"/>
      <c r="AH67" s="163"/>
      <c r="AI67" s="163"/>
    </row>
    <row r="68" spans="1:35" s="419" customFormat="1" ht="15" customHeight="1" x14ac:dyDescent="0.25">
      <c r="A68" s="562">
        <f>+A66+1</f>
        <v>50</v>
      </c>
      <c r="C68" s="360" t="s">
        <v>414</v>
      </c>
      <c r="E68" s="117"/>
      <c r="F68" s="361"/>
      <c r="G68" s="406">
        <v>4990</v>
      </c>
      <c r="H68" s="406"/>
      <c r="I68" s="406">
        <v>4025.7</v>
      </c>
      <c r="J68" s="406"/>
      <c r="K68" s="406">
        <v>4353.0479999999998</v>
      </c>
      <c r="L68" s="406"/>
      <c r="M68" s="406">
        <v>2479</v>
      </c>
      <c r="N68" s="406"/>
      <c r="O68" s="406">
        <f>1437.367</f>
        <v>1437.367</v>
      </c>
      <c r="P68" s="406"/>
      <c r="Q68" s="406">
        <v>0</v>
      </c>
      <c r="R68" s="406"/>
      <c r="S68" s="406"/>
      <c r="T68" s="406">
        <v>0</v>
      </c>
      <c r="U68" s="406"/>
      <c r="V68" s="406"/>
      <c r="W68" s="406">
        <v>0</v>
      </c>
      <c r="X68" s="406"/>
      <c r="Y68" s="406"/>
      <c r="Z68" s="406">
        <v>5120.3466999636812</v>
      </c>
      <c r="AA68" s="494"/>
      <c r="AB68" s="406"/>
      <c r="AC68" s="406">
        <v>5171.8250632818917</v>
      </c>
      <c r="AD68" s="494"/>
    </row>
    <row r="69" spans="1:35" s="419" customFormat="1" ht="4.5" customHeight="1" x14ac:dyDescent="0.25">
      <c r="A69" s="562"/>
      <c r="C69" s="360"/>
      <c r="E69" s="117"/>
      <c r="F69" s="361"/>
      <c r="G69" s="161"/>
      <c r="H69" s="406"/>
      <c r="I69" s="161"/>
      <c r="J69" s="406"/>
      <c r="K69" s="161"/>
      <c r="L69" s="494"/>
      <c r="M69" s="161"/>
      <c r="N69" s="406"/>
      <c r="O69" s="161"/>
      <c r="P69" s="406"/>
      <c r="Q69" s="161"/>
      <c r="R69" s="406"/>
      <c r="S69" s="406"/>
      <c r="T69" s="161"/>
      <c r="U69" s="406"/>
      <c r="V69" s="406"/>
      <c r="W69" s="161"/>
      <c r="X69" s="406"/>
      <c r="Y69" s="406"/>
      <c r="Z69" s="161"/>
      <c r="AA69" s="494"/>
      <c r="AB69" s="406"/>
      <c r="AC69" s="161"/>
      <c r="AD69" s="494"/>
    </row>
    <row r="70" spans="1:35" s="419" customFormat="1" ht="15" customHeight="1" x14ac:dyDescent="0.25">
      <c r="A70" s="562">
        <f>+A68+1</f>
        <v>51</v>
      </c>
      <c r="C70" s="360" t="s">
        <v>415</v>
      </c>
      <c r="E70" s="117" t="s">
        <v>280</v>
      </c>
      <c r="F70" s="361"/>
      <c r="G70" s="406">
        <f>+G68+G66</f>
        <v>44824</v>
      </c>
      <c r="H70" s="406"/>
      <c r="I70" s="406">
        <f>+I68+I66</f>
        <v>42724.938999999998</v>
      </c>
      <c r="J70" s="406"/>
      <c r="K70" s="406">
        <f>+K68+K66</f>
        <v>44554.658000000003</v>
      </c>
      <c r="L70" s="406"/>
      <c r="M70" s="406">
        <f>+M68+M66</f>
        <v>45883.552100000001</v>
      </c>
      <c r="N70" s="406"/>
      <c r="O70" s="406">
        <f>+O68+O66</f>
        <v>49922.952310000001</v>
      </c>
      <c r="P70" s="406"/>
      <c r="Q70" s="406">
        <f>+Q68+Q66</f>
        <v>47642.219137876498</v>
      </c>
      <c r="R70" s="406">
        <f>49811.56</f>
        <v>49811.56</v>
      </c>
      <c r="S70" s="406"/>
      <c r="T70" s="406">
        <f>+T68+T66</f>
        <v>49811.042390837858</v>
      </c>
      <c r="U70" s="406">
        <f>53472.67</f>
        <v>53472.67</v>
      </c>
      <c r="V70" s="406"/>
      <c r="W70" s="406">
        <f>+W68+W66</f>
        <v>50830.019667547705</v>
      </c>
      <c r="X70" s="406">
        <f>55183.2</f>
        <v>55183.199999999997</v>
      </c>
      <c r="Y70" s="406"/>
      <c r="Z70" s="406">
        <f>+Z68+Z66</f>
        <v>40681.251552107125</v>
      </c>
      <c r="AA70" s="494">
        <f>+S1.1!W11</f>
        <v>44021.283350000303</v>
      </c>
      <c r="AB70" s="406"/>
      <c r="AC70" s="406">
        <f>+AC68+AC66</f>
        <v>40364.821662231821</v>
      </c>
      <c r="AD70" s="494">
        <f>+S1.1!Y11</f>
        <v>44437.077197817271</v>
      </c>
    </row>
    <row r="71" spans="1:35" s="419" customFormat="1" ht="4.5" customHeight="1" x14ac:dyDescent="0.25">
      <c r="A71" s="562"/>
      <c r="C71" s="360"/>
      <c r="E71" s="117"/>
      <c r="F71" s="361"/>
      <c r="G71" s="406"/>
      <c r="H71" s="406"/>
      <c r="I71" s="406"/>
      <c r="J71" s="406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06"/>
      <c r="V71" s="406"/>
      <c r="W71" s="406"/>
      <c r="X71" s="406"/>
      <c r="Y71" s="406"/>
      <c r="Z71" s="406"/>
      <c r="AA71" s="406"/>
      <c r="AB71" s="406"/>
      <c r="AC71" s="406"/>
      <c r="AD71" s="406"/>
    </row>
    <row r="72" spans="1:35" s="427" customFormat="1" ht="15.75" x14ac:dyDescent="0.25">
      <c r="A72" s="562">
        <f>+A70+1</f>
        <v>52</v>
      </c>
      <c r="B72" s="429"/>
      <c r="C72" s="372" t="s">
        <v>441</v>
      </c>
      <c r="D72" s="481"/>
      <c r="E72" s="482"/>
      <c r="F72" s="419"/>
      <c r="G72" s="406"/>
      <c r="H72" s="406"/>
      <c r="I72" s="406"/>
      <c r="J72" s="406"/>
      <c r="K72" s="406"/>
      <c r="L72" s="406"/>
      <c r="M72" s="406"/>
      <c r="N72" s="170"/>
      <c r="O72" s="170"/>
      <c r="P72" s="170"/>
      <c r="Q72" s="170"/>
      <c r="R72" s="494">
        <f>+R70-Q70</f>
        <v>2169.3408621234994</v>
      </c>
      <c r="S72" s="494"/>
      <c r="T72" s="706"/>
      <c r="U72" s="494">
        <f>+U70-T70</f>
        <v>3661.6276091621403</v>
      </c>
      <c r="V72" s="494"/>
      <c r="W72" s="706"/>
      <c r="X72" s="706">
        <f>+X70-W70</f>
        <v>4353.1803324522916</v>
      </c>
      <c r="Y72" s="706"/>
      <c r="Z72" s="711"/>
      <c r="AA72" s="494">
        <f>AA70-Z70</f>
        <v>3340.031797893178</v>
      </c>
      <c r="AB72" s="494"/>
      <c r="AC72" s="588"/>
      <c r="AD72" s="494">
        <f>AD70-AC70</f>
        <v>4072.2555355854493</v>
      </c>
      <c r="AE72" s="401"/>
      <c r="AF72" s="429"/>
    </row>
    <row r="73" spans="1:35" s="427" customFormat="1" ht="15" x14ac:dyDescent="0.2">
      <c r="A73" s="564">
        <f>A72+1</f>
        <v>53</v>
      </c>
      <c r="B73" s="429"/>
      <c r="C73" s="278" t="s">
        <v>773</v>
      </c>
      <c r="D73" s="481"/>
      <c r="E73" s="482"/>
      <c r="F73" s="407"/>
      <c r="G73" s="494"/>
      <c r="H73" s="494"/>
      <c r="I73" s="494"/>
      <c r="J73" s="494"/>
      <c r="K73" s="494"/>
      <c r="L73" s="494"/>
      <c r="M73" s="494"/>
      <c r="N73" s="706"/>
      <c r="O73" s="706"/>
      <c r="P73" s="706"/>
      <c r="Q73" s="706"/>
      <c r="R73" s="734">
        <v>-1070.6702959968982</v>
      </c>
      <c r="S73" s="494"/>
      <c r="T73" s="706"/>
      <c r="U73" s="734">
        <v>-1085.9504320914959</v>
      </c>
      <c r="V73" s="494"/>
      <c r="W73" s="706"/>
      <c r="X73" s="710">
        <v>-1086.5636308306389</v>
      </c>
      <c r="Y73" s="706"/>
      <c r="Z73" s="711" t="s">
        <v>28</v>
      </c>
      <c r="AA73" s="161">
        <v>-3762</v>
      </c>
      <c r="AB73" s="706"/>
      <c r="AC73" s="711" t="s">
        <v>28</v>
      </c>
      <c r="AD73" s="161">
        <v>-3465</v>
      </c>
      <c r="AE73" s="481"/>
      <c r="AF73" s="429"/>
    </row>
    <row r="74" spans="1:35" s="427" customFormat="1" ht="15.75" x14ac:dyDescent="0.25">
      <c r="A74" s="564">
        <f>A73+1</f>
        <v>54</v>
      </c>
      <c r="B74" s="429"/>
      <c r="C74" s="281" t="s">
        <v>442</v>
      </c>
      <c r="D74" s="481"/>
      <c r="E74" s="482" t="s">
        <v>559</v>
      </c>
      <c r="F74" s="419"/>
      <c r="G74" s="406"/>
      <c r="H74" s="406"/>
      <c r="I74" s="406"/>
      <c r="J74" s="406"/>
      <c r="K74" s="406"/>
      <c r="L74" s="406"/>
      <c r="M74" s="406"/>
      <c r="N74" s="170"/>
      <c r="O74" s="170"/>
      <c r="P74" s="170"/>
      <c r="Q74" s="170"/>
      <c r="R74" s="494">
        <f>+R72+R73</f>
        <v>1098.6705661266012</v>
      </c>
      <c r="S74" s="406"/>
      <c r="T74" s="170"/>
      <c r="U74" s="494">
        <f>+U72+U73</f>
        <v>2575.6771770706446</v>
      </c>
      <c r="V74" s="406"/>
      <c r="W74" s="170"/>
      <c r="X74" s="706">
        <f>+X72+X73</f>
        <v>3266.6167016216527</v>
      </c>
      <c r="Y74" s="170"/>
      <c r="Z74" s="708"/>
      <c r="AA74" s="706">
        <f>+AA72+AA73</f>
        <v>-421.96820210682199</v>
      </c>
      <c r="AB74" s="706"/>
      <c r="AC74" s="711"/>
      <c r="AD74" s="706">
        <f>+AD72+AD73</f>
        <v>607.25553558544925</v>
      </c>
      <c r="AE74" s="481"/>
      <c r="AF74" s="429"/>
    </row>
    <row r="75" spans="1:35" s="427" customFormat="1" ht="4.5" customHeight="1" x14ac:dyDescent="0.25">
      <c r="A75" s="564"/>
      <c r="B75" s="429"/>
      <c r="C75" s="279"/>
      <c r="D75" s="481"/>
      <c r="E75" s="482"/>
      <c r="F75" s="419"/>
      <c r="G75" s="406"/>
      <c r="H75" s="406"/>
      <c r="I75" s="406"/>
      <c r="J75" s="406"/>
      <c r="K75" s="406"/>
      <c r="L75" s="406"/>
      <c r="M75" s="406"/>
      <c r="N75" s="170"/>
      <c r="O75" s="170"/>
      <c r="P75" s="170"/>
      <c r="Q75" s="170"/>
      <c r="R75" s="406"/>
      <c r="S75" s="406"/>
      <c r="T75" s="170"/>
      <c r="U75" s="406"/>
      <c r="V75" s="406"/>
      <c r="W75" s="170"/>
      <c r="X75" s="170"/>
      <c r="Y75" s="170"/>
      <c r="Z75" s="708"/>
      <c r="AA75" s="706"/>
      <c r="AB75" s="706"/>
      <c r="AC75" s="711"/>
      <c r="AD75" s="706"/>
      <c r="AE75" s="481"/>
      <c r="AF75" s="429"/>
    </row>
    <row r="76" spans="1:35" s="427" customFormat="1" ht="15.75" x14ac:dyDescent="0.25">
      <c r="A76" s="562">
        <f>+A72+1</f>
        <v>53</v>
      </c>
      <c r="B76" s="429"/>
      <c r="C76" s="282" t="s">
        <v>443</v>
      </c>
      <c r="D76" s="481"/>
      <c r="E76" s="482"/>
      <c r="F76" s="419"/>
      <c r="G76" s="406"/>
      <c r="H76" s="406"/>
      <c r="I76" s="406"/>
      <c r="J76" s="406"/>
      <c r="K76" s="406"/>
      <c r="L76" s="406"/>
      <c r="M76" s="406"/>
      <c r="N76" s="170"/>
      <c r="O76" s="170"/>
      <c r="P76" s="170"/>
      <c r="Q76" s="170"/>
      <c r="R76" s="406"/>
      <c r="S76" s="406"/>
      <c r="T76" s="170"/>
      <c r="U76" s="733"/>
      <c r="V76" s="406"/>
      <c r="W76" s="729"/>
      <c r="X76" s="170"/>
      <c r="Y76" s="170"/>
      <c r="Z76" s="708"/>
      <c r="AA76" s="706"/>
      <c r="AB76" s="170"/>
      <c r="AC76" s="708"/>
      <c r="AD76" s="706"/>
      <c r="AE76" s="481"/>
      <c r="AF76" s="429"/>
    </row>
    <row r="77" spans="1:35" s="427" customFormat="1" ht="4.5" customHeight="1" x14ac:dyDescent="0.25">
      <c r="A77" s="564"/>
      <c r="B77" s="429"/>
      <c r="C77" s="279"/>
      <c r="D77" s="481"/>
      <c r="E77" s="482"/>
      <c r="F77" s="419"/>
      <c r="G77" s="406"/>
      <c r="H77" s="406"/>
      <c r="I77" s="406"/>
      <c r="J77" s="406"/>
      <c r="K77" s="406"/>
      <c r="L77" s="406"/>
      <c r="M77" s="406"/>
      <c r="N77" s="170"/>
      <c r="O77" s="170"/>
      <c r="P77" s="170"/>
      <c r="Q77" s="170"/>
      <c r="R77" s="406"/>
      <c r="S77" s="406"/>
      <c r="T77" s="170"/>
      <c r="U77" s="406"/>
      <c r="V77" s="406"/>
      <c r="W77" s="170"/>
      <c r="X77" s="170"/>
      <c r="Y77" s="170"/>
      <c r="Z77" s="708"/>
      <c r="AA77" s="706"/>
      <c r="AB77" s="170"/>
      <c r="AC77" s="708"/>
      <c r="AD77" s="706"/>
      <c r="AE77" s="481"/>
      <c r="AF77" s="429"/>
    </row>
    <row r="78" spans="1:35" s="427" customFormat="1" ht="15" x14ac:dyDescent="0.2">
      <c r="A78" s="562">
        <f>+A76+1</f>
        <v>54</v>
      </c>
      <c r="B78" s="429"/>
      <c r="C78" s="267" t="s">
        <v>444</v>
      </c>
      <c r="D78" s="481"/>
      <c r="E78" s="482" t="s">
        <v>452</v>
      </c>
      <c r="F78" s="419"/>
      <c r="G78" s="406"/>
      <c r="H78" s="406"/>
      <c r="I78" s="406"/>
      <c r="J78" s="406"/>
      <c r="K78" s="406"/>
      <c r="L78" s="406"/>
      <c r="M78" s="406"/>
      <c r="N78" s="170"/>
      <c r="O78" s="170"/>
      <c r="P78" s="170"/>
      <c r="Q78" s="706">
        <f>+Q43</f>
        <v>47614.152812476495</v>
      </c>
      <c r="R78" s="406"/>
      <c r="S78" s="406"/>
      <c r="T78" s="706">
        <f>+T43</f>
        <v>49782.976065437855</v>
      </c>
      <c r="U78" s="140"/>
      <c r="V78" s="406"/>
      <c r="W78" s="706">
        <f>+W43</f>
        <v>50801.953342147703</v>
      </c>
      <c r="X78" s="170"/>
      <c r="Y78" s="706"/>
      <c r="Z78" s="706">
        <f>+Z43</f>
        <v>34295.691225476774</v>
      </c>
      <c r="AA78" s="706"/>
      <c r="AB78" s="706"/>
      <c r="AC78" s="706">
        <f>+AC43</f>
        <v>34640.489372283264</v>
      </c>
      <c r="AD78" s="706"/>
      <c r="AE78" s="481"/>
      <c r="AF78" s="429"/>
    </row>
    <row r="79" spans="1:35" s="427" customFormat="1" ht="15" x14ac:dyDescent="0.2">
      <c r="A79" s="562">
        <f>A78+1</f>
        <v>55</v>
      </c>
      <c r="C79" s="558" t="s">
        <v>690</v>
      </c>
      <c r="D79" s="419"/>
      <c r="E79" s="117"/>
      <c r="F79" s="419"/>
      <c r="G79" s="406"/>
      <c r="H79" s="406"/>
      <c r="I79" s="406"/>
      <c r="J79" s="406"/>
      <c r="K79" s="406"/>
      <c r="L79" s="406"/>
      <c r="M79" s="406"/>
      <c r="N79" s="406"/>
      <c r="O79" s="286"/>
      <c r="P79" s="406"/>
      <c r="Q79" s="203">
        <v>10429</v>
      </c>
      <c r="R79" s="406"/>
      <c r="S79" s="494"/>
      <c r="T79" s="203">
        <f>12169.0245663</f>
        <v>12169.024566300001</v>
      </c>
      <c r="U79" s="728"/>
      <c r="V79" s="406"/>
      <c r="W79" s="203">
        <f>12304.1030136</f>
        <v>12304.103013600001</v>
      </c>
      <c r="X79" s="406"/>
      <c r="Y79" s="494"/>
      <c r="Z79" s="161">
        <v>3794.5083903871118</v>
      </c>
      <c r="AA79" s="494"/>
      <c r="AB79" s="406"/>
      <c r="AC79" s="161">
        <v>3750.0505610204718</v>
      </c>
      <c r="AD79" s="494"/>
      <c r="AE79" s="419"/>
    </row>
    <row r="80" spans="1:35" s="427" customFormat="1" ht="15" x14ac:dyDescent="0.2">
      <c r="A80" s="564">
        <f>A79+1</f>
        <v>56</v>
      </c>
      <c r="B80" s="429"/>
      <c r="C80" s="280" t="s">
        <v>445</v>
      </c>
      <c r="D80" s="481"/>
      <c r="E80" s="482" t="s">
        <v>983</v>
      </c>
      <c r="F80" s="419"/>
      <c r="G80" s="406"/>
      <c r="H80" s="406"/>
      <c r="I80" s="406"/>
      <c r="J80" s="406"/>
      <c r="K80" s="406"/>
      <c r="L80" s="406"/>
      <c r="M80" s="406"/>
      <c r="N80" s="170"/>
      <c r="O80" s="170"/>
      <c r="P80" s="170"/>
      <c r="Q80" s="706">
        <f>Q78+Q79</f>
        <v>58043.152812476495</v>
      </c>
      <c r="R80" s="406"/>
      <c r="S80" s="494"/>
      <c r="T80" s="706">
        <f>T78+T79</f>
        <v>61952.000631737857</v>
      </c>
      <c r="U80" s="406"/>
      <c r="V80" s="494"/>
      <c r="W80" s="706">
        <f>W78+W79</f>
        <v>63106.0563557477</v>
      </c>
      <c r="X80" s="170"/>
      <c r="Y80" s="706"/>
      <c r="Z80" s="706">
        <f>Z43+Z79</f>
        <v>38090.199615863887</v>
      </c>
      <c r="AA80" s="712"/>
      <c r="AB80" s="170"/>
      <c r="AC80" s="706">
        <f>AC43+AC79</f>
        <v>38390.539933303735</v>
      </c>
      <c r="AD80" s="712"/>
      <c r="AE80" s="481"/>
      <c r="AF80" s="429"/>
    </row>
    <row r="81" spans="1:32" s="427" customFormat="1" ht="16.5" thickBot="1" x14ac:dyDescent="0.3">
      <c r="A81" s="564">
        <f>A80+1</f>
        <v>57</v>
      </c>
      <c r="B81" s="429"/>
      <c r="C81" s="372" t="s">
        <v>772</v>
      </c>
      <c r="D81" s="481"/>
      <c r="E81" s="482" t="s">
        <v>984</v>
      </c>
      <c r="F81" s="419"/>
      <c r="G81" s="419"/>
      <c r="H81" s="419"/>
      <c r="I81" s="419"/>
      <c r="J81" s="419"/>
      <c r="K81" s="419"/>
      <c r="L81" s="419"/>
      <c r="M81" s="419"/>
      <c r="N81" s="481"/>
      <c r="O81" s="481"/>
      <c r="P81" s="481"/>
      <c r="Q81" s="428"/>
      <c r="R81" s="735">
        <f>R74/Q80</f>
        <v>1.8928512888955952E-2</v>
      </c>
      <c r="S81" s="426"/>
      <c r="T81" s="428"/>
      <c r="U81" s="735">
        <f>U74/T80</f>
        <v>4.1575367232791698E-2</v>
      </c>
      <c r="W81" s="428"/>
      <c r="X81" s="735">
        <f>X74/W80</f>
        <v>5.1763917605732769E-2</v>
      </c>
      <c r="Y81" s="426"/>
      <c r="Z81" s="428"/>
      <c r="AA81" s="275">
        <f>AA74/Z80</f>
        <v>-1.1078130499769809E-2</v>
      </c>
      <c r="AB81" s="481"/>
      <c r="AC81" s="428"/>
      <c r="AD81" s="275">
        <f>AD74/AC80</f>
        <v>1.5817843058223206E-2</v>
      </c>
      <c r="AE81" s="481"/>
      <c r="AF81" s="429"/>
    </row>
    <row r="82" spans="1:32" ht="15.75" thickTop="1" x14ac:dyDescent="0.2">
      <c r="A82" s="276"/>
      <c r="B82" s="428"/>
      <c r="C82" s="277"/>
      <c r="D82" s="401"/>
      <c r="E82" s="276"/>
      <c r="F82" s="407"/>
      <c r="G82" s="407"/>
      <c r="H82" s="407"/>
      <c r="I82" s="407"/>
      <c r="J82" s="407"/>
      <c r="K82" s="407"/>
      <c r="L82" s="407"/>
      <c r="M82" s="407"/>
      <c r="N82" s="401"/>
      <c r="O82" s="401"/>
      <c r="P82" s="401"/>
      <c r="Q82" s="401"/>
      <c r="R82" s="407"/>
      <c r="S82" s="407"/>
      <c r="T82" s="401"/>
      <c r="U82" s="407"/>
      <c r="V82" s="407"/>
      <c r="W82" s="401"/>
      <c r="X82" s="401"/>
      <c r="Y82" s="401"/>
      <c r="Z82" s="428"/>
      <c r="AA82" s="58"/>
      <c r="AB82" s="401"/>
      <c r="AC82" s="428"/>
      <c r="AD82" s="58"/>
      <c r="AE82" s="481"/>
    </row>
    <row r="83" spans="1:32" x14ac:dyDescent="0.2">
      <c r="A83" s="442"/>
    </row>
    <row r="84" spans="1:32" x14ac:dyDescent="0.2">
      <c r="A84" s="442"/>
    </row>
    <row r="85" spans="1:32" x14ac:dyDescent="0.2">
      <c r="A85" s="442"/>
    </row>
    <row r="86" spans="1:32" x14ac:dyDescent="0.2">
      <c r="A86" s="442"/>
    </row>
    <row r="87" spans="1:32" x14ac:dyDescent="0.2">
      <c r="A87" s="442"/>
    </row>
    <row r="88" spans="1:32" x14ac:dyDescent="0.2">
      <c r="A88" s="442"/>
    </row>
    <row r="89" spans="1:32" x14ac:dyDescent="0.2">
      <c r="A89" s="442"/>
    </row>
    <row r="90" spans="1:32" x14ac:dyDescent="0.2">
      <c r="A90" s="442"/>
    </row>
    <row r="91" spans="1:32" x14ac:dyDescent="0.2">
      <c r="A91" s="442"/>
    </row>
    <row r="92" spans="1:32" x14ac:dyDescent="0.2">
      <c r="A92" s="442"/>
    </row>
    <row r="93" spans="1:32" x14ac:dyDescent="0.2">
      <c r="A93" s="442"/>
    </row>
    <row r="94" spans="1:32" x14ac:dyDescent="0.2">
      <c r="A94" s="442"/>
    </row>
    <row r="95" spans="1:32" x14ac:dyDescent="0.2">
      <c r="A95" s="442"/>
    </row>
    <row r="96" spans="1:32" x14ac:dyDescent="0.2">
      <c r="A96" s="442"/>
    </row>
    <row r="97" spans="1:1" x14ac:dyDescent="0.2">
      <c r="A97" s="442"/>
    </row>
    <row r="98" spans="1:1" x14ac:dyDescent="0.2">
      <c r="A98" s="442"/>
    </row>
    <row r="99" spans="1:1" x14ac:dyDescent="0.2">
      <c r="A99" s="442"/>
    </row>
    <row r="100" spans="1:1" x14ac:dyDescent="0.2">
      <c r="A100" s="442"/>
    </row>
    <row r="101" spans="1:1" x14ac:dyDescent="0.2">
      <c r="A101" s="442"/>
    </row>
    <row r="102" spans="1:1" x14ac:dyDescent="0.2">
      <c r="A102" s="442"/>
    </row>
    <row r="103" spans="1:1" x14ac:dyDescent="0.2">
      <c r="A103" s="442"/>
    </row>
    <row r="104" spans="1:1" x14ac:dyDescent="0.2">
      <c r="A104" s="442"/>
    </row>
    <row r="105" spans="1:1" x14ac:dyDescent="0.2">
      <c r="A105" s="442"/>
    </row>
    <row r="106" spans="1:1" x14ac:dyDescent="0.2">
      <c r="A106" s="442"/>
    </row>
    <row r="107" spans="1:1" x14ac:dyDescent="0.2">
      <c r="A107" s="442"/>
    </row>
    <row r="108" spans="1:1" x14ac:dyDescent="0.2">
      <c r="A108" s="442"/>
    </row>
    <row r="109" spans="1:1" x14ac:dyDescent="0.2">
      <c r="A109" s="442"/>
    </row>
    <row r="110" spans="1:1" x14ac:dyDescent="0.2">
      <c r="A110" s="442"/>
    </row>
    <row r="111" spans="1:1" x14ac:dyDescent="0.2">
      <c r="A111" s="442"/>
    </row>
  </sheetData>
  <customSheetViews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1"/>
      <headerFooter alignWithMargins="0"/>
    </customSheetView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2"/>
      <headerFooter alignWithMargins="0"/>
    </customSheetView>
  </customSheetViews>
  <mergeCells count="6">
    <mergeCell ref="AC6:AD6"/>
    <mergeCell ref="Q5:X5"/>
    <mergeCell ref="Q6:R6"/>
    <mergeCell ref="T6:U6"/>
    <mergeCell ref="W6:X6"/>
    <mergeCell ref="Z6:AA6"/>
  </mergeCells>
  <phoneticPr fontId="8" type="noConversion"/>
  <printOptions horizontalCentered="1"/>
  <pageMargins left="0.5" right="0.5" top="0.75" bottom="0.75" header="0.23" footer="0.28999999999999998"/>
  <pageSetup scale="41" orientation="landscape" horizontalDpi="1200" verticalDpi="1200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pageSetUpPr fitToPage="1"/>
  </sheetPr>
  <dimension ref="A1:AD158"/>
  <sheetViews>
    <sheetView view="pageBreakPreview" zoomScale="115" zoomScaleNormal="100" zoomScaleSheetLayoutView="115" workbookViewId="0">
      <selection activeCell="O32" sqref="O32"/>
    </sheetView>
  </sheetViews>
  <sheetFormatPr defaultRowHeight="12.75" x14ac:dyDescent="0.2"/>
  <cols>
    <col min="1" max="1" width="7" customWidth="1"/>
    <col min="2" max="2" width="2.28515625" style="480" customWidth="1"/>
    <col min="3" max="3" width="35" customWidth="1"/>
    <col min="4" max="4" width="2.28515625" style="3" customWidth="1"/>
    <col min="5" max="5" width="17.28515625" style="6" bestFit="1" customWidth="1"/>
    <col min="6" max="6" width="2.7109375" customWidth="1"/>
    <col min="7" max="7" width="10.28515625" style="305" customWidth="1"/>
    <col min="8" max="8" width="2.28515625" customWidth="1"/>
    <col min="9" max="9" width="10.28515625" style="305" customWidth="1"/>
    <col min="10" max="10" width="2.28515625" customWidth="1"/>
    <col min="11" max="11" width="10.28515625" style="305" customWidth="1"/>
    <col min="12" max="12" width="2.28515625" customWidth="1"/>
    <col min="13" max="13" width="10.28515625" style="305" customWidth="1"/>
    <col min="14" max="14" width="2.28515625" style="305" customWidth="1"/>
    <col min="15" max="15" width="10.28515625" style="305" customWidth="1"/>
    <col min="16" max="16" width="2.28515625" style="305" customWidth="1"/>
    <col min="17" max="17" width="10.28515625" style="305" customWidth="1"/>
    <col min="18" max="18" width="2.28515625" style="305" customWidth="1"/>
    <col min="19" max="19" width="10.28515625" style="305" customWidth="1"/>
    <col min="20" max="20" width="2.28515625" style="305" customWidth="1"/>
    <col min="21" max="21" width="10.28515625" style="305" customWidth="1"/>
    <col min="22" max="22" width="2.28515625" customWidth="1"/>
    <col min="23" max="23" width="10.28515625" customWidth="1"/>
    <col min="24" max="24" width="2.28515625" customWidth="1"/>
    <col min="25" max="25" width="10.28515625" customWidth="1"/>
    <col min="26" max="26" width="2.28515625" customWidth="1"/>
    <col min="27" max="27" width="16" bestFit="1" customWidth="1"/>
  </cols>
  <sheetData>
    <row r="1" spans="1:28" x14ac:dyDescent="0.2">
      <c r="A1" s="417" t="s">
        <v>539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64" t="s">
        <v>843</v>
      </c>
    </row>
    <row r="2" spans="1:28" x14ac:dyDescent="0.2">
      <c r="A2" s="417" t="s">
        <v>489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</row>
    <row r="3" spans="1:28" x14ac:dyDescent="0.2">
      <c r="A3" s="417" t="s">
        <v>163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</row>
    <row r="4" spans="1:28" x14ac:dyDescent="0.2">
      <c r="A4" s="50" t="s">
        <v>109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8" x14ac:dyDescent="0.2">
      <c r="A5" s="50"/>
      <c r="B5" s="50"/>
      <c r="C5" s="7"/>
      <c r="D5" s="29"/>
      <c r="M5" s="408"/>
      <c r="N5" s="408"/>
      <c r="O5" s="408"/>
      <c r="P5" s="408"/>
      <c r="Q5" s="408"/>
      <c r="R5" s="408"/>
      <c r="S5" s="408"/>
      <c r="T5" s="408"/>
      <c r="U5" s="408"/>
      <c r="V5" s="409"/>
      <c r="W5" s="209" t="s">
        <v>461</v>
      </c>
      <c r="X5" s="410"/>
      <c r="Y5" s="209" t="s">
        <v>461</v>
      </c>
      <c r="Z5" s="409"/>
    </row>
    <row r="6" spans="1:28" x14ac:dyDescent="0.2">
      <c r="A6" s="51" t="s">
        <v>34</v>
      </c>
      <c r="B6" s="571"/>
      <c r="E6" s="5" t="s">
        <v>35</v>
      </c>
      <c r="G6" s="306" t="s">
        <v>26</v>
      </c>
      <c r="I6" s="306" t="s">
        <v>26</v>
      </c>
      <c r="K6" s="306" t="s">
        <v>26</v>
      </c>
      <c r="M6" s="306" t="s">
        <v>26</v>
      </c>
      <c r="N6" s="306"/>
      <c r="O6" s="306" t="s">
        <v>26</v>
      </c>
      <c r="P6" s="306"/>
      <c r="Q6" s="851" t="s">
        <v>330</v>
      </c>
      <c r="R6" s="851"/>
      <c r="S6" s="851"/>
      <c r="T6" s="851"/>
      <c r="U6" s="851"/>
      <c r="V6" s="409"/>
      <c r="W6" s="402" t="s">
        <v>15</v>
      </c>
      <c r="X6" s="209"/>
      <c r="Y6" s="402" t="s">
        <v>15</v>
      </c>
      <c r="Z6" s="409"/>
    </row>
    <row r="7" spans="1:28" x14ac:dyDescent="0.2">
      <c r="A7" s="52" t="s">
        <v>36</v>
      </c>
      <c r="B7" s="572"/>
      <c r="C7" s="46" t="s">
        <v>178</v>
      </c>
      <c r="D7" s="69"/>
      <c r="E7" s="47" t="s">
        <v>37</v>
      </c>
      <c r="G7" s="47">
        <v>2008</v>
      </c>
      <c r="I7" s="47">
        <v>2009</v>
      </c>
      <c r="K7" s="47">
        <v>2010</v>
      </c>
      <c r="M7" s="47">
        <v>2011</v>
      </c>
      <c r="N7" s="188"/>
      <c r="O7" s="47">
        <v>2012</v>
      </c>
      <c r="P7" s="188"/>
      <c r="Q7" s="47">
        <v>2013</v>
      </c>
      <c r="R7" s="188"/>
      <c r="S7" s="47">
        <v>2014</v>
      </c>
      <c r="T7" s="396"/>
      <c r="U7" s="47">
        <v>2015</v>
      </c>
      <c r="V7" s="409"/>
      <c r="W7" s="403">
        <v>2008</v>
      </c>
      <c r="X7" s="209"/>
      <c r="Y7" s="403">
        <v>2009</v>
      </c>
      <c r="Z7" s="409"/>
    </row>
    <row r="8" spans="1:28" x14ac:dyDescent="0.2">
      <c r="A8" s="53"/>
      <c r="B8" s="55"/>
      <c r="M8" s="408"/>
      <c r="N8" s="411"/>
      <c r="O8" s="408"/>
      <c r="P8" s="411"/>
      <c r="Q8" s="408"/>
      <c r="R8" s="411"/>
      <c r="S8" s="408"/>
      <c r="T8" s="408"/>
      <c r="U8" s="408"/>
      <c r="V8" s="409"/>
      <c r="W8" s="409"/>
      <c r="X8" s="409"/>
      <c r="Y8" s="409"/>
      <c r="Z8" s="409"/>
    </row>
    <row r="9" spans="1:28" x14ac:dyDescent="0.2">
      <c r="A9" s="54">
        <v>1</v>
      </c>
      <c r="B9" s="54"/>
      <c r="C9" s="210" t="s">
        <v>106</v>
      </c>
      <c r="D9" s="69"/>
      <c r="E9" s="5"/>
      <c r="K9" s="307"/>
      <c r="N9" s="307"/>
      <c r="O9" s="307"/>
      <c r="P9" s="307"/>
      <c r="Q9" s="307"/>
      <c r="R9" s="307"/>
      <c r="S9" s="307"/>
      <c r="T9" s="307"/>
      <c r="U9" s="307"/>
      <c r="X9" s="2"/>
    </row>
    <row r="10" spans="1:28" x14ac:dyDescent="0.2">
      <c r="A10" s="54">
        <f>A9+1</f>
        <v>2</v>
      </c>
      <c r="B10" s="54"/>
      <c r="K10" s="307"/>
      <c r="N10" s="307"/>
      <c r="O10" s="307"/>
      <c r="P10" s="307"/>
      <c r="Q10" s="307"/>
      <c r="R10" s="307"/>
      <c r="S10" s="307"/>
      <c r="T10" s="307"/>
      <c r="U10" s="307"/>
      <c r="X10" s="62"/>
    </row>
    <row r="11" spans="1:28" x14ac:dyDescent="0.2">
      <c r="A11" s="54">
        <f t="shared" ref="A11:A36" si="0">A10+1</f>
        <v>3</v>
      </c>
      <c r="B11" s="54"/>
      <c r="C11" s="441" t="s">
        <v>582</v>
      </c>
      <c r="G11" s="305">
        <v>116451</v>
      </c>
      <c r="I11" s="307">
        <f>G18</f>
        <v>125237</v>
      </c>
      <c r="K11" s="307">
        <f>I18</f>
        <v>132426</v>
      </c>
      <c r="M11" s="307">
        <f>K18</f>
        <v>138623.90564000001</v>
      </c>
      <c r="N11" s="307"/>
      <c r="O11" s="307">
        <f>+M18</f>
        <v>149393.20538</v>
      </c>
      <c r="P11" s="307"/>
      <c r="Q11" s="307">
        <f>+O18</f>
        <v>165587.52543000001</v>
      </c>
      <c r="R11" s="307"/>
      <c r="S11" s="307">
        <f>+Q18</f>
        <v>183939.718804</v>
      </c>
      <c r="T11" s="307"/>
      <c r="U11" s="307">
        <f>+S18</f>
        <v>203256.88230790966</v>
      </c>
      <c r="W11" s="4">
        <v>116451</v>
      </c>
      <c r="X11" s="62"/>
      <c r="Y11" s="4">
        <f>W18</f>
        <v>125814.207012</v>
      </c>
    </row>
    <row r="12" spans="1:28" s="480" customFormat="1" x14ac:dyDescent="0.2">
      <c r="A12" s="54">
        <f t="shared" si="0"/>
        <v>4</v>
      </c>
      <c r="B12" s="54"/>
      <c r="C12" s="441"/>
      <c r="D12" s="3"/>
      <c r="E12" s="6"/>
      <c r="G12" s="305"/>
      <c r="I12" s="307"/>
      <c r="K12" s="307"/>
      <c r="M12" s="307"/>
      <c r="N12" s="307"/>
      <c r="O12" s="307"/>
      <c r="P12" s="307"/>
      <c r="Q12" s="307"/>
      <c r="R12" s="307"/>
      <c r="S12" s="307"/>
      <c r="T12" s="307"/>
      <c r="U12" s="307"/>
      <c r="W12" s="4"/>
      <c r="X12" s="62"/>
      <c r="Y12" s="4"/>
    </row>
    <row r="13" spans="1:28" x14ac:dyDescent="0.2">
      <c r="A13" s="54">
        <f t="shared" si="0"/>
        <v>5</v>
      </c>
      <c r="B13" s="54"/>
      <c r="C13" t="s">
        <v>164</v>
      </c>
      <c r="E13" s="442" t="s">
        <v>561</v>
      </c>
      <c r="G13" s="305">
        <f>-S9.1!F41</f>
        <v>9170</v>
      </c>
      <c r="I13" s="307">
        <f>-S9.1!H41</f>
        <v>7469</v>
      </c>
      <c r="K13" s="307">
        <f>-S9.1!J41</f>
        <v>6848</v>
      </c>
      <c r="M13" s="307">
        <f>-S9.1!L41</f>
        <v>12265.807000000001</v>
      </c>
      <c r="N13" s="307"/>
      <c r="O13" s="307">
        <f>-S9.1!N41</f>
        <v>17116.38292</v>
      </c>
      <c r="P13" s="307"/>
      <c r="Q13" s="307">
        <f>-S9.1!P41</f>
        <v>19792.193373999995</v>
      </c>
      <c r="R13" s="307"/>
      <c r="S13" s="307">
        <f>-S9.1!R41</f>
        <v>20292.125</v>
      </c>
      <c r="T13" s="307"/>
      <c r="U13" s="307">
        <f>-S9.1!T41</f>
        <v>14484.100999999999</v>
      </c>
      <c r="W13" s="4">
        <f>-S9.1!V41</f>
        <v>9714</v>
      </c>
      <c r="X13" s="2"/>
      <c r="Y13" s="4">
        <f>-S9.1!X41</f>
        <v>7758</v>
      </c>
    </row>
    <row r="14" spans="1:28" s="480" customFormat="1" x14ac:dyDescent="0.2">
      <c r="A14" s="54">
        <f t="shared" si="0"/>
        <v>6</v>
      </c>
      <c r="B14" s="54"/>
      <c r="C14" s="480" t="s">
        <v>585</v>
      </c>
      <c r="D14" s="3"/>
      <c r="E14" s="496" t="s">
        <v>654</v>
      </c>
      <c r="G14" s="167">
        <v>0</v>
      </c>
      <c r="H14" s="167"/>
      <c r="I14" s="168">
        <v>0</v>
      </c>
      <c r="J14" s="167"/>
      <c r="K14" s="168">
        <v>0</v>
      </c>
      <c r="L14" s="167"/>
      <c r="M14" s="168">
        <f>-'S8.8 '!M41-'S8.8 '!M51</f>
        <v>950</v>
      </c>
      <c r="N14" s="168"/>
      <c r="O14" s="168">
        <v>0</v>
      </c>
      <c r="P14" s="168"/>
      <c r="Q14" s="168">
        <v>0</v>
      </c>
      <c r="R14" s="168"/>
      <c r="S14" s="168">
        <v>0</v>
      </c>
      <c r="T14" s="168"/>
      <c r="U14" s="168">
        <v>0</v>
      </c>
      <c r="V14" s="167"/>
      <c r="W14" s="538">
        <v>0</v>
      </c>
      <c r="X14" s="168"/>
      <c r="Y14" s="538">
        <v>0</v>
      </c>
    </row>
    <row r="15" spans="1:28" x14ac:dyDescent="0.2">
      <c r="A15" s="54">
        <f t="shared" si="0"/>
        <v>7</v>
      </c>
      <c r="B15" s="54"/>
      <c r="C15" s="441" t="s">
        <v>583</v>
      </c>
      <c r="E15" s="442" t="s">
        <v>584</v>
      </c>
      <c r="F15" s="2"/>
      <c r="G15" s="49">
        <f>+S8.7!H31</f>
        <v>-384</v>
      </c>
      <c r="H15" s="2"/>
      <c r="I15" s="49">
        <f>+S8.7!J31</f>
        <v>-280</v>
      </c>
      <c r="J15" s="2"/>
      <c r="K15" s="49">
        <f>+S8.7!L31</f>
        <v>-650.09436000000005</v>
      </c>
      <c r="L15" s="2"/>
      <c r="M15" s="49">
        <f>S8.7!N31</f>
        <v>-2446.5072599999994</v>
      </c>
      <c r="N15" s="200"/>
      <c r="O15" s="49">
        <f>+S8.7!P31</f>
        <v>-922.06286999999998</v>
      </c>
      <c r="P15" s="200"/>
      <c r="Q15" s="49">
        <f>ROUND(S8.7!R31,0)</f>
        <v>-1440</v>
      </c>
      <c r="R15" s="200"/>
      <c r="S15" s="49">
        <f>S8.7!T31</f>
        <v>-974.96149609034273</v>
      </c>
      <c r="T15" s="200"/>
      <c r="U15" s="49">
        <f>S8.7!V31</f>
        <v>-794.02497142367599</v>
      </c>
      <c r="V15" s="2"/>
      <c r="W15" s="49">
        <f>S8.7!X31</f>
        <v>-350.79298799999992</v>
      </c>
      <c r="X15" s="2"/>
      <c r="Y15" s="49">
        <f>S8.7!Z31</f>
        <v>-350.79298799999992</v>
      </c>
    </row>
    <row r="16" spans="1:28" x14ac:dyDescent="0.2">
      <c r="A16" s="54">
        <f t="shared" si="0"/>
        <v>8</v>
      </c>
      <c r="B16" s="54"/>
      <c r="E16" s="442" t="s">
        <v>655</v>
      </c>
      <c r="F16" s="2"/>
      <c r="G16" s="200">
        <f>SUM(G13:G15)</f>
        <v>8786</v>
      </c>
      <c r="H16" s="2"/>
      <c r="I16" s="200">
        <f>SUM(I13:I15)</f>
        <v>7189</v>
      </c>
      <c r="J16" s="2"/>
      <c r="K16" s="200">
        <f>SUM(K13:K15)</f>
        <v>6197.9056399999999</v>
      </c>
      <c r="L16" s="2"/>
      <c r="M16" s="200">
        <f>SUM(M13:M15)</f>
        <v>10769.299740000002</v>
      </c>
      <c r="N16" s="200"/>
      <c r="O16" s="200">
        <f>SUM(O13:O15)</f>
        <v>16194.32005</v>
      </c>
      <c r="P16" s="200"/>
      <c r="Q16" s="200">
        <f>SUM(Q13:Q15)</f>
        <v>18352.193373999995</v>
      </c>
      <c r="R16" s="200"/>
      <c r="S16" s="200">
        <f>SUM(S13:S15)</f>
        <v>19317.163503909658</v>
      </c>
      <c r="T16" s="200"/>
      <c r="U16" s="200">
        <f>SUM(U13:U15)</f>
        <v>13690.076028576323</v>
      </c>
      <c r="V16" s="2"/>
      <c r="W16" s="200">
        <f>SUM(W13:W15)</f>
        <v>9363.2070120000008</v>
      </c>
      <c r="X16" s="2"/>
      <c r="Y16" s="200">
        <f>SUM(Y13:Y15)</f>
        <v>7407.2070119999998</v>
      </c>
      <c r="AA16" s="448"/>
      <c r="AB16" s="115"/>
    </row>
    <row r="17" spans="1:30" x14ac:dyDescent="0.2">
      <c r="A17" s="54">
        <f t="shared" si="0"/>
        <v>9</v>
      </c>
      <c r="B17" s="54"/>
      <c r="C17" s="409"/>
      <c r="F17" s="2"/>
      <c r="G17" s="307"/>
      <c r="H17" s="2"/>
      <c r="I17" s="307"/>
      <c r="J17" s="2"/>
      <c r="K17" s="307"/>
      <c r="L17" s="2"/>
      <c r="M17" s="200"/>
      <c r="N17" s="307"/>
      <c r="O17" s="447"/>
      <c r="P17" s="307"/>
      <c r="Q17" s="443"/>
      <c r="R17" s="307"/>
      <c r="S17" s="307"/>
      <c r="T17" s="307"/>
      <c r="U17" s="307"/>
      <c r="V17" s="2"/>
      <c r="W17" s="200"/>
      <c r="X17" s="2"/>
      <c r="Y17" s="200"/>
      <c r="AB17" s="115"/>
    </row>
    <row r="18" spans="1:30" x14ac:dyDescent="0.2">
      <c r="A18" s="54">
        <f t="shared" si="0"/>
        <v>10</v>
      </c>
      <c r="B18" s="54"/>
      <c r="C18" s="441" t="s">
        <v>649</v>
      </c>
      <c r="E18" s="442" t="s">
        <v>656</v>
      </c>
      <c r="F18" s="2"/>
      <c r="G18" s="200">
        <f>G11+G16</f>
        <v>125237</v>
      </c>
      <c r="H18" s="2"/>
      <c r="I18" s="200">
        <f>I11+I16</f>
        <v>132426</v>
      </c>
      <c r="J18" s="2"/>
      <c r="K18" s="200">
        <f>K11+K16</f>
        <v>138623.90564000001</v>
      </c>
      <c r="L18" s="2"/>
      <c r="M18" s="200">
        <f>M11+M16</f>
        <v>149393.20538</v>
      </c>
      <c r="N18" s="200"/>
      <c r="O18" s="200">
        <f>O11+O16</f>
        <v>165587.52543000001</v>
      </c>
      <c r="P18" s="200"/>
      <c r="Q18" s="200">
        <f>Q11+Q16</f>
        <v>183939.718804</v>
      </c>
      <c r="R18" s="200"/>
      <c r="S18" s="200">
        <f>S11+S16</f>
        <v>203256.88230790966</v>
      </c>
      <c r="T18" s="200"/>
      <c r="U18" s="200">
        <f>U11+U16</f>
        <v>216946.95833648599</v>
      </c>
      <c r="V18" s="2"/>
      <c r="W18" s="200">
        <f>W11+W16</f>
        <v>125814.207012</v>
      </c>
      <c r="X18" s="2"/>
      <c r="Y18" s="200">
        <f>Y11+Y16</f>
        <v>133221.414024</v>
      </c>
      <c r="Z18" s="115"/>
      <c r="AB18" s="115"/>
    </row>
    <row r="19" spans="1:30" x14ac:dyDescent="0.2">
      <c r="A19" s="54">
        <f t="shared" si="0"/>
        <v>11</v>
      </c>
      <c r="B19" s="54"/>
      <c r="F19" s="2"/>
      <c r="G19" s="307"/>
      <c r="H19" s="2"/>
      <c r="I19" s="307"/>
      <c r="J19" s="2"/>
      <c r="K19" s="307"/>
      <c r="L19" s="2"/>
      <c r="M19" s="307"/>
      <c r="N19" s="307"/>
      <c r="O19" s="307"/>
      <c r="P19" s="307"/>
      <c r="Q19" s="307"/>
      <c r="R19" s="307"/>
      <c r="S19" s="307"/>
      <c r="T19" s="307"/>
      <c r="U19" s="307"/>
      <c r="V19" s="2"/>
      <c r="W19" s="4"/>
      <c r="X19" s="2"/>
      <c r="Y19" s="4"/>
      <c r="Z19" s="115"/>
      <c r="AA19" s="115"/>
      <c r="AB19" s="115"/>
    </row>
    <row r="20" spans="1:30" x14ac:dyDescent="0.2">
      <c r="A20" s="54">
        <f t="shared" si="0"/>
        <v>12</v>
      </c>
      <c r="B20" s="54"/>
      <c r="C20" s="441" t="s">
        <v>650</v>
      </c>
      <c r="E20" s="442" t="s">
        <v>638</v>
      </c>
      <c r="F20" s="2"/>
      <c r="G20" s="49">
        <f>S9.1!F43</f>
        <v>1771</v>
      </c>
      <c r="H20" s="2"/>
      <c r="I20" s="49">
        <f>S9.1!H43</f>
        <v>555</v>
      </c>
      <c r="J20" s="2"/>
      <c r="K20" s="49">
        <f>S9.1!J43</f>
        <v>2749</v>
      </c>
      <c r="L20" s="2"/>
      <c r="M20" s="49">
        <f>S9.1!L43</f>
        <v>5025.3999999999996</v>
      </c>
      <c r="N20" s="200"/>
      <c r="O20" s="49">
        <f>S9.1!N43</f>
        <v>2093.5720799999999</v>
      </c>
      <c r="P20" s="200"/>
      <c r="Q20" s="49">
        <f>S9.1!P43</f>
        <v>1560.5067059999999</v>
      </c>
      <c r="R20" s="200"/>
      <c r="S20" s="49">
        <f>S9.1!R43</f>
        <v>960.50670600000001</v>
      </c>
      <c r="T20" s="200"/>
      <c r="U20" s="49">
        <f>S9.1!T43</f>
        <v>960.50670600000001</v>
      </c>
      <c r="V20" s="2"/>
      <c r="W20" s="49">
        <f>S9.1!V43</f>
        <v>620</v>
      </c>
      <c r="X20" s="2"/>
      <c r="Y20" s="49">
        <f>S9.1!X43</f>
        <v>580</v>
      </c>
      <c r="AB20" s="115"/>
    </row>
    <row r="21" spans="1:30" x14ac:dyDescent="0.2">
      <c r="A21" s="54">
        <f t="shared" si="0"/>
        <v>13</v>
      </c>
      <c r="B21" s="54"/>
      <c r="C21" s="409"/>
      <c r="F21" s="2"/>
      <c r="G21" s="4"/>
      <c r="H21" s="2"/>
      <c r="I21" s="4"/>
      <c r="J21" s="2"/>
      <c r="K21" s="4"/>
      <c r="L21" s="2"/>
      <c r="N21" s="4"/>
      <c r="O21" s="4"/>
      <c r="P21" s="4"/>
      <c r="Q21" s="4"/>
      <c r="R21" s="4"/>
      <c r="S21" s="4"/>
      <c r="T21" s="4"/>
      <c r="U21" s="4"/>
      <c r="V21" s="2"/>
      <c r="W21" s="4"/>
      <c r="X21" s="2"/>
      <c r="Y21" s="4"/>
      <c r="Z21" s="115"/>
    </row>
    <row r="22" spans="1:30" x14ac:dyDescent="0.2">
      <c r="A22" s="54">
        <f t="shared" si="0"/>
        <v>14</v>
      </c>
      <c r="B22" s="54"/>
      <c r="C22" t="s">
        <v>69</v>
      </c>
      <c r="E22" s="6" t="s">
        <v>274</v>
      </c>
      <c r="F22" s="2"/>
      <c r="G22" s="4">
        <f>SUM(G18:G20)</f>
        <v>127008</v>
      </c>
      <c r="H22" s="2"/>
      <c r="I22" s="4">
        <f>SUM(I18:I20)</f>
        <v>132981</v>
      </c>
      <c r="J22" s="2"/>
      <c r="K22" s="4">
        <f>SUM(K18:K20)</f>
        <v>141372.90564000001</v>
      </c>
      <c r="L22" s="2"/>
      <c r="M22" s="4">
        <f>SUM(M18:M21)</f>
        <v>154418.60537999999</v>
      </c>
      <c r="N22" s="4"/>
      <c r="O22" s="4">
        <f>SUM(O18:O21)</f>
        <v>167681.09751000002</v>
      </c>
      <c r="P22" s="4"/>
      <c r="Q22" s="4">
        <f>SUM(Q18:Q21)</f>
        <v>185500.22550999999</v>
      </c>
      <c r="R22" s="4"/>
      <c r="S22" s="4">
        <f>SUM(S18:S21)</f>
        <v>204217.38901390965</v>
      </c>
      <c r="T22" s="4"/>
      <c r="U22" s="4">
        <f>SUM(U18:U21)</f>
        <v>217907.46504248597</v>
      </c>
      <c r="V22" s="2"/>
      <c r="W22" s="4">
        <f>SUM(W18:W20)</f>
        <v>126434.207012</v>
      </c>
      <c r="X22" s="2"/>
      <c r="Y22" s="4">
        <f>SUM(Y18:Y20)</f>
        <v>133801.414024</v>
      </c>
      <c r="AB22" s="115"/>
    </row>
    <row r="23" spans="1:30" ht="13.5" x14ac:dyDescent="0.25">
      <c r="A23" s="54">
        <f t="shared" si="0"/>
        <v>15</v>
      </c>
      <c r="B23" s="54"/>
      <c r="F23" s="2"/>
      <c r="G23" s="307"/>
      <c r="H23" s="2"/>
      <c r="I23" s="307"/>
      <c r="J23" s="2"/>
      <c r="K23" s="307"/>
      <c r="L23" s="2"/>
      <c r="M23" s="545"/>
      <c r="N23" s="307"/>
      <c r="O23" s="545"/>
      <c r="P23" s="307"/>
      <c r="Q23" s="307"/>
      <c r="R23" s="307"/>
      <c r="S23" s="307"/>
      <c r="T23" s="307"/>
      <c r="U23" s="307"/>
      <c r="V23" s="2"/>
      <c r="W23" s="4"/>
      <c r="X23" s="2"/>
      <c r="Y23" s="4"/>
      <c r="AA23" s="115"/>
      <c r="AB23" s="115"/>
    </row>
    <row r="24" spans="1:30" x14ac:dyDescent="0.2">
      <c r="A24" s="54">
        <f t="shared" si="0"/>
        <v>16</v>
      </c>
      <c r="B24" s="54"/>
      <c r="C24" s="210" t="s">
        <v>177</v>
      </c>
      <c r="D24" s="69"/>
      <c r="E24" s="5"/>
      <c r="F24" s="2"/>
      <c r="G24" s="307"/>
      <c r="H24" s="2"/>
      <c r="I24" s="307"/>
      <c r="J24" s="2"/>
      <c r="K24" s="307"/>
      <c r="L24" s="2"/>
      <c r="M24" s="307"/>
      <c r="N24" s="307"/>
      <c r="O24" s="307"/>
      <c r="P24" s="307"/>
      <c r="Q24" s="307"/>
      <c r="R24" s="307"/>
      <c r="S24" s="307"/>
      <c r="T24" s="307"/>
      <c r="U24" s="307"/>
      <c r="V24" s="2"/>
      <c r="W24" s="4"/>
      <c r="X24" s="2"/>
      <c r="Y24" s="4"/>
    </row>
    <row r="25" spans="1:30" x14ac:dyDescent="0.2">
      <c r="A25" s="54">
        <f t="shared" si="0"/>
        <v>17</v>
      </c>
      <c r="B25" s="54"/>
      <c r="F25" s="2"/>
      <c r="G25" s="307"/>
      <c r="H25" s="2"/>
      <c r="I25" s="307"/>
      <c r="J25" s="2"/>
      <c r="K25" s="307"/>
      <c r="L25" s="2"/>
      <c r="M25" s="307"/>
      <c r="N25" s="307"/>
      <c r="O25" s="307"/>
      <c r="P25" s="307"/>
      <c r="Q25" s="307"/>
      <c r="R25" s="307"/>
      <c r="S25" s="307"/>
      <c r="T25" s="307"/>
      <c r="U25" s="307"/>
      <c r="V25" s="2"/>
      <c r="W25" s="4"/>
      <c r="X25" s="2"/>
      <c r="Y25" s="4"/>
      <c r="AD25" s="115"/>
    </row>
    <row r="26" spans="1:30" x14ac:dyDescent="0.2">
      <c r="A26" s="54">
        <f t="shared" si="0"/>
        <v>18</v>
      </c>
      <c r="B26" s="54"/>
      <c r="C26" s="441" t="s">
        <v>582</v>
      </c>
      <c r="F26" s="2"/>
      <c r="G26" s="4">
        <v>53768</v>
      </c>
      <c r="H26" s="2"/>
      <c r="I26" s="4">
        <f>G33</f>
        <v>56612</v>
      </c>
      <c r="J26" s="2"/>
      <c r="K26" s="4">
        <f>I33</f>
        <v>59806</v>
      </c>
      <c r="L26" s="2"/>
      <c r="M26" s="4">
        <f>K33</f>
        <v>62764</v>
      </c>
      <c r="N26" s="4"/>
      <c r="O26" s="4">
        <f>+M33</f>
        <v>64608.930999999997</v>
      </c>
      <c r="P26" s="4"/>
      <c r="Q26" s="4">
        <f>+O33</f>
        <v>67891.328130000009</v>
      </c>
      <c r="R26" s="4"/>
      <c r="S26" s="4">
        <f>+Q33</f>
        <v>70846.451130000001</v>
      </c>
      <c r="T26" s="4"/>
      <c r="U26" s="4">
        <f>+S33</f>
        <v>75155.612633909652</v>
      </c>
      <c r="V26" s="2"/>
      <c r="W26" s="4">
        <v>53768</v>
      </c>
      <c r="X26" s="2"/>
      <c r="Y26" s="4">
        <f>+W33</f>
        <v>56682.252560000001</v>
      </c>
    </row>
    <row r="27" spans="1:30" s="480" customFormat="1" x14ac:dyDescent="0.2">
      <c r="A27" s="54">
        <f t="shared" si="0"/>
        <v>19</v>
      </c>
      <c r="B27" s="54"/>
      <c r="C27" s="480" t="s">
        <v>585</v>
      </c>
      <c r="D27" s="3"/>
      <c r="E27" s="496" t="s">
        <v>654</v>
      </c>
      <c r="F27" s="240"/>
      <c r="G27" s="167">
        <v>0</v>
      </c>
      <c r="H27" s="167"/>
      <c r="I27" s="168">
        <v>0</v>
      </c>
      <c r="J27" s="167"/>
      <c r="K27" s="168">
        <f>+'S8.8 '!K52</f>
        <v>0</v>
      </c>
      <c r="L27" s="167"/>
      <c r="M27" s="168">
        <f>+'S8.8 '!M42+'S8.8 '!M52</f>
        <v>176</v>
      </c>
      <c r="N27" s="168"/>
      <c r="O27" s="168">
        <v>0</v>
      </c>
      <c r="P27" s="168"/>
      <c r="Q27" s="168">
        <v>0</v>
      </c>
      <c r="R27" s="168"/>
      <c r="S27" s="168">
        <v>0</v>
      </c>
      <c r="T27" s="168"/>
      <c r="U27" s="168">
        <v>0</v>
      </c>
      <c r="V27" s="167"/>
      <c r="W27" s="538">
        <v>0</v>
      </c>
      <c r="X27" s="168"/>
      <c r="Y27" s="538">
        <v>0</v>
      </c>
    </row>
    <row r="28" spans="1:30" x14ac:dyDescent="0.2">
      <c r="A28" s="54">
        <f t="shared" si="0"/>
        <v>20</v>
      </c>
      <c r="B28" s="54"/>
      <c r="C28" s="441" t="s">
        <v>651</v>
      </c>
      <c r="E28" s="6" t="s">
        <v>337</v>
      </c>
      <c r="F28" s="2"/>
      <c r="G28" s="307">
        <v>3181</v>
      </c>
      <c r="H28" s="2"/>
      <c r="I28" s="307">
        <f>S7.1!I13</f>
        <v>3446</v>
      </c>
      <c r="J28" s="2"/>
      <c r="K28" s="307">
        <f>S7.1!K13</f>
        <v>3683</v>
      </c>
      <c r="L28" s="2"/>
      <c r="M28" s="307">
        <f>S7.1!M13</f>
        <v>4128.9309999999996</v>
      </c>
      <c r="N28" s="307"/>
      <c r="O28" s="307">
        <f>S7.1!O13</f>
        <v>4192.46</v>
      </c>
      <c r="P28" s="307"/>
      <c r="Q28" s="307">
        <f>S7.1!Q13</f>
        <v>4520.1229999999996</v>
      </c>
      <c r="R28" s="307"/>
      <c r="S28" s="307">
        <f>S7.1!S13</f>
        <v>5252.1229999999996</v>
      </c>
      <c r="T28" s="307"/>
      <c r="U28" s="307">
        <f>S7.1!U13</f>
        <v>5778.1229999999996</v>
      </c>
      <c r="V28" s="2"/>
      <c r="W28" s="4">
        <f>+S7.1!W13</f>
        <v>3354</v>
      </c>
      <c r="X28" s="2"/>
      <c r="Y28" s="4">
        <f>+S7.1!Y13</f>
        <v>3661</v>
      </c>
    </row>
    <row r="29" spans="1:30" x14ac:dyDescent="0.2">
      <c r="A29" s="54">
        <f t="shared" si="0"/>
        <v>21</v>
      </c>
      <c r="B29" s="54"/>
      <c r="C29" s="441" t="s">
        <v>652</v>
      </c>
      <c r="E29" s="442" t="s">
        <v>658</v>
      </c>
      <c r="F29" s="2"/>
      <c r="G29" s="307">
        <v>22</v>
      </c>
      <c r="H29" s="2"/>
      <c r="I29" s="307">
        <f>S7.1!I11*-1</f>
        <v>64</v>
      </c>
      <c r="J29" s="2"/>
      <c r="K29" s="307">
        <f>S7.1!K11*-1</f>
        <v>43</v>
      </c>
      <c r="L29" s="2"/>
      <c r="M29" s="307">
        <f>S7.1!M11*-1</f>
        <v>48</v>
      </c>
      <c r="N29" s="307"/>
      <c r="O29" s="307">
        <f>S7.1!O11*-1</f>
        <v>67</v>
      </c>
      <c r="P29" s="307"/>
      <c r="Q29" s="307">
        <f>S7.1!Q11*-1</f>
        <v>75</v>
      </c>
      <c r="R29" s="307"/>
      <c r="S29" s="307">
        <f>S7.1!S11*-1</f>
        <v>82</v>
      </c>
      <c r="T29" s="307"/>
      <c r="U29" s="307">
        <f>S7.1!U11*-1</f>
        <v>87</v>
      </c>
      <c r="V29" s="2"/>
      <c r="W29" s="4">
        <f>-S7.1!W11</f>
        <v>24</v>
      </c>
      <c r="X29" s="2"/>
      <c r="Y29" s="4">
        <f>-S7.1!Y11</f>
        <v>24</v>
      </c>
    </row>
    <row r="30" spans="1:30" x14ac:dyDescent="0.2">
      <c r="A30" s="54">
        <f t="shared" si="0"/>
        <v>22</v>
      </c>
      <c r="B30" s="54"/>
      <c r="C30" s="441" t="s">
        <v>653</v>
      </c>
      <c r="F30" s="2"/>
      <c r="G30" s="307">
        <v>25</v>
      </c>
      <c r="H30" s="2"/>
      <c r="I30" s="200">
        <v>-36</v>
      </c>
      <c r="J30" s="2"/>
      <c r="K30" s="200">
        <v>-118</v>
      </c>
      <c r="L30" s="2"/>
      <c r="M30" s="200">
        <v>-62</v>
      </c>
      <c r="N30" s="200"/>
      <c r="O30" s="200">
        <v>-55</v>
      </c>
      <c r="P30" s="200"/>
      <c r="Q30" s="200">
        <v>-200</v>
      </c>
      <c r="R30" s="200"/>
      <c r="S30" s="200">
        <v>-50</v>
      </c>
      <c r="T30" s="200"/>
      <c r="U30" s="200">
        <v>-50</v>
      </c>
      <c r="V30" s="2"/>
      <c r="W30" s="200">
        <f>-463.74744-W15</f>
        <v>-112.95445200000006</v>
      </c>
      <c r="X30" s="444"/>
      <c r="Y30" s="200">
        <f>-463.74744-Y15</f>
        <v>-112.95445200000006</v>
      </c>
    </row>
    <row r="31" spans="1:30" x14ac:dyDescent="0.2">
      <c r="A31" s="54">
        <f t="shared" si="0"/>
        <v>23</v>
      </c>
      <c r="B31" s="54"/>
      <c r="C31" s="441" t="s">
        <v>167</v>
      </c>
      <c r="E31" s="442" t="s">
        <v>584</v>
      </c>
      <c r="F31" s="2"/>
      <c r="G31" s="49">
        <f>-384</f>
        <v>-384</v>
      </c>
      <c r="H31" s="2"/>
      <c r="I31" s="49">
        <v>-280</v>
      </c>
      <c r="J31" s="2"/>
      <c r="K31" s="49">
        <f>-650</f>
        <v>-650</v>
      </c>
      <c r="L31" s="2"/>
      <c r="M31" s="49">
        <v>-2446</v>
      </c>
      <c r="N31" s="200"/>
      <c r="O31" s="49">
        <f>+O15</f>
        <v>-922.06286999999998</v>
      </c>
      <c r="P31" s="200"/>
      <c r="Q31" s="49">
        <f>+Q15</f>
        <v>-1440</v>
      </c>
      <c r="R31" s="200"/>
      <c r="S31" s="49">
        <f>+S15</f>
        <v>-974.96149609034273</v>
      </c>
      <c r="T31" s="200"/>
      <c r="U31" s="49">
        <f>+U15</f>
        <v>-794.02497142367599</v>
      </c>
      <c r="V31" s="2"/>
      <c r="W31" s="49">
        <f>W15</f>
        <v>-350.79298799999992</v>
      </c>
      <c r="X31" s="2"/>
      <c r="Y31" s="49">
        <f>Y15</f>
        <v>-350.79298799999992</v>
      </c>
    </row>
    <row r="32" spans="1:30" x14ac:dyDescent="0.2">
      <c r="A32" s="54">
        <f t="shared" si="0"/>
        <v>24</v>
      </c>
      <c r="B32" s="54"/>
      <c r="F32" s="2"/>
      <c r="G32" s="307"/>
      <c r="H32" s="2"/>
      <c r="I32" s="307"/>
      <c r="J32" s="2"/>
      <c r="K32" s="307"/>
      <c r="L32" s="2"/>
      <c r="M32" s="307"/>
      <c r="N32" s="307"/>
      <c r="O32" s="307"/>
      <c r="P32" s="307"/>
      <c r="Q32" s="307"/>
      <c r="R32" s="307"/>
      <c r="S32" s="307"/>
      <c r="T32" s="307"/>
      <c r="U32" s="307"/>
      <c r="V32" s="2"/>
      <c r="W32" s="4"/>
      <c r="X32" s="2"/>
      <c r="Y32" s="4"/>
      <c r="AC32" s="115"/>
    </row>
    <row r="33" spans="1:28" x14ac:dyDescent="0.2">
      <c r="A33" s="54">
        <f t="shared" si="0"/>
        <v>25</v>
      </c>
      <c r="B33" s="54"/>
      <c r="C33" s="441" t="s">
        <v>649</v>
      </c>
      <c r="E33" s="6" t="s">
        <v>275</v>
      </c>
      <c r="F33" s="2"/>
      <c r="G33" s="49">
        <f>SUM(G26:G31)</f>
        <v>56612</v>
      </c>
      <c r="H33" s="2"/>
      <c r="I33" s="49">
        <f>SUM(I26:I31)</f>
        <v>59806</v>
      </c>
      <c r="J33" s="2"/>
      <c r="K33" s="49">
        <f>SUM(K26:K31)</f>
        <v>62764</v>
      </c>
      <c r="L33" s="2"/>
      <c r="M33" s="49">
        <f>SUM(M26:M31)</f>
        <v>64608.930999999997</v>
      </c>
      <c r="N33" s="200"/>
      <c r="O33" s="49">
        <f>SUM(O26:O31)</f>
        <v>67891.328130000009</v>
      </c>
      <c r="P33" s="200"/>
      <c r="Q33" s="49">
        <f>SUM(Q26:Q31)</f>
        <v>70846.451130000001</v>
      </c>
      <c r="R33" s="200"/>
      <c r="S33" s="49">
        <f>SUM(S26:S31)</f>
        <v>75155.612633909652</v>
      </c>
      <c r="T33" s="200"/>
      <c r="U33" s="49">
        <f>SUM(U26:U31)</f>
        <v>80176.710662485973</v>
      </c>
      <c r="V33" s="2"/>
      <c r="W33" s="49">
        <f>SUM(W26:W31)</f>
        <v>56682.252560000001</v>
      </c>
      <c r="X33" s="2"/>
      <c r="Y33" s="49">
        <f>SUM(Y26:Y31)</f>
        <v>59903.505120000002</v>
      </c>
    </row>
    <row r="34" spans="1:28" ht="13.5" x14ac:dyDescent="0.25">
      <c r="A34" s="54">
        <f t="shared" si="0"/>
        <v>26</v>
      </c>
      <c r="B34" s="54"/>
      <c r="F34" s="2"/>
      <c r="G34" s="307"/>
      <c r="H34" s="2"/>
      <c r="I34" s="307"/>
      <c r="J34" s="2"/>
      <c r="K34" s="307"/>
      <c r="L34" s="2"/>
      <c r="M34" s="545"/>
      <c r="N34" s="307"/>
      <c r="O34" s="545"/>
      <c r="P34" s="307"/>
      <c r="Q34" s="307"/>
      <c r="R34" s="307"/>
      <c r="S34" s="307"/>
      <c r="T34" s="307"/>
      <c r="U34" s="307"/>
      <c r="V34" s="2"/>
      <c r="W34" s="4"/>
      <c r="X34" s="2"/>
      <c r="Y34" s="4"/>
      <c r="Z34" s="115"/>
    </row>
    <row r="35" spans="1:28" x14ac:dyDescent="0.2">
      <c r="A35" s="54">
        <f t="shared" si="0"/>
        <v>27</v>
      </c>
      <c r="B35" s="54"/>
      <c r="F35" s="2"/>
      <c r="G35" s="307"/>
      <c r="H35" s="2"/>
      <c r="I35" s="307"/>
      <c r="J35" s="2"/>
      <c r="K35" s="307"/>
      <c r="L35" s="2"/>
      <c r="M35" s="307"/>
      <c r="N35" s="307"/>
      <c r="O35" s="307"/>
      <c r="P35" s="307"/>
      <c r="Q35" s="307"/>
      <c r="R35" s="307"/>
      <c r="S35" s="307"/>
      <c r="T35" s="307"/>
      <c r="U35" s="307"/>
      <c r="V35" s="2"/>
      <c r="W35" s="4"/>
      <c r="X35" s="2"/>
      <c r="Y35" s="4"/>
      <c r="Z35" s="115"/>
      <c r="AB35" s="115"/>
    </row>
    <row r="36" spans="1:28" s="48" customFormat="1" ht="13.5" thickBot="1" x14ac:dyDescent="0.25">
      <c r="A36" s="54">
        <f t="shared" si="0"/>
        <v>28</v>
      </c>
      <c r="B36" s="54"/>
      <c r="C36" s="48" t="s">
        <v>165</v>
      </c>
      <c r="D36" s="69"/>
      <c r="E36" s="508"/>
      <c r="F36" s="174"/>
      <c r="G36" s="578">
        <f>+G22-G33</f>
        <v>70396</v>
      </c>
      <c r="H36" s="174"/>
      <c r="I36" s="578">
        <f>+I22-I33</f>
        <v>73175</v>
      </c>
      <c r="J36" s="174"/>
      <c r="K36" s="578">
        <f>+K22-K33</f>
        <v>78608.905640000012</v>
      </c>
      <c r="L36" s="174"/>
      <c r="M36" s="578">
        <f>+M22-M33</f>
        <v>89809.674379999997</v>
      </c>
      <c r="N36" s="529"/>
      <c r="O36" s="578">
        <f>+O22-O33</f>
        <v>99789.769380000012</v>
      </c>
      <c r="P36" s="529"/>
      <c r="Q36" s="578">
        <f>+Q22-Q33</f>
        <v>114653.77437999999</v>
      </c>
      <c r="R36" s="529"/>
      <c r="S36" s="578">
        <f>+S22-S33</f>
        <v>129061.77638</v>
      </c>
      <c r="T36" s="529"/>
      <c r="U36" s="578">
        <f>+U22-U33</f>
        <v>137730.75438</v>
      </c>
      <c r="V36" s="174"/>
      <c r="W36" s="578">
        <f>+W22-W33</f>
        <v>69751.954452000005</v>
      </c>
      <c r="X36" s="174"/>
      <c r="Y36" s="578">
        <f>+Y22-Y33</f>
        <v>73897.908903999996</v>
      </c>
    </row>
    <row r="37" spans="1:28" x14ac:dyDescent="0.2">
      <c r="A37" s="55"/>
      <c r="B37" s="55"/>
    </row>
    <row r="38" spans="1:28" x14ac:dyDescent="0.2">
      <c r="A38" s="55"/>
      <c r="B38" s="55"/>
    </row>
    <row r="39" spans="1:28" x14ac:dyDescent="0.2">
      <c r="A39" s="55"/>
      <c r="B39" s="55"/>
    </row>
    <row r="40" spans="1:28" x14ac:dyDescent="0.2">
      <c r="A40" s="55"/>
      <c r="B40" s="55"/>
    </row>
    <row r="41" spans="1:28" x14ac:dyDescent="0.2">
      <c r="A41" s="55"/>
      <c r="B41" s="55"/>
    </row>
    <row r="42" spans="1:28" x14ac:dyDescent="0.2">
      <c r="A42" s="55"/>
      <c r="B42" s="55"/>
    </row>
    <row r="43" spans="1:28" x14ac:dyDescent="0.2">
      <c r="A43" s="55"/>
      <c r="B43" s="55"/>
    </row>
    <row r="44" spans="1:28" x14ac:dyDescent="0.2">
      <c r="A44" s="55"/>
      <c r="B44" s="55"/>
    </row>
    <row r="45" spans="1:28" x14ac:dyDescent="0.2">
      <c r="A45" s="55"/>
      <c r="B45" s="55"/>
    </row>
    <row r="46" spans="1:28" x14ac:dyDescent="0.2">
      <c r="A46" s="55"/>
      <c r="B46" s="55"/>
    </row>
    <row r="47" spans="1:28" x14ac:dyDescent="0.2">
      <c r="A47" s="55"/>
      <c r="B47" s="55"/>
    </row>
    <row r="48" spans="1:28" x14ac:dyDescent="0.2">
      <c r="A48" s="55"/>
      <c r="B48" s="55"/>
    </row>
    <row r="49" spans="1:2" x14ac:dyDescent="0.2">
      <c r="A49" s="55"/>
      <c r="B49" s="55"/>
    </row>
    <row r="50" spans="1:2" x14ac:dyDescent="0.2">
      <c r="A50" s="55"/>
      <c r="B50" s="55"/>
    </row>
    <row r="51" spans="1:2" x14ac:dyDescent="0.2">
      <c r="A51" s="55"/>
      <c r="B51" s="55"/>
    </row>
    <row r="52" spans="1:2" x14ac:dyDescent="0.2">
      <c r="A52" s="55"/>
      <c r="B52" s="55"/>
    </row>
    <row r="53" spans="1:2" x14ac:dyDescent="0.2">
      <c r="A53" s="55"/>
      <c r="B53" s="55"/>
    </row>
    <row r="54" spans="1:2" x14ac:dyDescent="0.2">
      <c r="A54" s="55"/>
      <c r="B54" s="55"/>
    </row>
    <row r="55" spans="1:2" x14ac:dyDescent="0.2">
      <c r="A55" s="55"/>
      <c r="B55" s="55"/>
    </row>
    <row r="56" spans="1:2" x14ac:dyDescent="0.2">
      <c r="A56" s="55"/>
      <c r="B56" s="55"/>
    </row>
    <row r="57" spans="1:2" x14ac:dyDescent="0.2">
      <c r="A57" s="55"/>
      <c r="B57" s="55"/>
    </row>
    <row r="58" spans="1:2" x14ac:dyDescent="0.2">
      <c r="A58" s="55"/>
      <c r="B58" s="55"/>
    </row>
    <row r="59" spans="1:2" x14ac:dyDescent="0.2">
      <c r="A59" s="55"/>
      <c r="B59" s="55"/>
    </row>
    <row r="60" spans="1:2" x14ac:dyDescent="0.2">
      <c r="A60" s="55"/>
      <c r="B60" s="55"/>
    </row>
    <row r="61" spans="1:2" x14ac:dyDescent="0.2">
      <c r="A61" s="55"/>
      <c r="B61" s="55"/>
    </row>
    <row r="62" spans="1:2" x14ac:dyDescent="0.2">
      <c r="A62" s="55"/>
      <c r="B62" s="55"/>
    </row>
    <row r="63" spans="1:2" x14ac:dyDescent="0.2">
      <c r="A63" s="55"/>
      <c r="B63" s="55"/>
    </row>
    <row r="64" spans="1:2" x14ac:dyDescent="0.2">
      <c r="A64" s="55"/>
      <c r="B64" s="55"/>
    </row>
    <row r="65" spans="1:2" x14ac:dyDescent="0.2">
      <c r="A65" s="55"/>
      <c r="B65" s="55"/>
    </row>
    <row r="66" spans="1:2" x14ac:dyDescent="0.2">
      <c r="A66" s="55"/>
      <c r="B66" s="55"/>
    </row>
    <row r="67" spans="1:2" x14ac:dyDescent="0.2">
      <c r="A67" s="55"/>
      <c r="B67" s="55"/>
    </row>
    <row r="68" spans="1:2" x14ac:dyDescent="0.2">
      <c r="A68" s="55"/>
      <c r="B68" s="55"/>
    </row>
    <row r="69" spans="1:2" x14ac:dyDescent="0.2">
      <c r="A69" s="55"/>
      <c r="B69" s="55"/>
    </row>
    <row r="70" spans="1:2" x14ac:dyDescent="0.2">
      <c r="A70" s="55"/>
      <c r="B70" s="55"/>
    </row>
    <row r="71" spans="1:2" x14ac:dyDescent="0.2">
      <c r="A71" s="55"/>
      <c r="B71" s="55"/>
    </row>
    <row r="72" spans="1:2" x14ac:dyDescent="0.2">
      <c r="A72" s="55"/>
      <c r="B72" s="55"/>
    </row>
    <row r="73" spans="1:2" x14ac:dyDescent="0.2">
      <c r="A73" s="55"/>
      <c r="B73" s="55"/>
    </row>
    <row r="74" spans="1:2" x14ac:dyDescent="0.2">
      <c r="A74" s="55"/>
      <c r="B74" s="55"/>
    </row>
    <row r="75" spans="1:2" x14ac:dyDescent="0.2">
      <c r="A75" s="55"/>
      <c r="B75" s="55"/>
    </row>
    <row r="76" spans="1:2" x14ac:dyDescent="0.2">
      <c r="A76" s="55"/>
      <c r="B76" s="55"/>
    </row>
    <row r="77" spans="1:2" x14ac:dyDescent="0.2">
      <c r="A77" s="55"/>
      <c r="B77" s="55"/>
    </row>
    <row r="78" spans="1:2" x14ac:dyDescent="0.2">
      <c r="A78" s="55"/>
      <c r="B78" s="55"/>
    </row>
    <row r="79" spans="1:2" x14ac:dyDescent="0.2">
      <c r="A79" s="55"/>
      <c r="B79" s="55"/>
    </row>
    <row r="80" spans="1:2" x14ac:dyDescent="0.2">
      <c r="A80" s="55"/>
      <c r="B80" s="55"/>
    </row>
    <row r="81" spans="1:2" x14ac:dyDescent="0.2">
      <c r="A81" s="55"/>
      <c r="B81" s="55"/>
    </row>
    <row r="82" spans="1:2" x14ac:dyDescent="0.2">
      <c r="A82" s="55"/>
      <c r="B82" s="55"/>
    </row>
    <row r="83" spans="1:2" x14ac:dyDescent="0.2">
      <c r="A83" s="55"/>
      <c r="B83" s="55"/>
    </row>
    <row r="84" spans="1:2" x14ac:dyDescent="0.2">
      <c r="A84" s="55"/>
      <c r="B84" s="55"/>
    </row>
    <row r="85" spans="1:2" x14ac:dyDescent="0.2">
      <c r="A85" s="55"/>
      <c r="B85" s="55"/>
    </row>
    <row r="86" spans="1:2" x14ac:dyDescent="0.2">
      <c r="A86" s="55"/>
      <c r="B86" s="55"/>
    </row>
    <row r="87" spans="1:2" x14ac:dyDescent="0.2">
      <c r="A87" s="55"/>
      <c r="B87" s="55"/>
    </row>
    <row r="88" spans="1:2" x14ac:dyDescent="0.2">
      <c r="A88" s="55"/>
      <c r="B88" s="55"/>
    </row>
    <row r="89" spans="1:2" x14ac:dyDescent="0.2">
      <c r="A89" s="55"/>
      <c r="B89" s="55"/>
    </row>
    <row r="90" spans="1:2" x14ac:dyDescent="0.2">
      <c r="A90" s="55"/>
      <c r="B90" s="55"/>
    </row>
    <row r="91" spans="1:2" x14ac:dyDescent="0.2">
      <c r="A91" s="55"/>
      <c r="B91" s="55"/>
    </row>
    <row r="92" spans="1:2" x14ac:dyDescent="0.2">
      <c r="A92" s="55"/>
      <c r="B92" s="55"/>
    </row>
    <row r="93" spans="1:2" x14ac:dyDescent="0.2">
      <c r="A93" s="55"/>
      <c r="B93" s="55"/>
    </row>
    <row r="94" spans="1:2" x14ac:dyDescent="0.2">
      <c r="A94" s="55"/>
      <c r="B94" s="55"/>
    </row>
    <row r="95" spans="1:2" x14ac:dyDescent="0.2">
      <c r="A95" s="55"/>
      <c r="B95" s="55"/>
    </row>
    <row r="96" spans="1:2" x14ac:dyDescent="0.2">
      <c r="A96" s="55"/>
      <c r="B96" s="55"/>
    </row>
    <row r="97" spans="1:2" x14ac:dyDescent="0.2">
      <c r="A97" s="55"/>
      <c r="B97" s="55"/>
    </row>
    <row r="98" spans="1:2" x14ac:dyDescent="0.2">
      <c r="A98" s="55"/>
      <c r="B98" s="55"/>
    </row>
    <row r="99" spans="1:2" x14ac:dyDescent="0.2">
      <c r="A99" s="55"/>
      <c r="B99" s="55"/>
    </row>
    <row r="100" spans="1:2" x14ac:dyDescent="0.2">
      <c r="A100" s="55"/>
      <c r="B100" s="55"/>
    </row>
    <row r="101" spans="1:2" x14ac:dyDescent="0.2">
      <c r="A101" s="55"/>
      <c r="B101" s="55"/>
    </row>
    <row r="102" spans="1:2" x14ac:dyDescent="0.2">
      <c r="A102" s="55"/>
      <c r="B102" s="55"/>
    </row>
    <row r="103" spans="1:2" x14ac:dyDescent="0.2">
      <c r="A103" s="55"/>
      <c r="B103" s="55"/>
    </row>
    <row r="104" spans="1:2" x14ac:dyDescent="0.2">
      <c r="A104" s="55"/>
      <c r="B104" s="55"/>
    </row>
    <row r="105" spans="1:2" x14ac:dyDescent="0.2">
      <c r="A105" s="55"/>
      <c r="B105" s="55"/>
    </row>
    <row r="106" spans="1:2" x14ac:dyDescent="0.2">
      <c r="A106" s="55"/>
      <c r="B106" s="55"/>
    </row>
    <row r="107" spans="1:2" x14ac:dyDescent="0.2">
      <c r="A107" s="55"/>
      <c r="B107" s="55"/>
    </row>
    <row r="108" spans="1:2" x14ac:dyDescent="0.2">
      <c r="A108" s="55"/>
      <c r="B108" s="55"/>
    </row>
    <row r="109" spans="1:2" x14ac:dyDescent="0.2">
      <c r="A109" s="55"/>
      <c r="B109" s="55"/>
    </row>
    <row r="110" spans="1:2" x14ac:dyDescent="0.2">
      <c r="A110" s="55"/>
      <c r="B110" s="55"/>
    </row>
    <row r="111" spans="1:2" x14ac:dyDescent="0.2">
      <c r="A111" s="55"/>
      <c r="B111" s="55"/>
    </row>
    <row r="112" spans="1:2" x14ac:dyDescent="0.2">
      <c r="A112" s="55"/>
      <c r="B112" s="55"/>
    </row>
    <row r="113" spans="1:2" x14ac:dyDescent="0.2">
      <c r="A113" s="55"/>
      <c r="B113" s="55"/>
    </row>
    <row r="114" spans="1:2" x14ac:dyDescent="0.2">
      <c r="A114" s="55"/>
      <c r="B114" s="55"/>
    </row>
    <row r="115" spans="1:2" x14ac:dyDescent="0.2">
      <c r="A115" s="55"/>
      <c r="B115" s="55"/>
    </row>
    <row r="116" spans="1:2" x14ac:dyDescent="0.2">
      <c r="A116" s="55"/>
      <c r="B116" s="55"/>
    </row>
    <row r="117" spans="1:2" x14ac:dyDescent="0.2">
      <c r="A117" s="55"/>
      <c r="B117" s="55"/>
    </row>
    <row r="118" spans="1:2" x14ac:dyDescent="0.2">
      <c r="A118" s="55"/>
      <c r="B118" s="55"/>
    </row>
    <row r="119" spans="1:2" x14ac:dyDescent="0.2">
      <c r="A119" s="55"/>
      <c r="B119" s="55"/>
    </row>
    <row r="120" spans="1:2" x14ac:dyDescent="0.2">
      <c r="A120" s="55"/>
      <c r="B120" s="55"/>
    </row>
    <row r="121" spans="1:2" x14ac:dyDescent="0.2">
      <c r="A121" s="55"/>
      <c r="B121" s="55"/>
    </row>
    <row r="122" spans="1:2" x14ac:dyDescent="0.2">
      <c r="A122" s="55"/>
      <c r="B122" s="55"/>
    </row>
    <row r="123" spans="1:2" x14ac:dyDescent="0.2">
      <c r="A123" s="55"/>
      <c r="B123" s="55"/>
    </row>
    <row r="124" spans="1:2" x14ac:dyDescent="0.2">
      <c r="A124" s="55"/>
      <c r="B124" s="55"/>
    </row>
    <row r="125" spans="1:2" x14ac:dyDescent="0.2">
      <c r="A125" s="55"/>
      <c r="B125" s="55"/>
    </row>
    <row r="126" spans="1:2" x14ac:dyDescent="0.2">
      <c r="A126" s="55"/>
      <c r="B126" s="55"/>
    </row>
    <row r="127" spans="1:2" x14ac:dyDescent="0.2">
      <c r="A127" s="55"/>
      <c r="B127" s="55"/>
    </row>
    <row r="128" spans="1:2" x14ac:dyDescent="0.2">
      <c r="A128" s="55"/>
      <c r="B128" s="55"/>
    </row>
    <row r="129" spans="1:2" x14ac:dyDescent="0.2">
      <c r="A129" s="55"/>
      <c r="B129" s="55"/>
    </row>
    <row r="130" spans="1:2" x14ac:dyDescent="0.2">
      <c r="A130" s="55"/>
      <c r="B130" s="55"/>
    </row>
    <row r="131" spans="1:2" x14ac:dyDescent="0.2">
      <c r="A131" s="55"/>
      <c r="B131" s="55"/>
    </row>
    <row r="132" spans="1:2" x14ac:dyDescent="0.2">
      <c r="A132" s="55"/>
      <c r="B132" s="55"/>
    </row>
    <row r="133" spans="1:2" x14ac:dyDescent="0.2">
      <c r="A133" s="55"/>
      <c r="B133" s="55"/>
    </row>
    <row r="134" spans="1:2" x14ac:dyDescent="0.2">
      <c r="A134" s="55"/>
      <c r="B134" s="55"/>
    </row>
    <row r="135" spans="1:2" x14ac:dyDescent="0.2">
      <c r="A135" s="55"/>
      <c r="B135" s="55"/>
    </row>
    <row r="136" spans="1:2" x14ac:dyDescent="0.2">
      <c r="A136" s="55"/>
      <c r="B136" s="55"/>
    </row>
    <row r="137" spans="1:2" x14ac:dyDescent="0.2">
      <c r="A137" s="55"/>
      <c r="B137" s="55"/>
    </row>
    <row r="138" spans="1:2" x14ac:dyDescent="0.2">
      <c r="A138" s="55"/>
      <c r="B138" s="55"/>
    </row>
    <row r="139" spans="1:2" x14ac:dyDescent="0.2">
      <c r="A139" s="55"/>
      <c r="B139" s="55"/>
    </row>
    <row r="140" spans="1:2" x14ac:dyDescent="0.2">
      <c r="A140" s="55"/>
      <c r="B140" s="55"/>
    </row>
    <row r="141" spans="1:2" x14ac:dyDescent="0.2">
      <c r="A141" s="55"/>
      <c r="B141" s="55"/>
    </row>
    <row r="142" spans="1:2" x14ac:dyDescent="0.2">
      <c r="A142" s="55"/>
      <c r="B142" s="55"/>
    </row>
    <row r="143" spans="1:2" x14ac:dyDescent="0.2">
      <c r="A143" s="55"/>
      <c r="B143" s="55"/>
    </row>
    <row r="144" spans="1:2" x14ac:dyDescent="0.2">
      <c r="A144" s="55"/>
      <c r="B144" s="55"/>
    </row>
    <row r="145" spans="1:2" x14ac:dyDescent="0.2">
      <c r="A145" s="55"/>
      <c r="B145" s="55"/>
    </row>
    <row r="146" spans="1:2" x14ac:dyDescent="0.2">
      <c r="A146" s="55"/>
      <c r="B146" s="55"/>
    </row>
    <row r="147" spans="1:2" x14ac:dyDescent="0.2">
      <c r="A147" s="55"/>
      <c r="B147" s="55"/>
    </row>
    <row r="148" spans="1:2" x14ac:dyDescent="0.2">
      <c r="A148" s="55"/>
      <c r="B148" s="55"/>
    </row>
    <row r="149" spans="1:2" x14ac:dyDescent="0.2">
      <c r="A149" s="55"/>
      <c r="B149" s="55"/>
    </row>
    <row r="150" spans="1:2" x14ac:dyDescent="0.2">
      <c r="A150" s="55"/>
      <c r="B150" s="55"/>
    </row>
    <row r="151" spans="1:2" x14ac:dyDescent="0.2">
      <c r="A151" s="55"/>
      <c r="B151" s="55"/>
    </row>
    <row r="152" spans="1:2" x14ac:dyDescent="0.2">
      <c r="A152" s="55"/>
      <c r="B152" s="55"/>
    </row>
    <row r="153" spans="1:2" x14ac:dyDescent="0.2">
      <c r="A153" s="55"/>
      <c r="B153" s="55"/>
    </row>
    <row r="154" spans="1:2" x14ac:dyDescent="0.2">
      <c r="A154" s="55"/>
      <c r="B154" s="55"/>
    </row>
    <row r="155" spans="1:2" x14ac:dyDescent="0.2">
      <c r="A155" s="55"/>
      <c r="B155" s="55"/>
    </row>
    <row r="156" spans="1:2" x14ac:dyDescent="0.2">
      <c r="A156" s="55"/>
      <c r="B156" s="55"/>
    </row>
    <row r="157" spans="1:2" x14ac:dyDescent="0.2">
      <c r="A157" s="55"/>
      <c r="B157" s="55"/>
    </row>
    <row r="158" spans="1:2" x14ac:dyDescent="0.2">
      <c r="A158" s="55"/>
      <c r="B158" s="55"/>
    </row>
  </sheetData>
  <customSheetViews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Q6:U6"/>
  </mergeCells>
  <phoneticPr fontId="10" type="noConversion"/>
  <printOptions horizontalCentered="1"/>
  <pageMargins left="0.5" right="0.5" top="0.75" bottom="0.75" header="0.5" footer="0.5"/>
  <pageSetup scale="67" fitToHeight="2" orientation="landscape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pageSetUpPr fitToPage="1"/>
  </sheetPr>
  <dimension ref="A1:AA103"/>
  <sheetViews>
    <sheetView view="pageBreakPreview" topLeftCell="D1" zoomScale="75" zoomScaleNormal="100" zoomScaleSheetLayoutView="75" workbookViewId="0">
      <selection activeCell="AN48" sqref="AN48"/>
    </sheetView>
  </sheetViews>
  <sheetFormatPr defaultRowHeight="12.75" x14ac:dyDescent="0.2"/>
  <cols>
    <col min="1" max="1" width="6.42578125" style="177" customWidth="1"/>
    <col min="2" max="2" width="2.28515625" style="176" customWidth="1"/>
    <col min="3" max="3" width="9.140625" style="177"/>
    <col min="4" max="4" width="27.140625" style="177" customWidth="1"/>
    <col min="5" max="5" width="2.28515625" style="177" customWidth="1"/>
    <col min="6" max="6" width="10.7109375" style="177" customWidth="1"/>
    <col min="7" max="7" width="2.28515625" style="177" customWidth="1"/>
    <col min="8" max="8" width="10.7109375" style="177" customWidth="1"/>
    <col min="9" max="9" width="2.28515625" style="177" customWidth="1"/>
    <col min="10" max="10" width="10.7109375" style="177" customWidth="1"/>
    <col min="11" max="11" width="2.28515625" style="177" customWidth="1"/>
    <col min="12" max="12" width="10.7109375" style="177" customWidth="1"/>
    <col min="13" max="13" width="2.28515625" style="177" customWidth="1"/>
    <col min="14" max="14" width="10.7109375" style="177" customWidth="1"/>
    <col min="15" max="15" width="2.28515625" style="177" customWidth="1"/>
    <col min="16" max="16" width="10.7109375" style="177" customWidth="1"/>
    <col min="17" max="17" width="2.28515625" style="177" customWidth="1"/>
    <col min="18" max="18" width="10.7109375" style="177" customWidth="1"/>
    <col min="19" max="19" width="2.28515625" style="177" customWidth="1"/>
    <col min="20" max="20" width="10.7109375" style="177" customWidth="1"/>
    <col min="21" max="21" width="2.28515625" style="177" customWidth="1"/>
    <col min="22" max="22" width="10.7109375" style="177" customWidth="1"/>
    <col min="23" max="23" width="2.28515625" style="177" customWidth="1"/>
    <col min="24" max="24" width="10.7109375" style="177" customWidth="1"/>
    <col min="25" max="25" width="2.28515625" style="177" customWidth="1"/>
    <col min="26" max="26" width="10.7109375" style="177" customWidth="1"/>
    <col min="27" max="27" width="2.28515625" style="177" customWidth="1"/>
    <col min="28" max="16384" width="9.140625" style="177"/>
  </cols>
  <sheetData>
    <row r="1" spans="1:27" s="174" customFormat="1" x14ac:dyDescent="0.2">
      <c r="A1" s="501" t="s">
        <v>539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1"/>
      <c r="Y1" s="501"/>
      <c r="Z1" s="178"/>
      <c r="AA1" s="172" t="s">
        <v>844</v>
      </c>
    </row>
    <row r="2" spans="1:27" s="174" customFormat="1" x14ac:dyDescent="0.2">
      <c r="A2" s="501" t="s">
        <v>489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178"/>
      <c r="Z2" s="178"/>
      <c r="AA2" s="173"/>
    </row>
    <row r="3" spans="1:27" x14ac:dyDescent="0.2">
      <c r="A3" s="501" t="s">
        <v>172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2"/>
      <c r="Z3" s="502"/>
      <c r="AA3" s="176"/>
    </row>
    <row r="4" spans="1:27" s="174" customFormat="1" x14ac:dyDescent="0.2">
      <c r="A4" s="500" t="s">
        <v>109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178"/>
      <c r="Z4" s="178"/>
      <c r="AA4" s="173"/>
    </row>
    <row r="5" spans="1:27" s="174" customFormat="1" x14ac:dyDescent="0.2">
      <c r="B5" s="173"/>
      <c r="F5" s="175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</row>
    <row r="6" spans="1:27" s="174" customFormat="1" x14ac:dyDescent="0.2">
      <c r="B6" s="173"/>
      <c r="F6" s="175"/>
      <c r="G6" s="173"/>
      <c r="H6" s="173"/>
      <c r="I6" s="173"/>
      <c r="J6" s="173"/>
      <c r="K6" s="173"/>
      <c r="L6" s="173"/>
      <c r="M6" s="173"/>
      <c r="N6" s="173"/>
      <c r="O6" s="173"/>
      <c r="P6" s="208"/>
      <c r="Q6" s="208"/>
      <c r="R6" s="386"/>
      <c r="S6" s="208"/>
      <c r="T6" s="386"/>
      <c r="U6" s="208"/>
      <c r="V6" s="386"/>
      <c r="W6" s="208"/>
      <c r="X6" s="386" t="s">
        <v>461</v>
      </c>
      <c r="Y6" s="386"/>
      <c r="Z6" s="386" t="s">
        <v>461</v>
      </c>
      <c r="AA6" s="173"/>
    </row>
    <row r="7" spans="1:27" s="174" customFormat="1" x14ac:dyDescent="0.2">
      <c r="A7" s="179" t="s">
        <v>34</v>
      </c>
      <c r="B7" s="180"/>
      <c r="F7" s="88" t="s">
        <v>35</v>
      </c>
      <c r="G7" s="181"/>
      <c r="H7" s="92" t="s">
        <v>26</v>
      </c>
      <c r="I7" s="181"/>
      <c r="J7" s="92" t="s">
        <v>26</v>
      </c>
      <c r="K7" s="181"/>
      <c r="L7" s="92" t="s">
        <v>26</v>
      </c>
      <c r="M7" s="181"/>
      <c r="N7" s="92" t="s">
        <v>26</v>
      </c>
      <c r="O7" s="92"/>
      <c r="P7" s="386" t="s">
        <v>26</v>
      </c>
      <c r="Q7" s="386"/>
      <c r="R7" s="852" t="s">
        <v>330</v>
      </c>
      <c r="S7" s="852"/>
      <c r="T7" s="852"/>
      <c r="U7" s="852"/>
      <c r="V7" s="852"/>
      <c r="W7" s="19"/>
      <c r="X7" s="386" t="s">
        <v>15</v>
      </c>
      <c r="Y7" s="386"/>
      <c r="Z7" s="386" t="s">
        <v>15</v>
      </c>
      <c r="AA7" s="173"/>
    </row>
    <row r="8" spans="1:27" s="174" customFormat="1" x14ac:dyDescent="0.2">
      <c r="A8" s="182" t="s">
        <v>36</v>
      </c>
      <c r="C8" s="183" t="s">
        <v>178</v>
      </c>
      <c r="D8" s="184"/>
      <c r="F8" s="89" t="s">
        <v>37</v>
      </c>
      <c r="G8" s="181"/>
      <c r="H8" s="185">
        <v>2008</v>
      </c>
      <c r="I8" s="181"/>
      <c r="J8" s="185">
        <v>2009</v>
      </c>
      <c r="K8" s="181"/>
      <c r="L8" s="185">
        <v>2010</v>
      </c>
      <c r="M8" s="181"/>
      <c r="N8" s="185">
        <v>2011</v>
      </c>
      <c r="O8" s="181"/>
      <c r="P8" s="413">
        <v>2012</v>
      </c>
      <c r="Q8" s="414"/>
      <c r="R8" s="413">
        <v>2013</v>
      </c>
      <c r="S8" s="414"/>
      <c r="T8" s="413">
        <v>2014</v>
      </c>
      <c r="U8" s="414"/>
      <c r="V8" s="413">
        <v>2015</v>
      </c>
      <c r="W8" s="19"/>
      <c r="X8" s="413">
        <v>2008</v>
      </c>
      <c r="Y8" s="19"/>
      <c r="Z8" s="413">
        <v>2009</v>
      </c>
      <c r="AA8" s="173"/>
    </row>
    <row r="9" spans="1:27" s="174" customFormat="1" x14ac:dyDescent="0.2">
      <c r="A9" s="186"/>
      <c r="C9" s="187"/>
      <c r="D9" s="173"/>
      <c r="F9" s="188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</row>
    <row r="10" spans="1:27" x14ac:dyDescent="0.2">
      <c r="A10" s="189">
        <v>1</v>
      </c>
      <c r="B10" s="190"/>
      <c r="C10" s="174" t="s">
        <v>247</v>
      </c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3"/>
      <c r="Y10" s="192"/>
      <c r="Z10" s="191" t="s">
        <v>28</v>
      </c>
      <c r="AA10" s="176"/>
    </row>
    <row r="11" spans="1:27" x14ac:dyDescent="0.2">
      <c r="A11" s="189">
        <f>A10+1</f>
        <v>2</v>
      </c>
      <c r="B11" s="190"/>
      <c r="C11" s="177" t="s">
        <v>459</v>
      </c>
      <c r="G11" s="192"/>
      <c r="H11" s="192">
        <v>0</v>
      </c>
      <c r="I11" s="192"/>
      <c r="J11" s="192">
        <v>0</v>
      </c>
      <c r="K11" s="192"/>
      <c r="L11" s="192">
        <v>0</v>
      </c>
      <c r="M11" s="192"/>
      <c r="N11" s="192">
        <v>-2269.4807199999996</v>
      </c>
      <c r="P11" s="192">
        <v>0</v>
      </c>
      <c r="Q11" s="192"/>
      <c r="R11" s="192">
        <v>-977</v>
      </c>
      <c r="S11" s="192"/>
      <c r="T11" s="192">
        <v>-343</v>
      </c>
      <c r="U11" s="192"/>
      <c r="V11" s="192">
        <v>-369</v>
      </c>
      <c r="W11" s="192"/>
      <c r="X11" s="193">
        <v>0</v>
      </c>
      <c r="Y11" s="192"/>
      <c r="Z11" s="191">
        <v>0</v>
      </c>
      <c r="AA11" s="176"/>
    </row>
    <row r="12" spans="1:27" x14ac:dyDescent="0.2">
      <c r="A12" s="349">
        <f t="shared" ref="A12:A31" si="0">A11+1</f>
        <v>3</v>
      </c>
      <c r="B12" s="190"/>
      <c r="C12" s="423" t="s">
        <v>491</v>
      </c>
      <c r="G12" s="192"/>
      <c r="H12" s="192">
        <v>0</v>
      </c>
      <c r="I12" s="192"/>
      <c r="J12" s="192">
        <v>0</v>
      </c>
      <c r="K12" s="192"/>
      <c r="L12" s="192">
        <v>0</v>
      </c>
      <c r="M12" s="192"/>
      <c r="N12" s="192">
        <v>0</v>
      </c>
      <c r="P12" s="192">
        <v>-619</v>
      </c>
      <c r="Q12" s="192"/>
      <c r="R12" s="192">
        <v>0</v>
      </c>
      <c r="S12" s="192"/>
      <c r="T12" s="192">
        <v>-200</v>
      </c>
      <c r="U12" s="192"/>
      <c r="V12" s="192">
        <v>0</v>
      </c>
      <c r="W12" s="192"/>
      <c r="X12" s="193">
        <v>0</v>
      </c>
      <c r="Y12" s="192"/>
      <c r="Z12" s="191">
        <v>0</v>
      </c>
      <c r="AA12" s="176"/>
    </row>
    <row r="13" spans="1:27" s="174" customFormat="1" x14ac:dyDescent="0.2">
      <c r="A13" s="349">
        <f t="shared" si="0"/>
        <v>4</v>
      </c>
      <c r="C13" s="434" t="s">
        <v>714</v>
      </c>
      <c r="D13" s="173"/>
      <c r="F13" s="188"/>
      <c r="G13" s="196"/>
      <c r="H13" s="195">
        <v>0</v>
      </c>
      <c r="I13" s="196"/>
      <c r="J13" s="195">
        <v>0</v>
      </c>
      <c r="K13" s="196"/>
      <c r="L13" s="195">
        <v>0</v>
      </c>
      <c r="M13" s="196"/>
      <c r="N13" s="195">
        <v>0</v>
      </c>
      <c r="P13" s="195">
        <v>0</v>
      </c>
      <c r="Q13" s="412"/>
      <c r="R13" s="195">
        <v>0</v>
      </c>
      <c r="S13" s="412"/>
      <c r="T13" s="195">
        <v>0</v>
      </c>
      <c r="U13" s="412"/>
      <c r="V13" s="195">
        <v>0</v>
      </c>
      <c r="W13" s="196"/>
      <c r="X13" s="197">
        <v>-14.317548</v>
      </c>
      <c r="Y13" s="196"/>
      <c r="Z13" s="197">
        <v>-14.317548</v>
      </c>
      <c r="AA13" s="173"/>
    </row>
    <row r="14" spans="1:27" x14ac:dyDescent="0.2">
      <c r="A14" s="349">
        <f t="shared" si="0"/>
        <v>5</v>
      </c>
      <c r="B14" s="190"/>
      <c r="C14" s="177" t="s">
        <v>248</v>
      </c>
      <c r="G14" s="198"/>
      <c r="H14" s="198">
        <f>SUM(H11:H13)</f>
        <v>0</v>
      </c>
      <c r="I14" s="198"/>
      <c r="J14" s="198">
        <f>SUM(J11:J13)</f>
        <v>0</v>
      </c>
      <c r="K14" s="198"/>
      <c r="L14" s="198">
        <f>SUM(L11:L13)</f>
        <v>0</v>
      </c>
      <c r="M14" s="198"/>
      <c r="N14" s="198">
        <f>SUM(N11:N13)</f>
        <v>-2269.4807199999996</v>
      </c>
      <c r="P14" s="198">
        <f>SUM(P11:P13)</f>
        <v>-619</v>
      </c>
      <c r="Q14" s="198"/>
      <c r="R14" s="198">
        <f>SUM(R11:R13)</f>
        <v>-977</v>
      </c>
      <c r="S14" s="198"/>
      <c r="T14" s="198">
        <f>SUM(T11:T13)</f>
        <v>-543</v>
      </c>
      <c r="U14" s="198"/>
      <c r="V14" s="198">
        <f>SUM(V11:V13)</f>
        <v>-369</v>
      </c>
      <c r="W14" s="198"/>
      <c r="X14" s="198">
        <f>SUM(X11:X13)</f>
        <v>-14.317548</v>
      </c>
      <c r="Y14" s="198"/>
      <c r="Z14" s="198">
        <f>SUM(Z13:Z13)</f>
        <v>-14.317548</v>
      </c>
      <c r="AA14" s="176"/>
    </row>
    <row r="15" spans="1:27" x14ac:dyDescent="0.2">
      <c r="A15" s="349">
        <f t="shared" si="0"/>
        <v>6</v>
      </c>
      <c r="B15" s="190"/>
      <c r="G15" s="198"/>
      <c r="H15" s="198"/>
      <c r="I15" s="198"/>
      <c r="J15" s="198"/>
      <c r="K15" s="198"/>
      <c r="L15" s="198"/>
      <c r="M15" s="198"/>
      <c r="N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76"/>
    </row>
    <row r="16" spans="1:27" x14ac:dyDescent="0.2">
      <c r="A16" s="349">
        <f t="shared" si="0"/>
        <v>7</v>
      </c>
      <c r="B16" s="190"/>
      <c r="G16" s="198"/>
      <c r="H16" s="198"/>
      <c r="I16" s="198"/>
      <c r="J16" s="198"/>
      <c r="K16" s="198"/>
      <c r="L16" s="198"/>
      <c r="M16" s="198"/>
      <c r="N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76"/>
    </row>
    <row r="17" spans="1:27" x14ac:dyDescent="0.2">
      <c r="A17" s="349">
        <f t="shared" si="0"/>
        <v>8</v>
      </c>
      <c r="B17" s="190"/>
      <c r="C17" s="174" t="s">
        <v>268</v>
      </c>
      <c r="G17" s="198"/>
      <c r="H17" s="198"/>
      <c r="I17" s="198"/>
      <c r="J17" s="198"/>
      <c r="K17" s="198"/>
      <c r="L17" s="198"/>
      <c r="M17" s="198"/>
      <c r="N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76"/>
    </row>
    <row r="18" spans="1:27" x14ac:dyDescent="0.2">
      <c r="A18" s="349">
        <f t="shared" si="0"/>
        <v>9</v>
      </c>
      <c r="B18" s="190"/>
      <c r="C18" s="434" t="s">
        <v>124</v>
      </c>
      <c r="G18" s="198"/>
      <c r="H18" s="198">
        <v>-90</v>
      </c>
      <c r="I18" s="198"/>
      <c r="J18" s="198">
        <v>-57</v>
      </c>
      <c r="K18" s="198"/>
      <c r="L18" s="198">
        <v>-226.98872</v>
      </c>
      <c r="M18" s="198"/>
      <c r="N18" s="198">
        <v>-34.729379999999999</v>
      </c>
      <c r="P18" s="198">
        <v>-61.86824</v>
      </c>
      <c r="Q18" s="198"/>
      <c r="R18" s="198">
        <v>-80.14355333333333</v>
      </c>
      <c r="S18" s="198"/>
      <c r="T18" s="198">
        <v>-80.14355333333333</v>
      </c>
      <c r="U18" s="198"/>
      <c r="V18" s="198">
        <v>-80.14355333333333</v>
      </c>
      <c r="W18" s="198"/>
      <c r="X18" s="198">
        <v>-67.881741999999988</v>
      </c>
      <c r="Y18" s="198"/>
      <c r="Z18" s="198">
        <v>-67.881741999999988</v>
      </c>
      <c r="AA18" s="176"/>
    </row>
    <row r="19" spans="1:27" x14ac:dyDescent="0.2">
      <c r="A19" s="349">
        <f t="shared" si="0"/>
        <v>10</v>
      </c>
      <c r="B19" s="190"/>
      <c r="C19" s="434" t="s">
        <v>503</v>
      </c>
      <c r="G19" s="192"/>
      <c r="H19" s="192">
        <v>-3</v>
      </c>
      <c r="I19" s="192"/>
      <c r="J19" s="192">
        <v>-3</v>
      </c>
      <c r="K19" s="192"/>
      <c r="L19" s="192">
        <v>-29.654919999999997</v>
      </c>
      <c r="M19" s="192"/>
      <c r="N19" s="192">
        <v>-20.5962</v>
      </c>
      <c r="P19" s="192">
        <v>-13.42961</v>
      </c>
      <c r="Q19" s="192"/>
      <c r="R19" s="192">
        <v>-112.02821333333333</v>
      </c>
      <c r="S19" s="192"/>
      <c r="T19" s="192">
        <v>-12.028213333333333</v>
      </c>
      <c r="U19" s="192"/>
      <c r="V19" s="192">
        <v>-12.028213333333333</v>
      </c>
      <c r="W19" s="192"/>
      <c r="X19" s="191">
        <v>-17.760252000000001</v>
      </c>
      <c r="Y19" s="192"/>
      <c r="Z19" s="191">
        <v>-17.760252000000001</v>
      </c>
      <c r="AA19" s="176"/>
    </row>
    <row r="20" spans="1:27" x14ac:dyDescent="0.2">
      <c r="A20" s="349">
        <f t="shared" si="0"/>
        <v>11</v>
      </c>
      <c r="B20" s="190"/>
      <c r="C20" s="194" t="s">
        <v>110</v>
      </c>
      <c r="G20" s="192"/>
      <c r="H20" s="192">
        <v>-96</v>
      </c>
      <c r="I20" s="192"/>
      <c r="J20" s="192">
        <v>0</v>
      </c>
      <c r="K20" s="192"/>
      <c r="L20" s="192">
        <v>-166.42716000000001</v>
      </c>
      <c r="M20" s="192"/>
      <c r="N20" s="192">
        <v>-70.295249999999996</v>
      </c>
      <c r="P20" s="192">
        <v>-16.429490000000001</v>
      </c>
      <c r="Q20" s="192"/>
      <c r="R20" s="192">
        <v>-58.27462666666667</v>
      </c>
      <c r="S20" s="192"/>
      <c r="T20" s="192">
        <v>-126.82098442367601</v>
      </c>
      <c r="U20" s="192"/>
      <c r="V20" s="192">
        <v>-126.82098442367601</v>
      </c>
      <c r="W20" s="192"/>
      <c r="X20" s="191">
        <v>-81.988510000000005</v>
      </c>
      <c r="Y20" s="192"/>
      <c r="Z20" s="191">
        <v>-81.988510000000005</v>
      </c>
      <c r="AA20" s="176"/>
    </row>
    <row r="21" spans="1:27" x14ac:dyDescent="0.2">
      <c r="A21" s="349">
        <f t="shared" si="0"/>
        <v>12</v>
      </c>
      <c r="B21" s="174"/>
      <c r="C21" s="434" t="s">
        <v>714</v>
      </c>
      <c r="D21" s="173"/>
      <c r="E21" s="174"/>
      <c r="F21" s="188"/>
      <c r="G21" s="196"/>
      <c r="H21" s="197">
        <v>-47</v>
      </c>
      <c r="I21" s="196"/>
      <c r="J21" s="197">
        <v>-13</v>
      </c>
      <c r="K21" s="196"/>
      <c r="L21" s="197">
        <v>-22</v>
      </c>
      <c r="M21" s="196"/>
      <c r="N21" s="197">
        <v>-18.641309999999997</v>
      </c>
      <c r="O21" s="174"/>
      <c r="P21" s="197">
        <v>-13.52613</v>
      </c>
      <c r="Q21" s="198"/>
      <c r="R21" s="197">
        <v>-16.188099999999999</v>
      </c>
      <c r="S21" s="198"/>
      <c r="T21" s="197">
        <v>-16.188099999999999</v>
      </c>
      <c r="U21" s="198"/>
      <c r="V21" s="197">
        <v>-16.188099999999999</v>
      </c>
      <c r="W21" s="196"/>
      <c r="X21" s="197">
        <v>-8.2812319999999993</v>
      </c>
      <c r="Y21" s="196"/>
      <c r="Z21" s="197">
        <v>-8.2812319999999993</v>
      </c>
      <c r="AA21" s="173"/>
    </row>
    <row r="22" spans="1:27" s="174" customFormat="1" x14ac:dyDescent="0.2">
      <c r="A22" s="349">
        <f t="shared" si="0"/>
        <v>13</v>
      </c>
      <c r="B22" s="190"/>
      <c r="C22" s="177" t="s">
        <v>290</v>
      </c>
      <c r="D22" s="177"/>
      <c r="E22" s="177"/>
      <c r="F22" s="177"/>
      <c r="G22" s="198"/>
      <c r="H22" s="198">
        <f>SUM(H18:H21)</f>
        <v>-236</v>
      </c>
      <c r="I22" s="198"/>
      <c r="J22" s="198">
        <f>SUM(J18:J21)</f>
        <v>-73</v>
      </c>
      <c r="K22" s="198"/>
      <c r="L22" s="198">
        <f>SUM(L18:L21)</f>
        <v>-445.07080000000002</v>
      </c>
      <c r="M22" s="198"/>
      <c r="N22" s="198">
        <f>SUM(N18:N21)</f>
        <v>-144.26213999999999</v>
      </c>
      <c r="O22" s="177"/>
      <c r="P22" s="198">
        <f>SUM(P18:P21)</f>
        <v>-105.25346999999999</v>
      </c>
      <c r="Q22" s="198"/>
      <c r="R22" s="198">
        <f>SUM(R18:R21)</f>
        <v>-266.63449333333335</v>
      </c>
      <c r="S22" s="198"/>
      <c r="T22" s="198">
        <f>SUM(T18:T21)</f>
        <v>-235.18085109034266</v>
      </c>
      <c r="U22" s="198"/>
      <c r="V22" s="198">
        <f>SUM(V18:V21)</f>
        <v>-235.18085109034266</v>
      </c>
      <c r="W22" s="198"/>
      <c r="X22" s="198">
        <f>SUM(X18:X21)</f>
        <v>-175.91173599999996</v>
      </c>
      <c r="Y22" s="198"/>
      <c r="Z22" s="198">
        <f>SUM(Z18:Z21)</f>
        <v>-175.91173599999996</v>
      </c>
      <c r="AA22" s="176"/>
    </row>
    <row r="23" spans="1:27" x14ac:dyDescent="0.2">
      <c r="A23" s="349">
        <f t="shared" si="0"/>
        <v>14</v>
      </c>
      <c r="B23" s="190"/>
      <c r="G23" s="198"/>
      <c r="H23" s="198"/>
      <c r="I23" s="198"/>
      <c r="J23" s="198"/>
      <c r="K23" s="198"/>
      <c r="L23" s="198"/>
      <c r="M23" s="198"/>
      <c r="N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76"/>
    </row>
    <row r="24" spans="1:27" x14ac:dyDescent="0.2">
      <c r="A24" s="349">
        <f t="shared" si="0"/>
        <v>15</v>
      </c>
      <c r="B24" s="190"/>
      <c r="C24" s="174" t="s">
        <v>140</v>
      </c>
      <c r="G24" s="192"/>
      <c r="H24" s="192"/>
      <c r="I24" s="192"/>
      <c r="J24" s="192"/>
      <c r="K24" s="192"/>
      <c r="L24" s="192"/>
      <c r="M24" s="192"/>
      <c r="N24" s="192"/>
      <c r="P24" s="192"/>
      <c r="Q24" s="192"/>
      <c r="R24" s="192"/>
      <c r="S24" s="192"/>
      <c r="T24" s="192"/>
      <c r="U24" s="192"/>
      <c r="V24" s="192"/>
      <c r="W24" s="192"/>
      <c r="X24" s="191"/>
      <c r="Y24" s="192"/>
      <c r="Z24" s="191"/>
      <c r="AA24" s="176"/>
    </row>
    <row r="25" spans="1:27" x14ac:dyDescent="0.2">
      <c r="A25" s="349">
        <f t="shared" si="0"/>
        <v>16</v>
      </c>
      <c r="B25" s="190"/>
      <c r="C25" s="194" t="s">
        <v>144</v>
      </c>
      <c r="G25" s="198"/>
      <c r="H25" s="198">
        <v>-38</v>
      </c>
      <c r="I25" s="198"/>
      <c r="J25" s="198">
        <v>-57</v>
      </c>
      <c r="K25" s="198"/>
      <c r="L25" s="198">
        <v>-29.612880000000001</v>
      </c>
      <c r="M25" s="198"/>
      <c r="N25" s="198">
        <v>-15.492989999999999</v>
      </c>
      <c r="P25" s="198">
        <v>-16.15522</v>
      </c>
      <c r="Q25" s="198"/>
      <c r="R25" s="198">
        <v>-32.394083333333334</v>
      </c>
      <c r="S25" s="198"/>
      <c r="T25" s="198">
        <v>-32.394083333333334</v>
      </c>
      <c r="U25" s="198"/>
      <c r="V25" s="198">
        <v>-32.394083333333334</v>
      </c>
      <c r="W25" s="198"/>
      <c r="X25" s="198">
        <v>-44.029541999999992</v>
      </c>
      <c r="Y25" s="198"/>
      <c r="Z25" s="198">
        <v>-44.029541999999992</v>
      </c>
      <c r="AA25" s="176"/>
    </row>
    <row r="26" spans="1:27" x14ac:dyDescent="0.2">
      <c r="A26" s="349">
        <f t="shared" si="0"/>
        <v>17</v>
      </c>
      <c r="B26" s="190"/>
      <c r="C26" s="194" t="s">
        <v>70</v>
      </c>
      <c r="G26" s="198"/>
      <c r="H26" s="198">
        <v>-44</v>
      </c>
      <c r="I26" s="198"/>
      <c r="J26" s="198">
        <v>-109</v>
      </c>
      <c r="K26" s="198"/>
      <c r="L26" s="198">
        <v>-154.05107999999998</v>
      </c>
      <c r="M26" s="198"/>
      <c r="N26" s="198">
        <v>-4.5170000000000003</v>
      </c>
      <c r="P26" s="198">
        <v>-161.52147999999997</v>
      </c>
      <c r="Q26" s="198"/>
      <c r="R26" s="198">
        <v>-126.83885666666667</v>
      </c>
      <c r="S26" s="198"/>
      <c r="T26" s="198">
        <v>-126.83885666666667</v>
      </c>
      <c r="U26" s="198"/>
      <c r="V26" s="198">
        <v>-119.90233200000002</v>
      </c>
      <c r="W26" s="198"/>
      <c r="X26" s="198">
        <v>-56.707159999999995</v>
      </c>
      <c r="Y26" s="198"/>
      <c r="Z26" s="198">
        <v>-56.707159999999995</v>
      </c>
      <c r="AA26" s="176"/>
    </row>
    <row r="27" spans="1:27" x14ac:dyDescent="0.2">
      <c r="A27" s="349">
        <f t="shared" si="0"/>
        <v>18</v>
      </c>
      <c r="B27" s="190"/>
      <c r="C27" s="194" t="s">
        <v>146</v>
      </c>
      <c r="G27" s="198"/>
      <c r="H27" s="198">
        <v>-59</v>
      </c>
      <c r="I27" s="198"/>
      <c r="J27" s="198">
        <v>-18</v>
      </c>
      <c r="K27" s="198"/>
      <c r="L27" s="198">
        <v>-16.728990000000003</v>
      </c>
      <c r="M27" s="198"/>
      <c r="N27" s="198">
        <v>-12.75441</v>
      </c>
      <c r="P27" s="198">
        <v>-17.411810000000003</v>
      </c>
      <c r="Q27" s="198"/>
      <c r="R27" s="198">
        <v>-30.973289999999999</v>
      </c>
      <c r="S27" s="198"/>
      <c r="T27" s="198">
        <v>-30.973289999999999</v>
      </c>
      <c r="U27" s="198"/>
      <c r="V27" s="198">
        <v>-30.973289999999999</v>
      </c>
      <c r="W27" s="198"/>
      <c r="X27" s="198">
        <v>-58.827002</v>
      </c>
      <c r="Y27" s="198"/>
      <c r="Z27" s="198">
        <v>-58.827002</v>
      </c>
      <c r="AA27" s="176"/>
    </row>
    <row r="28" spans="1:27" x14ac:dyDescent="0.2">
      <c r="A28" s="349">
        <f t="shared" si="0"/>
        <v>19</v>
      </c>
      <c r="B28" s="190"/>
      <c r="C28" s="434" t="s">
        <v>714</v>
      </c>
      <c r="G28" s="198"/>
      <c r="H28" s="197">
        <v>-7</v>
      </c>
      <c r="I28" s="198"/>
      <c r="J28" s="197">
        <v>-23</v>
      </c>
      <c r="K28" s="198"/>
      <c r="L28" s="197">
        <v>-4.6306099999999999</v>
      </c>
      <c r="M28" s="198"/>
      <c r="N28" s="197">
        <v>0</v>
      </c>
      <c r="P28" s="197">
        <v>-2.7208899999999998</v>
      </c>
      <c r="Q28" s="198"/>
      <c r="R28" s="197">
        <v>-6.5744150000000001</v>
      </c>
      <c r="S28" s="198"/>
      <c r="T28" s="197">
        <v>-6.5744150000000001</v>
      </c>
      <c r="U28" s="198"/>
      <c r="V28" s="197">
        <v>-6.5744150000000001</v>
      </c>
      <c r="W28" s="198"/>
      <c r="X28" s="197">
        <v>-1</v>
      </c>
      <c r="Y28" s="198"/>
      <c r="Z28" s="197">
        <v>-1</v>
      </c>
      <c r="AA28" s="176"/>
    </row>
    <row r="29" spans="1:27" x14ac:dyDescent="0.2">
      <c r="A29" s="349">
        <f t="shared" si="0"/>
        <v>20</v>
      </c>
      <c r="B29" s="190"/>
      <c r="C29" s="177" t="s">
        <v>71</v>
      </c>
      <c r="G29" s="198"/>
      <c r="H29" s="198">
        <f>SUM(H25:H28)</f>
        <v>-148</v>
      </c>
      <c r="I29" s="198"/>
      <c r="J29" s="198">
        <f>SUM(J25:J28)</f>
        <v>-207</v>
      </c>
      <c r="K29" s="198"/>
      <c r="L29" s="198">
        <f>SUM(L25:L28)</f>
        <v>-205.02355999999997</v>
      </c>
      <c r="M29" s="198"/>
      <c r="N29" s="198">
        <f>SUM(N25:N28)</f>
        <v>-32.764399999999995</v>
      </c>
      <c r="P29" s="198">
        <f>SUM(P25:P28)</f>
        <v>-197.80939999999998</v>
      </c>
      <c r="Q29" s="198"/>
      <c r="R29" s="198">
        <f>SUM(R25:R28)</f>
        <v>-196.78064499999999</v>
      </c>
      <c r="S29" s="198"/>
      <c r="T29" s="198">
        <f>SUM(T25:T28)</f>
        <v>-196.78064499999999</v>
      </c>
      <c r="U29" s="198"/>
      <c r="V29" s="198">
        <f>SUM(V25:V28)</f>
        <v>-189.84412033333334</v>
      </c>
      <c r="W29" s="198"/>
      <c r="X29" s="198">
        <f>SUM(X25:X28)</f>
        <v>-160.56370399999997</v>
      </c>
      <c r="Y29" s="198"/>
      <c r="Z29" s="198">
        <f>SUM(Z25:Z28)</f>
        <v>-160.56370399999997</v>
      </c>
      <c r="AA29" s="176"/>
    </row>
    <row r="30" spans="1:27" x14ac:dyDescent="0.2">
      <c r="A30" s="349">
        <f t="shared" si="0"/>
        <v>21</v>
      </c>
      <c r="B30" s="190"/>
      <c r="G30" s="192"/>
      <c r="H30" s="192"/>
      <c r="I30" s="192"/>
      <c r="J30" s="192"/>
      <c r="K30" s="192"/>
      <c r="L30" s="192"/>
      <c r="M30" s="192"/>
      <c r="N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76"/>
    </row>
    <row r="31" spans="1:27" x14ac:dyDescent="0.2">
      <c r="A31" s="349">
        <f t="shared" si="0"/>
        <v>22</v>
      </c>
      <c r="B31" s="190"/>
      <c r="C31" s="174" t="s">
        <v>175</v>
      </c>
      <c r="F31" s="496" t="s">
        <v>648</v>
      </c>
      <c r="G31" s="192"/>
      <c r="H31" s="199">
        <f>H29+H14+H22</f>
        <v>-384</v>
      </c>
      <c r="I31" s="192"/>
      <c r="J31" s="199">
        <f>J29+J14+J22</f>
        <v>-280</v>
      </c>
      <c r="K31" s="192"/>
      <c r="L31" s="199">
        <f>L29+L14+L22</f>
        <v>-650.09436000000005</v>
      </c>
      <c r="M31" s="192"/>
      <c r="N31" s="199">
        <f>N29+N14+N22</f>
        <v>-2446.5072599999994</v>
      </c>
      <c r="P31" s="199">
        <f>P29+P14+P22</f>
        <v>-922.06286999999998</v>
      </c>
      <c r="Q31" s="198"/>
      <c r="R31" s="199">
        <f>R29+R14+R22</f>
        <v>-1440.4151383333333</v>
      </c>
      <c r="S31" s="198"/>
      <c r="T31" s="199">
        <f>T29+T14+T22</f>
        <v>-974.96149609034273</v>
      </c>
      <c r="U31" s="198"/>
      <c r="V31" s="199">
        <f>V29+V14+V22</f>
        <v>-794.02497142367599</v>
      </c>
      <c r="W31" s="192"/>
      <c r="X31" s="199">
        <f>X29+X14+X22</f>
        <v>-350.79298799999992</v>
      </c>
      <c r="Y31" s="192"/>
      <c r="Z31" s="199">
        <f>Z29+Z14+Z22</f>
        <v>-350.79298799999992</v>
      </c>
      <c r="AA31" s="176"/>
    </row>
    <row r="32" spans="1:27" x14ac:dyDescent="0.2">
      <c r="A32" s="189"/>
      <c r="B32" s="190"/>
      <c r="Z32" s="176"/>
    </row>
    <row r="33" spans="1:26" x14ac:dyDescent="0.2">
      <c r="A33" s="189"/>
      <c r="B33" s="190"/>
      <c r="Z33" s="176"/>
    </row>
    <row r="34" spans="1:26" x14ac:dyDescent="0.2">
      <c r="A34" s="189"/>
      <c r="B34" s="190"/>
      <c r="Z34" s="176"/>
    </row>
    <row r="35" spans="1:26" x14ac:dyDescent="0.2">
      <c r="A35" s="189"/>
      <c r="B35" s="190"/>
      <c r="Z35" s="176"/>
    </row>
    <row r="36" spans="1:26" x14ac:dyDescent="0.2">
      <c r="A36" s="189"/>
      <c r="B36" s="190"/>
      <c r="Z36" s="176"/>
    </row>
    <row r="37" spans="1:26" x14ac:dyDescent="0.2">
      <c r="A37" s="189"/>
      <c r="B37" s="190"/>
      <c r="Z37" s="176"/>
    </row>
    <row r="38" spans="1:26" x14ac:dyDescent="0.2">
      <c r="A38" s="189"/>
      <c r="B38" s="190"/>
      <c r="Z38" s="176"/>
    </row>
    <row r="39" spans="1:26" x14ac:dyDescent="0.2">
      <c r="A39" s="189"/>
      <c r="B39" s="190"/>
      <c r="R39" s="439"/>
      <c r="Z39" s="176"/>
    </row>
    <row r="40" spans="1:26" x14ac:dyDescent="0.2">
      <c r="A40" s="189"/>
      <c r="B40" s="190"/>
      <c r="Z40" s="176"/>
    </row>
    <row r="41" spans="1:26" x14ac:dyDescent="0.2">
      <c r="A41" s="189"/>
      <c r="B41" s="190"/>
      <c r="Z41" s="176"/>
    </row>
    <row r="42" spans="1:26" x14ac:dyDescent="0.2">
      <c r="A42" s="189"/>
      <c r="B42" s="190"/>
      <c r="Z42" s="176"/>
    </row>
    <row r="43" spans="1:26" x14ac:dyDescent="0.2">
      <c r="A43" s="189"/>
      <c r="B43" s="190"/>
    </row>
    <row r="44" spans="1:26" x14ac:dyDescent="0.2">
      <c r="A44" s="189"/>
      <c r="B44" s="190"/>
    </row>
    <row r="45" spans="1:26" x14ac:dyDescent="0.2">
      <c r="A45" s="189"/>
      <c r="B45" s="190"/>
    </row>
    <row r="46" spans="1:26" x14ac:dyDescent="0.2">
      <c r="A46" s="189"/>
      <c r="B46" s="190"/>
    </row>
    <row r="47" spans="1:26" x14ac:dyDescent="0.2">
      <c r="A47" s="189"/>
      <c r="B47" s="190"/>
    </row>
    <row r="48" spans="1:26" x14ac:dyDescent="0.2">
      <c r="A48" s="189"/>
      <c r="B48" s="190"/>
    </row>
    <row r="103" ht="12.75" customHeight="1" x14ac:dyDescent="0.2"/>
  </sheetData>
  <customSheetViews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1"/>
      <headerFooter alignWithMargins="0"/>
    </customSheetView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2"/>
      <headerFooter alignWithMargins="0"/>
    </customSheetView>
  </customSheetViews>
  <mergeCells count="1">
    <mergeCell ref="R7:V7"/>
  </mergeCells>
  <phoneticPr fontId="9" type="noConversion"/>
  <printOptions horizontalCentered="1"/>
  <pageMargins left="0.5" right="0.5" top="0.75" bottom="0.75" header="0.66" footer="0.5"/>
  <pageSetup scale="68" orientation="landscape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pageSetUpPr fitToPage="1"/>
  </sheetPr>
  <dimension ref="A1:AD102"/>
  <sheetViews>
    <sheetView view="pageBreakPreview" topLeftCell="A7" zoomScale="64" zoomScaleNormal="55" zoomScaleSheetLayoutView="64" workbookViewId="0">
      <selection activeCell="E55" sqref="E55"/>
    </sheetView>
  </sheetViews>
  <sheetFormatPr defaultColWidth="7.5703125" defaultRowHeight="15" x14ac:dyDescent="0.2"/>
  <cols>
    <col min="1" max="1" width="8.5703125" style="419" customWidth="1"/>
    <col min="2" max="2" width="2.5703125" style="419" customWidth="1"/>
    <col min="3" max="3" width="70.28515625" style="419" customWidth="1"/>
    <col min="4" max="4" width="2.5703125" style="419" customWidth="1"/>
    <col min="5" max="5" width="17.85546875" style="117" bestFit="1" customWidth="1"/>
    <col min="6" max="6" width="2.5703125" style="419" customWidth="1"/>
    <col min="7" max="7" width="14.7109375" style="419" customWidth="1"/>
    <col min="8" max="8" width="2.5703125" style="419" customWidth="1"/>
    <col min="9" max="9" width="14.7109375" style="419" customWidth="1"/>
    <col min="10" max="10" width="2.5703125" style="419" customWidth="1"/>
    <col min="11" max="11" width="14.7109375" style="419" customWidth="1"/>
    <col min="12" max="12" width="2.5703125" style="419" customWidth="1"/>
    <col min="13" max="13" width="14.7109375" style="419" customWidth="1"/>
    <col min="14" max="14" width="3.7109375" style="419" customWidth="1"/>
    <col min="15" max="15" width="14.7109375" style="419" customWidth="1"/>
    <col min="16" max="16" width="2.5703125" style="419" customWidth="1"/>
    <col min="17" max="17" width="14.7109375" style="419" customWidth="1"/>
    <col min="18" max="18" width="2.140625" style="419" customWidth="1"/>
    <col min="19" max="19" width="14.7109375" style="419" customWidth="1"/>
    <col min="20" max="20" width="3.42578125" style="419" customWidth="1"/>
    <col min="21" max="21" width="14.7109375" style="419" customWidth="1"/>
    <col min="22" max="22" width="2.5703125" style="419" customWidth="1"/>
    <col min="23" max="23" width="14.7109375" style="419" customWidth="1"/>
    <col min="24" max="24" width="2.5703125" style="419" customWidth="1"/>
    <col min="25" max="25" width="14.7109375" style="419" customWidth="1"/>
    <col min="26" max="26" width="2.42578125" style="419" customWidth="1"/>
    <col min="27" max="16384" width="7.5703125" style="419"/>
  </cols>
  <sheetData>
    <row r="1" spans="1:26" ht="15.75" x14ac:dyDescent="0.25">
      <c r="A1" s="370" t="s">
        <v>539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51"/>
      <c r="Z1" s="80" t="s">
        <v>812</v>
      </c>
    </row>
    <row r="2" spans="1:26" ht="15.75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</row>
    <row r="3" spans="1:26" ht="15.75" x14ac:dyDescent="0.25">
      <c r="A3" s="370" t="s">
        <v>238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4" spans="1:26" ht="15.75" x14ac:dyDescent="0.25">
      <c r="A4" s="370" t="s">
        <v>33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</row>
    <row r="5" spans="1:26" ht="15.75" x14ac:dyDescent="0.25">
      <c r="A5" s="370"/>
      <c r="B5" s="351"/>
      <c r="C5" s="351"/>
      <c r="D5" s="351"/>
      <c r="O5" s="345"/>
      <c r="P5" s="345"/>
      <c r="Q5" s="772"/>
      <c r="R5" s="345"/>
      <c r="S5" s="772"/>
      <c r="T5" s="345"/>
      <c r="U5" s="772"/>
      <c r="V5" s="345"/>
      <c r="W5" s="772" t="s">
        <v>461</v>
      </c>
      <c r="X5" s="772"/>
      <c r="Y5" s="772" t="s">
        <v>461</v>
      </c>
      <c r="Z5" s="416"/>
    </row>
    <row r="6" spans="1:26" ht="15" customHeight="1" x14ac:dyDescent="0.25">
      <c r="A6" s="772" t="s">
        <v>34</v>
      </c>
      <c r="B6" s="772"/>
      <c r="C6" s="772"/>
      <c r="D6" s="772"/>
      <c r="E6" s="772" t="s">
        <v>35</v>
      </c>
      <c r="F6" s="772"/>
      <c r="G6" s="772" t="s">
        <v>26</v>
      </c>
      <c r="H6" s="772"/>
      <c r="I6" s="772" t="s">
        <v>26</v>
      </c>
      <c r="J6" s="772"/>
      <c r="K6" s="772" t="s">
        <v>26</v>
      </c>
      <c r="L6" s="772"/>
      <c r="M6" s="772" t="s">
        <v>26</v>
      </c>
      <c r="N6" s="772"/>
      <c r="O6" s="772" t="s">
        <v>26</v>
      </c>
      <c r="P6" s="772"/>
      <c r="Q6" s="847" t="s">
        <v>330</v>
      </c>
      <c r="R6" s="847"/>
      <c r="S6" s="847"/>
      <c r="T6" s="847"/>
      <c r="U6" s="847"/>
      <c r="V6" s="345"/>
      <c r="W6" s="772" t="s">
        <v>15</v>
      </c>
      <c r="X6" s="772"/>
      <c r="Y6" s="772" t="s">
        <v>15</v>
      </c>
      <c r="Z6" s="416"/>
    </row>
    <row r="7" spans="1:26" ht="15" customHeight="1" x14ac:dyDescent="0.25">
      <c r="A7" s="771" t="s">
        <v>36</v>
      </c>
      <c r="B7" s="772"/>
      <c r="C7" s="771" t="s">
        <v>178</v>
      </c>
      <c r="D7" s="772"/>
      <c r="E7" s="771" t="s">
        <v>37</v>
      </c>
      <c r="F7" s="772"/>
      <c r="G7" s="771">
        <v>2008</v>
      </c>
      <c r="H7" s="772"/>
      <c r="I7" s="771">
        <v>2009</v>
      </c>
      <c r="J7" s="772"/>
      <c r="K7" s="771">
        <v>2010</v>
      </c>
      <c r="L7" s="772"/>
      <c r="M7" s="771">
        <v>2011</v>
      </c>
      <c r="N7" s="346"/>
      <c r="O7" s="771">
        <v>2012</v>
      </c>
      <c r="P7" s="346"/>
      <c r="Q7" s="771">
        <v>2013</v>
      </c>
      <c r="R7" s="346"/>
      <c r="S7" s="771">
        <v>2014</v>
      </c>
      <c r="T7" s="346"/>
      <c r="U7" s="771">
        <v>2015</v>
      </c>
      <c r="V7" s="345"/>
      <c r="W7" s="771">
        <v>2008</v>
      </c>
      <c r="X7" s="345"/>
      <c r="Y7" s="771">
        <v>2009</v>
      </c>
      <c r="Z7" s="416"/>
    </row>
    <row r="8" spans="1:26" ht="15" customHeight="1" x14ac:dyDescent="0.2"/>
    <row r="9" spans="1:26" ht="15" customHeight="1" x14ac:dyDescent="0.25">
      <c r="A9" s="117">
        <v>1</v>
      </c>
      <c r="C9" s="773" t="s">
        <v>295</v>
      </c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6"/>
      <c r="X9" s="330"/>
      <c r="Y9" s="336"/>
    </row>
    <row r="10" spans="1:26" ht="15" customHeight="1" x14ac:dyDescent="0.25">
      <c r="A10" s="117">
        <f>A9+1</f>
        <v>2</v>
      </c>
      <c r="C10" s="773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6"/>
      <c r="X10" s="330"/>
      <c r="Y10" s="336"/>
    </row>
    <row r="11" spans="1:26" ht="15" customHeight="1" x14ac:dyDescent="0.25">
      <c r="A11" s="117">
        <f t="shared" ref="A11:A25" si="0">A10+1</f>
        <v>3</v>
      </c>
      <c r="C11" s="774" t="s">
        <v>296</v>
      </c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6"/>
      <c r="X11" s="330"/>
      <c r="Y11" s="336"/>
    </row>
    <row r="12" spans="1:26" ht="15" customHeight="1" x14ac:dyDescent="0.2">
      <c r="A12" s="117">
        <f t="shared" si="0"/>
        <v>4</v>
      </c>
      <c r="C12" s="362" t="s">
        <v>301</v>
      </c>
      <c r="E12" s="117" t="s">
        <v>856</v>
      </c>
      <c r="F12" s="394"/>
      <c r="G12" s="135">
        <f>G33+G34</f>
        <v>-600</v>
      </c>
      <c r="H12" s="394"/>
      <c r="I12" s="135">
        <f>I33</f>
        <v>-150</v>
      </c>
      <c r="J12" s="394"/>
      <c r="K12" s="135">
        <f>K33</f>
        <v>-150</v>
      </c>
      <c r="L12" s="394"/>
      <c r="M12" s="135">
        <f>M33</f>
        <v>-150</v>
      </c>
      <c r="N12" s="135"/>
      <c r="O12" s="135">
        <f>O33</f>
        <v>-150</v>
      </c>
      <c r="P12" s="135"/>
      <c r="Q12" s="135">
        <f>Q33</f>
        <v>0</v>
      </c>
      <c r="R12" s="135"/>
      <c r="S12" s="135">
        <f>S33</f>
        <v>0</v>
      </c>
      <c r="T12" s="135"/>
      <c r="U12" s="135">
        <f>U33</f>
        <v>0</v>
      </c>
      <c r="V12" s="394"/>
      <c r="W12" s="135">
        <f>W33</f>
        <v>-150</v>
      </c>
      <c r="X12" s="394"/>
      <c r="Y12" s="135">
        <f>Y33</f>
        <v>-150</v>
      </c>
    </row>
    <row r="13" spans="1:26" ht="15" customHeight="1" x14ac:dyDescent="0.2">
      <c r="A13" s="117">
        <f t="shared" si="0"/>
        <v>5</v>
      </c>
      <c r="C13" s="362" t="s">
        <v>395</v>
      </c>
      <c r="E13" s="117" t="s">
        <v>857</v>
      </c>
      <c r="F13" s="394"/>
      <c r="G13" s="135">
        <f>+G44</f>
        <v>-124</v>
      </c>
      <c r="H13" s="394"/>
      <c r="I13" s="135">
        <f>+I44</f>
        <v>-141</v>
      </c>
      <c r="J13" s="394"/>
      <c r="K13" s="135">
        <v>-141</v>
      </c>
      <c r="L13" s="394"/>
      <c r="M13" s="135">
        <v>0</v>
      </c>
      <c r="N13" s="135"/>
      <c r="O13" s="135">
        <v>0</v>
      </c>
      <c r="P13" s="135"/>
      <c r="Q13" s="135">
        <v>0</v>
      </c>
      <c r="R13" s="135"/>
      <c r="S13" s="135">
        <v>0</v>
      </c>
      <c r="T13" s="135"/>
      <c r="U13" s="135">
        <v>0</v>
      </c>
      <c r="V13" s="394"/>
      <c r="W13" s="135">
        <f>+W44</f>
        <v>-123</v>
      </c>
      <c r="X13" s="394"/>
      <c r="Y13" s="135">
        <f>+Y44</f>
        <v>-123</v>
      </c>
    </row>
    <row r="14" spans="1:26" ht="15" customHeight="1" x14ac:dyDescent="0.2">
      <c r="A14" s="117">
        <f t="shared" si="0"/>
        <v>6</v>
      </c>
      <c r="C14" s="362" t="s">
        <v>11</v>
      </c>
      <c r="E14" s="117" t="s">
        <v>858</v>
      </c>
      <c r="F14" s="90"/>
      <c r="G14" s="90">
        <f>+G54</f>
        <v>-147</v>
      </c>
      <c r="H14" s="90"/>
      <c r="I14" s="90">
        <f>+I54</f>
        <v>-147</v>
      </c>
      <c r="J14" s="90"/>
      <c r="K14" s="90">
        <f>+K54+K52</f>
        <v>0</v>
      </c>
      <c r="L14" s="90"/>
      <c r="M14" s="90">
        <v>0</v>
      </c>
      <c r="N14" s="90"/>
      <c r="O14" s="90">
        <f>+O54</f>
        <v>0</v>
      </c>
      <c r="P14" s="90"/>
      <c r="Q14" s="90">
        <f>+Q54</f>
        <v>0</v>
      </c>
      <c r="R14" s="90"/>
      <c r="S14" s="90">
        <f>+S54</f>
        <v>0</v>
      </c>
      <c r="T14" s="90"/>
      <c r="U14" s="90">
        <f>+U54</f>
        <v>0</v>
      </c>
      <c r="V14" s="90"/>
      <c r="W14" s="90">
        <f>+W54</f>
        <v>-154</v>
      </c>
      <c r="X14" s="90"/>
      <c r="Y14" s="90">
        <f>+Y54</f>
        <v>-154</v>
      </c>
    </row>
    <row r="15" spans="1:26" ht="15" customHeight="1" x14ac:dyDescent="0.2">
      <c r="A15" s="117">
        <f t="shared" si="0"/>
        <v>7</v>
      </c>
      <c r="C15" s="362" t="s">
        <v>530</v>
      </c>
      <c r="E15" s="117" t="s">
        <v>859</v>
      </c>
      <c r="F15" s="90"/>
      <c r="G15" s="90">
        <v>0</v>
      </c>
      <c r="H15" s="90"/>
      <c r="I15" s="90">
        <v>0</v>
      </c>
      <c r="J15" s="90"/>
      <c r="K15" s="90">
        <v>0</v>
      </c>
      <c r="L15" s="90"/>
      <c r="M15" s="90">
        <v>0</v>
      </c>
      <c r="N15" s="90"/>
      <c r="O15" s="90">
        <v>0</v>
      </c>
      <c r="P15" s="90"/>
      <c r="Q15" s="90">
        <f>+Q62</f>
        <v>0</v>
      </c>
      <c r="R15" s="90"/>
      <c r="S15" s="90">
        <f>+S62</f>
        <v>0</v>
      </c>
      <c r="T15" s="90"/>
      <c r="U15" s="90">
        <f>+U62</f>
        <v>0</v>
      </c>
      <c r="V15" s="90"/>
      <c r="W15" s="90">
        <f>+W62</f>
        <v>0</v>
      </c>
      <c r="X15" s="90"/>
      <c r="Y15" s="90">
        <f>+Y62</f>
        <v>0</v>
      </c>
    </row>
    <row r="16" spans="1:26" ht="15" customHeight="1" x14ac:dyDescent="0.2">
      <c r="A16" s="117">
        <f t="shared" si="0"/>
        <v>8</v>
      </c>
      <c r="C16" s="362" t="s">
        <v>529</v>
      </c>
      <c r="E16" s="117" t="s">
        <v>860</v>
      </c>
      <c r="F16" s="90"/>
      <c r="G16" s="90">
        <v>0</v>
      </c>
      <c r="H16" s="90"/>
      <c r="I16" s="90">
        <v>0</v>
      </c>
      <c r="J16" s="90"/>
      <c r="K16" s="90">
        <v>0</v>
      </c>
      <c r="L16" s="90"/>
      <c r="M16" s="90">
        <v>0</v>
      </c>
      <c r="N16" s="90"/>
      <c r="O16" s="90">
        <v>0</v>
      </c>
      <c r="P16" s="90"/>
      <c r="Q16" s="90">
        <f>+Q70</f>
        <v>-11</v>
      </c>
      <c r="R16" s="90"/>
      <c r="S16" s="90">
        <f>+S70</f>
        <v>-11</v>
      </c>
      <c r="T16" s="90"/>
      <c r="U16" s="90">
        <f>+U70</f>
        <v>-11</v>
      </c>
      <c r="V16" s="90"/>
      <c r="W16" s="90">
        <f>+W70</f>
        <v>0</v>
      </c>
      <c r="X16" s="90"/>
      <c r="Y16" s="90">
        <f>+Y70</f>
        <v>0</v>
      </c>
    </row>
    <row r="17" spans="1:25" ht="15" customHeight="1" x14ac:dyDescent="0.2">
      <c r="A17" s="117">
        <f t="shared" si="0"/>
        <v>9</v>
      </c>
      <c r="C17" s="362" t="s">
        <v>586</v>
      </c>
      <c r="E17" s="117" t="s">
        <v>861</v>
      </c>
      <c r="F17" s="90"/>
      <c r="G17" s="90">
        <f>+G80</f>
        <v>0</v>
      </c>
      <c r="H17" s="90"/>
      <c r="I17" s="90">
        <f>+I80</f>
        <v>0</v>
      </c>
      <c r="J17" s="90"/>
      <c r="K17" s="90">
        <f>+K80</f>
        <v>0</v>
      </c>
      <c r="L17" s="90"/>
      <c r="M17" s="90">
        <f>+M81</f>
        <v>0</v>
      </c>
      <c r="N17" s="90"/>
      <c r="O17" s="90">
        <f>+O81</f>
        <v>0</v>
      </c>
      <c r="P17" s="90"/>
      <c r="Q17" s="90">
        <f>+Q78</f>
        <v>-7</v>
      </c>
      <c r="R17" s="90"/>
      <c r="S17" s="90">
        <f>+S78</f>
        <v>-7</v>
      </c>
      <c r="T17" s="90"/>
      <c r="U17" s="90">
        <f>+U78</f>
        <v>-6</v>
      </c>
      <c r="V17" s="90"/>
      <c r="W17" s="90">
        <v>0</v>
      </c>
      <c r="X17" s="90"/>
      <c r="Y17" s="90">
        <v>0</v>
      </c>
    </row>
    <row r="18" spans="1:25" ht="15" customHeight="1" thickBot="1" x14ac:dyDescent="0.3">
      <c r="A18" s="117">
        <f t="shared" si="0"/>
        <v>10</v>
      </c>
      <c r="C18" s="775" t="s">
        <v>293</v>
      </c>
      <c r="E18" s="117" t="s">
        <v>338</v>
      </c>
      <c r="F18" s="79"/>
      <c r="G18" s="337">
        <f>SUM(G12:G17)</f>
        <v>-871</v>
      </c>
      <c r="H18" s="79"/>
      <c r="I18" s="337">
        <f>SUM(I12:I17)</f>
        <v>-438</v>
      </c>
      <c r="J18" s="79"/>
      <c r="K18" s="337">
        <f>SUM(K12:K17)</f>
        <v>-291</v>
      </c>
      <c r="L18" s="79"/>
      <c r="M18" s="337">
        <f>SUM(M12:M17)</f>
        <v>-150</v>
      </c>
      <c r="N18" s="90"/>
      <c r="O18" s="337">
        <f>SUM(O12:O17)</f>
        <v>-150</v>
      </c>
      <c r="P18" s="90"/>
      <c r="Q18" s="337">
        <f>SUM(Q12:Q17)</f>
        <v>-18</v>
      </c>
      <c r="R18" s="90"/>
      <c r="S18" s="337">
        <f>SUM(S12:S17)</f>
        <v>-18</v>
      </c>
      <c r="T18" s="90"/>
      <c r="U18" s="337">
        <f>SUM(U12:U17)</f>
        <v>-17</v>
      </c>
      <c r="V18" s="79"/>
      <c r="W18" s="337">
        <f>SUM(W12:W17)</f>
        <v>-427</v>
      </c>
      <c r="X18" s="79"/>
      <c r="Y18" s="337">
        <f>SUM(Y12:Y17)</f>
        <v>-427</v>
      </c>
    </row>
    <row r="19" spans="1:25" ht="15" customHeight="1" thickTop="1" x14ac:dyDescent="0.25">
      <c r="A19" s="117">
        <f t="shared" si="0"/>
        <v>11</v>
      </c>
      <c r="C19" s="773"/>
      <c r="F19" s="394"/>
      <c r="G19" s="135"/>
      <c r="H19" s="394"/>
      <c r="I19" s="135"/>
      <c r="J19" s="394"/>
      <c r="K19" s="135"/>
      <c r="L19" s="394"/>
      <c r="M19" s="135"/>
      <c r="N19" s="135"/>
      <c r="O19" s="135"/>
      <c r="P19" s="135"/>
      <c r="Q19" s="135"/>
      <c r="R19" s="135"/>
      <c r="S19" s="135"/>
      <c r="T19" s="135"/>
      <c r="U19" s="135"/>
      <c r="V19" s="394"/>
      <c r="W19" s="135"/>
      <c r="X19" s="394"/>
      <c r="Y19" s="135"/>
    </row>
    <row r="20" spans="1:25" ht="15" customHeight="1" x14ac:dyDescent="0.25">
      <c r="A20" s="117">
        <f t="shared" si="0"/>
        <v>12</v>
      </c>
      <c r="C20" s="774" t="s">
        <v>297</v>
      </c>
    </row>
    <row r="21" spans="1:25" ht="15" customHeight="1" x14ac:dyDescent="0.2">
      <c r="A21" s="117">
        <f t="shared" si="0"/>
        <v>13</v>
      </c>
      <c r="C21" s="362" t="s">
        <v>291</v>
      </c>
      <c r="E21" s="117" t="s">
        <v>846</v>
      </c>
      <c r="F21" s="394"/>
      <c r="G21" s="135">
        <f>G37</f>
        <v>-133</v>
      </c>
      <c r="H21" s="394"/>
      <c r="I21" s="135">
        <f>I37</f>
        <v>-320.5</v>
      </c>
      <c r="J21" s="394"/>
      <c r="K21" s="135">
        <f>K37</f>
        <v>-420</v>
      </c>
      <c r="L21" s="394"/>
      <c r="M21" s="135">
        <f>M37</f>
        <v>-490</v>
      </c>
      <c r="N21" s="135"/>
      <c r="O21" s="135">
        <f>O37</f>
        <v>-548</v>
      </c>
      <c r="P21" s="135"/>
      <c r="Q21" s="135">
        <f>Q37</f>
        <v>-401.875</v>
      </c>
      <c r="R21" s="135"/>
      <c r="S21" s="135">
        <f>S37</f>
        <v>-96.625</v>
      </c>
      <c r="T21" s="135"/>
      <c r="U21" s="135">
        <f>U37</f>
        <v>0</v>
      </c>
      <c r="V21" s="394"/>
      <c r="W21" s="135">
        <f>W37</f>
        <v>90</v>
      </c>
      <c r="X21" s="394"/>
      <c r="Y21" s="135">
        <f>Y37</f>
        <v>75</v>
      </c>
    </row>
    <row r="22" spans="1:25" ht="15" customHeight="1" x14ac:dyDescent="0.2">
      <c r="A22" s="117">
        <f t="shared" si="0"/>
        <v>14</v>
      </c>
      <c r="C22" s="362" t="s">
        <v>395</v>
      </c>
      <c r="E22" s="117" t="s">
        <v>847</v>
      </c>
      <c r="F22" s="394"/>
      <c r="G22" s="135">
        <f>G47</f>
        <v>427</v>
      </c>
      <c r="H22" s="394"/>
      <c r="I22" s="135">
        <f>I47</f>
        <v>353.5</v>
      </c>
      <c r="J22" s="394"/>
      <c r="K22" s="135">
        <v>213</v>
      </c>
      <c r="L22" s="394"/>
      <c r="M22" s="135">
        <v>0</v>
      </c>
      <c r="N22" s="135"/>
      <c r="O22" s="135">
        <v>0</v>
      </c>
      <c r="P22" s="135"/>
      <c r="Q22" s="135">
        <v>0</v>
      </c>
      <c r="R22" s="135"/>
      <c r="S22" s="135">
        <v>0</v>
      </c>
      <c r="T22" s="135"/>
      <c r="U22" s="135">
        <v>0</v>
      </c>
      <c r="V22" s="394"/>
      <c r="W22" s="135">
        <f>W47</f>
        <v>398.5</v>
      </c>
      <c r="X22" s="394"/>
      <c r="Y22" s="135">
        <f>Y47</f>
        <v>305.5</v>
      </c>
    </row>
    <row r="23" spans="1:25" ht="15" customHeight="1" x14ac:dyDescent="0.2">
      <c r="A23" s="117">
        <f t="shared" si="0"/>
        <v>15</v>
      </c>
      <c r="C23" s="362" t="s">
        <v>458</v>
      </c>
      <c r="E23" s="117" t="s">
        <v>848</v>
      </c>
      <c r="F23" s="394"/>
      <c r="G23" s="135">
        <f>+G57</f>
        <v>153</v>
      </c>
      <c r="H23" s="394"/>
      <c r="I23" s="135">
        <f>+I57</f>
        <v>204</v>
      </c>
      <c r="J23" s="394"/>
      <c r="K23" s="135">
        <f>K57</f>
        <v>443</v>
      </c>
      <c r="L23" s="394"/>
      <c r="M23" s="135">
        <v>0</v>
      </c>
      <c r="N23" s="135"/>
      <c r="O23" s="135">
        <v>0</v>
      </c>
      <c r="P23" s="135"/>
      <c r="Q23" s="135">
        <v>0</v>
      </c>
      <c r="R23" s="135"/>
      <c r="S23" s="135">
        <v>0</v>
      </c>
      <c r="T23" s="135"/>
      <c r="U23" s="135">
        <v>0</v>
      </c>
      <c r="V23" s="394"/>
      <c r="W23" s="135">
        <f>+W57</f>
        <v>156</v>
      </c>
      <c r="X23" s="394"/>
      <c r="Y23" s="135">
        <f>+Y57</f>
        <v>77</v>
      </c>
    </row>
    <row r="24" spans="1:25" ht="15" customHeight="1" x14ac:dyDescent="0.2">
      <c r="A24" s="117">
        <f t="shared" si="0"/>
        <v>16</v>
      </c>
      <c r="C24" s="362" t="s">
        <v>530</v>
      </c>
      <c r="E24" s="117" t="s">
        <v>849</v>
      </c>
      <c r="F24" s="394"/>
      <c r="G24" s="135">
        <f>G65</f>
        <v>0</v>
      </c>
      <c r="H24" s="394"/>
      <c r="I24" s="135">
        <f>I65</f>
        <v>0</v>
      </c>
      <c r="J24" s="394"/>
      <c r="K24" s="135">
        <f>K65</f>
        <v>0</v>
      </c>
      <c r="L24" s="394"/>
      <c r="M24" s="135">
        <f>M65</f>
        <v>0</v>
      </c>
      <c r="N24" s="135"/>
      <c r="O24" s="135">
        <f>O65</f>
        <v>0</v>
      </c>
      <c r="P24" s="135"/>
      <c r="Q24" s="135">
        <f>Q65</f>
        <v>0</v>
      </c>
      <c r="R24" s="135"/>
      <c r="S24" s="135">
        <f>S65</f>
        <v>0</v>
      </c>
      <c r="T24" s="135"/>
      <c r="U24" s="135">
        <f>U65</f>
        <v>0</v>
      </c>
      <c r="V24" s="394"/>
      <c r="W24" s="135">
        <f>W65</f>
        <v>0</v>
      </c>
      <c r="X24" s="394"/>
      <c r="Y24" s="135">
        <f>Y65</f>
        <v>0</v>
      </c>
    </row>
    <row r="25" spans="1:25" ht="15" customHeight="1" x14ac:dyDescent="0.2">
      <c r="A25" s="117">
        <f t="shared" si="0"/>
        <v>17</v>
      </c>
      <c r="C25" s="362" t="s">
        <v>529</v>
      </c>
      <c r="E25" s="117" t="s">
        <v>850</v>
      </c>
      <c r="F25" s="394"/>
      <c r="G25" s="135">
        <f>+G73</f>
        <v>16.5</v>
      </c>
      <c r="H25" s="394"/>
      <c r="I25" s="135">
        <f>+I73</f>
        <v>33</v>
      </c>
      <c r="J25" s="394"/>
      <c r="K25" s="135">
        <f>+K73</f>
        <v>33</v>
      </c>
      <c r="L25" s="394"/>
      <c r="M25" s="135">
        <f>+M73</f>
        <v>33</v>
      </c>
      <c r="N25" s="135"/>
      <c r="O25" s="135">
        <f>+O73</f>
        <v>33</v>
      </c>
      <c r="P25" s="135"/>
      <c r="Q25" s="135">
        <f>+Q73</f>
        <v>27.5</v>
      </c>
      <c r="R25" s="135"/>
      <c r="S25" s="135">
        <f>+S73</f>
        <v>16.5</v>
      </c>
      <c r="T25" s="135"/>
      <c r="U25" s="135">
        <f>+U73</f>
        <v>5.5</v>
      </c>
      <c r="V25" s="394"/>
      <c r="W25" s="135">
        <v>0</v>
      </c>
      <c r="X25" s="394"/>
      <c r="Y25" s="135">
        <v>0</v>
      </c>
    </row>
    <row r="26" spans="1:25" ht="15" customHeight="1" x14ac:dyDescent="0.2">
      <c r="A26" s="117">
        <f>A25+1</f>
        <v>18</v>
      </c>
      <c r="C26" s="362" t="s">
        <v>586</v>
      </c>
      <c r="E26" s="117" t="s">
        <v>851</v>
      </c>
      <c r="F26" s="394"/>
      <c r="G26" s="135">
        <v>0</v>
      </c>
      <c r="H26" s="394"/>
      <c r="I26" s="135">
        <v>0</v>
      </c>
      <c r="J26" s="394"/>
      <c r="K26" s="135">
        <v>0</v>
      </c>
      <c r="L26" s="394"/>
      <c r="M26" s="135">
        <v>0</v>
      </c>
      <c r="N26" s="135"/>
      <c r="O26" s="135">
        <v>0</v>
      </c>
      <c r="P26" s="135"/>
      <c r="Q26" s="135">
        <f>+Q81</f>
        <v>6.5</v>
      </c>
      <c r="R26" s="135"/>
      <c r="S26" s="135">
        <f>+S81</f>
        <v>9.5</v>
      </c>
      <c r="T26" s="135"/>
      <c r="U26" s="135">
        <f>+U81</f>
        <v>3</v>
      </c>
      <c r="V26" s="394"/>
      <c r="W26" s="135">
        <v>0</v>
      </c>
      <c r="X26" s="394"/>
      <c r="Y26" s="135">
        <v>0</v>
      </c>
    </row>
    <row r="27" spans="1:25" ht="15" customHeight="1" x14ac:dyDescent="0.2">
      <c r="A27" s="117">
        <f t="shared" ref="A27:A88" si="1">A26+1</f>
        <v>19</v>
      </c>
      <c r="C27" s="362" t="s">
        <v>845</v>
      </c>
      <c r="E27" s="117" t="s">
        <v>852</v>
      </c>
      <c r="F27" s="394"/>
      <c r="G27" s="135">
        <f>G88</f>
        <v>0</v>
      </c>
      <c r="H27" s="394"/>
      <c r="I27" s="135">
        <f>I88</f>
        <v>0</v>
      </c>
      <c r="J27" s="394"/>
      <c r="K27" s="135">
        <f>K88</f>
        <v>0</v>
      </c>
      <c r="L27" s="394"/>
      <c r="M27" s="135">
        <f>M88</f>
        <v>0</v>
      </c>
      <c r="N27" s="135"/>
      <c r="O27" s="135">
        <f>O88</f>
        <v>0</v>
      </c>
      <c r="P27" s="135"/>
      <c r="Q27" s="135">
        <f>Q88</f>
        <v>0</v>
      </c>
      <c r="R27" s="135"/>
      <c r="S27" s="135">
        <f>S88</f>
        <v>125.5</v>
      </c>
      <c r="T27" s="135"/>
      <c r="U27" s="135">
        <f>U88</f>
        <v>392.5</v>
      </c>
      <c r="V27" s="394"/>
      <c r="W27" s="135">
        <f>W88</f>
        <v>0</v>
      </c>
      <c r="X27" s="394"/>
      <c r="Y27" s="135">
        <f>Y88</f>
        <v>0</v>
      </c>
    </row>
    <row r="28" spans="1:25" ht="15" customHeight="1" thickBot="1" x14ac:dyDescent="0.3">
      <c r="A28" s="117">
        <f t="shared" si="1"/>
        <v>20</v>
      </c>
      <c r="C28" s="775" t="s">
        <v>298</v>
      </c>
      <c r="E28" s="117" t="s">
        <v>299</v>
      </c>
      <c r="F28" s="394"/>
      <c r="G28" s="332">
        <f>SUM(G21:G27)</f>
        <v>463.5</v>
      </c>
      <c r="H28" s="394"/>
      <c r="I28" s="332">
        <f>SUM(I21:I27)</f>
        <v>270</v>
      </c>
      <c r="J28" s="394"/>
      <c r="K28" s="332">
        <f>SUM(K21:K27)</f>
        <v>269</v>
      </c>
      <c r="L28" s="394"/>
      <c r="M28" s="332">
        <f>SUM(M21:M27)</f>
        <v>-457</v>
      </c>
      <c r="N28" s="135"/>
      <c r="O28" s="332">
        <f>SUM(O21:O27)</f>
        <v>-515</v>
      </c>
      <c r="P28" s="135"/>
      <c r="Q28" s="332">
        <f>SUM(Q21:Q27)</f>
        <v>-367.875</v>
      </c>
      <c r="R28" s="135"/>
      <c r="S28" s="332">
        <f>SUM(S21:S27)</f>
        <v>54.875</v>
      </c>
      <c r="T28" s="135"/>
      <c r="U28" s="332">
        <f>SUM(U21:U27)</f>
        <v>401</v>
      </c>
      <c r="V28" s="394"/>
      <c r="W28" s="332">
        <f>SUM(W21:W27)</f>
        <v>644.5</v>
      </c>
      <c r="X28" s="394"/>
      <c r="Y28" s="332">
        <f>SUM(Y21:Y27)</f>
        <v>457.5</v>
      </c>
    </row>
    <row r="29" spans="1:25" ht="15" customHeight="1" thickTop="1" x14ac:dyDescent="0.35">
      <c r="A29" s="117">
        <f t="shared" si="1"/>
        <v>21</v>
      </c>
      <c r="C29" s="776"/>
      <c r="F29" s="394"/>
      <c r="G29" s="135"/>
      <c r="H29" s="394"/>
      <c r="I29" s="135"/>
      <c r="J29" s="394"/>
      <c r="K29" s="135"/>
      <c r="L29" s="394"/>
      <c r="M29" s="135"/>
      <c r="N29" s="135"/>
      <c r="O29" s="135"/>
      <c r="P29" s="135"/>
      <c r="Q29" s="135"/>
      <c r="R29" s="135"/>
      <c r="S29" s="135"/>
      <c r="T29" s="135"/>
      <c r="U29" s="135"/>
      <c r="V29" s="394"/>
      <c r="W29" s="135"/>
      <c r="X29" s="394"/>
      <c r="Y29" s="135"/>
    </row>
    <row r="30" spans="1:25" ht="15" customHeight="1" x14ac:dyDescent="0.2">
      <c r="A30" s="117">
        <f t="shared" si="1"/>
        <v>22</v>
      </c>
      <c r="C30" s="215" t="s">
        <v>301</v>
      </c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</row>
    <row r="31" spans="1:25" ht="15" customHeight="1" x14ac:dyDescent="0.2">
      <c r="A31" s="117">
        <f t="shared" si="1"/>
        <v>23</v>
      </c>
      <c r="C31" s="419" t="s">
        <v>582</v>
      </c>
      <c r="F31" s="394"/>
      <c r="G31" s="394">
        <v>30</v>
      </c>
      <c r="H31" s="394"/>
      <c r="I31" s="394">
        <f>+G35</f>
        <v>-296</v>
      </c>
      <c r="J31" s="394"/>
      <c r="K31" s="394">
        <f>+I35</f>
        <v>-345</v>
      </c>
      <c r="L31" s="394"/>
      <c r="M31" s="394">
        <f>+K35</f>
        <v>-495</v>
      </c>
      <c r="N31" s="394"/>
      <c r="O31" s="394">
        <f>+M35</f>
        <v>-485</v>
      </c>
      <c r="P31" s="394"/>
      <c r="Q31" s="394">
        <f>+O35+0.5</f>
        <v>-610.5</v>
      </c>
      <c r="R31" s="394"/>
      <c r="S31" s="394">
        <f>+Q35</f>
        <v>-193.25</v>
      </c>
      <c r="T31" s="446"/>
      <c r="U31" s="446">
        <f>+S35</f>
        <v>0</v>
      </c>
      <c r="V31" s="394"/>
      <c r="W31" s="394">
        <v>30</v>
      </c>
      <c r="X31" s="394"/>
      <c r="Y31" s="394">
        <f>W35</f>
        <v>150</v>
      </c>
    </row>
    <row r="32" spans="1:25" ht="15" customHeight="1" x14ac:dyDescent="0.2">
      <c r="A32" s="117">
        <f t="shared" si="1"/>
        <v>24</v>
      </c>
      <c r="C32" s="777" t="s">
        <v>453</v>
      </c>
      <c r="E32" s="117" t="s">
        <v>729</v>
      </c>
      <c r="F32" s="394"/>
      <c r="G32" s="394">
        <v>274</v>
      </c>
      <c r="H32" s="394"/>
      <c r="I32" s="394">
        <v>101</v>
      </c>
      <c r="J32" s="394"/>
      <c r="K32" s="394">
        <v>0</v>
      </c>
      <c r="L32" s="394"/>
      <c r="M32" s="394">
        <v>160</v>
      </c>
      <c r="N32" s="394"/>
      <c r="O32" s="394">
        <v>24</v>
      </c>
      <c r="P32" s="394"/>
      <c r="Q32" s="394">
        <f>S8.9!H16+0.25</f>
        <v>417.25</v>
      </c>
      <c r="R32" s="394"/>
      <c r="S32" s="394">
        <f>S8.9!J23+0.25</f>
        <v>193.25</v>
      </c>
      <c r="T32" s="446"/>
      <c r="U32" s="446">
        <v>0</v>
      </c>
      <c r="V32" s="394"/>
      <c r="W32" s="135">
        <v>720</v>
      </c>
      <c r="X32" s="394"/>
      <c r="Y32" s="394">
        <v>0</v>
      </c>
    </row>
    <row r="33" spans="1:30" ht="15" customHeight="1" x14ac:dyDescent="0.2">
      <c r="A33" s="117">
        <f t="shared" si="1"/>
        <v>25</v>
      </c>
      <c r="C33" s="777" t="s">
        <v>498</v>
      </c>
      <c r="F33" s="90"/>
      <c r="G33" s="90">
        <v>-150</v>
      </c>
      <c r="H33" s="90"/>
      <c r="I33" s="90">
        <v>-150</v>
      </c>
      <c r="J33" s="90"/>
      <c r="K33" s="90">
        <v>-150</v>
      </c>
      <c r="L33" s="90"/>
      <c r="M33" s="90">
        <v>-150</v>
      </c>
      <c r="N33" s="90"/>
      <c r="O33" s="90">
        <v>-150</v>
      </c>
      <c r="P33" s="90"/>
      <c r="Q33" s="90">
        <v>0</v>
      </c>
      <c r="R33" s="90"/>
      <c r="S33" s="90">
        <v>0</v>
      </c>
      <c r="T33" s="698"/>
      <c r="U33" s="698">
        <v>0</v>
      </c>
      <c r="V33" s="90"/>
      <c r="W33" s="90">
        <v>-150</v>
      </c>
      <c r="X33" s="90"/>
      <c r="Y33" s="90">
        <v>-150</v>
      </c>
    </row>
    <row r="34" spans="1:30" ht="15" customHeight="1" x14ac:dyDescent="0.2">
      <c r="A34" s="117">
        <f t="shared" si="1"/>
        <v>26</v>
      </c>
      <c r="C34" s="777" t="s">
        <v>771</v>
      </c>
      <c r="F34" s="79"/>
      <c r="G34" s="95">
        <v>-450</v>
      </c>
      <c r="H34" s="79"/>
      <c r="I34" s="95">
        <v>0</v>
      </c>
      <c r="J34" s="79"/>
      <c r="K34" s="95">
        <v>0</v>
      </c>
      <c r="L34" s="79"/>
      <c r="M34" s="95">
        <v>0</v>
      </c>
      <c r="N34" s="90"/>
      <c r="O34" s="95">
        <v>0</v>
      </c>
      <c r="P34" s="90"/>
      <c r="Q34" s="95">
        <v>0</v>
      </c>
      <c r="R34" s="90"/>
      <c r="S34" s="95">
        <v>0</v>
      </c>
      <c r="T34" s="698"/>
      <c r="U34" s="699">
        <v>0</v>
      </c>
      <c r="V34" s="79"/>
      <c r="W34" s="95">
        <v>-450</v>
      </c>
      <c r="X34" s="79"/>
      <c r="Y34" s="95">
        <v>0</v>
      </c>
    </row>
    <row r="35" spans="1:30" ht="15" customHeight="1" x14ac:dyDescent="0.2">
      <c r="A35" s="117">
        <f t="shared" si="1"/>
        <v>27</v>
      </c>
      <c r="C35" s="261" t="s">
        <v>649</v>
      </c>
      <c r="F35" s="394"/>
      <c r="G35" s="136">
        <f>G33+G32+G31+G34</f>
        <v>-296</v>
      </c>
      <c r="H35" s="394"/>
      <c r="I35" s="136">
        <f>I33+I32+I31</f>
        <v>-345</v>
      </c>
      <c r="J35" s="394"/>
      <c r="K35" s="136">
        <f>K33+K32+K31</f>
        <v>-495</v>
      </c>
      <c r="L35" s="394"/>
      <c r="M35" s="136">
        <f>M33+M32+M31</f>
        <v>-485</v>
      </c>
      <c r="N35" s="135"/>
      <c r="O35" s="136">
        <f>O33+O32+O31</f>
        <v>-611</v>
      </c>
      <c r="P35" s="135"/>
      <c r="Q35" s="136">
        <f>Q33+Q32+Q31</f>
        <v>-193.25</v>
      </c>
      <c r="R35" s="135"/>
      <c r="S35" s="136">
        <f>S33+S32+S31</f>
        <v>0</v>
      </c>
      <c r="T35" s="701"/>
      <c r="U35" s="700">
        <f>U33+U32+U31</f>
        <v>0</v>
      </c>
      <c r="V35" s="394"/>
      <c r="W35" s="136">
        <f>W33+W32+W31+W34</f>
        <v>150</v>
      </c>
      <c r="X35" s="394"/>
      <c r="Y35" s="136">
        <f>Y33+Y32+Y31+Y34</f>
        <v>0</v>
      </c>
    </row>
    <row r="36" spans="1:30" ht="15" customHeight="1" x14ac:dyDescent="0.2">
      <c r="A36" s="117">
        <f t="shared" si="1"/>
        <v>28</v>
      </c>
      <c r="C36" s="233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446"/>
      <c r="U36" s="446"/>
      <c r="V36" s="394"/>
      <c r="W36" s="394"/>
      <c r="X36" s="394"/>
      <c r="Y36" s="394"/>
    </row>
    <row r="37" spans="1:30" ht="15" customHeight="1" thickBot="1" x14ac:dyDescent="0.25">
      <c r="A37" s="117">
        <f t="shared" si="1"/>
        <v>29</v>
      </c>
      <c r="C37" s="261" t="s">
        <v>664</v>
      </c>
      <c r="E37" s="117" t="s">
        <v>643</v>
      </c>
      <c r="F37" s="394"/>
      <c r="G37" s="329">
        <f>(G35+G31)/2</f>
        <v>-133</v>
      </c>
      <c r="H37" s="394"/>
      <c r="I37" s="329">
        <f>(I35+I31)/2</f>
        <v>-320.5</v>
      </c>
      <c r="J37" s="394"/>
      <c r="K37" s="329">
        <f>(K35+K31)/2</f>
        <v>-420</v>
      </c>
      <c r="L37" s="394"/>
      <c r="M37" s="329">
        <f>(M35+M31)/2</f>
        <v>-490</v>
      </c>
      <c r="N37" s="135"/>
      <c r="O37" s="329">
        <f>(O35+O31)/2</f>
        <v>-548</v>
      </c>
      <c r="P37" s="135"/>
      <c r="Q37" s="329">
        <f>(Q35+Q31)/2</f>
        <v>-401.875</v>
      </c>
      <c r="R37" s="135"/>
      <c r="S37" s="329">
        <f>(S35+S31)/2</f>
        <v>-96.625</v>
      </c>
      <c r="T37" s="701"/>
      <c r="U37" s="702">
        <f>(U35+U31)/2</f>
        <v>0</v>
      </c>
      <c r="V37" s="394"/>
      <c r="W37" s="329">
        <f>(W35+W31)/2</f>
        <v>90</v>
      </c>
      <c r="X37" s="394"/>
      <c r="Y37" s="329">
        <f>(Y35+Y31)/2</f>
        <v>75</v>
      </c>
      <c r="AD37" s="419" t="s">
        <v>28</v>
      </c>
    </row>
    <row r="38" spans="1:30" ht="15" customHeight="1" thickTop="1" x14ac:dyDescent="0.2">
      <c r="A38" s="117">
        <f t="shared" si="1"/>
        <v>30</v>
      </c>
      <c r="C38" s="233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4"/>
      <c r="Y38" s="394"/>
    </row>
    <row r="39" spans="1:30" ht="15" customHeight="1" x14ac:dyDescent="0.2">
      <c r="A39" s="117">
        <f t="shared" si="1"/>
        <v>31</v>
      </c>
      <c r="C39" s="215" t="s">
        <v>395</v>
      </c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</row>
    <row r="40" spans="1:30" ht="15" customHeight="1" x14ac:dyDescent="0.2">
      <c r="A40" s="117">
        <f t="shared" si="1"/>
        <v>32</v>
      </c>
      <c r="C40" s="419" t="s">
        <v>582</v>
      </c>
      <c r="F40" s="394"/>
      <c r="G40" s="394">
        <v>430</v>
      </c>
      <c r="H40" s="394"/>
      <c r="I40" s="394">
        <f>+G45</f>
        <v>424</v>
      </c>
      <c r="J40" s="394"/>
      <c r="K40" s="394">
        <f>+I45</f>
        <v>283</v>
      </c>
      <c r="L40" s="394"/>
      <c r="M40" s="394">
        <f>+K45</f>
        <v>142</v>
      </c>
      <c r="N40" s="394"/>
      <c r="O40" s="394">
        <f>+M45</f>
        <v>0</v>
      </c>
      <c r="P40" s="394"/>
      <c r="Q40" s="394">
        <f>+O45</f>
        <v>0</v>
      </c>
      <c r="R40" s="394"/>
      <c r="S40" s="394">
        <f>+Q45</f>
        <v>0</v>
      </c>
      <c r="T40" s="394"/>
      <c r="U40" s="394">
        <f>+S45</f>
        <v>0</v>
      </c>
      <c r="V40" s="394"/>
      <c r="W40" s="394">
        <v>430</v>
      </c>
      <c r="X40" s="394"/>
      <c r="Y40" s="394">
        <f>W45</f>
        <v>367</v>
      </c>
    </row>
    <row r="41" spans="1:30" ht="15" customHeight="1" x14ac:dyDescent="0.2">
      <c r="A41" s="117">
        <f t="shared" si="1"/>
        <v>33</v>
      </c>
      <c r="C41" s="777" t="s">
        <v>645</v>
      </c>
      <c r="E41" s="117" t="s">
        <v>611</v>
      </c>
      <c r="F41" s="394"/>
      <c r="G41" s="394">
        <v>0</v>
      </c>
      <c r="H41" s="394"/>
      <c r="I41" s="394">
        <v>0</v>
      </c>
      <c r="J41" s="394"/>
      <c r="K41" s="394">
        <v>0</v>
      </c>
      <c r="L41" s="394"/>
      <c r="M41" s="394">
        <v>-283</v>
      </c>
      <c r="N41" s="394"/>
      <c r="O41" s="394">
        <v>0</v>
      </c>
      <c r="P41" s="394"/>
      <c r="Q41" s="394">
        <v>0</v>
      </c>
      <c r="R41" s="394"/>
      <c r="S41" s="394">
        <v>0</v>
      </c>
      <c r="T41" s="394"/>
      <c r="U41" s="394">
        <v>0</v>
      </c>
      <c r="V41" s="394"/>
      <c r="W41" s="394">
        <v>0</v>
      </c>
      <c r="X41" s="394"/>
      <c r="Y41" s="394">
        <v>0</v>
      </c>
    </row>
    <row r="42" spans="1:30" ht="15" customHeight="1" x14ac:dyDescent="0.2">
      <c r="A42" s="117">
        <f t="shared" si="1"/>
        <v>34</v>
      </c>
      <c r="C42" s="777" t="s">
        <v>769</v>
      </c>
      <c r="E42" s="117" t="s">
        <v>612</v>
      </c>
      <c r="F42" s="394"/>
      <c r="G42" s="394">
        <v>0</v>
      </c>
      <c r="H42" s="394"/>
      <c r="I42" s="394">
        <v>0</v>
      </c>
      <c r="J42" s="394"/>
      <c r="K42" s="394">
        <v>0</v>
      </c>
      <c r="L42" s="394"/>
      <c r="M42" s="394">
        <v>141</v>
      </c>
      <c r="N42" s="394"/>
      <c r="O42" s="394">
        <v>0</v>
      </c>
      <c r="P42" s="394"/>
      <c r="Q42" s="394">
        <v>0</v>
      </c>
      <c r="R42" s="394"/>
      <c r="S42" s="394">
        <v>0</v>
      </c>
      <c r="T42" s="394"/>
      <c r="U42" s="394">
        <v>0</v>
      </c>
      <c r="V42" s="394"/>
      <c r="W42" s="394">
        <v>0</v>
      </c>
      <c r="X42" s="394"/>
      <c r="Y42" s="394">
        <v>0</v>
      </c>
    </row>
    <row r="43" spans="1:30" ht="15" customHeight="1" x14ac:dyDescent="0.2">
      <c r="A43" s="117">
        <f t="shared" si="1"/>
        <v>35</v>
      </c>
      <c r="C43" s="777" t="s">
        <v>667</v>
      </c>
      <c r="F43" s="90"/>
      <c r="G43" s="90">
        <v>118</v>
      </c>
      <c r="H43" s="90"/>
      <c r="I43" s="90">
        <v>0</v>
      </c>
      <c r="J43" s="90"/>
      <c r="K43" s="90">
        <v>0</v>
      </c>
      <c r="L43" s="90"/>
      <c r="M43" s="90">
        <v>0</v>
      </c>
      <c r="N43" s="90"/>
      <c r="O43" s="90">
        <v>0</v>
      </c>
      <c r="P43" s="90"/>
      <c r="Q43" s="90">
        <v>0</v>
      </c>
      <c r="R43" s="90"/>
      <c r="S43" s="90">
        <v>0</v>
      </c>
      <c r="T43" s="90"/>
      <c r="U43" s="90">
        <v>0</v>
      </c>
      <c r="V43" s="90"/>
      <c r="W43" s="90">
        <v>60</v>
      </c>
      <c r="X43" s="90"/>
      <c r="Y43" s="90">
        <v>0</v>
      </c>
    </row>
    <row r="44" spans="1:30" ht="15" customHeight="1" x14ac:dyDescent="0.2">
      <c r="A44" s="117">
        <f t="shared" si="1"/>
        <v>36</v>
      </c>
      <c r="C44" s="777" t="s">
        <v>668</v>
      </c>
      <c r="F44" s="79"/>
      <c r="G44" s="95">
        <v>-124</v>
      </c>
      <c r="H44" s="79"/>
      <c r="I44" s="95">
        <v>-141</v>
      </c>
      <c r="J44" s="79"/>
      <c r="K44" s="95">
        <v>-141</v>
      </c>
      <c r="L44" s="79"/>
      <c r="M44" s="95">
        <v>0</v>
      </c>
      <c r="N44" s="90"/>
      <c r="O44" s="95">
        <v>0</v>
      </c>
      <c r="P44" s="90"/>
      <c r="Q44" s="95">
        <v>0</v>
      </c>
      <c r="R44" s="90"/>
      <c r="S44" s="95">
        <v>0</v>
      </c>
      <c r="T44" s="90"/>
      <c r="U44" s="95">
        <v>0</v>
      </c>
      <c r="V44" s="79"/>
      <c r="W44" s="95">
        <f>-108-15</f>
        <v>-123</v>
      </c>
      <c r="X44" s="79"/>
      <c r="Y44" s="95">
        <f>-108-15</f>
        <v>-123</v>
      </c>
    </row>
    <row r="45" spans="1:30" ht="15" customHeight="1" x14ac:dyDescent="0.2">
      <c r="A45" s="117">
        <f t="shared" si="1"/>
        <v>37</v>
      </c>
      <c r="C45" s="261" t="s">
        <v>649</v>
      </c>
      <c r="F45" s="394"/>
      <c r="G45" s="136">
        <f>G40+G43+G44</f>
        <v>424</v>
      </c>
      <c r="H45" s="394"/>
      <c r="I45" s="136">
        <f>I40+I43+I44</f>
        <v>283</v>
      </c>
      <c r="J45" s="394"/>
      <c r="K45" s="136">
        <f>K40+K43+K44</f>
        <v>142</v>
      </c>
      <c r="L45" s="394"/>
      <c r="M45" s="136">
        <f>SUM(M40:M44)</f>
        <v>0</v>
      </c>
      <c r="N45" s="135"/>
      <c r="O45" s="136">
        <f>O40+O43+O44</f>
        <v>0</v>
      </c>
      <c r="P45" s="135"/>
      <c r="Q45" s="136">
        <f>Q40+Q43+Q44</f>
        <v>0</v>
      </c>
      <c r="R45" s="135"/>
      <c r="S45" s="136">
        <f>S40+S43+S44</f>
        <v>0</v>
      </c>
      <c r="T45" s="135"/>
      <c r="U45" s="136">
        <f>U40+U43+U44</f>
        <v>0</v>
      </c>
      <c r="V45" s="394"/>
      <c r="W45" s="136">
        <f>W40+W43+W44</f>
        <v>367</v>
      </c>
      <c r="X45" s="394"/>
      <c r="Y45" s="136">
        <f>Y40+Y43+Y44</f>
        <v>244</v>
      </c>
    </row>
    <row r="46" spans="1:30" ht="15" customHeight="1" x14ac:dyDescent="0.2">
      <c r="A46" s="117">
        <f t="shared" si="1"/>
        <v>38</v>
      </c>
      <c r="C46" s="261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</row>
    <row r="47" spans="1:30" ht="15" customHeight="1" thickBot="1" x14ac:dyDescent="0.25">
      <c r="A47" s="117">
        <f t="shared" si="1"/>
        <v>39</v>
      </c>
      <c r="C47" s="261" t="s">
        <v>664</v>
      </c>
      <c r="E47" s="117" t="s">
        <v>862</v>
      </c>
      <c r="F47" s="394"/>
      <c r="G47" s="329">
        <f>(G40+G45)/2</f>
        <v>427</v>
      </c>
      <c r="H47" s="394"/>
      <c r="I47" s="329">
        <f>(I40+I45)/2</f>
        <v>353.5</v>
      </c>
      <c r="J47" s="394"/>
      <c r="K47" s="329">
        <f>(K40+K45)/2</f>
        <v>212.5</v>
      </c>
      <c r="L47" s="394"/>
      <c r="M47" s="329">
        <v>0</v>
      </c>
      <c r="N47" s="135"/>
      <c r="O47" s="329">
        <f>(O40+O45)/2</f>
        <v>0</v>
      </c>
      <c r="P47" s="135"/>
      <c r="Q47" s="329">
        <f>(Q40+Q45)/2</f>
        <v>0</v>
      </c>
      <c r="R47" s="135"/>
      <c r="S47" s="329">
        <f>(S40+S45)/2</f>
        <v>0</v>
      </c>
      <c r="T47" s="135"/>
      <c r="U47" s="329">
        <f>(U40+U45)/2</f>
        <v>0</v>
      </c>
      <c r="V47" s="394"/>
      <c r="W47" s="329">
        <f>(W40+W45)/2</f>
        <v>398.5</v>
      </c>
      <c r="X47" s="394"/>
      <c r="Y47" s="329">
        <f>(Y40+Y45)/2</f>
        <v>305.5</v>
      </c>
    </row>
    <row r="48" spans="1:30" ht="15" customHeight="1" thickTop="1" x14ac:dyDescent="0.2">
      <c r="A48" s="117">
        <f t="shared" si="1"/>
        <v>40</v>
      </c>
      <c r="F48" s="394"/>
      <c r="G48" s="394"/>
      <c r="H48" s="394"/>
      <c r="I48" s="394"/>
      <c r="J48" s="394"/>
      <c r="K48" s="394"/>
      <c r="L48" s="394"/>
      <c r="M48" s="135"/>
      <c r="N48" s="394"/>
      <c r="O48" s="394"/>
      <c r="P48" s="394"/>
      <c r="Q48" s="394"/>
      <c r="R48" s="394"/>
      <c r="S48" s="394"/>
      <c r="T48" s="394"/>
      <c r="U48" s="394"/>
      <c r="V48" s="394"/>
      <c r="W48" s="394"/>
      <c r="X48" s="394"/>
      <c r="Y48" s="394"/>
    </row>
    <row r="49" spans="1:26" ht="15" customHeight="1" x14ac:dyDescent="0.2">
      <c r="A49" s="117">
        <f t="shared" si="1"/>
        <v>41</v>
      </c>
      <c r="C49" s="215" t="s">
        <v>396</v>
      </c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</row>
    <row r="50" spans="1:26" ht="15" customHeight="1" x14ac:dyDescent="0.2">
      <c r="A50" s="117">
        <f t="shared" si="1"/>
        <v>42</v>
      </c>
      <c r="C50" s="419" t="s">
        <v>582</v>
      </c>
      <c r="F50" s="135"/>
      <c r="G50" s="135">
        <v>158</v>
      </c>
      <c r="H50" s="135"/>
      <c r="I50" s="135">
        <f>+G55</f>
        <v>148</v>
      </c>
      <c r="J50" s="135"/>
      <c r="K50" s="135">
        <f>+I55</f>
        <v>260</v>
      </c>
      <c r="L50" s="135"/>
      <c r="M50" s="135">
        <f>+K55</f>
        <v>618</v>
      </c>
      <c r="N50" s="135"/>
      <c r="O50" s="394">
        <f>+M55</f>
        <v>0</v>
      </c>
      <c r="P50" s="135"/>
      <c r="Q50" s="394">
        <f>+O55</f>
        <v>0</v>
      </c>
      <c r="R50" s="135"/>
      <c r="S50" s="394">
        <f>+Q55</f>
        <v>0</v>
      </c>
      <c r="T50" s="135"/>
      <c r="U50" s="394">
        <f>+S55</f>
        <v>0</v>
      </c>
      <c r="V50" s="135"/>
      <c r="W50" s="135">
        <v>158</v>
      </c>
      <c r="X50" s="135"/>
      <c r="Y50" s="135">
        <f>W55</f>
        <v>154</v>
      </c>
    </row>
    <row r="51" spans="1:26" ht="15" customHeight="1" x14ac:dyDescent="0.2">
      <c r="A51" s="117">
        <f t="shared" si="1"/>
        <v>43</v>
      </c>
      <c r="C51" s="777" t="s">
        <v>645</v>
      </c>
      <c r="E51" s="117" t="s">
        <v>611</v>
      </c>
      <c r="F51" s="135"/>
      <c r="G51" s="135">
        <v>0</v>
      </c>
      <c r="H51" s="135"/>
      <c r="I51" s="135">
        <v>0</v>
      </c>
      <c r="J51" s="135">
        <v>0</v>
      </c>
      <c r="K51" s="135">
        <v>0</v>
      </c>
      <c r="L51" s="135"/>
      <c r="M51" s="135">
        <f>-618-49</f>
        <v>-667</v>
      </c>
      <c r="N51" s="135"/>
      <c r="O51" s="394">
        <v>0</v>
      </c>
      <c r="P51" s="135"/>
      <c r="Q51" s="394">
        <v>0</v>
      </c>
      <c r="R51" s="135"/>
      <c r="S51" s="394">
        <v>0</v>
      </c>
      <c r="T51" s="135"/>
      <c r="U51" s="394">
        <v>0</v>
      </c>
      <c r="V51" s="135"/>
      <c r="W51" s="135">
        <v>0</v>
      </c>
      <c r="X51" s="135"/>
      <c r="Y51" s="135">
        <v>0</v>
      </c>
    </row>
    <row r="52" spans="1:26" ht="15" customHeight="1" x14ac:dyDescent="0.2">
      <c r="A52" s="117">
        <f t="shared" si="1"/>
        <v>44</v>
      </c>
      <c r="C52" s="777" t="s">
        <v>769</v>
      </c>
      <c r="E52" s="117" t="s">
        <v>612</v>
      </c>
      <c r="F52" s="135"/>
      <c r="G52" s="135">
        <v>0</v>
      </c>
      <c r="H52" s="135"/>
      <c r="I52" s="135">
        <v>0</v>
      </c>
      <c r="J52" s="135"/>
      <c r="K52" s="135">
        <v>0</v>
      </c>
      <c r="L52" s="135"/>
      <c r="M52" s="135">
        <v>35</v>
      </c>
      <c r="N52" s="135"/>
      <c r="O52" s="90">
        <v>0</v>
      </c>
      <c r="P52" s="135"/>
      <c r="Q52" s="90">
        <v>0</v>
      </c>
      <c r="R52" s="135"/>
      <c r="S52" s="90">
        <v>0</v>
      </c>
      <c r="T52" s="135"/>
      <c r="U52" s="90">
        <v>0</v>
      </c>
      <c r="V52" s="135"/>
      <c r="W52" s="135">
        <v>0</v>
      </c>
      <c r="X52" s="90"/>
      <c r="Y52" s="90">
        <v>0</v>
      </c>
      <c r="Z52" s="407"/>
    </row>
    <row r="53" spans="1:26" ht="15" customHeight="1" x14ac:dyDescent="0.2">
      <c r="A53" s="117">
        <f t="shared" si="1"/>
        <v>45</v>
      </c>
      <c r="C53" s="777" t="s">
        <v>454</v>
      </c>
      <c r="F53" s="394"/>
      <c r="G53" s="394">
        <v>137</v>
      </c>
      <c r="H53" s="394"/>
      <c r="I53" s="394">
        <v>259</v>
      </c>
      <c r="J53" s="394"/>
      <c r="K53" s="394">
        <f>358</f>
        <v>358</v>
      </c>
      <c r="L53" s="394"/>
      <c r="M53" s="135">
        <v>14</v>
      </c>
      <c r="N53" s="394"/>
      <c r="O53" s="394">
        <v>0</v>
      </c>
      <c r="P53" s="394"/>
      <c r="Q53" s="394">
        <v>0</v>
      </c>
      <c r="R53" s="394"/>
      <c r="S53" s="394">
        <v>0</v>
      </c>
      <c r="T53" s="394"/>
      <c r="U53" s="394">
        <v>0</v>
      </c>
      <c r="V53" s="394"/>
      <c r="W53" s="394">
        <v>150</v>
      </c>
      <c r="X53" s="394"/>
      <c r="Y53" s="394">
        <v>0</v>
      </c>
    </row>
    <row r="54" spans="1:26" ht="15" customHeight="1" x14ac:dyDescent="0.2">
      <c r="A54" s="117">
        <f t="shared" si="1"/>
        <v>46</v>
      </c>
      <c r="C54" s="777" t="s">
        <v>644</v>
      </c>
      <c r="E54" s="419"/>
      <c r="F54" s="135"/>
      <c r="G54" s="135">
        <v>-147</v>
      </c>
      <c r="H54" s="135"/>
      <c r="I54" s="135">
        <v>-147</v>
      </c>
      <c r="J54" s="135"/>
      <c r="K54" s="135">
        <v>0</v>
      </c>
      <c r="L54" s="135"/>
      <c r="M54" s="135">
        <v>0</v>
      </c>
      <c r="N54" s="135"/>
      <c r="O54" s="95">
        <v>0</v>
      </c>
      <c r="P54" s="135"/>
      <c r="Q54" s="95">
        <v>0</v>
      </c>
      <c r="R54" s="135"/>
      <c r="S54" s="95">
        <v>0</v>
      </c>
      <c r="T54" s="135"/>
      <c r="U54" s="95">
        <v>0</v>
      </c>
      <c r="V54" s="394"/>
      <c r="W54" s="136">
        <v>-154</v>
      </c>
      <c r="X54" s="90">
        <v>0</v>
      </c>
      <c r="Y54" s="95">
        <v>-154</v>
      </c>
    </row>
    <row r="55" spans="1:26" ht="15" customHeight="1" x14ac:dyDescent="0.2">
      <c r="A55" s="117">
        <f t="shared" si="1"/>
        <v>47</v>
      </c>
      <c r="C55" s="261" t="s">
        <v>649</v>
      </c>
      <c r="E55" s="419"/>
      <c r="F55" s="394"/>
      <c r="G55" s="546">
        <f>G50+G53+G54:G54</f>
        <v>148</v>
      </c>
      <c r="H55" s="394"/>
      <c r="I55" s="546">
        <f>I50+I53+I54:I54</f>
        <v>260</v>
      </c>
      <c r="J55" s="394"/>
      <c r="K55" s="546">
        <f>SUM(K50:K54)</f>
        <v>618</v>
      </c>
      <c r="L55" s="394"/>
      <c r="M55" s="546">
        <f>SUM(M50:M54)</f>
        <v>0</v>
      </c>
      <c r="N55" s="135"/>
      <c r="O55" s="136">
        <f>O50+O54+O52</f>
        <v>0</v>
      </c>
      <c r="P55" s="135"/>
      <c r="Q55" s="136">
        <f>Q50+Q54+Q52</f>
        <v>0</v>
      </c>
      <c r="R55" s="135"/>
      <c r="S55" s="136">
        <f>S50+S54+S52</f>
        <v>0</v>
      </c>
      <c r="T55" s="135"/>
      <c r="U55" s="136">
        <f>U50+U54+U52</f>
        <v>0</v>
      </c>
      <c r="V55" s="394"/>
      <c r="W55" s="136">
        <f>W50+W53+W54:W54</f>
        <v>154</v>
      </c>
      <c r="X55" s="394"/>
      <c r="Y55" s="136">
        <f>Y50+Y53+Y54:Y54</f>
        <v>0</v>
      </c>
    </row>
    <row r="56" spans="1:26" ht="15" customHeight="1" x14ac:dyDescent="0.2">
      <c r="A56" s="117">
        <f t="shared" si="1"/>
        <v>48</v>
      </c>
      <c r="C56" s="261"/>
      <c r="F56" s="394"/>
      <c r="G56" s="394"/>
      <c r="H56" s="394"/>
      <c r="I56" s="394"/>
      <c r="J56" s="394"/>
      <c r="K56" s="394"/>
      <c r="L56" s="394"/>
      <c r="M56" s="135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4"/>
      <c r="Y56" s="394"/>
    </row>
    <row r="57" spans="1:26" ht="15" customHeight="1" thickBot="1" x14ac:dyDescent="0.25">
      <c r="A57" s="117">
        <f t="shared" si="1"/>
        <v>49</v>
      </c>
      <c r="C57" s="261" t="s">
        <v>664</v>
      </c>
      <c r="E57" s="117" t="s">
        <v>863</v>
      </c>
      <c r="F57" s="394"/>
      <c r="G57" s="329">
        <f>(G55+G50)/2</f>
        <v>153</v>
      </c>
      <c r="H57" s="394"/>
      <c r="I57" s="329">
        <f>(I55+I50)/2</f>
        <v>204</v>
      </c>
      <c r="J57" s="394"/>
      <c r="K57" s="329">
        <f>(K55+K50)/2+4</f>
        <v>443</v>
      </c>
      <c r="L57" s="394"/>
      <c r="M57" s="329">
        <v>0</v>
      </c>
      <c r="N57" s="135"/>
      <c r="O57" s="329">
        <f>(O50+O55)/2</f>
        <v>0</v>
      </c>
      <c r="P57" s="135"/>
      <c r="Q57" s="329">
        <f>(Q50+Q55)/2</f>
        <v>0</v>
      </c>
      <c r="R57" s="135"/>
      <c r="S57" s="329">
        <f>(S50+S55)/2</f>
        <v>0</v>
      </c>
      <c r="T57" s="135"/>
      <c r="U57" s="329">
        <f>(U50+U55)/2</f>
        <v>0</v>
      </c>
      <c r="V57" s="394"/>
      <c r="W57" s="329">
        <f>(W55+W50)/2</f>
        <v>156</v>
      </c>
      <c r="X57" s="394"/>
      <c r="Y57" s="329">
        <f>(Y55+Y50)/2</f>
        <v>77</v>
      </c>
    </row>
    <row r="58" spans="1:26" ht="15" customHeight="1" thickTop="1" x14ac:dyDescent="0.2">
      <c r="A58" s="117">
        <f t="shared" si="1"/>
        <v>50</v>
      </c>
      <c r="C58" s="362"/>
      <c r="F58" s="330"/>
      <c r="G58" s="330"/>
      <c r="H58" s="330"/>
      <c r="I58" s="330"/>
      <c r="J58" s="330"/>
      <c r="K58" s="330"/>
      <c r="L58" s="330"/>
      <c r="M58" s="336"/>
      <c r="N58" s="330"/>
      <c r="O58" s="330"/>
      <c r="P58" s="330"/>
      <c r="Q58" s="330"/>
      <c r="R58" s="330"/>
      <c r="S58" s="330"/>
      <c r="T58" s="330"/>
      <c r="U58" s="330"/>
      <c r="V58" s="330"/>
      <c r="W58" s="336"/>
      <c r="X58" s="330"/>
      <c r="Y58" s="336"/>
    </row>
    <row r="59" spans="1:26" ht="15" customHeight="1" x14ac:dyDescent="0.2">
      <c r="A59" s="117">
        <f t="shared" si="1"/>
        <v>51</v>
      </c>
      <c r="C59" s="215" t="s">
        <v>530</v>
      </c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6"/>
      <c r="X59" s="330"/>
      <c r="Y59" s="336"/>
    </row>
    <row r="60" spans="1:26" ht="15" customHeight="1" x14ac:dyDescent="0.25">
      <c r="A60" s="117">
        <f t="shared" si="1"/>
        <v>52</v>
      </c>
      <c r="C60" s="419" t="s">
        <v>582</v>
      </c>
      <c r="F60" s="394"/>
      <c r="G60" s="394">
        <v>0</v>
      </c>
      <c r="H60" s="394"/>
      <c r="I60" s="394">
        <f>+G63</f>
        <v>0</v>
      </c>
      <c r="J60" s="394"/>
      <c r="K60" s="394">
        <f>+I63</f>
        <v>0</v>
      </c>
      <c r="L60" s="394"/>
      <c r="M60" s="394">
        <f>+K63</f>
        <v>0</v>
      </c>
      <c r="N60" s="415"/>
      <c r="O60" s="394">
        <f>+M63</f>
        <v>0</v>
      </c>
      <c r="P60" s="415"/>
      <c r="Q60" s="90">
        <f>+O63</f>
        <v>0</v>
      </c>
      <c r="R60" s="90"/>
      <c r="S60" s="90">
        <f>+Q63</f>
        <v>230</v>
      </c>
      <c r="T60" s="90"/>
      <c r="U60" s="90">
        <f>+S63</f>
        <v>246</v>
      </c>
      <c r="V60" s="330"/>
      <c r="W60" s="394">
        <v>0</v>
      </c>
      <c r="X60" s="330"/>
      <c r="Y60" s="394">
        <v>0</v>
      </c>
    </row>
    <row r="61" spans="1:26" ht="15" customHeight="1" x14ac:dyDescent="0.2">
      <c r="A61" s="117">
        <f t="shared" si="1"/>
        <v>53</v>
      </c>
      <c r="C61" s="777" t="s">
        <v>807</v>
      </c>
      <c r="F61" s="394"/>
      <c r="G61" s="394">
        <v>0</v>
      </c>
      <c r="H61" s="394"/>
      <c r="I61" s="394">
        <v>0</v>
      </c>
      <c r="J61" s="394"/>
      <c r="K61" s="394">
        <v>0</v>
      </c>
      <c r="L61" s="394"/>
      <c r="M61" s="394">
        <v>0</v>
      </c>
      <c r="N61" s="330"/>
      <c r="O61" s="394">
        <v>0</v>
      </c>
      <c r="P61" s="330"/>
      <c r="Q61" s="90">
        <f>222+8</f>
        <v>230</v>
      </c>
      <c r="R61" s="90"/>
      <c r="S61" s="90">
        <v>16</v>
      </c>
      <c r="T61" s="90"/>
      <c r="U61" s="90">
        <v>17</v>
      </c>
      <c r="V61" s="330"/>
      <c r="W61" s="394">
        <v>0</v>
      </c>
      <c r="X61" s="330"/>
      <c r="Y61" s="394">
        <v>0</v>
      </c>
    </row>
    <row r="62" spans="1:26" ht="15" customHeight="1" x14ac:dyDescent="0.2">
      <c r="A62" s="117">
        <f t="shared" si="1"/>
        <v>54</v>
      </c>
      <c r="C62" s="777" t="s">
        <v>502</v>
      </c>
      <c r="F62" s="90"/>
      <c r="G62" s="90">
        <v>0</v>
      </c>
      <c r="H62" s="90"/>
      <c r="I62" s="90">
        <v>0</v>
      </c>
      <c r="J62" s="90"/>
      <c r="K62" s="90">
        <v>0</v>
      </c>
      <c r="L62" s="90"/>
      <c r="M62" s="90">
        <v>0</v>
      </c>
      <c r="N62" s="330"/>
      <c r="O62" s="90">
        <v>0</v>
      </c>
      <c r="P62" s="330"/>
      <c r="Q62" s="95">
        <v>0</v>
      </c>
      <c r="R62" s="90"/>
      <c r="S62" s="95">
        <v>0</v>
      </c>
      <c r="T62" s="90"/>
      <c r="U62" s="95">
        <v>0</v>
      </c>
      <c r="V62" s="330"/>
      <c r="W62" s="90">
        <v>0</v>
      </c>
      <c r="X62" s="330"/>
      <c r="Y62" s="90">
        <v>0</v>
      </c>
    </row>
    <row r="63" spans="1:26" ht="15" customHeight="1" x14ac:dyDescent="0.2">
      <c r="A63" s="117">
        <f t="shared" si="1"/>
        <v>55</v>
      </c>
      <c r="C63" s="261" t="s">
        <v>649</v>
      </c>
      <c r="F63" s="394"/>
      <c r="G63" s="546">
        <f>SUM(G60:G62)</f>
        <v>0</v>
      </c>
      <c r="H63" s="394"/>
      <c r="I63" s="546">
        <f>I62+I61+I60</f>
        <v>0</v>
      </c>
      <c r="J63" s="394"/>
      <c r="K63" s="546">
        <f>K62+K61+K60</f>
        <v>0</v>
      </c>
      <c r="L63" s="394"/>
      <c r="M63" s="546">
        <f>M62+M61+M60</f>
        <v>0</v>
      </c>
      <c r="N63" s="330"/>
      <c r="O63" s="546">
        <f>O62+O61+O60</f>
        <v>0</v>
      </c>
      <c r="P63" s="330"/>
      <c r="Q63" s="136">
        <f>+Q60+Q61+Q62</f>
        <v>230</v>
      </c>
      <c r="R63" s="135"/>
      <c r="S63" s="136">
        <f>SUM(S60:S62)</f>
        <v>246</v>
      </c>
      <c r="T63" s="135"/>
      <c r="U63" s="136">
        <f>SUM(U60:U62)</f>
        <v>263</v>
      </c>
      <c r="V63" s="330"/>
      <c r="W63" s="546">
        <f>W62+W61+W60</f>
        <v>0</v>
      </c>
      <c r="X63" s="330"/>
      <c r="Y63" s="546">
        <f>Y62+Y61+Y60</f>
        <v>0</v>
      </c>
    </row>
    <row r="64" spans="1:26" ht="15" customHeight="1" x14ac:dyDescent="0.2">
      <c r="A64" s="117">
        <f t="shared" si="1"/>
        <v>56</v>
      </c>
      <c r="C64" s="261"/>
      <c r="F64" s="394"/>
      <c r="G64" s="394"/>
      <c r="H64" s="394"/>
      <c r="I64" s="394"/>
      <c r="J64" s="394"/>
      <c r="K64" s="394"/>
      <c r="L64" s="394"/>
      <c r="M64" s="394"/>
      <c r="N64" s="330"/>
      <c r="O64" s="394"/>
      <c r="P64" s="330"/>
      <c r="Q64" s="394"/>
      <c r="R64" s="394"/>
      <c r="S64" s="394"/>
      <c r="T64" s="394"/>
      <c r="U64" s="394"/>
      <c r="V64" s="330"/>
      <c r="W64" s="394"/>
      <c r="X64" s="330"/>
      <c r="Y64" s="394"/>
    </row>
    <row r="65" spans="1:25" ht="15" customHeight="1" thickBot="1" x14ac:dyDescent="0.25">
      <c r="A65" s="117">
        <f t="shared" si="1"/>
        <v>57</v>
      </c>
      <c r="C65" s="261" t="s">
        <v>664</v>
      </c>
      <c r="E65" s="117" t="s">
        <v>864</v>
      </c>
      <c r="F65" s="394"/>
      <c r="G65" s="329">
        <f>(G63+G60)/2</f>
        <v>0</v>
      </c>
      <c r="H65" s="394"/>
      <c r="I65" s="329">
        <f>(I63+I60)/2</f>
        <v>0</v>
      </c>
      <c r="J65" s="394"/>
      <c r="K65" s="329">
        <f>(K63+K60)/2</f>
        <v>0</v>
      </c>
      <c r="L65" s="394"/>
      <c r="M65" s="329">
        <f>(M63+M60)/2</f>
        <v>0</v>
      </c>
      <c r="N65" s="330"/>
      <c r="O65" s="329">
        <f>(O63+O60)/2</f>
        <v>0</v>
      </c>
      <c r="P65" s="330"/>
      <c r="Q65" s="329">
        <f>(Q60+Q63)/2*0</f>
        <v>0</v>
      </c>
      <c r="R65" s="135"/>
      <c r="S65" s="329">
        <f>(S60+S63)/2*0</f>
        <v>0</v>
      </c>
      <c r="T65" s="135"/>
      <c r="U65" s="329">
        <f>(U60+U63)/2*0</f>
        <v>0</v>
      </c>
      <c r="V65" s="330"/>
      <c r="W65" s="329">
        <f>(W63+W60)/2</f>
        <v>0</v>
      </c>
      <c r="X65" s="330"/>
      <c r="Y65" s="329">
        <f>(Y63+Y60)/2</f>
        <v>0</v>
      </c>
    </row>
    <row r="66" spans="1:25" ht="15" customHeight="1" thickTop="1" x14ac:dyDescent="0.2">
      <c r="A66" s="117">
        <f t="shared" si="1"/>
        <v>58</v>
      </c>
      <c r="C66" s="362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6"/>
      <c r="X66" s="330"/>
      <c r="Y66" s="336"/>
    </row>
    <row r="67" spans="1:25" ht="15" customHeight="1" x14ac:dyDescent="0.2">
      <c r="A67" s="117">
        <f t="shared" si="1"/>
        <v>59</v>
      </c>
      <c r="C67" s="215" t="s">
        <v>529</v>
      </c>
      <c r="N67" s="330"/>
      <c r="O67" s="330"/>
      <c r="P67" s="330"/>
      <c r="Q67" s="330"/>
      <c r="R67" s="330"/>
      <c r="S67" s="330"/>
      <c r="T67" s="330"/>
      <c r="U67" s="330"/>
      <c r="V67" s="330"/>
      <c r="W67" s="336"/>
      <c r="X67" s="330"/>
      <c r="Y67" s="336"/>
    </row>
    <row r="68" spans="1:25" ht="15" customHeight="1" x14ac:dyDescent="0.25">
      <c r="A68" s="117">
        <f t="shared" si="1"/>
        <v>60</v>
      </c>
      <c r="C68" s="419" t="s">
        <v>582</v>
      </c>
      <c r="F68" s="394"/>
      <c r="G68" s="394">
        <v>0</v>
      </c>
      <c r="H68" s="394"/>
      <c r="I68" s="394">
        <f>+G71</f>
        <v>33</v>
      </c>
      <c r="J68" s="394"/>
      <c r="K68" s="394">
        <f>+I71</f>
        <v>33</v>
      </c>
      <c r="L68" s="394"/>
      <c r="M68" s="394">
        <f>+K71</f>
        <v>33</v>
      </c>
      <c r="N68" s="415"/>
      <c r="O68" s="394">
        <f>+M71</f>
        <v>33</v>
      </c>
      <c r="P68" s="415"/>
      <c r="Q68" s="90">
        <f>+O71</f>
        <v>33</v>
      </c>
      <c r="R68" s="90"/>
      <c r="S68" s="90">
        <f>+Q71</f>
        <v>22</v>
      </c>
      <c r="T68" s="90"/>
      <c r="U68" s="90">
        <f>+S71</f>
        <v>11</v>
      </c>
      <c r="V68" s="330"/>
      <c r="W68" s="394">
        <v>0</v>
      </c>
      <c r="X68" s="330"/>
      <c r="Y68" s="394">
        <v>0</v>
      </c>
    </row>
    <row r="69" spans="1:25" ht="15" customHeight="1" x14ac:dyDescent="0.2">
      <c r="A69" s="117">
        <f t="shared" si="1"/>
        <v>61</v>
      </c>
      <c r="C69" s="777" t="s">
        <v>501</v>
      </c>
      <c r="F69" s="394"/>
      <c r="G69" s="394">
        <v>33</v>
      </c>
      <c r="H69" s="394"/>
      <c r="I69" s="394">
        <v>0</v>
      </c>
      <c r="J69" s="394"/>
      <c r="K69" s="394">
        <v>0</v>
      </c>
      <c r="L69" s="394"/>
      <c r="M69" s="394">
        <v>0</v>
      </c>
      <c r="N69" s="330"/>
      <c r="O69" s="394">
        <v>0</v>
      </c>
      <c r="P69" s="330"/>
      <c r="Q69" s="90">
        <v>0</v>
      </c>
      <c r="R69" s="90"/>
      <c r="S69" s="90">
        <v>0</v>
      </c>
      <c r="T69" s="90"/>
      <c r="U69" s="90">
        <v>0</v>
      </c>
      <c r="V69" s="330"/>
      <c r="W69" s="394">
        <v>0</v>
      </c>
      <c r="X69" s="330"/>
      <c r="Y69" s="394">
        <v>0</v>
      </c>
    </row>
    <row r="70" spans="1:25" ht="15" customHeight="1" x14ac:dyDescent="0.2">
      <c r="A70" s="117">
        <f t="shared" si="1"/>
        <v>62</v>
      </c>
      <c r="C70" s="777" t="s">
        <v>502</v>
      </c>
      <c r="F70" s="90"/>
      <c r="G70" s="90">
        <v>0</v>
      </c>
      <c r="H70" s="90"/>
      <c r="I70" s="90">
        <v>0</v>
      </c>
      <c r="J70" s="90"/>
      <c r="K70" s="90">
        <v>0</v>
      </c>
      <c r="L70" s="90"/>
      <c r="M70" s="90">
        <v>0</v>
      </c>
      <c r="N70" s="330"/>
      <c r="O70" s="90">
        <v>0</v>
      </c>
      <c r="P70" s="330"/>
      <c r="Q70" s="95">
        <v>-11</v>
      </c>
      <c r="R70" s="90"/>
      <c r="S70" s="95">
        <v>-11</v>
      </c>
      <c r="T70" s="90"/>
      <c r="U70" s="95">
        <v>-11</v>
      </c>
      <c r="V70" s="330"/>
      <c r="W70" s="90">
        <v>0</v>
      </c>
      <c r="X70" s="330"/>
      <c r="Y70" s="90">
        <v>0</v>
      </c>
    </row>
    <row r="71" spans="1:25" ht="15" customHeight="1" x14ac:dyDescent="0.2">
      <c r="A71" s="117">
        <f t="shared" si="1"/>
        <v>63</v>
      </c>
      <c r="C71" s="261" t="s">
        <v>649</v>
      </c>
      <c r="F71" s="394"/>
      <c r="G71" s="546">
        <f>SUM(G68:G70)</f>
        <v>33</v>
      </c>
      <c r="H71" s="394"/>
      <c r="I71" s="546">
        <f>I70+I69+I68</f>
        <v>33</v>
      </c>
      <c r="J71" s="394"/>
      <c r="K71" s="546">
        <f>K70+K69+K68</f>
        <v>33</v>
      </c>
      <c r="L71" s="394"/>
      <c r="M71" s="546">
        <f>M70+M69+M68</f>
        <v>33</v>
      </c>
      <c r="N71" s="330"/>
      <c r="O71" s="546">
        <f>O70+O69+O68</f>
        <v>33</v>
      </c>
      <c r="P71" s="330"/>
      <c r="Q71" s="136">
        <f>+Q68+Q69+Q70</f>
        <v>22</v>
      </c>
      <c r="R71" s="135"/>
      <c r="S71" s="136">
        <f>SUM(S68:S70)</f>
        <v>11</v>
      </c>
      <c r="T71" s="135"/>
      <c r="U71" s="136">
        <f>SUM(U68:U70)</f>
        <v>0</v>
      </c>
      <c r="V71" s="330"/>
      <c r="W71" s="546">
        <f>W70+W69+W68</f>
        <v>0</v>
      </c>
      <c r="X71" s="330"/>
      <c r="Y71" s="546">
        <f>Y70+Y69+Y68</f>
        <v>0</v>
      </c>
    </row>
    <row r="72" spans="1:25" ht="15" customHeight="1" x14ac:dyDescent="0.2">
      <c r="A72" s="117">
        <f t="shared" si="1"/>
        <v>64</v>
      </c>
      <c r="C72" s="261"/>
      <c r="F72" s="394"/>
      <c r="G72" s="394"/>
      <c r="H72" s="394"/>
      <c r="I72" s="394"/>
      <c r="J72" s="394"/>
      <c r="K72" s="394"/>
      <c r="L72" s="394"/>
      <c r="M72" s="394"/>
      <c r="N72" s="330"/>
      <c r="O72" s="394"/>
      <c r="P72" s="330"/>
      <c r="Q72" s="394"/>
      <c r="R72" s="394"/>
      <c r="S72" s="394"/>
      <c r="T72" s="394"/>
      <c r="U72" s="394"/>
      <c r="V72" s="330"/>
      <c r="W72" s="394"/>
      <c r="X72" s="330"/>
      <c r="Y72" s="394"/>
    </row>
    <row r="73" spans="1:25" ht="15" customHeight="1" thickBot="1" x14ac:dyDescent="0.25">
      <c r="A73" s="117">
        <f t="shared" si="1"/>
        <v>65</v>
      </c>
      <c r="C73" s="261" t="s">
        <v>664</v>
      </c>
      <c r="E73" s="117" t="s">
        <v>865</v>
      </c>
      <c r="F73" s="394"/>
      <c r="G73" s="329">
        <f>(G71+G68)/2</f>
        <v>16.5</v>
      </c>
      <c r="H73" s="394"/>
      <c r="I73" s="329">
        <f>(I71+I68)/2</f>
        <v>33</v>
      </c>
      <c r="J73" s="394"/>
      <c r="K73" s="329">
        <f>(K71+K68)/2</f>
        <v>33</v>
      </c>
      <c r="L73" s="394"/>
      <c r="M73" s="329">
        <f>(M71+M68)/2</f>
        <v>33</v>
      </c>
      <c r="N73" s="330"/>
      <c r="O73" s="329">
        <f>(O71+O68)/2</f>
        <v>33</v>
      </c>
      <c r="P73" s="330"/>
      <c r="Q73" s="329">
        <f>(Q68+Q71)/2</f>
        <v>27.5</v>
      </c>
      <c r="R73" s="135"/>
      <c r="S73" s="329">
        <f>(S68+S71)/2</f>
        <v>16.5</v>
      </c>
      <c r="T73" s="135"/>
      <c r="U73" s="329">
        <f>(U68+U71)/2</f>
        <v>5.5</v>
      </c>
      <c r="V73" s="330"/>
      <c r="W73" s="329">
        <f>(W71+W68)/2</f>
        <v>0</v>
      </c>
      <c r="X73" s="330"/>
      <c r="Y73" s="329">
        <f>(Y71+Y68)/2</f>
        <v>0</v>
      </c>
    </row>
    <row r="74" spans="1:25" ht="15" customHeight="1" thickTop="1" x14ac:dyDescent="0.2">
      <c r="A74" s="117">
        <f t="shared" si="1"/>
        <v>66</v>
      </c>
      <c r="C74" s="362"/>
      <c r="F74" s="135"/>
      <c r="G74" s="135"/>
      <c r="H74" s="394"/>
      <c r="I74" s="135"/>
      <c r="J74" s="135"/>
      <c r="K74" s="135"/>
      <c r="L74" s="394"/>
      <c r="M74" s="394"/>
      <c r="N74" s="330"/>
      <c r="O74" s="330"/>
      <c r="P74" s="330"/>
      <c r="Q74" s="330"/>
      <c r="R74" s="330"/>
      <c r="S74" s="330"/>
      <c r="T74" s="330"/>
      <c r="U74" s="330"/>
      <c r="V74" s="330"/>
      <c r="W74" s="336"/>
      <c r="X74" s="330"/>
      <c r="Y74" s="336"/>
    </row>
    <row r="75" spans="1:25" ht="15" customHeight="1" x14ac:dyDescent="0.2">
      <c r="A75" s="117">
        <f t="shared" si="1"/>
        <v>67</v>
      </c>
      <c r="C75" s="215" t="s">
        <v>586</v>
      </c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</row>
    <row r="76" spans="1:25" ht="15" customHeight="1" x14ac:dyDescent="0.2">
      <c r="A76" s="117">
        <f t="shared" si="1"/>
        <v>68</v>
      </c>
      <c r="C76" s="419" t="s">
        <v>582</v>
      </c>
      <c r="F76" s="394"/>
      <c r="G76" s="394">
        <v>0</v>
      </c>
      <c r="H76" s="394"/>
      <c r="I76" s="394">
        <f>+G79</f>
        <v>0</v>
      </c>
      <c r="J76" s="394"/>
      <c r="K76" s="394">
        <f>+I79</f>
        <v>0</v>
      </c>
      <c r="L76" s="135"/>
      <c r="M76" s="135">
        <f>+K78</f>
        <v>0</v>
      </c>
      <c r="N76" s="135"/>
      <c r="O76" s="90">
        <f>+M79</f>
        <v>0</v>
      </c>
      <c r="P76" s="90"/>
      <c r="Q76" s="90">
        <v>0</v>
      </c>
      <c r="R76" s="90"/>
      <c r="S76" s="90">
        <f>Q79</f>
        <v>13</v>
      </c>
      <c r="T76" s="135"/>
      <c r="U76" s="90">
        <f>S79</f>
        <v>6</v>
      </c>
      <c r="V76" s="135"/>
      <c r="W76" s="394">
        <v>0</v>
      </c>
      <c r="X76" s="135"/>
      <c r="Y76" s="394">
        <v>0</v>
      </c>
    </row>
    <row r="77" spans="1:25" ht="15" customHeight="1" x14ac:dyDescent="0.2">
      <c r="A77" s="117">
        <f t="shared" si="1"/>
        <v>69</v>
      </c>
      <c r="B77" s="117"/>
      <c r="C77" s="777" t="s">
        <v>501</v>
      </c>
      <c r="F77" s="394"/>
      <c r="G77" s="394">
        <v>0</v>
      </c>
      <c r="H77" s="394"/>
      <c r="I77" s="394">
        <v>0</v>
      </c>
      <c r="J77" s="394"/>
      <c r="K77" s="394">
        <v>0</v>
      </c>
      <c r="L77" s="394"/>
      <c r="M77" s="135">
        <v>0</v>
      </c>
      <c r="N77" s="394"/>
      <c r="O77" s="90">
        <v>0</v>
      </c>
      <c r="P77" s="90"/>
      <c r="Q77" s="90">
        <v>20</v>
      </c>
      <c r="R77" s="90"/>
      <c r="S77" s="90">
        <v>0</v>
      </c>
      <c r="T77" s="394"/>
      <c r="U77" s="90">
        <v>0</v>
      </c>
      <c r="V77" s="394"/>
      <c r="W77" s="394">
        <v>0</v>
      </c>
      <c r="X77" s="135"/>
      <c r="Y77" s="394">
        <v>0</v>
      </c>
    </row>
    <row r="78" spans="1:25" ht="15" customHeight="1" x14ac:dyDescent="0.2">
      <c r="A78" s="117">
        <f t="shared" si="1"/>
        <v>70</v>
      </c>
      <c r="C78" s="777" t="s">
        <v>502</v>
      </c>
      <c r="E78" s="419"/>
      <c r="F78" s="90"/>
      <c r="G78" s="90">
        <v>0</v>
      </c>
      <c r="H78" s="90"/>
      <c r="I78" s="90">
        <v>0</v>
      </c>
      <c r="J78" s="90"/>
      <c r="K78" s="90">
        <v>0</v>
      </c>
      <c r="L78" s="135"/>
      <c r="M78" s="136">
        <v>0</v>
      </c>
      <c r="N78" s="135"/>
      <c r="O78" s="95">
        <v>0</v>
      </c>
      <c r="P78" s="90"/>
      <c r="Q78" s="95">
        <v>-7</v>
      </c>
      <c r="R78" s="90"/>
      <c r="S78" s="95">
        <v>-7</v>
      </c>
      <c r="T78" s="135"/>
      <c r="U78" s="95">
        <v>-6</v>
      </c>
      <c r="V78" s="394"/>
      <c r="W78" s="90">
        <v>0</v>
      </c>
      <c r="X78" s="90"/>
      <c r="Y78" s="90">
        <v>0</v>
      </c>
    </row>
    <row r="79" spans="1:25" ht="15" customHeight="1" x14ac:dyDescent="0.2">
      <c r="A79" s="117">
        <f t="shared" si="1"/>
        <v>71</v>
      </c>
      <c r="C79" s="261" t="s">
        <v>649</v>
      </c>
      <c r="E79" s="419"/>
      <c r="F79" s="394"/>
      <c r="G79" s="546">
        <f>SUM(G76:G78)</f>
        <v>0</v>
      </c>
      <c r="H79" s="394"/>
      <c r="I79" s="546">
        <f>I78+I77+I76</f>
        <v>0</v>
      </c>
      <c r="J79" s="394"/>
      <c r="K79" s="546">
        <f>K78+K77+K76</f>
        <v>0</v>
      </c>
      <c r="L79" s="394"/>
      <c r="M79" s="136">
        <f>SUM(M76:M78)</f>
        <v>0</v>
      </c>
      <c r="N79" s="135"/>
      <c r="O79" s="136">
        <f>+O76+O77+O78</f>
        <v>0</v>
      </c>
      <c r="P79" s="135"/>
      <c r="Q79" s="136">
        <f>+Q76+Q77+Q78</f>
        <v>13</v>
      </c>
      <c r="R79" s="135"/>
      <c r="S79" s="136">
        <f>SUM(S76:S78)</f>
        <v>6</v>
      </c>
      <c r="T79" s="135"/>
      <c r="U79" s="136">
        <f>SUM(U76:U78)</f>
        <v>0</v>
      </c>
      <c r="V79" s="394"/>
      <c r="W79" s="546">
        <f>W78+W77+W76</f>
        <v>0</v>
      </c>
      <c r="X79" s="135"/>
      <c r="Y79" s="546">
        <f>Y78+Y77+Y76</f>
        <v>0</v>
      </c>
    </row>
    <row r="80" spans="1:25" ht="15" customHeight="1" x14ac:dyDescent="0.2">
      <c r="A80" s="117">
        <f t="shared" si="1"/>
        <v>72</v>
      </c>
      <c r="C80" s="261"/>
      <c r="F80" s="394"/>
      <c r="G80" s="394"/>
      <c r="H80" s="394"/>
      <c r="I80" s="394"/>
      <c r="J80" s="394"/>
      <c r="K80" s="394"/>
      <c r="L80" s="394"/>
      <c r="M80" s="135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135"/>
      <c r="Y80" s="394"/>
    </row>
    <row r="81" spans="1:25" ht="15" customHeight="1" thickBot="1" x14ac:dyDescent="0.25">
      <c r="A81" s="117">
        <f t="shared" si="1"/>
        <v>73</v>
      </c>
      <c r="C81" s="261" t="s">
        <v>664</v>
      </c>
      <c r="E81" s="117" t="s">
        <v>866</v>
      </c>
      <c r="F81" s="394"/>
      <c r="G81" s="329">
        <f>(G79+G76)/2</f>
        <v>0</v>
      </c>
      <c r="H81" s="394"/>
      <c r="I81" s="329">
        <f>(I79+I76)/2</f>
        <v>0</v>
      </c>
      <c r="J81" s="394"/>
      <c r="K81" s="329">
        <f>(K79+K76)/2</f>
        <v>0</v>
      </c>
      <c r="L81" s="394"/>
      <c r="M81" s="329">
        <f>(M79+M76)/2</f>
        <v>0</v>
      </c>
      <c r="N81" s="135"/>
      <c r="O81" s="329">
        <f>(O76+O79)/2</f>
        <v>0</v>
      </c>
      <c r="P81" s="135"/>
      <c r="Q81" s="329">
        <f>(Q76+Q79)/2</f>
        <v>6.5</v>
      </c>
      <c r="R81" s="135"/>
      <c r="S81" s="329">
        <f>(S76+S79)/2</f>
        <v>9.5</v>
      </c>
      <c r="T81" s="135"/>
      <c r="U81" s="329">
        <f>(U76+U79)/2</f>
        <v>3</v>
      </c>
      <c r="V81" s="394"/>
      <c r="W81" s="329">
        <f>(W79+W76)/2</f>
        <v>0</v>
      </c>
      <c r="X81" s="135"/>
      <c r="Y81" s="329">
        <f>(Y79+Y76)/2</f>
        <v>0</v>
      </c>
    </row>
    <row r="82" spans="1:25" ht="15.75" thickTop="1" x14ac:dyDescent="0.2">
      <c r="A82" s="117">
        <f t="shared" si="1"/>
        <v>74</v>
      </c>
      <c r="C82" s="261"/>
      <c r="L82" s="394"/>
      <c r="M82" s="135"/>
      <c r="N82" s="135"/>
      <c r="O82" s="135"/>
      <c r="P82" s="135"/>
      <c r="Q82" s="135"/>
      <c r="R82" s="135"/>
      <c r="S82" s="135"/>
      <c r="T82" s="135"/>
      <c r="U82" s="135"/>
      <c r="V82" s="394"/>
      <c r="W82" s="135"/>
      <c r="X82" s="135"/>
      <c r="Y82" s="135"/>
    </row>
    <row r="83" spans="1:25" ht="15" customHeight="1" x14ac:dyDescent="0.2">
      <c r="A83" s="117">
        <f t="shared" si="1"/>
        <v>75</v>
      </c>
      <c r="C83" s="215" t="s">
        <v>845</v>
      </c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</row>
    <row r="84" spans="1:25" ht="15" customHeight="1" x14ac:dyDescent="0.2">
      <c r="A84" s="117">
        <f t="shared" si="1"/>
        <v>76</v>
      </c>
      <c r="C84" s="419" t="s">
        <v>582</v>
      </c>
      <c r="F84" s="394"/>
      <c r="G84" s="394">
        <v>0</v>
      </c>
      <c r="H84" s="394"/>
      <c r="I84" s="394">
        <f>+G86</f>
        <v>0</v>
      </c>
      <c r="J84" s="394"/>
      <c r="K84" s="394">
        <f>+I86</f>
        <v>0</v>
      </c>
      <c r="L84" s="135"/>
      <c r="M84" s="394">
        <f>+K86</f>
        <v>0</v>
      </c>
      <c r="N84" s="135"/>
      <c r="O84" s="90">
        <f>+M86</f>
        <v>0</v>
      </c>
      <c r="P84" s="90"/>
      <c r="Q84" s="90">
        <v>0</v>
      </c>
      <c r="R84" s="90"/>
      <c r="S84" s="90">
        <f>Q86</f>
        <v>0</v>
      </c>
      <c r="T84" s="135"/>
      <c r="U84" s="90">
        <f>S86</f>
        <v>251</v>
      </c>
      <c r="V84" s="135"/>
      <c r="W84" s="394">
        <v>0</v>
      </c>
      <c r="X84" s="135"/>
      <c r="Y84" s="394">
        <v>0</v>
      </c>
    </row>
    <row r="85" spans="1:25" ht="15" customHeight="1" x14ac:dyDescent="0.2">
      <c r="A85" s="117">
        <f t="shared" si="1"/>
        <v>77</v>
      </c>
      <c r="B85" s="117"/>
      <c r="C85" s="777" t="s">
        <v>501</v>
      </c>
      <c r="F85" s="394"/>
      <c r="G85" s="394">
        <v>0</v>
      </c>
      <c r="H85" s="394"/>
      <c r="I85" s="394">
        <v>0</v>
      </c>
      <c r="J85" s="394"/>
      <c r="K85" s="394">
        <v>0</v>
      </c>
      <c r="L85" s="394"/>
      <c r="M85" s="135">
        <v>0</v>
      </c>
      <c r="N85" s="394"/>
      <c r="O85" s="90">
        <v>0</v>
      </c>
      <c r="P85" s="90"/>
      <c r="Q85" s="90">
        <v>0</v>
      </c>
      <c r="R85" s="90"/>
      <c r="S85" s="90">
        <v>251</v>
      </c>
      <c r="T85" s="394"/>
      <c r="U85" s="90">
        <v>283</v>
      </c>
      <c r="V85" s="394"/>
      <c r="W85" s="394">
        <v>0</v>
      </c>
      <c r="X85" s="135"/>
      <c r="Y85" s="394">
        <v>0</v>
      </c>
    </row>
    <row r="86" spans="1:25" ht="15" customHeight="1" x14ac:dyDescent="0.2">
      <c r="A86" s="117">
        <f t="shared" si="1"/>
        <v>78</v>
      </c>
      <c r="C86" s="261" t="s">
        <v>649</v>
      </c>
      <c r="E86" s="419"/>
      <c r="F86" s="394"/>
      <c r="G86" s="546">
        <f>SUM(G84:G85)</f>
        <v>0</v>
      </c>
      <c r="H86" s="394"/>
      <c r="I86" s="546">
        <f>SUM(I84:I85)</f>
        <v>0</v>
      </c>
      <c r="J86" s="394"/>
      <c r="K86" s="546">
        <f>SUM(K84:K85)</f>
        <v>0</v>
      </c>
      <c r="L86" s="394"/>
      <c r="M86" s="546">
        <f>SUM(M84:M85)</f>
        <v>0</v>
      </c>
      <c r="N86" s="135"/>
      <c r="O86" s="546">
        <f>SUM(O84:O85)</f>
        <v>0</v>
      </c>
      <c r="P86" s="135"/>
      <c r="Q86" s="546">
        <f>SUM(Q84:Q85)</f>
        <v>0</v>
      </c>
      <c r="R86" s="135"/>
      <c r="S86" s="546">
        <f>SUM(S84:S85)</f>
        <v>251</v>
      </c>
      <c r="T86" s="135"/>
      <c r="U86" s="546">
        <f>SUM(U84:U85)</f>
        <v>534</v>
      </c>
      <c r="V86" s="394"/>
      <c r="W86" s="546">
        <f>SUM(W84:W85)</f>
        <v>0</v>
      </c>
      <c r="X86" s="135"/>
      <c r="Y86" s="546">
        <f>SUM(Y84:Y85)</f>
        <v>0</v>
      </c>
    </row>
    <row r="87" spans="1:25" ht="15" customHeight="1" x14ac:dyDescent="0.2">
      <c r="A87" s="117">
        <f t="shared" si="1"/>
        <v>79</v>
      </c>
      <c r="C87" s="261"/>
      <c r="F87" s="394"/>
      <c r="G87" s="394"/>
      <c r="H87" s="394"/>
      <c r="I87" s="394"/>
      <c r="J87" s="394"/>
      <c r="K87" s="394"/>
      <c r="L87" s="394"/>
      <c r="M87" s="135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135"/>
      <c r="Y87" s="394"/>
    </row>
    <row r="88" spans="1:25" ht="15" customHeight="1" thickBot="1" x14ac:dyDescent="0.25">
      <c r="A88" s="117">
        <f t="shared" si="1"/>
        <v>80</v>
      </c>
      <c r="C88" s="261" t="s">
        <v>664</v>
      </c>
      <c r="E88" s="117" t="s">
        <v>867</v>
      </c>
      <c r="F88" s="394"/>
      <c r="G88" s="329">
        <f>(G86+G84)/2</f>
        <v>0</v>
      </c>
      <c r="H88" s="394"/>
      <c r="I88" s="329">
        <f>(I86+I84)/2</f>
        <v>0</v>
      </c>
      <c r="J88" s="394"/>
      <c r="K88" s="329">
        <f>(K86+K84)/2</f>
        <v>0</v>
      </c>
      <c r="L88" s="394"/>
      <c r="M88" s="329">
        <f>(M86+M84)/2</f>
        <v>0</v>
      </c>
      <c r="N88" s="135"/>
      <c r="O88" s="329">
        <f>(O84+O86)/2</f>
        <v>0</v>
      </c>
      <c r="P88" s="135"/>
      <c r="Q88" s="329">
        <f>(Q84+Q86)/2</f>
        <v>0</v>
      </c>
      <c r="R88" s="135"/>
      <c r="S88" s="329">
        <f>(S84+S86)/2</f>
        <v>125.5</v>
      </c>
      <c r="T88" s="135"/>
      <c r="U88" s="329">
        <f>(U84+U86)/2</f>
        <v>392.5</v>
      </c>
      <c r="V88" s="394"/>
      <c r="W88" s="329">
        <f>(W86+W84)/2</f>
        <v>0</v>
      </c>
      <c r="X88" s="135"/>
      <c r="Y88" s="329">
        <f>(Y86+Y84)/2</f>
        <v>0</v>
      </c>
    </row>
    <row r="89" spans="1:25" ht="15.75" thickTop="1" x14ac:dyDescent="0.2">
      <c r="A89" s="117"/>
      <c r="C89" s="261"/>
      <c r="L89" s="394"/>
      <c r="M89" s="135"/>
      <c r="N89" s="135"/>
      <c r="O89" s="135"/>
      <c r="P89" s="135"/>
      <c r="Q89" s="135"/>
      <c r="R89" s="135"/>
      <c r="S89" s="135"/>
      <c r="T89" s="135"/>
      <c r="U89" s="135"/>
      <c r="V89" s="394"/>
      <c r="W89" s="135"/>
      <c r="X89" s="135"/>
      <c r="Y89" s="135"/>
    </row>
    <row r="90" spans="1:25" ht="15" customHeight="1" x14ac:dyDescent="0.2"/>
    <row r="91" spans="1:25" ht="15" customHeight="1" x14ac:dyDescent="0.2">
      <c r="C91" s="261" t="s">
        <v>496</v>
      </c>
    </row>
    <row r="92" spans="1:25" ht="15" customHeight="1" x14ac:dyDescent="0.2">
      <c r="C92" s="261" t="s">
        <v>497</v>
      </c>
    </row>
    <row r="93" spans="1:25" ht="15" customHeight="1" x14ac:dyDescent="0.2"/>
    <row r="94" spans="1:25" ht="15" customHeight="1" x14ac:dyDescent="0.2"/>
    <row r="95" spans="1:25" ht="15" customHeight="1" x14ac:dyDescent="0.2"/>
    <row r="96" spans="1:25" ht="15" customHeight="1" x14ac:dyDescent="0.2"/>
    <row r="97" ht="15" customHeight="1" x14ac:dyDescent="0.2"/>
    <row r="98" ht="1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</sheetData>
  <customSheetViews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5" bottom="0.75" header="0.5" footer="0.5"/>
  <pageSetup scale="37" orientation="landscape" r:id="rId3"/>
  <headerFooter alignWithMargins="0"/>
  <colBreaks count="1" manualBreakCount="1">
    <brk id="2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85" zoomScaleNormal="115" zoomScaleSheetLayoutView="85" workbookViewId="0">
      <selection activeCell="X49" sqref="X49"/>
    </sheetView>
  </sheetViews>
  <sheetFormatPr defaultColWidth="7.5703125" defaultRowHeight="15" x14ac:dyDescent="0.2"/>
  <cols>
    <col min="1" max="1" width="8.5703125" style="481" customWidth="1"/>
    <col min="2" max="2" width="2.5703125" style="481" customWidth="1"/>
    <col min="3" max="3" width="58.85546875" style="481" customWidth="1"/>
    <col min="4" max="4" width="2.5703125" style="481" customWidth="1"/>
    <col min="5" max="5" width="15" style="482" bestFit="1" customWidth="1"/>
    <col min="6" max="7" width="2.5703125" style="481" customWidth="1"/>
    <col min="8" max="8" width="10.7109375" style="481" customWidth="1"/>
    <col min="9" max="9" width="2.140625" style="481" customWidth="1"/>
    <col min="10" max="10" width="10.7109375" style="481" customWidth="1"/>
    <col min="11" max="11" width="3.42578125" style="481" customWidth="1"/>
    <col min="12" max="12" width="10.7109375" style="481" customWidth="1"/>
    <col min="13" max="13" width="2.5703125" style="481" customWidth="1"/>
    <col min="14" max="14" width="7" style="481" customWidth="1"/>
    <col min="15" max="16384" width="7.5703125" style="481"/>
  </cols>
  <sheetData>
    <row r="1" spans="1:14" ht="15.75" x14ac:dyDescent="0.25">
      <c r="A1" s="40" t="s">
        <v>539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6" t="s">
        <v>853</v>
      </c>
    </row>
    <row r="2" spans="1:14" ht="15.75" x14ac:dyDescent="0.25">
      <c r="A2" s="40" t="s">
        <v>489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567"/>
    </row>
    <row r="3" spans="1:14" ht="15.75" x14ac:dyDescent="0.25">
      <c r="A3" s="40" t="s">
        <v>301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567"/>
    </row>
    <row r="4" spans="1:14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567"/>
    </row>
    <row r="5" spans="1:14" ht="15.75" x14ac:dyDescent="0.25">
      <c r="A5" s="40"/>
      <c r="B5" s="41"/>
      <c r="C5" s="41"/>
      <c r="D5" s="41"/>
      <c r="F5" s="41"/>
      <c r="G5" s="345"/>
      <c r="H5" s="487"/>
      <c r="I5" s="345"/>
      <c r="J5" s="487"/>
      <c r="K5" s="345"/>
      <c r="L5" s="487"/>
      <c r="M5" s="345"/>
      <c r="N5" s="416"/>
    </row>
    <row r="6" spans="1:14" ht="15.75" x14ac:dyDescent="0.25">
      <c r="A6" s="487" t="s">
        <v>34</v>
      </c>
      <c r="B6" s="487"/>
      <c r="C6" s="487"/>
      <c r="D6" s="487"/>
      <c r="E6" s="487" t="s">
        <v>35</v>
      </c>
      <c r="F6" s="487"/>
      <c r="G6" s="487"/>
      <c r="H6" s="844" t="s">
        <v>330</v>
      </c>
      <c r="I6" s="844"/>
      <c r="J6" s="844"/>
      <c r="K6" s="844"/>
      <c r="L6" s="844"/>
      <c r="M6" s="217"/>
      <c r="N6" s="416"/>
    </row>
    <row r="7" spans="1:14" ht="15.75" x14ac:dyDescent="0.25">
      <c r="A7" s="486" t="s">
        <v>36</v>
      </c>
      <c r="B7" s="487"/>
      <c r="C7" s="486" t="s">
        <v>178</v>
      </c>
      <c r="D7" s="487"/>
      <c r="E7" s="486" t="s">
        <v>37</v>
      </c>
      <c r="F7" s="487"/>
      <c r="G7" s="346"/>
      <c r="H7" s="486">
        <v>2013</v>
      </c>
      <c r="I7" s="346"/>
      <c r="J7" s="486">
        <v>2014</v>
      </c>
      <c r="K7" s="346"/>
      <c r="L7" s="486">
        <v>2015</v>
      </c>
      <c r="M7" s="217"/>
      <c r="N7" s="416"/>
    </row>
    <row r="9" spans="1:14" ht="15.75" x14ac:dyDescent="0.25">
      <c r="A9" s="482">
        <v>1</v>
      </c>
      <c r="C9" s="389" t="s">
        <v>531</v>
      </c>
      <c r="G9" s="119"/>
      <c r="H9" s="119"/>
      <c r="I9" s="119"/>
      <c r="J9" s="119"/>
      <c r="K9" s="119"/>
      <c r="L9" s="119"/>
      <c r="M9" s="119"/>
    </row>
    <row r="10" spans="1:14" x14ac:dyDescent="0.2">
      <c r="A10" s="482">
        <f t="shared" ref="A10:A23" si="0">A9+1</f>
        <v>2</v>
      </c>
      <c r="C10" s="97" t="s">
        <v>533</v>
      </c>
      <c r="G10" s="135"/>
      <c r="H10" s="135">
        <v>93</v>
      </c>
      <c r="I10" s="135"/>
      <c r="J10" s="135">
        <v>0</v>
      </c>
      <c r="K10" s="135"/>
      <c r="L10" s="135">
        <v>0</v>
      </c>
      <c r="M10" s="387"/>
    </row>
    <row r="11" spans="1:14" x14ac:dyDescent="0.2">
      <c r="A11" s="482">
        <f t="shared" si="0"/>
        <v>3</v>
      </c>
      <c r="C11" s="97" t="s">
        <v>532</v>
      </c>
      <c r="G11" s="135"/>
      <c r="H11" s="135">
        <v>81</v>
      </c>
      <c r="I11" s="135"/>
      <c r="J11" s="135">
        <v>0</v>
      </c>
      <c r="K11" s="135"/>
      <c r="L11" s="135">
        <v>0</v>
      </c>
      <c r="M11" s="387"/>
    </row>
    <row r="12" spans="1:14" x14ac:dyDescent="0.2">
      <c r="A12" s="482">
        <f t="shared" si="0"/>
        <v>4</v>
      </c>
      <c r="C12" s="97" t="s">
        <v>534</v>
      </c>
      <c r="G12" s="90"/>
      <c r="H12" s="90">
        <v>8</v>
      </c>
      <c r="I12" s="90"/>
      <c r="J12" s="90">
        <v>0</v>
      </c>
      <c r="K12" s="90"/>
      <c r="L12" s="90">
        <v>0</v>
      </c>
      <c r="M12" s="45"/>
    </row>
    <row r="13" spans="1:14" x14ac:dyDescent="0.2">
      <c r="A13" s="482">
        <f t="shared" si="0"/>
        <v>5</v>
      </c>
      <c r="C13" s="97" t="s">
        <v>535</v>
      </c>
      <c r="G13" s="90"/>
      <c r="H13" s="90">
        <v>9</v>
      </c>
      <c r="I13" s="90"/>
      <c r="J13" s="90">
        <v>0</v>
      </c>
      <c r="K13" s="90"/>
      <c r="L13" s="90">
        <v>0</v>
      </c>
      <c r="M13" s="45"/>
    </row>
    <row r="14" spans="1:14" x14ac:dyDescent="0.2">
      <c r="A14" s="482">
        <f t="shared" si="0"/>
        <v>6</v>
      </c>
      <c r="C14" s="97" t="s">
        <v>728</v>
      </c>
      <c r="G14" s="90"/>
      <c r="H14" s="90">
        <v>90</v>
      </c>
      <c r="I14" s="90"/>
      <c r="J14" s="90">
        <v>0</v>
      </c>
      <c r="K14" s="90"/>
      <c r="L14" s="90">
        <v>0</v>
      </c>
      <c r="M14" s="45"/>
    </row>
    <row r="15" spans="1:14" x14ac:dyDescent="0.2">
      <c r="A15" s="482">
        <f t="shared" si="0"/>
        <v>7</v>
      </c>
      <c r="C15" s="97" t="s">
        <v>536</v>
      </c>
      <c r="G15" s="90"/>
      <c r="H15" s="90">
        <v>136</v>
      </c>
      <c r="I15" s="90"/>
      <c r="J15" s="90">
        <v>0</v>
      </c>
      <c r="K15" s="90"/>
      <c r="L15" s="90">
        <v>0</v>
      </c>
      <c r="M15" s="45"/>
    </row>
    <row r="16" spans="1:14" ht="16.5" thickBot="1" x14ac:dyDescent="0.3">
      <c r="A16" s="482">
        <f t="shared" si="0"/>
        <v>8</v>
      </c>
      <c r="C16" s="284" t="s">
        <v>217</v>
      </c>
      <c r="E16" s="482" t="s">
        <v>871</v>
      </c>
      <c r="G16" s="90"/>
      <c r="H16" s="337">
        <f>SUM(H10:H15)</f>
        <v>417</v>
      </c>
      <c r="I16" s="90"/>
      <c r="J16" s="337">
        <f>SUM(J10:J15)</f>
        <v>0</v>
      </c>
      <c r="K16" s="90"/>
      <c r="L16" s="337">
        <f>SUM(L10:L15)</f>
        <v>0</v>
      </c>
      <c r="M16" s="39"/>
    </row>
    <row r="17" spans="1:13" ht="16.5" thickTop="1" x14ac:dyDescent="0.25">
      <c r="A17" s="482">
        <f t="shared" si="0"/>
        <v>9</v>
      </c>
      <c r="C17" s="214"/>
      <c r="G17" s="135"/>
      <c r="H17" s="135"/>
      <c r="I17" s="135"/>
      <c r="J17" s="135"/>
      <c r="K17" s="135"/>
      <c r="L17" s="135"/>
      <c r="M17" s="387"/>
    </row>
    <row r="18" spans="1:13" ht="15.75" x14ac:dyDescent="0.25">
      <c r="A18" s="482">
        <f t="shared" si="0"/>
        <v>10</v>
      </c>
      <c r="C18" s="389" t="s">
        <v>537</v>
      </c>
      <c r="G18" s="419"/>
      <c r="H18" s="419"/>
      <c r="I18" s="419"/>
      <c r="J18" s="419"/>
      <c r="K18" s="419"/>
      <c r="L18" s="419"/>
    </row>
    <row r="19" spans="1:13" x14ac:dyDescent="0.2">
      <c r="A19" s="482">
        <f t="shared" si="0"/>
        <v>11</v>
      </c>
      <c r="C19" s="97" t="s">
        <v>533</v>
      </c>
      <c r="G19" s="135"/>
      <c r="H19" s="135">
        <v>0</v>
      </c>
      <c r="I19" s="135"/>
      <c r="J19" s="135">
        <v>60</v>
      </c>
      <c r="K19" s="135"/>
      <c r="L19" s="135">
        <v>0</v>
      </c>
      <c r="M19" s="387"/>
    </row>
    <row r="20" spans="1:13" x14ac:dyDescent="0.2">
      <c r="A20" s="482">
        <f t="shared" si="0"/>
        <v>12</v>
      </c>
      <c r="C20" s="97" t="s">
        <v>535</v>
      </c>
      <c r="G20" s="135"/>
      <c r="H20" s="135">
        <v>0</v>
      </c>
      <c r="I20" s="135"/>
      <c r="J20" s="135">
        <v>13</v>
      </c>
      <c r="K20" s="135"/>
      <c r="L20" s="135">
        <v>0</v>
      </c>
      <c r="M20" s="387"/>
    </row>
    <row r="21" spans="1:13" x14ac:dyDescent="0.2">
      <c r="A21" s="482">
        <f t="shared" si="0"/>
        <v>13</v>
      </c>
      <c r="C21" s="97" t="s">
        <v>728</v>
      </c>
      <c r="G21" s="135"/>
      <c r="H21" s="135">
        <v>0</v>
      </c>
      <c r="I21" s="135"/>
      <c r="J21" s="135">
        <v>45</v>
      </c>
      <c r="K21" s="135"/>
      <c r="L21" s="135">
        <v>0</v>
      </c>
      <c r="M21" s="387"/>
    </row>
    <row r="22" spans="1:13" x14ac:dyDescent="0.2">
      <c r="A22" s="482">
        <f t="shared" si="0"/>
        <v>14</v>
      </c>
      <c r="C22" s="97" t="s">
        <v>536</v>
      </c>
      <c r="G22" s="135"/>
      <c r="H22" s="135">
        <v>0</v>
      </c>
      <c r="I22" s="135"/>
      <c r="J22" s="135">
        <v>75</v>
      </c>
      <c r="K22" s="135"/>
      <c r="L22" s="135">
        <v>0</v>
      </c>
      <c r="M22" s="387"/>
    </row>
    <row r="23" spans="1:13" ht="16.5" thickBot="1" x14ac:dyDescent="0.3">
      <c r="A23" s="482">
        <f t="shared" si="0"/>
        <v>15</v>
      </c>
      <c r="C23" s="284" t="s">
        <v>217</v>
      </c>
      <c r="E23" s="482" t="s">
        <v>871</v>
      </c>
      <c r="G23" s="135"/>
      <c r="H23" s="332">
        <f>SUM(H19:H22)</f>
        <v>0</v>
      </c>
      <c r="I23" s="135"/>
      <c r="J23" s="332">
        <f>SUM(J19:J22)</f>
        <v>193</v>
      </c>
      <c r="K23" s="135"/>
      <c r="L23" s="332">
        <f>SUM(L19:L22)</f>
        <v>0</v>
      </c>
      <c r="M23" s="387"/>
    </row>
    <row r="24" spans="1:13" ht="18" thickTop="1" x14ac:dyDescent="0.35">
      <c r="C24" s="137"/>
      <c r="G24" s="135"/>
      <c r="H24" s="135"/>
      <c r="I24" s="135"/>
      <c r="J24" s="135"/>
      <c r="K24" s="135"/>
      <c r="L24" s="135"/>
      <c r="M24" s="387"/>
    </row>
    <row r="25" spans="1:13" x14ac:dyDescent="0.2">
      <c r="C25" s="97"/>
      <c r="G25" s="119"/>
      <c r="H25" s="119"/>
      <c r="I25" s="119"/>
      <c r="J25" s="119"/>
      <c r="K25" s="119"/>
      <c r="L25" s="119"/>
      <c r="M25" s="119"/>
    </row>
    <row r="26" spans="1:13" x14ac:dyDescent="0.2">
      <c r="C26" s="97"/>
      <c r="G26" s="119"/>
      <c r="H26" s="119"/>
      <c r="I26" s="119"/>
      <c r="J26" s="119"/>
      <c r="K26" s="119"/>
      <c r="L26" s="119"/>
      <c r="M26" s="119"/>
    </row>
    <row r="27" spans="1:13" x14ac:dyDescent="0.2">
      <c r="C27" s="97"/>
      <c r="G27" s="119"/>
      <c r="H27" s="119"/>
      <c r="I27" s="119"/>
      <c r="J27" s="119"/>
      <c r="K27" s="119"/>
      <c r="L27" s="119"/>
      <c r="M27" s="119"/>
    </row>
    <row r="28" spans="1:13" x14ac:dyDescent="0.2">
      <c r="A28" s="482"/>
      <c r="C28" s="97"/>
      <c r="G28" s="119"/>
      <c r="H28" s="119"/>
      <c r="I28" s="119"/>
      <c r="J28" s="119"/>
      <c r="K28" s="119"/>
      <c r="L28" s="119"/>
      <c r="M28" s="119"/>
    </row>
    <row r="29" spans="1:13" x14ac:dyDescent="0.2">
      <c r="A29" s="482"/>
      <c r="C29" s="97"/>
      <c r="G29" s="119"/>
      <c r="H29" s="119"/>
      <c r="I29" s="119"/>
      <c r="J29" s="119"/>
      <c r="K29" s="119"/>
      <c r="L29" s="119"/>
      <c r="M29" s="119"/>
    </row>
    <row r="30" spans="1:13" ht="10.5" customHeight="1" x14ac:dyDescent="0.2">
      <c r="C30" s="97"/>
    </row>
    <row r="31" spans="1:13" ht="10.5" customHeight="1" x14ac:dyDescent="0.2"/>
    <row r="32" spans="1:13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</sheetData>
  <mergeCells count="1">
    <mergeCell ref="H6:L6"/>
  </mergeCells>
  <printOptions horizontalCentered="1"/>
  <pageMargins left="0.5" right="0.5" top="0.75" bottom="0.75" header="0.5" footer="0.5"/>
  <pageSetup scale="97" orientation="landscape" r:id="rId1"/>
  <headerFooter alignWithMargins="0"/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pageSetUpPr fitToPage="1"/>
  </sheetPr>
  <dimension ref="A1:AB45"/>
  <sheetViews>
    <sheetView view="pageBreakPreview" zoomScale="75" zoomScaleNormal="70" zoomScaleSheetLayoutView="75" workbookViewId="0">
      <selection activeCell="AC41" sqref="AC41"/>
    </sheetView>
  </sheetViews>
  <sheetFormatPr defaultColWidth="8" defaultRowHeight="15" x14ac:dyDescent="0.2"/>
  <cols>
    <col min="1" max="1" width="7.42578125" style="419" customWidth="1"/>
    <col min="2" max="2" width="2.28515625" style="419" customWidth="1"/>
    <col min="3" max="3" width="55.42578125" style="419" customWidth="1"/>
    <col min="4" max="4" width="2.28515625" style="419" customWidth="1"/>
    <col min="5" max="5" width="12.85546875" style="419" customWidth="1"/>
    <col min="6" max="6" width="2.28515625" style="419" customWidth="1"/>
    <col min="7" max="7" width="9.7109375" style="419" customWidth="1"/>
    <col min="8" max="8" width="2.28515625" style="419" customWidth="1"/>
    <col min="9" max="9" width="9.7109375" style="419" customWidth="1"/>
    <col min="10" max="10" width="2.28515625" style="419" customWidth="1"/>
    <col min="11" max="11" width="9.7109375" style="419" customWidth="1"/>
    <col min="12" max="12" width="2.28515625" style="419" customWidth="1"/>
    <col min="13" max="13" width="9.7109375" style="419" customWidth="1"/>
    <col min="14" max="14" width="2.28515625" style="419" customWidth="1"/>
    <col min="15" max="15" width="9.7109375" style="419" customWidth="1"/>
    <col min="16" max="16" width="2.28515625" style="419" customWidth="1"/>
    <col min="17" max="17" width="9.7109375" style="419" customWidth="1"/>
    <col min="18" max="18" width="2.28515625" style="419" customWidth="1"/>
    <col min="19" max="19" width="9.7109375" style="419" customWidth="1"/>
    <col min="20" max="20" width="2.28515625" style="419" customWidth="1"/>
    <col min="21" max="21" width="9.7109375" style="419" customWidth="1"/>
    <col min="22" max="22" width="2.28515625" style="419" customWidth="1"/>
    <col min="23" max="23" width="9.7109375" style="419" customWidth="1"/>
    <col min="24" max="24" width="2.28515625" style="419" customWidth="1"/>
    <col min="25" max="25" width="9.7109375" style="419" customWidth="1"/>
    <col min="26" max="27" width="2.28515625" style="419" customWidth="1"/>
    <col min="28" max="28" width="13.5703125" style="419" customWidth="1"/>
    <col min="29" max="16384" width="8" style="419"/>
  </cols>
  <sheetData>
    <row r="1" spans="1:28" s="779" customFormat="1" ht="15.75" x14ac:dyDescent="0.25">
      <c r="A1" s="778" t="s">
        <v>539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  <c r="W1" s="778"/>
      <c r="X1" s="778"/>
      <c r="Y1" s="778"/>
      <c r="Z1" s="80" t="s">
        <v>854</v>
      </c>
      <c r="AA1" s="80"/>
    </row>
    <row r="2" spans="1:28" ht="15.75" x14ac:dyDescent="0.25">
      <c r="A2" s="778" t="s">
        <v>489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2"/>
      <c r="AA2" s="772"/>
    </row>
    <row r="3" spans="1:28" ht="15.75" x14ac:dyDescent="0.25">
      <c r="A3" s="778" t="s">
        <v>60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2"/>
      <c r="AA3" s="772"/>
    </row>
    <row r="4" spans="1:28" ht="15.75" x14ac:dyDescent="0.25">
      <c r="A4" s="778" t="s">
        <v>33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2"/>
      <c r="AA4" s="772"/>
    </row>
    <row r="5" spans="1:28" ht="17.25" customHeight="1" x14ac:dyDescent="0.25">
      <c r="A5" s="772"/>
      <c r="B5" s="772"/>
      <c r="C5" s="772"/>
      <c r="D5" s="772"/>
      <c r="E5" s="772"/>
      <c r="O5" s="345"/>
      <c r="P5" s="345"/>
      <c r="Q5" s="772"/>
      <c r="R5" s="345"/>
      <c r="S5" s="772"/>
      <c r="T5" s="345"/>
      <c r="U5" s="772"/>
      <c r="V5" s="345"/>
      <c r="W5" s="772" t="s">
        <v>461</v>
      </c>
      <c r="X5" s="772"/>
      <c r="Y5" s="772" t="s">
        <v>461</v>
      </c>
      <c r="Z5" s="772"/>
    </row>
    <row r="6" spans="1:28" ht="15.75" x14ac:dyDescent="0.25">
      <c r="A6" s="772" t="s">
        <v>34</v>
      </c>
      <c r="B6" s="772"/>
      <c r="C6" s="772"/>
      <c r="D6" s="772"/>
      <c r="E6" s="772" t="s">
        <v>35</v>
      </c>
      <c r="F6" s="772"/>
      <c r="G6" s="772" t="s">
        <v>26</v>
      </c>
      <c r="H6" s="772"/>
      <c r="I6" s="772" t="s">
        <v>26</v>
      </c>
      <c r="J6" s="772"/>
      <c r="K6" s="772" t="s">
        <v>26</v>
      </c>
      <c r="L6" s="772"/>
      <c r="M6" s="772" t="s">
        <v>26</v>
      </c>
      <c r="N6" s="772"/>
      <c r="O6" s="772" t="s">
        <v>26</v>
      </c>
      <c r="P6" s="772"/>
      <c r="Q6" s="847" t="s">
        <v>330</v>
      </c>
      <c r="R6" s="847"/>
      <c r="S6" s="847"/>
      <c r="T6" s="847"/>
      <c r="U6" s="847"/>
      <c r="V6" s="345"/>
      <c r="W6" s="772" t="s">
        <v>15</v>
      </c>
      <c r="X6" s="772"/>
      <c r="Y6" s="772" t="s">
        <v>15</v>
      </c>
      <c r="Z6" s="772"/>
      <c r="AA6" s="772"/>
    </row>
    <row r="7" spans="1:28" ht="15.75" x14ac:dyDescent="0.25">
      <c r="A7" s="771" t="s">
        <v>36</v>
      </c>
      <c r="B7" s="772"/>
      <c r="C7" s="771" t="s">
        <v>178</v>
      </c>
      <c r="D7" s="772"/>
      <c r="E7" s="771" t="s">
        <v>37</v>
      </c>
      <c r="F7" s="772"/>
      <c r="G7" s="771">
        <v>2008</v>
      </c>
      <c r="H7" s="772"/>
      <c r="I7" s="771">
        <v>2009</v>
      </c>
      <c r="J7" s="772"/>
      <c r="K7" s="771">
        <v>2010</v>
      </c>
      <c r="L7" s="772"/>
      <c r="M7" s="771">
        <v>2011</v>
      </c>
      <c r="N7" s="772"/>
      <c r="O7" s="771">
        <v>2012</v>
      </c>
      <c r="P7" s="346"/>
      <c r="Q7" s="771">
        <v>2013</v>
      </c>
      <c r="R7" s="346"/>
      <c r="S7" s="771">
        <v>2014</v>
      </c>
      <c r="T7" s="346"/>
      <c r="U7" s="771">
        <v>2015</v>
      </c>
      <c r="V7" s="345"/>
      <c r="W7" s="771">
        <v>2008</v>
      </c>
      <c r="X7" s="345"/>
      <c r="Y7" s="771">
        <v>2009</v>
      </c>
      <c r="Z7" s="346"/>
      <c r="AA7" s="772"/>
    </row>
    <row r="8" spans="1:28" ht="7.5" customHeight="1" x14ac:dyDescent="0.2"/>
    <row r="9" spans="1:28" x14ac:dyDescent="0.2">
      <c r="A9" s="117">
        <v>1</v>
      </c>
      <c r="C9" s="547" t="s">
        <v>552</v>
      </c>
      <c r="E9" s="117" t="s">
        <v>286</v>
      </c>
      <c r="F9" s="149"/>
      <c r="G9" s="149">
        <f>+S1.1!G18</f>
        <v>8593.406930000001</v>
      </c>
      <c r="H9" s="149"/>
      <c r="I9" s="149">
        <f>+S1.1!I18</f>
        <v>9474</v>
      </c>
      <c r="J9" s="149"/>
      <c r="K9" s="149">
        <f>+S1.1!K18</f>
        <v>9624.8402999999998</v>
      </c>
      <c r="L9" s="149"/>
      <c r="M9" s="149">
        <f>+S1.1!M18</f>
        <v>9798.9852110000011</v>
      </c>
      <c r="N9" s="149"/>
      <c r="O9" s="149">
        <f>+S1.1!O18</f>
        <v>11058.881460000001</v>
      </c>
      <c r="P9" s="149"/>
      <c r="Q9" s="149">
        <f>+S1.1!Q18</f>
        <v>11604.296718754196</v>
      </c>
      <c r="R9" s="149"/>
      <c r="S9" s="149">
        <f>+S1.1!S18</f>
        <v>11882.009819358864</v>
      </c>
      <c r="T9" s="149"/>
      <c r="U9" s="149">
        <f>+S1.1!U18</f>
        <v>11943.970204561667</v>
      </c>
      <c r="V9" s="149"/>
      <c r="W9" s="149">
        <f>S1.1!W18</f>
        <v>8643.7362243139341</v>
      </c>
      <c r="X9" s="149"/>
      <c r="Y9" s="149">
        <f>S1.1!Y18</f>
        <v>8826.2882775481448</v>
      </c>
      <c r="Z9" s="149"/>
      <c r="AA9" s="149"/>
    </row>
    <row r="10" spans="1:28" x14ac:dyDescent="0.2">
      <c r="A10" s="117">
        <v>2</v>
      </c>
      <c r="C10" s="419" t="s">
        <v>551</v>
      </c>
      <c r="E10" s="117" t="s">
        <v>279</v>
      </c>
      <c r="F10" s="149"/>
      <c r="G10" s="149">
        <f>+S1.1!G16</f>
        <v>24157</v>
      </c>
      <c r="H10" s="149"/>
      <c r="I10" s="149">
        <f>+S1.1!I16</f>
        <v>23211</v>
      </c>
      <c r="J10" s="149"/>
      <c r="K10" s="149">
        <f>+S1.1!K16</f>
        <v>23462</v>
      </c>
      <c r="L10" s="149"/>
      <c r="M10" s="149">
        <f>+S1.1!M16</f>
        <v>24093</v>
      </c>
      <c r="N10" s="149"/>
      <c r="O10" s="149">
        <f>+S1.1!O16</f>
        <v>26923.073719999997</v>
      </c>
      <c r="P10" s="149"/>
      <c r="Q10" s="149">
        <f>+S1.1!Q16</f>
        <v>24857.873488240668</v>
      </c>
      <c r="R10" s="149"/>
      <c r="S10" s="149">
        <f>+S1.1!S16</f>
        <v>26066.066994949357</v>
      </c>
      <c r="T10" s="149"/>
      <c r="U10" s="149">
        <f>+S1.1!U16</f>
        <v>26633.64227260906</v>
      </c>
      <c r="V10" s="149"/>
      <c r="W10" s="148">
        <f>S1.1!W16</f>
        <v>24121.34669996368</v>
      </c>
      <c r="X10" s="148"/>
      <c r="Y10" s="148">
        <f>S1.1!Y16</f>
        <v>23840.825063281893</v>
      </c>
      <c r="Z10" s="148"/>
      <c r="AA10" s="148"/>
    </row>
    <row r="11" spans="1:28" x14ac:dyDescent="0.2">
      <c r="A11" s="117">
        <v>3</v>
      </c>
      <c r="C11" s="419" t="s">
        <v>241</v>
      </c>
      <c r="E11" s="117" t="s">
        <v>282</v>
      </c>
      <c r="F11" s="149"/>
      <c r="G11" s="149">
        <f>+S1.1!G17</f>
        <v>6603.13</v>
      </c>
      <c r="H11" s="149"/>
      <c r="I11" s="149">
        <f>+S1.1!I17</f>
        <v>3757.9479999999999</v>
      </c>
      <c r="J11" s="149"/>
      <c r="K11" s="149">
        <f>+S1.1!K17</f>
        <v>5146.3510000000006</v>
      </c>
      <c r="L11" s="149"/>
      <c r="M11" s="149">
        <f>+S1.1!M17</f>
        <v>5539</v>
      </c>
      <c r="N11" s="149"/>
      <c r="O11" s="149">
        <f>+S1.1!O17</f>
        <v>5637</v>
      </c>
      <c r="P11" s="149"/>
      <c r="Q11" s="149">
        <f>+S1.1!Q17</f>
        <v>6610.9961069884821</v>
      </c>
      <c r="R11" s="149"/>
      <c r="S11" s="149">
        <f>+S1.1!S17</f>
        <v>6700.5623420348602</v>
      </c>
      <c r="T11" s="149"/>
      <c r="U11" s="149">
        <f>+S1.1!U17</f>
        <v>6703.6940606104627</v>
      </c>
      <c r="V11" s="149"/>
      <c r="W11" s="148">
        <f>S1.1!W17</f>
        <v>5828.7308712466902</v>
      </c>
      <c r="X11" s="148"/>
      <c r="Y11" s="148">
        <f>S1.1!Y17</f>
        <v>5396.8141513462342</v>
      </c>
      <c r="Z11" s="148"/>
      <c r="AA11" s="148"/>
      <c r="AB11" s="149"/>
    </row>
    <row r="12" spans="1:28" x14ac:dyDescent="0.2">
      <c r="A12" s="117">
        <v>5</v>
      </c>
      <c r="C12" s="419" t="s">
        <v>270</v>
      </c>
      <c r="E12" s="117" t="s">
        <v>319</v>
      </c>
      <c r="F12" s="149"/>
      <c r="G12" s="260">
        <f>+S1.1!G19</f>
        <v>231</v>
      </c>
      <c r="H12" s="149"/>
      <c r="I12" s="260">
        <f>+S1.1!I19</f>
        <v>239</v>
      </c>
      <c r="J12" s="149"/>
      <c r="K12" s="260">
        <f>+S1.1!K19</f>
        <v>230</v>
      </c>
      <c r="L12" s="149"/>
      <c r="M12" s="260">
        <f>+S1.1!M19</f>
        <v>235</v>
      </c>
      <c r="N12" s="149"/>
      <c r="O12" s="260">
        <f>+S1.1!O19</f>
        <v>249.7</v>
      </c>
      <c r="P12" s="149"/>
      <c r="Q12" s="260">
        <f>+S1.1!Q19</f>
        <v>257.19099999999997</v>
      </c>
      <c r="R12" s="149"/>
      <c r="S12" s="260">
        <f>+S1.1!S19</f>
        <v>264.90672999999998</v>
      </c>
      <c r="T12" s="149"/>
      <c r="U12" s="260">
        <f>+S1.1!U19</f>
        <v>272.85393189999996</v>
      </c>
      <c r="V12" s="149"/>
      <c r="W12" s="260">
        <f>S1.1!W19</f>
        <v>244.45627912500004</v>
      </c>
      <c r="X12" s="149"/>
      <c r="Y12" s="260">
        <f>S1.1!Y19</f>
        <v>254.23453029000007</v>
      </c>
      <c r="Z12" s="151"/>
      <c r="AA12" s="149"/>
    </row>
    <row r="13" spans="1:28" x14ac:dyDescent="0.2">
      <c r="A13" s="117">
        <v>6</v>
      </c>
      <c r="C13" s="419" t="s">
        <v>189</v>
      </c>
      <c r="E13" s="117"/>
      <c r="F13" s="149"/>
      <c r="G13" s="149">
        <f>SUM(G9:G12)</f>
        <v>39584.536930000002</v>
      </c>
      <c r="H13" s="149"/>
      <c r="I13" s="149">
        <f>SUM(I9:I12)</f>
        <v>36681.947999999997</v>
      </c>
      <c r="J13" s="149"/>
      <c r="K13" s="149">
        <f>SUM(K9:K12)</f>
        <v>38463.191299999999</v>
      </c>
      <c r="L13" s="149"/>
      <c r="M13" s="149">
        <f>SUM(M9:M12)</f>
        <v>39665.985210999999</v>
      </c>
      <c r="N13" s="149"/>
      <c r="O13" s="149">
        <f>SUM(O9:O12)</f>
        <v>43868.655179999994</v>
      </c>
      <c r="P13" s="149"/>
      <c r="Q13" s="149">
        <f>SUM(Q9:Q12)</f>
        <v>43330.357313983346</v>
      </c>
      <c r="R13" s="149"/>
      <c r="S13" s="149">
        <f>SUM(S9:S12)</f>
        <v>44913.545886343083</v>
      </c>
      <c r="T13" s="149"/>
      <c r="U13" s="149">
        <f>SUM(U9:U12)</f>
        <v>45554.160469681185</v>
      </c>
      <c r="V13" s="149"/>
      <c r="W13" s="149">
        <f>SUM(W9:W12)</f>
        <v>38838.270074649306</v>
      </c>
      <c r="X13" s="149"/>
      <c r="Y13" s="149">
        <f>SUM(Y9:Y12)</f>
        <v>38318.162022466269</v>
      </c>
      <c r="Z13" s="149"/>
      <c r="AA13" s="149"/>
    </row>
    <row r="14" spans="1:28" x14ac:dyDescent="0.2">
      <c r="A14" s="117">
        <v>7</v>
      </c>
      <c r="C14" s="419" t="s">
        <v>192</v>
      </c>
      <c r="E14" s="117"/>
      <c r="F14" s="149"/>
      <c r="G14" s="149">
        <v>5</v>
      </c>
      <c r="H14" s="149"/>
      <c r="I14" s="149">
        <v>5</v>
      </c>
      <c r="J14" s="149"/>
      <c r="K14" s="149">
        <v>5</v>
      </c>
      <c r="L14" s="149"/>
      <c r="M14" s="149">
        <v>5</v>
      </c>
      <c r="N14" s="149"/>
      <c r="O14" s="149">
        <v>5</v>
      </c>
      <c r="P14" s="149"/>
      <c r="Q14" s="149">
        <v>7</v>
      </c>
      <c r="R14" s="149"/>
      <c r="S14" s="149">
        <v>7</v>
      </c>
      <c r="T14" s="149"/>
      <c r="U14" s="149">
        <v>7</v>
      </c>
      <c r="V14" s="149"/>
      <c r="W14" s="149">
        <v>5.42</v>
      </c>
      <c r="X14" s="149"/>
      <c r="Y14" s="149">
        <v>5.42</v>
      </c>
      <c r="Z14" s="149"/>
      <c r="AA14" s="149"/>
    </row>
    <row r="15" spans="1:28" x14ac:dyDescent="0.2">
      <c r="A15" s="117">
        <v>8</v>
      </c>
      <c r="C15" s="419" t="s">
        <v>302</v>
      </c>
      <c r="E15" s="117"/>
      <c r="F15" s="149"/>
      <c r="G15" s="150">
        <f>G14/365*G13</f>
        <v>542.25393054794517</v>
      </c>
      <c r="H15" s="149"/>
      <c r="I15" s="150">
        <f>I14/365*I13</f>
        <v>502.49243835616431</v>
      </c>
      <c r="J15" s="149"/>
      <c r="K15" s="150">
        <f>K14/365*K13</f>
        <v>526.8930315068493</v>
      </c>
      <c r="L15" s="149"/>
      <c r="M15" s="150">
        <f>M14/365*M13</f>
        <v>543.36966042465747</v>
      </c>
      <c r="N15" s="149"/>
      <c r="O15" s="150">
        <f>O14/365*O13</f>
        <v>600.94048191780814</v>
      </c>
      <c r="P15" s="149"/>
      <c r="Q15" s="150">
        <f>Q14/365*Q13</f>
        <v>830.9931539668039</v>
      </c>
      <c r="R15" s="149"/>
      <c r="S15" s="150">
        <f>S14/365*S13</f>
        <v>861.35567453260717</v>
      </c>
      <c r="T15" s="149"/>
      <c r="U15" s="150">
        <f>U14/365*U13</f>
        <v>873.64143366511871</v>
      </c>
      <c r="V15" s="149"/>
      <c r="W15" s="150">
        <f>W14/365*W13</f>
        <v>576.72170905369649</v>
      </c>
      <c r="X15" s="149"/>
      <c r="Y15" s="150">
        <f>Y14/365*Y13</f>
        <v>568.99846071717036</v>
      </c>
      <c r="Z15" s="151"/>
      <c r="AA15" s="149"/>
    </row>
    <row r="16" spans="1:28" ht="7.5" customHeight="1" x14ac:dyDescent="0.2">
      <c r="A16" s="117"/>
      <c r="E16" s="117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</row>
    <row r="17" spans="1:27" x14ac:dyDescent="0.2">
      <c r="A17" s="117">
        <v>9</v>
      </c>
      <c r="C17" s="419" t="s">
        <v>572</v>
      </c>
      <c r="E17" s="117"/>
      <c r="F17" s="149"/>
      <c r="G17" s="149">
        <f>554</f>
        <v>554</v>
      </c>
      <c r="H17" s="149"/>
      <c r="I17" s="149">
        <v>250</v>
      </c>
      <c r="J17" s="149"/>
      <c r="K17" s="149">
        <v>12.5</v>
      </c>
      <c r="L17" s="149"/>
      <c r="M17" s="149">
        <v>540</v>
      </c>
      <c r="N17" s="149"/>
      <c r="O17" s="149">
        <v>172</v>
      </c>
      <c r="P17" s="149"/>
      <c r="Q17" s="149">
        <v>0</v>
      </c>
      <c r="R17" s="149"/>
      <c r="S17" s="149">
        <v>0</v>
      </c>
      <c r="T17" s="149"/>
      <c r="U17" s="149">
        <v>160</v>
      </c>
      <c r="V17" s="149"/>
      <c r="W17" s="149">
        <v>0</v>
      </c>
      <c r="X17" s="149"/>
      <c r="Y17" s="149">
        <v>300</v>
      </c>
      <c r="Z17" s="149"/>
      <c r="AA17" s="149"/>
    </row>
    <row r="18" spans="1:27" x14ac:dyDescent="0.2">
      <c r="A18" s="117">
        <v>10</v>
      </c>
      <c r="C18" s="419" t="s">
        <v>345</v>
      </c>
      <c r="E18" s="117"/>
      <c r="F18" s="149"/>
      <c r="G18" s="149">
        <v>22</v>
      </c>
      <c r="H18" s="149"/>
      <c r="I18" s="149">
        <v>22</v>
      </c>
      <c r="J18" s="149"/>
      <c r="K18" s="149">
        <v>22</v>
      </c>
      <c r="L18" s="149"/>
      <c r="M18" s="149">
        <v>22</v>
      </c>
      <c r="N18" s="149"/>
      <c r="O18" s="149">
        <v>22</v>
      </c>
      <c r="P18" s="149"/>
      <c r="Q18" s="149">
        <v>22</v>
      </c>
      <c r="R18" s="149"/>
      <c r="S18" s="149">
        <v>22</v>
      </c>
      <c r="T18" s="149"/>
      <c r="U18" s="149">
        <v>22</v>
      </c>
      <c r="V18" s="149"/>
      <c r="W18" s="149">
        <v>22</v>
      </c>
      <c r="X18" s="149"/>
      <c r="Y18" s="149">
        <f>W18</f>
        <v>22</v>
      </c>
      <c r="Z18" s="149"/>
      <c r="AA18" s="149"/>
    </row>
    <row r="19" spans="1:27" x14ac:dyDescent="0.2">
      <c r="A19" s="117">
        <v>11</v>
      </c>
      <c r="C19" s="419" t="s">
        <v>346</v>
      </c>
      <c r="E19" s="117"/>
      <c r="F19" s="149"/>
      <c r="G19" s="150">
        <f>G18/365*G17</f>
        <v>33.391780821917813</v>
      </c>
      <c r="H19" s="149"/>
      <c r="I19" s="150">
        <f>I18/365*I17</f>
        <v>15.068493150684931</v>
      </c>
      <c r="J19" s="149"/>
      <c r="K19" s="150">
        <f>K18/365*K17</f>
        <v>0.75342465753424659</v>
      </c>
      <c r="L19" s="149"/>
      <c r="M19" s="150">
        <f>M18/365*M17</f>
        <v>32.547945205479451</v>
      </c>
      <c r="N19" s="149"/>
      <c r="O19" s="150">
        <f>O18/365*O17</f>
        <v>10.367123287671234</v>
      </c>
      <c r="P19" s="149"/>
      <c r="Q19" s="150">
        <f>Q18/365*Q17</f>
        <v>0</v>
      </c>
      <c r="R19" s="149"/>
      <c r="S19" s="150">
        <f>S18/365*S17</f>
        <v>0</v>
      </c>
      <c r="T19" s="149"/>
      <c r="U19" s="150">
        <f>U18/365*U17</f>
        <v>9.6438356164383556</v>
      </c>
      <c r="V19" s="149"/>
      <c r="W19" s="150">
        <f>W18/365*W17</f>
        <v>0</v>
      </c>
      <c r="X19" s="149"/>
      <c r="Y19" s="150">
        <f>Y18/365*Y17</f>
        <v>18.082191780821919</v>
      </c>
      <c r="Z19" s="151"/>
      <c r="AA19" s="149"/>
    </row>
    <row r="20" spans="1:27" ht="6" customHeight="1" x14ac:dyDescent="0.2">
      <c r="A20" s="117"/>
      <c r="E20" s="117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</row>
    <row r="21" spans="1:27" x14ac:dyDescent="0.2">
      <c r="A21" s="117">
        <v>12</v>
      </c>
      <c r="C21" s="419" t="s">
        <v>573</v>
      </c>
      <c r="E21" s="117"/>
      <c r="F21" s="148"/>
      <c r="G21" s="148">
        <v>672</v>
      </c>
      <c r="H21" s="148"/>
      <c r="I21" s="148">
        <v>592</v>
      </c>
      <c r="J21" s="148"/>
      <c r="K21" s="148">
        <v>-289</v>
      </c>
      <c r="L21" s="148"/>
      <c r="M21" s="148">
        <v>90</v>
      </c>
      <c r="N21" s="148"/>
      <c r="O21" s="148">
        <v>172</v>
      </c>
      <c r="P21" s="148"/>
      <c r="Q21" s="148">
        <v>416</v>
      </c>
      <c r="R21" s="148"/>
      <c r="S21" s="148">
        <v>256</v>
      </c>
      <c r="T21" s="148"/>
      <c r="U21" s="148">
        <v>103</v>
      </c>
      <c r="V21" s="148"/>
      <c r="W21" s="149">
        <v>344</v>
      </c>
      <c r="X21" s="148"/>
      <c r="Y21" s="149">
        <v>-211</v>
      </c>
      <c r="Z21" s="149"/>
      <c r="AA21" s="148"/>
    </row>
    <row r="22" spans="1:27" x14ac:dyDescent="0.2">
      <c r="A22" s="117">
        <v>13</v>
      </c>
      <c r="C22" s="419" t="s">
        <v>249</v>
      </c>
      <c r="E22" s="117"/>
      <c r="F22" s="149"/>
      <c r="G22" s="149">
        <v>204</v>
      </c>
      <c r="H22" s="149"/>
      <c r="I22" s="149">
        <v>204</v>
      </c>
      <c r="J22" s="149"/>
      <c r="K22" s="149">
        <v>204</v>
      </c>
      <c r="L22" s="149"/>
      <c r="M22" s="149">
        <v>204</v>
      </c>
      <c r="N22" s="149"/>
      <c r="O22" s="149">
        <v>204</v>
      </c>
      <c r="P22" s="149"/>
      <c r="Q22" s="149">
        <v>204</v>
      </c>
      <c r="R22" s="149"/>
      <c r="S22" s="149">
        <v>204</v>
      </c>
      <c r="T22" s="149"/>
      <c r="U22" s="149">
        <v>204</v>
      </c>
      <c r="V22" s="149"/>
      <c r="W22" s="149">
        <v>204</v>
      </c>
      <c r="X22" s="149"/>
      <c r="Y22" s="149">
        <v>204</v>
      </c>
      <c r="Z22" s="149"/>
      <c r="AA22" s="149"/>
    </row>
    <row r="23" spans="1:27" x14ac:dyDescent="0.2">
      <c r="A23" s="117">
        <v>14</v>
      </c>
      <c r="C23" s="419" t="s">
        <v>303</v>
      </c>
      <c r="E23" s="117"/>
      <c r="F23" s="149"/>
      <c r="G23" s="150">
        <f>G22/365*G21</f>
        <v>375.58356164383565</v>
      </c>
      <c r="H23" s="149"/>
      <c r="I23" s="150">
        <f>I22/365*I21</f>
        <v>330.87123287671233</v>
      </c>
      <c r="J23" s="149"/>
      <c r="K23" s="150">
        <f>K22/365*K21</f>
        <v>-161.52328767123288</v>
      </c>
      <c r="L23" s="149"/>
      <c r="M23" s="150">
        <f>M22/365*M21</f>
        <v>50.301369863013704</v>
      </c>
      <c r="N23" s="149"/>
      <c r="O23" s="150">
        <f>O22/365*O21</f>
        <v>96.131506849315073</v>
      </c>
      <c r="P23" s="149"/>
      <c r="Q23" s="150">
        <f>Q22/365*Q21</f>
        <v>232.50410958904112</v>
      </c>
      <c r="R23" s="149"/>
      <c r="S23" s="150">
        <f>S22/365*S21</f>
        <v>143.07945205479453</v>
      </c>
      <c r="T23" s="149"/>
      <c r="U23" s="150">
        <f>U22/365*U21</f>
        <v>57.567123287671237</v>
      </c>
      <c r="V23" s="149"/>
      <c r="W23" s="150">
        <f>W22/365*W21</f>
        <v>192.26301369863015</v>
      </c>
      <c r="X23" s="149"/>
      <c r="Y23" s="150">
        <f>Y22/365*Y21</f>
        <v>-117.92876712328768</v>
      </c>
      <c r="Z23" s="151"/>
      <c r="AA23" s="149"/>
    </row>
    <row r="24" spans="1:27" ht="9" customHeight="1" x14ac:dyDescent="0.2">
      <c r="A24" s="117"/>
      <c r="E24" s="117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</row>
    <row r="25" spans="1:27" x14ac:dyDescent="0.2">
      <c r="A25" s="117">
        <v>15</v>
      </c>
      <c r="C25" s="419" t="s">
        <v>803</v>
      </c>
      <c r="E25" s="117"/>
      <c r="F25" s="149"/>
      <c r="G25" s="149">
        <f>+(1784+1849+1629)/3</f>
        <v>1754</v>
      </c>
      <c r="H25" s="149"/>
      <c r="I25" s="149">
        <f>+(1849+1629+1789)/3</f>
        <v>1755.6666666666667</v>
      </c>
      <c r="J25" s="149"/>
      <c r="K25" s="149">
        <f>+(1629+1789+1888)/3</f>
        <v>1768.6666666666667</v>
      </c>
      <c r="L25" s="149"/>
      <c r="M25" s="149">
        <f>+(2139+1789+1887)/3</f>
        <v>1938.3333333333333</v>
      </c>
      <c r="N25" s="149"/>
      <c r="O25" s="149">
        <v>2018</v>
      </c>
      <c r="P25" s="149"/>
      <c r="Q25" s="149">
        <v>1938.3333333333333</v>
      </c>
      <c r="R25" s="149"/>
      <c r="S25" s="149">
        <v>1938.3333333333333</v>
      </c>
      <c r="T25" s="149"/>
      <c r="U25" s="149">
        <v>1938.3333333333333</v>
      </c>
      <c r="V25" s="149"/>
      <c r="W25" s="149">
        <v>1857.8645241666668</v>
      </c>
      <c r="X25" s="149"/>
      <c r="Y25" s="149">
        <v>1941.6409038750005</v>
      </c>
      <c r="Z25" s="149"/>
      <c r="AA25" s="149"/>
    </row>
    <row r="26" spans="1:27" ht="8.25" customHeight="1" x14ac:dyDescent="0.2">
      <c r="A26" s="117"/>
      <c r="E26" s="11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</row>
    <row r="27" spans="1:27" x14ac:dyDescent="0.2">
      <c r="A27" s="117">
        <v>16</v>
      </c>
      <c r="C27" s="419" t="s">
        <v>574</v>
      </c>
      <c r="E27" s="117" t="s">
        <v>642</v>
      </c>
      <c r="F27" s="149"/>
      <c r="G27" s="260">
        <f>+S8.11!G48</f>
        <v>114.61610258088105</v>
      </c>
      <c r="H27" s="149"/>
      <c r="I27" s="260">
        <f>+S8.11!I48</f>
        <v>90.264429534251917</v>
      </c>
      <c r="J27" s="149"/>
      <c r="K27" s="260">
        <f>+S8.11!K48</f>
        <v>103.8081162395405</v>
      </c>
      <c r="L27" s="149"/>
      <c r="M27" s="260">
        <f>+S8.11!M48</f>
        <v>128.85406006844426</v>
      </c>
      <c r="N27" s="149"/>
      <c r="O27" s="260">
        <f>+S8.11!O48</f>
        <v>135.54227192911236</v>
      </c>
      <c r="P27" s="149"/>
      <c r="Q27" s="260">
        <f>+S8.11!Q48</f>
        <v>152.32520654304926</v>
      </c>
      <c r="R27" s="149"/>
      <c r="S27" s="260">
        <f>+S8.11!S48</f>
        <v>164.89472954465222</v>
      </c>
      <c r="T27" s="149"/>
      <c r="U27" s="260">
        <f>+S8.11!U48</f>
        <v>144.44223299248682</v>
      </c>
      <c r="V27" s="149"/>
      <c r="W27" s="260">
        <f>S8.11!W48</f>
        <v>111.27267086392196</v>
      </c>
      <c r="X27" s="149"/>
      <c r="Y27" s="260">
        <f>S8.11!Y48</f>
        <v>97.674208872856127</v>
      </c>
      <c r="Z27" s="151"/>
      <c r="AA27" s="149"/>
    </row>
    <row r="28" spans="1:27" ht="9" customHeight="1" x14ac:dyDescent="0.2">
      <c r="A28" s="117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51"/>
      <c r="X28" s="149"/>
      <c r="Y28" s="151"/>
      <c r="Z28" s="151"/>
      <c r="AA28" s="149"/>
    </row>
    <row r="29" spans="1:27" x14ac:dyDescent="0.2">
      <c r="A29" s="117">
        <v>17</v>
      </c>
      <c r="C29" s="419" t="s">
        <v>190</v>
      </c>
      <c r="F29" s="149"/>
      <c r="G29" s="149">
        <f>+S8.1!O32</f>
        <v>1819</v>
      </c>
      <c r="H29" s="149"/>
      <c r="I29" s="149">
        <f>+S8.1!O42</f>
        <v>1895</v>
      </c>
      <c r="J29" s="149"/>
      <c r="K29" s="149">
        <f>+S8.1!O52</f>
        <v>1884</v>
      </c>
      <c r="L29" s="149"/>
      <c r="M29" s="149">
        <f>S8.1!O62</f>
        <v>1930.6984727375575</v>
      </c>
      <c r="N29" s="149"/>
      <c r="O29" s="149">
        <f>S8.1!O72</f>
        <v>2158.1427859951673</v>
      </c>
      <c r="P29" s="149"/>
      <c r="Q29" s="149">
        <f>S8.1!O112</f>
        <v>2556.6229858270362</v>
      </c>
      <c r="R29" s="149"/>
      <c r="S29" s="149">
        <f>S8.1!O122</f>
        <v>2954.7972711286261</v>
      </c>
      <c r="T29" s="149"/>
      <c r="U29" s="149">
        <f>S8.1!O132</f>
        <v>3245.1112469617829</v>
      </c>
      <c r="V29" s="149"/>
      <c r="W29" s="151">
        <f>S8.1!$O$144</f>
        <v>1870</v>
      </c>
      <c r="X29" s="149"/>
      <c r="Y29" s="151">
        <f>S8.1!$O$154</f>
        <v>1934</v>
      </c>
      <c r="Z29" s="151"/>
      <c r="AA29" s="149"/>
    </row>
    <row r="30" spans="1:27" x14ac:dyDescent="0.2">
      <c r="A30" s="117">
        <v>18</v>
      </c>
      <c r="C30" s="419" t="s">
        <v>191</v>
      </c>
      <c r="F30" s="149"/>
      <c r="G30" s="151">
        <v>-52</v>
      </c>
      <c r="H30" s="149"/>
      <c r="I30" s="151">
        <v>-52</v>
      </c>
      <c r="J30" s="149"/>
      <c r="K30" s="151">
        <v>-52</v>
      </c>
      <c r="L30" s="149"/>
      <c r="M30" s="151">
        <v>-52</v>
      </c>
      <c r="N30" s="149"/>
      <c r="O30" s="151">
        <v>-52</v>
      </c>
      <c r="P30" s="149"/>
      <c r="Q30" s="151">
        <v>-52</v>
      </c>
      <c r="R30" s="149"/>
      <c r="S30" s="151">
        <v>-52</v>
      </c>
      <c r="T30" s="149"/>
      <c r="U30" s="151">
        <v>-52</v>
      </c>
      <c r="V30" s="149"/>
      <c r="W30" s="151">
        <v>-52</v>
      </c>
      <c r="X30" s="149"/>
      <c r="Y30" s="151">
        <v>-52</v>
      </c>
      <c r="Z30" s="151"/>
      <c r="AA30" s="149"/>
    </row>
    <row r="31" spans="1:27" x14ac:dyDescent="0.2">
      <c r="A31" s="117">
        <v>19</v>
      </c>
      <c r="C31" s="419" t="s">
        <v>304</v>
      </c>
      <c r="F31" s="149"/>
      <c r="G31" s="150">
        <f>G30/365*G29</f>
        <v>-259.14520547945204</v>
      </c>
      <c r="H31" s="149"/>
      <c r="I31" s="150">
        <f>I30/365*I29</f>
        <v>-269.97260273972603</v>
      </c>
      <c r="J31" s="149"/>
      <c r="K31" s="150">
        <f>K30/365*K29</f>
        <v>-268.40547945205481</v>
      </c>
      <c r="L31" s="149"/>
      <c r="M31" s="150">
        <f>M30/365*M29</f>
        <v>-275.05841255439174</v>
      </c>
      <c r="N31" s="149"/>
      <c r="O31" s="150">
        <f>O30/365*O29</f>
        <v>-307.46143800479098</v>
      </c>
      <c r="P31" s="149"/>
      <c r="Q31" s="150">
        <f>Q30/365*Q29</f>
        <v>-364.23121989864626</v>
      </c>
      <c r="R31" s="149"/>
      <c r="S31" s="150">
        <f>S30/365*S29</f>
        <v>-420.95741944846179</v>
      </c>
      <c r="T31" s="149"/>
      <c r="U31" s="150">
        <f>U30/365*U29</f>
        <v>-462.31721874524027</v>
      </c>
      <c r="V31" s="149"/>
      <c r="W31" s="150">
        <f>W30/365*W29</f>
        <v>-266.41095890410958</v>
      </c>
      <c r="X31" s="149"/>
      <c r="Y31" s="150">
        <f>Y30/365*Y29</f>
        <v>-275.52876712328765</v>
      </c>
      <c r="Z31" s="151"/>
      <c r="AA31" s="149"/>
    </row>
    <row r="32" spans="1:27" ht="7.5" customHeight="1" x14ac:dyDescent="0.2">
      <c r="A32" s="117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2"/>
      <c r="X32" s="151"/>
      <c r="Y32" s="152"/>
      <c r="Z32" s="151"/>
      <c r="AA32" s="151"/>
    </row>
    <row r="33" spans="1:27" x14ac:dyDescent="0.2">
      <c r="A33" s="117">
        <v>20</v>
      </c>
      <c r="C33" s="419" t="s">
        <v>193</v>
      </c>
      <c r="F33" s="151"/>
      <c r="G33" s="151">
        <f>+S8.1!O34/2</f>
        <v>672</v>
      </c>
      <c r="H33" s="151"/>
      <c r="I33" s="151">
        <v>1135</v>
      </c>
      <c r="J33" s="151"/>
      <c r="K33" s="151">
        <f>S8.1!O54/2</f>
        <v>1093.5</v>
      </c>
      <c r="L33" s="151"/>
      <c r="M33" s="151">
        <f>S8.1!O64/2</f>
        <v>1167.6507636312213</v>
      </c>
      <c r="N33" s="151"/>
      <c r="O33" s="151">
        <f>+S8.1!O74/2</f>
        <v>1241.9286070024164</v>
      </c>
      <c r="P33" s="151"/>
      <c r="Q33" s="151">
        <f>+S8.1!O114/2</f>
        <v>1261.6885070864819</v>
      </c>
      <c r="R33" s="151"/>
      <c r="S33" s="151">
        <f>+S8.1!O124/2</f>
        <v>1490.6013644356869</v>
      </c>
      <c r="T33" s="151"/>
      <c r="U33" s="151">
        <f>+S8.1!O134/2</f>
        <v>1649.9443765191086</v>
      </c>
      <c r="V33" s="151"/>
      <c r="W33" s="151">
        <f>S8.1!$O$146/2</f>
        <v>824.5</v>
      </c>
      <c r="X33" s="151"/>
      <c r="Y33" s="151">
        <f>S8.1!$O$156/2</f>
        <v>870.5</v>
      </c>
      <c r="Z33" s="151"/>
      <c r="AA33" s="151"/>
    </row>
    <row r="34" spans="1:27" x14ac:dyDescent="0.2">
      <c r="A34" s="117">
        <v>21</v>
      </c>
      <c r="C34" s="419" t="s">
        <v>194</v>
      </c>
      <c r="F34" s="148"/>
      <c r="G34" s="148">
        <v>-4</v>
      </c>
      <c r="H34" s="148"/>
      <c r="I34" s="148">
        <v>-4</v>
      </c>
      <c r="J34" s="148"/>
      <c r="K34" s="148">
        <v>-4</v>
      </c>
      <c r="L34" s="148"/>
      <c r="M34" s="148">
        <v>-4</v>
      </c>
      <c r="N34" s="148"/>
      <c r="O34" s="148">
        <v>-4</v>
      </c>
      <c r="P34" s="148"/>
      <c r="Q34" s="148">
        <v>-4</v>
      </c>
      <c r="R34" s="148"/>
      <c r="S34" s="148">
        <v>-4</v>
      </c>
      <c r="T34" s="148"/>
      <c r="U34" s="148">
        <v>-4</v>
      </c>
      <c r="V34" s="148"/>
      <c r="W34" s="148">
        <v>-4</v>
      </c>
      <c r="X34" s="148"/>
      <c r="Y34" s="148">
        <v>-4</v>
      </c>
      <c r="Z34" s="148"/>
      <c r="AA34" s="148"/>
    </row>
    <row r="35" spans="1:27" x14ac:dyDescent="0.2">
      <c r="A35" s="117">
        <v>22</v>
      </c>
      <c r="C35" s="419" t="s">
        <v>195</v>
      </c>
      <c r="F35" s="149"/>
      <c r="G35" s="150">
        <f>G34/365*G33</f>
        <v>-7.3643835616438356</v>
      </c>
      <c r="H35" s="149"/>
      <c r="I35" s="150">
        <f>I34/365*I33</f>
        <v>-12.438356164383562</v>
      </c>
      <c r="J35" s="149"/>
      <c r="K35" s="150">
        <f>K34/365*K33</f>
        <v>-11.983561643835616</v>
      </c>
      <c r="L35" s="149"/>
      <c r="M35" s="150">
        <f>M34/365*M33</f>
        <v>-12.796172752122972</v>
      </c>
      <c r="N35" s="149"/>
      <c r="O35" s="150">
        <f>O34/365*O33</f>
        <v>-13.610176515094974</v>
      </c>
      <c r="P35" s="149"/>
      <c r="Q35" s="150">
        <f>Q34/365*Q33</f>
        <v>-13.826723365331308</v>
      </c>
      <c r="R35" s="149"/>
      <c r="S35" s="150">
        <f>S34/365*S33</f>
        <v>-16.335357418473283</v>
      </c>
      <c r="T35" s="149"/>
      <c r="U35" s="150">
        <f>U34/365*U33</f>
        <v>-18.081582208428586</v>
      </c>
      <c r="V35" s="149"/>
      <c r="W35" s="150">
        <f>W34/365*W33</f>
        <v>-9.0356164383561648</v>
      </c>
      <c r="X35" s="149"/>
      <c r="Y35" s="150">
        <f>Y34/365*Y33</f>
        <v>-9.5397260273972595</v>
      </c>
      <c r="Z35" s="151"/>
      <c r="AA35" s="149"/>
    </row>
    <row r="36" spans="1:27" ht="7.5" customHeight="1" x14ac:dyDescent="0.2">
      <c r="A36" s="117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</row>
    <row r="37" spans="1:27" x14ac:dyDescent="0.2">
      <c r="A37" s="117">
        <v>23</v>
      </c>
      <c r="C37" s="419" t="s">
        <v>193</v>
      </c>
      <c r="F37" s="151"/>
      <c r="G37" s="151">
        <f>G33</f>
        <v>672</v>
      </c>
      <c r="H37" s="151"/>
      <c r="I37" s="151">
        <f>I33</f>
        <v>1135</v>
      </c>
      <c r="J37" s="151"/>
      <c r="K37" s="151">
        <f>K33</f>
        <v>1093.5</v>
      </c>
      <c r="L37" s="151"/>
      <c r="M37" s="151">
        <f>M33</f>
        <v>1167.6507636312213</v>
      </c>
      <c r="N37" s="151"/>
      <c r="O37" s="151">
        <f>O33</f>
        <v>1241.9286070024164</v>
      </c>
      <c r="P37" s="151"/>
      <c r="Q37" s="151">
        <f>Q33</f>
        <v>1261.6885070864819</v>
      </c>
      <c r="R37" s="151"/>
      <c r="S37" s="151">
        <f>S33</f>
        <v>1490.6013644356869</v>
      </c>
      <c r="T37" s="151"/>
      <c r="U37" s="151">
        <f>U33</f>
        <v>1649.9443765191086</v>
      </c>
      <c r="V37" s="151"/>
      <c r="W37" s="151">
        <f>W33</f>
        <v>824.5</v>
      </c>
      <c r="X37" s="151"/>
      <c r="Y37" s="151">
        <f>Y33</f>
        <v>870.5</v>
      </c>
      <c r="Z37" s="151"/>
      <c r="AA37" s="151"/>
    </row>
    <row r="38" spans="1:27" x14ac:dyDescent="0.2">
      <c r="A38" s="117">
        <v>24</v>
      </c>
      <c r="C38" s="419" t="s">
        <v>196</v>
      </c>
      <c r="F38" s="148"/>
      <c r="G38" s="148">
        <v>42</v>
      </c>
      <c r="H38" s="148"/>
      <c r="I38" s="148">
        <v>42</v>
      </c>
      <c r="J38" s="148"/>
      <c r="K38" s="148">
        <v>42</v>
      </c>
      <c r="L38" s="148"/>
      <c r="M38" s="148">
        <v>42</v>
      </c>
      <c r="N38" s="148"/>
      <c r="O38" s="148">
        <v>42</v>
      </c>
      <c r="P38" s="148"/>
      <c r="Q38" s="148">
        <v>42</v>
      </c>
      <c r="R38" s="148"/>
      <c r="S38" s="148">
        <v>42</v>
      </c>
      <c r="T38" s="148"/>
      <c r="U38" s="148">
        <v>42</v>
      </c>
      <c r="V38" s="148"/>
      <c r="W38" s="148">
        <v>42</v>
      </c>
      <c r="X38" s="148"/>
      <c r="Y38" s="148">
        <v>42</v>
      </c>
      <c r="Z38" s="148"/>
      <c r="AA38" s="148"/>
    </row>
    <row r="39" spans="1:27" x14ac:dyDescent="0.2">
      <c r="A39" s="117">
        <v>25</v>
      </c>
      <c r="C39" s="419" t="s">
        <v>197</v>
      </c>
      <c r="F39" s="149"/>
      <c r="G39" s="150">
        <f>G38/365*G37</f>
        <v>77.326027397260276</v>
      </c>
      <c r="H39" s="149"/>
      <c r="I39" s="150">
        <f>I38/365*I37</f>
        <v>130.60273972602741</v>
      </c>
      <c r="J39" s="149"/>
      <c r="K39" s="150">
        <f>K38/365*K37</f>
        <v>125.82739726027397</v>
      </c>
      <c r="L39" s="149"/>
      <c r="M39" s="150">
        <f>M38/365*M37</f>
        <v>134.35981389729122</v>
      </c>
      <c r="N39" s="149"/>
      <c r="O39" s="150">
        <f>O38/365*O37</f>
        <v>142.90685340849723</v>
      </c>
      <c r="P39" s="149"/>
      <c r="Q39" s="150">
        <f>Q38/365*Q37</f>
        <v>145.18059533597872</v>
      </c>
      <c r="R39" s="149"/>
      <c r="S39" s="150">
        <f>S38/365*S37</f>
        <v>171.52125289396946</v>
      </c>
      <c r="T39" s="149"/>
      <c r="U39" s="150">
        <f>U38/365*U37</f>
        <v>189.85661318850018</v>
      </c>
      <c r="V39" s="149"/>
      <c r="W39" s="150">
        <f>W38/365*W37</f>
        <v>94.873972602739727</v>
      </c>
      <c r="X39" s="149"/>
      <c r="Y39" s="150">
        <f>Y38/365*Y37</f>
        <v>100.16712328767123</v>
      </c>
      <c r="Z39" s="151"/>
      <c r="AA39" s="149"/>
    </row>
    <row r="40" spans="1:27" ht="7.5" customHeight="1" x14ac:dyDescent="0.2">
      <c r="A40" s="11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51"/>
      <c r="X40" s="149"/>
      <c r="Y40" s="151"/>
      <c r="Z40" s="151"/>
      <c r="AA40" s="149"/>
    </row>
    <row r="41" spans="1:27" x14ac:dyDescent="0.2">
      <c r="A41" s="117">
        <v>26</v>
      </c>
      <c r="C41" s="419" t="s">
        <v>198</v>
      </c>
      <c r="F41" s="149"/>
      <c r="G41" s="151">
        <f>+S1.1!G20+S1.1!G21</f>
        <v>2201</v>
      </c>
      <c r="H41" s="149"/>
      <c r="I41" s="151">
        <f>+S1.1!I20+S1.1!I21</f>
        <v>2313</v>
      </c>
      <c r="J41" s="149"/>
      <c r="K41" s="151">
        <f>+S1.1!K20+S1.1!K21</f>
        <v>2462</v>
      </c>
      <c r="L41" s="149"/>
      <c r="M41" s="151">
        <f>+S1.1!M20+S1.1!M21</f>
        <v>2839.9309999999996</v>
      </c>
      <c r="N41" s="149"/>
      <c r="O41" s="151">
        <f>+S1.1!O20+S1.1!O21</f>
        <v>2821.46</v>
      </c>
      <c r="P41" s="149"/>
      <c r="Q41" s="151">
        <f>+S1.1!Q20+S1.1!Q21</f>
        <v>3076.2757681999997</v>
      </c>
      <c r="R41" s="149"/>
      <c r="S41" s="151">
        <f>+S1.1!S20+S1.1!S21</f>
        <v>3694.8170721999995</v>
      </c>
      <c r="T41" s="149"/>
      <c r="U41" s="151">
        <f>+S1.1!U20+S1.1!U21</f>
        <v>4028.9225517999994</v>
      </c>
      <c r="V41" s="149"/>
      <c r="W41" s="151">
        <f>S1.1!W20+S1.1!W21</f>
        <v>2391.0132753510002</v>
      </c>
      <c r="X41" s="149"/>
      <c r="Y41" s="151">
        <f>S1.1!Y20+S1.1!Y21</f>
        <v>2632.9151753509991</v>
      </c>
      <c r="Z41" s="151"/>
      <c r="AA41" s="149"/>
    </row>
    <row r="42" spans="1:27" x14ac:dyDescent="0.2">
      <c r="A42" s="117">
        <v>27</v>
      </c>
      <c r="C42" s="419" t="s">
        <v>196</v>
      </c>
      <c r="F42" s="148"/>
      <c r="G42" s="148">
        <v>42</v>
      </c>
      <c r="H42" s="148"/>
      <c r="I42" s="148">
        <v>42</v>
      </c>
      <c r="J42" s="148"/>
      <c r="K42" s="148">
        <v>42</v>
      </c>
      <c r="L42" s="148"/>
      <c r="M42" s="148">
        <v>42</v>
      </c>
      <c r="N42" s="148"/>
      <c r="O42" s="148">
        <v>42</v>
      </c>
      <c r="P42" s="148"/>
      <c r="Q42" s="148">
        <v>42</v>
      </c>
      <c r="R42" s="148"/>
      <c r="S42" s="148">
        <v>42</v>
      </c>
      <c r="T42" s="148"/>
      <c r="U42" s="148">
        <v>42</v>
      </c>
      <c r="V42" s="148"/>
      <c r="W42" s="148">
        <v>42</v>
      </c>
      <c r="X42" s="148"/>
      <c r="Y42" s="148">
        <f>W42</f>
        <v>42</v>
      </c>
      <c r="Z42" s="148"/>
      <c r="AA42" s="148"/>
    </row>
    <row r="43" spans="1:27" x14ac:dyDescent="0.2">
      <c r="A43" s="117">
        <v>28</v>
      </c>
      <c r="C43" s="419" t="s">
        <v>199</v>
      </c>
      <c r="F43" s="149"/>
      <c r="G43" s="150">
        <f>G42/365*G41</f>
        <v>253.26575342465753</v>
      </c>
      <c r="H43" s="149"/>
      <c r="I43" s="150">
        <f>I42/365*I41</f>
        <v>266.15342465753423</v>
      </c>
      <c r="J43" s="149"/>
      <c r="K43" s="150">
        <f>K42/365*K41</f>
        <v>283.29863013698628</v>
      </c>
      <c r="L43" s="149"/>
      <c r="M43" s="150">
        <f>M42/365*M41</f>
        <v>326.78658082191777</v>
      </c>
      <c r="N43" s="149"/>
      <c r="O43" s="150">
        <f>O42/365*O41</f>
        <v>324.6611506849315</v>
      </c>
      <c r="P43" s="149"/>
      <c r="Q43" s="150">
        <f>Q42/365*Q41</f>
        <v>353.98241716273969</v>
      </c>
      <c r="R43" s="149"/>
      <c r="S43" s="150">
        <f>S42/365*S41</f>
        <v>425.1570329654794</v>
      </c>
      <c r="T43" s="149"/>
      <c r="U43" s="150">
        <f>U42/365*U41</f>
        <v>463.60204705643827</v>
      </c>
      <c r="V43" s="149"/>
      <c r="W43" s="150">
        <f>W42/365*W41</f>
        <v>275.13029469792332</v>
      </c>
      <c r="X43" s="149"/>
      <c r="Y43" s="150">
        <f>Y42/365*Y41</f>
        <v>302.96558182121083</v>
      </c>
      <c r="Z43" s="151"/>
      <c r="AA43" s="149"/>
    </row>
    <row r="44" spans="1:27" ht="8.25" customHeight="1" x14ac:dyDescent="0.2">
      <c r="A44" s="117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</row>
    <row r="45" spans="1:27" ht="15.75" thickBot="1" x14ac:dyDescent="0.25">
      <c r="A45" s="117">
        <v>29</v>
      </c>
      <c r="C45" s="419" t="s">
        <v>575</v>
      </c>
      <c r="E45" s="117" t="s">
        <v>276</v>
      </c>
      <c r="F45" s="149"/>
      <c r="G45" s="302">
        <v>2901</v>
      </c>
      <c r="H45" s="149"/>
      <c r="I45" s="302">
        <v>2842</v>
      </c>
      <c r="J45" s="149"/>
      <c r="K45" s="302">
        <v>2380</v>
      </c>
      <c r="L45" s="149"/>
      <c r="M45" s="302">
        <v>2903</v>
      </c>
      <c r="N45" s="149"/>
      <c r="O45" s="302">
        <v>3013</v>
      </c>
      <c r="P45" s="149"/>
      <c r="Q45" s="302">
        <v>3275</v>
      </c>
      <c r="R45" s="149"/>
      <c r="S45" s="302">
        <v>3267</v>
      </c>
      <c r="T45" s="149"/>
      <c r="U45" s="302">
        <v>3601</v>
      </c>
      <c r="V45" s="149"/>
      <c r="W45" s="302">
        <v>2833</v>
      </c>
      <c r="X45" s="149"/>
      <c r="Y45" s="302">
        <v>2627</v>
      </c>
      <c r="Z45" s="151"/>
      <c r="AA45" s="149"/>
    </row>
  </sheetData>
  <customSheetViews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5" bottom="0.75" header="0.5" footer="0.5"/>
  <pageSetup scale="64" fitToHeight="0" orientation="landscape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pageSetUpPr fitToPage="1"/>
  </sheetPr>
  <dimension ref="A1:AC52"/>
  <sheetViews>
    <sheetView view="pageBreakPreview" zoomScale="70" zoomScaleNormal="75" zoomScaleSheetLayoutView="70" workbookViewId="0">
      <selection activeCell="U42" sqref="U42"/>
    </sheetView>
  </sheetViews>
  <sheetFormatPr defaultColWidth="8" defaultRowHeight="15" x14ac:dyDescent="0.2"/>
  <cols>
    <col min="1" max="1" width="7.42578125" style="419" customWidth="1"/>
    <col min="2" max="2" width="2.28515625" style="419" customWidth="1"/>
    <col min="3" max="3" width="56" style="419" customWidth="1"/>
    <col min="4" max="4" width="2.28515625" style="419" customWidth="1"/>
    <col min="5" max="5" width="19" style="117" bestFit="1" customWidth="1"/>
    <col min="6" max="6" width="2.28515625" style="419" customWidth="1"/>
    <col min="7" max="7" width="12.7109375" style="419" customWidth="1"/>
    <col min="8" max="8" width="2.28515625" style="419" customWidth="1"/>
    <col min="9" max="9" width="12.7109375" style="419" customWidth="1"/>
    <col min="10" max="10" width="2.28515625" style="419" customWidth="1"/>
    <col min="11" max="11" width="12.7109375" style="419" customWidth="1"/>
    <col min="12" max="12" width="2.28515625" style="419" customWidth="1"/>
    <col min="13" max="13" width="12.7109375" style="419" customWidth="1"/>
    <col min="14" max="14" width="2.28515625" style="419" customWidth="1"/>
    <col min="15" max="15" width="12.7109375" style="419" customWidth="1"/>
    <col min="16" max="16" width="2.28515625" style="419" customWidth="1"/>
    <col min="17" max="17" width="12.7109375" style="419" customWidth="1"/>
    <col min="18" max="18" width="2.28515625" style="419" customWidth="1"/>
    <col min="19" max="19" width="12.7109375" style="419" customWidth="1"/>
    <col min="20" max="20" width="2.28515625" style="419" customWidth="1"/>
    <col min="21" max="21" width="12.7109375" style="419" customWidth="1"/>
    <col min="22" max="22" width="2.28515625" style="419" customWidth="1"/>
    <col min="23" max="23" width="12.7109375" style="419" customWidth="1"/>
    <col min="24" max="24" width="2.28515625" style="419" customWidth="1"/>
    <col min="25" max="25" width="12.7109375" style="419" customWidth="1"/>
    <col min="26" max="26" width="2.28515625" style="419" customWidth="1"/>
    <col min="27" max="27" width="15.85546875" style="419" bestFit="1" customWidth="1"/>
    <col min="28" max="16384" width="8" style="419"/>
  </cols>
  <sheetData>
    <row r="1" spans="1:27" ht="15.75" x14ac:dyDescent="0.25">
      <c r="A1" s="370" t="s">
        <v>539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80" t="s">
        <v>855</v>
      </c>
    </row>
    <row r="2" spans="1:27" ht="15.75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507"/>
    </row>
    <row r="3" spans="1:27" ht="15.75" x14ac:dyDescent="0.25">
      <c r="A3" s="370" t="s">
        <v>349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507"/>
    </row>
    <row r="4" spans="1:27" ht="15.75" x14ac:dyDescent="0.25">
      <c r="A4" s="370" t="s">
        <v>33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507"/>
    </row>
    <row r="5" spans="1:27" ht="15.75" x14ac:dyDescent="0.25">
      <c r="A5" s="507"/>
      <c r="B5" s="507"/>
      <c r="C5" s="507"/>
      <c r="D5" s="507"/>
      <c r="E5" s="507"/>
      <c r="N5" s="345"/>
      <c r="O5" s="345"/>
      <c r="P5" s="345"/>
      <c r="Q5" s="504"/>
      <c r="R5" s="345"/>
      <c r="S5" s="504"/>
      <c r="T5" s="345"/>
      <c r="U5" s="504"/>
      <c r="V5" s="345"/>
      <c r="W5" s="504" t="s">
        <v>461</v>
      </c>
      <c r="X5" s="504"/>
      <c r="Y5" s="504" t="s">
        <v>461</v>
      </c>
    </row>
    <row r="6" spans="1:27" ht="15.75" x14ac:dyDescent="0.25">
      <c r="A6" s="507" t="s">
        <v>34</v>
      </c>
      <c r="B6" s="507"/>
      <c r="C6" s="507"/>
      <c r="D6" s="507"/>
      <c r="E6" s="507" t="s">
        <v>35</v>
      </c>
      <c r="G6" s="507" t="s">
        <v>26</v>
      </c>
      <c r="I6" s="507" t="s">
        <v>26</v>
      </c>
      <c r="K6" s="507" t="s">
        <v>26</v>
      </c>
      <c r="M6" s="507" t="s">
        <v>26</v>
      </c>
      <c r="N6" s="504"/>
      <c r="O6" s="504" t="s">
        <v>26</v>
      </c>
      <c r="P6" s="504"/>
      <c r="Q6" s="844" t="s">
        <v>330</v>
      </c>
      <c r="R6" s="844"/>
      <c r="S6" s="844"/>
      <c r="T6" s="844"/>
      <c r="U6" s="844"/>
      <c r="V6" s="217"/>
      <c r="W6" s="504" t="s">
        <v>15</v>
      </c>
      <c r="X6" s="504"/>
      <c r="Y6" s="504" t="s">
        <v>15</v>
      </c>
      <c r="Z6" s="507"/>
    </row>
    <row r="7" spans="1:27" ht="15.75" x14ac:dyDescent="0.25">
      <c r="A7" s="505" t="s">
        <v>36</v>
      </c>
      <c r="B7" s="507"/>
      <c r="C7" s="505" t="s">
        <v>178</v>
      </c>
      <c r="D7" s="507"/>
      <c r="E7" s="505" t="s">
        <v>37</v>
      </c>
      <c r="G7" s="505">
        <v>2008</v>
      </c>
      <c r="I7" s="505">
        <v>2009</v>
      </c>
      <c r="K7" s="505">
        <v>2010</v>
      </c>
      <c r="M7" s="505">
        <v>2011</v>
      </c>
      <c r="N7" s="346"/>
      <c r="O7" s="503">
        <v>2012</v>
      </c>
      <c r="P7" s="346"/>
      <c r="Q7" s="503">
        <v>2013</v>
      </c>
      <c r="R7" s="346"/>
      <c r="S7" s="503">
        <v>2014</v>
      </c>
      <c r="T7" s="346"/>
      <c r="U7" s="503">
        <v>2015</v>
      </c>
      <c r="V7" s="217"/>
      <c r="W7" s="503">
        <v>2008</v>
      </c>
      <c r="X7" s="217"/>
      <c r="Y7" s="503">
        <v>2009</v>
      </c>
    </row>
    <row r="9" spans="1:27" ht="15.75" x14ac:dyDescent="0.25">
      <c r="A9" s="117">
        <v>1</v>
      </c>
      <c r="C9" s="360" t="s">
        <v>200</v>
      </c>
    </row>
    <row r="10" spans="1:27" x14ac:dyDescent="0.2">
      <c r="A10" s="117">
        <f>A9+1</f>
        <v>2</v>
      </c>
      <c r="C10" s="419" t="s">
        <v>204</v>
      </c>
      <c r="E10" s="327" t="s">
        <v>548</v>
      </c>
      <c r="G10" s="361">
        <f>+S2.1!G70</f>
        <v>44824</v>
      </c>
      <c r="I10" s="361">
        <f>+S2.1!I70</f>
        <v>42724.938999999998</v>
      </c>
      <c r="K10" s="361">
        <f>+S2.1!K70</f>
        <v>44554.658000000003</v>
      </c>
      <c r="M10" s="361">
        <f>+S2.1!M70</f>
        <v>45883.552100000001</v>
      </c>
      <c r="N10" s="361"/>
      <c r="O10" s="361">
        <f>+S2.1!O70</f>
        <v>49922.952310000001</v>
      </c>
      <c r="P10" s="361"/>
      <c r="Q10" s="361">
        <f>+S2.1!R70</f>
        <v>49811.56</v>
      </c>
      <c r="R10" s="361"/>
      <c r="S10" s="361">
        <f>+S2.1!U70</f>
        <v>53472.67</v>
      </c>
      <c r="T10" s="361"/>
      <c r="U10" s="361">
        <f>+S2.1!X70</f>
        <v>55183.199999999997</v>
      </c>
      <c r="W10" s="361">
        <f>S2.1!AA70</f>
        <v>44021.283350000303</v>
      </c>
      <c r="Y10" s="361">
        <f>S2.1!AD70</f>
        <v>44437.077197817271</v>
      </c>
    </row>
    <row r="11" spans="1:27" x14ac:dyDescent="0.2">
      <c r="A11" s="117">
        <f t="shared" ref="A11:A48" si="0">A10+1</f>
        <v>3</v>
      </c>
      <c r="C11" s="419" t="s">
        <v>202</v>
      </c>
      <c r="G11" s="253">
        <v>0.05</v>
      </c>
      <c r="I11" s="253">
        <v>0.05</v>
      </c>
      <c r="K11" s="253">
        <v>0.05</v>
      </c>
      <c r="M11" s="253">
        <v>0.05</v>
      </c>
      <c r="N11" s="285"/>
      <c r="O11" s="253">
        <v>0.05</v>
      </c>
      <c r="P11" s="285"/>
      <c r="Q11" s="253">
        <v>0.05</v>
      </c>
      <c r="R11" s="285"/>
      <c r="S11" s="253">
        <v>0.05</v>
      </c>
      <c r="T11" s="285"/>
      <c r="U11" s="253">
        <v>0.05</v>
      </c>
      <c r="W11" s="253">
        <v>0.05</v>
      </c>
      <c r="Y11" s="253">
        <v>0.05</v>
      </c>
    </row>
    <row r="12" spans="1:27" x14ac:dyDescent="0.2">
      <c r="A12" s="117">
        <f t="shared" si="0"/>
        <v>4</v>
      </c>
      <c r="C12" s="419" t="s">
        <v>203</v>
      </c>
      <c r="F12" s="79"/>
      <c r="G12" s="79">
        <f>G10*G11</f>
        <v>2241.2000000000003</v>
      </c>
      <c r="H12" s="79"/>
      <c r="I12" s="79">
        <f>I10*I11</f>
        <v>2136.2469500000002</v>
      </c>
      <c r="J12" s="79"/>
      <c r="K12" s="79">
        <f>K10*K11</f>
        <v>2227.7329000000004</v>
      </c>
      <c r="L12" s="79"/>
      <c r="M12" s="79">
        <f>M10*M11</f>
        <v>2294.1776050000003</v>
      </c>
      <c r="N12" s="79"/>
      <c r="O12" s="79">
        <f>O10*O11</f>
        <v>2496.1476155</v>
      </c>
      <c r="P12" s="79"/>
      <c r="Q12" s="79">
        <f>Q10*Q11</f>
        <v>2490.578</v>
      </c>
      <c r="R12" s="79"/>
      <c r="S12" s="79">
        <f>S10*S11</f>
        <v>2673.6334999999999</v>
      </c>
      <c r="T12" s="79"/>
      <c r="U12" s="79">
        <f>U10*U11</f>
        <v>2759.16</v>
      </c>
      <c r="V12" s="79"/>
      <c r="W12" s="79">
        <f>W10*W11</f>
        <v>2201.0641675000152</v>
      </c>
      <c r="X12" s="79"/>
      <c r="Y12" s="79">
        <f>Y10*Y11</f>
        <v>2221.8538598908635</v>
      </c>
      <c r="Z12" s="79"/>
    </row>
    <row r="13" spans="1:27" x14ac:dyDescent="0.2">
      <c r="A13" s="117">
        <f t="shared" si="0"/>
        <v>5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7" x14ac:dyDescent="0.2">
      <c r="A14" s="117">
        <f t="shared" si="0"/>
        <v>6</v>
      </c>
      <c r="C14" s="419" t="s">
        <v>205</v>
      </c>
      <c r="F14" s="254"/>
      <c r="G14" s="254">
        <v>41.85</v>
      </c>
      <c r="H14" s="254"/>
      <c r="I14" s="254">
        <v>41.85</v>
      </c>
      <c r="J14" s="254"/>
      <c r="K14" s="254">
        <v>41.85</v>
      </c>
      <c r="L14" s="254"/>
      <c r="M14" s="254">
        <v>41.85</v>
      </c>
      <c r="N14" s="254"/>
      <c r="O14" s="254">
        <v>41.9</v>
      </c>
      <c r="P14" s="254"/>
      <c r="Q14" s="254">
        <v>41.85</v>
      </c>
      <c r="R14" s="254"/>
      <c r="S14" s="254">
        <v>41.85</v>
      </c>
      <c r="T14" s="254"/>
      <c r="U14" s="254">
        <v>41.85</v>
      </c>
      <c r="V14" s="254"/>
      <c r="W14" s="254">
        <v>41.85</v>
      </c>
      <c r="X14" s="254"/>
      <c r="Y14" s="254">
        <v>41.85</v>
      </c>
      <c r="Z14" s="254"/>
    </row>
    <row r="15" spans="1:27" x14ac:dyDescent="0.2">
      <c r="A15" s="117">
        <f t="shared" si="0"/>
        <v>7</v>
      </c>
      <c r="C15" s="419" t="s">
        <v>206</v>
      </c>
      <c r="F15" s="254"/>
      <c r="G15" s="255">
        <v>56.593281923785369</v>
      </c>
      <c r="H15" s="254"/>
      <c r="I15" s="255">
        <f>G15</f>
        <v>56.593281923785369</v>
      </c>
      <c r="J15" s="254"/>
      <c r="K15" s="255">
        <f>I15</f>
        <v>56.593281923785369</v>
      </c>
      <c r="L15" s="254"/>
      <c r="M15" s="255">
        <f>I15</f>
        <v>56.593281923785369</v>
      </c>
      <c r="N15" s="262"/>
      <c r="O15" s="255">
        <f>K15</f>
        <v>56.593281923785369</v>
      </c>
      <c r="P15" s="262"/>
      <c r="Q15" s="255">
        <f>M15</f>
        <v>56.593281923785369</v>
      </c>
      <c r="R15" s="262"/>
      <c r="S15" s="255">
        <f>O15</f>
        <v>56.593281923785369</v>
      </c>
      <c r="T15" s="262"/>
      <c r="U15" s="255">
        <f>Q15</f>
        <v>56.593281923785369</v>
      </c>
      <c r="V15" s="254"/>
      <c r="W15" s="255">
        <v>56.593281923785369</v>
      </c>
      <c r="X15" s="254"/>
      <c r="Y15" s="255">
        <v>56.593281923785369</v>
      </c>
      <c r="Z15" s="254"/>
      <c r="AA15" s="79"/>
    </row>
    <row r="16" spans="1:27" x14ac:dyDescent="0.2">
      <c r="A16" s="117">
        <f t="shared" si="0"/>
        <v>8</v>
      </c>
      <c r="F16" s="257"/>
      <c r="G16" s="256">
        <f>G14-G15</f>
        <v>-14.743281923785368</v>
      </c>
      <c r="H16" s="257"/>
      <c r="I16" s="256">
        <f>I14-I15</f>
        <v>-14.743281923785368</v>
      </c>
      <c r="J16" s="257"/>
      <c r="K16" s="256">
        <f>K14-K15</f>
        <v>-14.743281923785368</v>
      </c>
      <c r="L16" s="257"/>
      <c r="M16" s="256">
        <f>M14-M15</f>
        <v>-14.743281923785368</v>
      </c>
      <c r="N16" s="256"/>
      <c r="O16" s="256">
        <f>O14-O15</f>
        <v>-14.693281923785371</v>
      </c>
      <c r="P16" s="256"/>
      <c r="Q16" s="256">
        <f>Q14-Q15</f>
        <v>-14.743281923785368</v>
      </c>
      <c r="R16" s="256"/>
      <c r="S16" s="256">
        <f>S14-S15</f>
        <v>-14.743281923785368</v>
      </c>
      <c r="T16" s="256"/>
      <c r="U16" s="256">
        <f>U14-U15</f>
        <v>-14.743281923785368</v>
      </c>
      <c r="V16" s="257"/>
      <c r="W16" s="256">
        <f>W14-W15</f>
        <v>-14.743281923785368</v>
      </c>
      <c r="X16" s="257"/>
      <c r="Y16" s="256">
        <f>Y14-Y15</f>
        <v>-14.743281923785368</v>
      </c>
      <c r="Z16" s="257"/>
    </row>
    <row r="17" spans="1:29" x14ac:dyDescent="0.2">
      <c r="A17" s="117">
        <f t="shared" si="0"/>
        <v>9</v>
      </c>
      <c r="W17" s="407"/>
      <c r="Y17" s="407"/>
    </row>
    <row r="18" spans="1:29" x14ac:dyDescent="0.2">
      <c r="A18" s="117">
        <f t="shared" si="0"/>
        <v>10</v>
      </c>
      <c r="C18" s="419" t="s">
        <v>207</v>
      </c>
      <c r="E18" s="117" t="s">
        <v>577</v>
      </c>
      <c r="G18" s="95">
        <f>G12*G16/365</f>
        <v>-90.527790267363756</v>
      </c>
      <c r="I18" s="95">
        <f>I12*I16/365</f>
        <v>-86.288468610072954</v>
      </c>
      <c r="K18" s="95">
        <f>K12*K16/365</f>
        <v>-89.983819713950581</v>
      </c>
      <c r="M18" s="95">
        <f>M12*M16/365</f>
        <v>-92.667690996574549</v>
      </c>
      <c r="N18" s="90"/>
      <c r="O18" s="95">
        <f>O12*O16/365</f>
        <v>-100.48383736418113</v>
      </c>
      <c r="P18" s="90"/>
      <c r="Q18" s="95">
        <f>Q12*Q16/365</f>
        <v>-100.60080440322606</v>
      </c>
      <c r="R18" s="90"/>
      <c r="S18" s="95">
        <f>S12*S16/365</f>
        <v>-107.99488342843014</v>
      </c>
      <c r="T18" s="90"/>
      <c r="U18" s="95">
        <f>U12*U16/365</f>
        <v>-111.44951713104557</v>
      </c>
      <c r="W18" s="95">
        <f>W12*W16/365</f>
        <v>-88.906601517245647</v>
      </c>
      <c r="Y18" s="95">
        <f>Y12*Y16/365</f>
        <v>-89.746350273484154</v>
      </c>
    </row>
    <row r="19" spans="1:29" x14ac:dyDescent="0.2">
      <c r="A19" s="117">
        <f t="shared" si="0"/>
        <v>11</v>
      </c>
      <c r="AC19" s="258" t="s">
        <v>28</v>
      </c>
    </row>
    <row r="20" spans="1:29" ht="15.75" x14ac:dyDescent="0.25">
      <c r="A20" s="117">
        <f t="shared" si="0"/>
        <v>12</v>
      </c>
      <c r="C20" s="360" t="s">
        <v>201</v>
      </c>
    </row>
    <row r="21" spans="1:29" x14ac:dyDescent="0.2">
      <c r="A21" s="117">
        <f t="shared" si="0"/>
        <v>13</v>
      </c>
      <c r="C21" s="419" t="s">
        <v>185</v>
      </c>
      <c r="E21" s="117" t="s">
        <v>579</v>
      </c>
      <c r="F21" s="79"/>
      <c r="G21" s="79">
        <f>+S1.1!G25</f>
        <v>45725.536930000002</v>
      </c>
      <c r="H21" s="79"/>
      <c r="I21" s="79">
        <f>+S1.1!I25</f>
        <v>43633.948000000004</v>
      </c>
      <c r="J21" s="79"/>
      <c r="K21" s="79">
        <f>+S1.1!K25</f>
        <v>45565.191300000006</v>
      </c>
      <c r="L21" s="79"/>
      <c r="M21" s="79">
        <f>+S1.1!M25</f>
        <v>46982.916210999996</v>
      </c>
      <c r="N21" s="79"/>
      <c r="O21" s="79">
        <f>+S1.1!O25</f>
        <v>51175.115179999993</v>
      </c>
      <c r="P21" s="79"/>
      <c r="Q21" s="79">
        <f>+S1.1!Q25</f>
        <v>51088.633082183347</v>
      </c>
      <c r="R21" s="79"/>
      <c r="S21" s="79">
        <f>+S1.1!S25</f>
        <v>54722.362958543083</v>
      </c>
      <c r="T21" s="79"/>
      <c r="U21" s="79">
        <f>+S1.1!U25</f>
        <v>56458.083021481187</v>
      </c>
      <c r="V21" s="79"/>
      <c r="W21" s="79">
        <f>S1.1!W25</f>
        <v>44831.283350000303</v>
      </c>
      <c r="X21" s="79"/>
      <c r="Y21" s="79">
        <f>S1.1!Y25</f>
        <v>45264.077197817271</v>
      </c>
      <c r="Z21" s="79"/>
    </row>
    <row r="22" spans="1:29" x14ac:dyDescent="0.2">
      <c r="A22" s="117">
        <f t="shared" si="0"/>
        <v>14</v>
      </c>
      <c r="C22" s="419" t="s">
        <v>270</v>
      </c>
      <c r="E22" s="117" t="s">
        <v>319</v>
      </c>
      <c r="F22" s="79"/>
      <c r="G22" s="79">
        <f>-S1.1!G19</f>
        <v>-231</v>
      </c>
      <c r="H22" s="79"/>
      <c r="I22" s="79">
        <f>-S1.1!I19</f>
        <v>-239</v>
      </c>
      <c r="J22" s="79"/>
      <c r="K22" s="79">
        <f>-S1.1!K19</f>
        <v>-230</v>
      </c>
      <c r="L22" s="79"/>
      <c r="M22" s="79">
        <f>-S1.1!M19</f>
        <v>-235</v>
      </c>
      <c r="N22" s="79"/>
      <c r="O22" s="79">
        <f>-S1.1!O19</f>
        <v>-249.7</v>
      </c>
      <c r="P22" s="79"/>
      <c r="Q22" s="79">
        <f>-S1.1!Q19</f>
        <v>-257.19099999999997</v>
      </c>
      <c r="R22" s="79"/>
      <c r="S22" s="79">
        <f>-S1.1!S19</f>
        <v>-264.90672999999998</v>
      </c>
      <c r="T22" s="79"/>
      <c r="U22" s="79">
        <f>-S1.1!U19</f>
        <v>-272.85393189999996</v>
      </c>
      <c r="V22" s="79"/>
      <c r="W22" s="79">
        <f>-S1.1!W19</f>
        <v>-244.45627912500004</v>
      </c>
      <c r="X22" s="79"/>
      <c r="Y22" s="79">
        <f>-S1.1!Y19</f>
        <v>-254.23453029000007</v>
      </c>
      <c r="Z22" s="79"/>
    </row>
    <row r="23" spans="1:29" x14ac:dyDescent="0.2">
      <c r="A23" s="117">
        <f t="shared" si="0"/>
        <v>15</v>
      </c>
      <c r="C23" s="419" t="s">
        <v>186</v>
      </c>
      <c r="F23" s="79"/>
      <c r="G23" s="79">
        <f>-4526.234</f>
        <v>-4526.2340000000004</v>
      </c>
      <c r="H23" s="79"/>
      <c r="I23" s="79">
        <v>-5068.8703500000001</v>
      </c>
      <c r="J23" s="79"/>
      <c r="K23" s="79">
        <v>-5448.629640000001</v>
      </c>
      <c r="L23" s="79"/>
      <c r="M23" s="79">
        <v>-5418.6191899999967</v>
      </c>
      <c r="N23" s="79"/>
      <c r="O23" s="79">
        <v>-5522.263289999999</v>
      </c>
      <c r="P23" s="79"/>
      <c r="Q23" s="79">
        <v>-5929.4028775670959</v>
      </c>
      <c r="R23" s="79"/>
      <c r="S23" s="79">
        <v>-6208.2682410498119</v>
      </c>
      <c r="T23" s="79"/>
      <c r="U23" s="79">
        <v>-6411.5977953652364</v>
      </c>
      <c r="V23" s="79"/>
      <c r="W23" s="79">
        <v>-4602.1411873037569</v>
      </c>
      <c r="X23" s="79"/>
      <c r="Y23" s="79">
        <v>-4761.6685838741596</v>
      </c>
      <c r="Z23" s="79"/>
    </row>
    <row r="24" spans="1:29" x14ac:dyDescent="0.2">
      <c r="A24" s="117">
        <f t="shared" si="0"/>
        <v>16</v>
      </c>
      <c r="C24" s="419" t="s">
        <v>30</v>
      </c>
      <c r="E24" s="117" t="s">
        <v>317</v>
      </c>
      <c r="F24" s="79"/>
      <c r="G24" s="79">
        <f>-S1.1!G20</f>
        <v>-3181</v>
      </c>
      <c r="H24" s="79"/>
      <c r="I24" s="79">
        <f>-S1.1!I20</f>
        <v>-3446</v>
      </c>
      <c r="J24" s="79"/>
      <c r="K24" s="79">
        <f>-S1.1!K20</f>
        <v>-3683</v>
      </c>
      <c r="L24" s="79"/>
      <c r="M24" s="79">
        <v>-4129</v>
      </c>
      <c r="N24" s="79"/>
      <c r="O24" s="79">
        <f>-S1.1!O20</f>
        <v>-4192.46</v>
      </c>
      <c r="P24" s="79"/>
      <c r="Q24" s="79">
        <f>-S1.1!Q20</f>
        <v>-4520.1229999999996</v>
      </c>
      <c r="R24" s="79"/>
      <c r="S24" s="79">
        <f>-S1.1!S20</f>
        <v>-5252.1229999999996</v>
      </c>
      <c r="T24" s="79"/>
      <c r="U24" s="79">
        <f>-S1.1!U20</f>
        <v>-5778.1229999999996</v>
      </c>
      <c r="V24" s="79"/>
      <c r="W24" s="79">
        <f>-S1.1!W20</f>
        <v>-3354</v>
      </c>
      <c r="X24" s="79"/>
      <c r="Y24" s="79">
        <f>-S1.1!Y20</f>
        <v>-3661</v>
      </c>
      <c r="Z24" s="79"/>
    </row>
    <row r="25" spans="1:29" x14ac:dyDescent="0.2">
      <c r="A25" s="117">
        <f t="shared" si="0"/>
        <v>17</v>
      </c>
      <c r="C25" s="419" t="s">
        <v>553</v>
      </c>
      <c r="E25" s="117" t="s">
        <v>300</v>
      </c>
      <c r="F25" s="79"/>
      <c r="G25" s="79">
        <f>-S1.1!G21</f>
        <v>980</v>
      </c>
      <c r="H25" s="79"/>
      <c r="I25" s="79">
        <f>-S1.1!I21</f>
        <v>1133</v>
      </c>
      <c r="J25" s="79"/>
      <c r="K25" s="79">
        <f>-S1.1!K21</f>
        <v>1221</v>
      </c>
      <c r="L25" s="79"/>
      <c r="M25" s="79">
        <v>1289</v>
      </c>
      <c r="N25" s="79"/>
      <c r="O25" s="79">
        <f>-S1.1!O21</f>
        <v>1371</v>
      </c>
      <c r="P25" s="79"/>
      <c r="Q25" s="79">
        <f>-S1.1!Q21</f>
        <v>1443.8472317999999</v>
      </c>
      <c r="R25" s="79"/>
      <c r="S25" s="79">
        <f>-S1.1!S21</f>
        <v>1557.3059278000001</v>
      </c>
      <c r="T25" s="79"/>
      <c r="U25" s="79">
        <f>-S1.1!U21</f>
        <v>1749.2004482</v>
      </c>
      <c r="V25" s="79"/>
      <c r="W25" s="79">
        <f>-S1.1!W21</f>
        <v>962.98672464899994</v>
      </c>
      <c r="X25" s="79"/>
      <c r="Y25" s="79">
        <f>-S1.1!Y21</f>
        <v>1028.0848246490009</v>
      </c>
      <c r="Z25" s="79"/>
    </row>
    <row r="26" spans="1:29" x14ac:dyDescent="0.2">
      <c r="A26" s="117">
        <f t="shared" si="0"/>
        <v>18</v>
      </c>
      <c r="C26" s="419" t="s">
        <v>188</v>
      </c>
      <c r="E26" s="117" t="s">
        <v>288</v>
      </c>
      <c r="F26" s="79"/>
      <c r="G26" s="79">
        <f>-S1.1!G24</f>
        <v>94</v>
      </c>
      <c r="H26" s="79"/>
      <c r="I26" s="79">
        <f>-S1.1!I24</f>
        <v>-10</v>
      </c>
      <c r="J26" s="79"/>
      <c r="K26" s="79">
        <f>-S1.1!K24</f>
        <v>-278</v>
      </c>
      <c r="L26" s="79"/>
      <c r="M26" s="79">
        <v>62</v>
      </c>
      <c r="N26" s="79"/>
      <c r="O26" s="79">
        <f>+S1.1!O24</f>
        <v>-307</v>
      </c>
      <c r="P26" s="79"/>
      <c r="Q26" s="79">
        <f>+S1.1!Q24</f>
        <v>-416</v>
      </c>
      <c r="R26" s="79"/>
      <c r="S26" s="79">
        <f>+S1.1!S24</f>
        <v>160</v>
      </c>
      <c r="T26" s="79"/>
      <c r="U26" s="79">
        <f>+S1.1!U24</f>
        <v>313</v>
      </c>
      <c r="V26" s="79"/>
      <c r="W26" s="79">
        <f>-S1.1!W24</f>
        <v>344</v>
      </c>
      <c r="X26" s="79"/>
      <c r="Y26" s="79">
        <f>-S1.1!Y24</f>
        <v>-211</v>
      </c>
      <c r="Z26" s="79"/>
    </row>
    <row r="27" spans="1:29" x14ac:dyDescent="0.2">
      <c r="A27" s="117">
        <f t="shared" si="0"/>
        <v>19</v>
      </c>
      <c r="C27" s="419" t="s">
        <v>397</v>
      </c>
      <c r="F27" s="79"/>
      <c r="G27" s="79">
        <f>+'S8.8 '!G53</f>
        <v>137</v>
      </c>
      <c r="H27" s="79"/>
      <c r="I27" s="79">
        <f>+'S8.8 '!I53</f>
        <v>259</v>
      </c>
      <c r="J27" s="79"/>
      <c r="K27" s="79">
        <f>+'S8.8 '!K53</f>
        <v>358</v>
      </c>
      <c r="L27" s="79"/>
      <c r="M27" s="79">
        <f>+'S8.8 '!M53</f>
        <v>14</v>
      </c>
      <c r="N27" s="79"/>
      <c r="O27" s="79">
        <v>0</v>
      </c>
      <c r="P27" s="79"/>
      <c r="Q27" s="79">
        <v>0</v>
      </c>
      <c r="R27" s="79"/>
      <c r="S27" s="79">
        <v>0</v>
      </c>
      <c r="T27" s="79"/>
      <c r="U27" s="79">
        <v>0</v>
      </c>
      <c r="V27" s="79"/>
      <c r="W27" s="79">
        <f>+'S8.8 '!W53</f>
        <v>150</v>
      </c>
      <c r="X27" s="79"/>
      <c r="Y27" s="79">
        <f>+'S8.8 '!Y53</f>
        <v>0</v>
      </c>
      <c r="Z27" s="79"/>
    </row>
    <row r="28" spans="1:29" x14ac:dyDescent="0.2">
      <c r="A28" s="117">
        <f t="shared" si="0"/>
        <v>20</v>
      </c>
      <c r="C28" s="419" t="s">
        <v>400</v>
      </c>
      <c r="F28" s="79"/>
      <c r="G28" s="79">
        <f>+'S8.8 '!G54</f>
        <v>-147</v>
      </c>
      <c r="H28" s="79"/>
      <c r="I28" s="79">
        <f>+'S8.8 '!I54</f>
        <v>-147</v>
      </c>
      <c r="J28" s="79"/>
      <c r="K28" s="79">
        <f>+'S8.8 '!K54</f>
        <v>0</v>
      </c>
      <c r="L28" s="79"/>
      <c r="M28" s="79">
        <f>+'S8.8 '!M54</f>
        <v>0</v>
      </c>
      <c r="N28" s="79"/>
      <c r="O28" s="79">
        <v>0</v>
      </c>
      <c r="P28" s="79"/>
      <c r="Q28" s="79">
        <v>0</v>
      </c>
      <c r="R28" s="79"/>
      <c r="S28" s="79">
        <v>0</v>
      </c>
      <c r="T28" s="79"/>
      <c r="U28" s="79">
        <v>0</v>
      </c>
      <c r="V28" s="79"/>
      <c r="W28" s="79">
        <f>+'S8.8 '!W54</f>
        <v>-154</v>
      </c>
      <c r="X28" s="79"/>
      <c r="Y28" s="79">
        <f>+'S8.8 '!Y54</f>
        <v>-154</v>
      </c>
      <c r="Z28" s="79"/>
    </row>
    <row r="29" spans="1:29" x14ac:dyDescent="0.2">
      <c r="A29" s="117">
        <f t="shared" si="0"/>
        <v>21</v>
      </c>
      <c r="C29" s="419" t="s">
        <v>243</v>
      </c>
      <c r="F29" s="79"/>
      <c r="G29" s="79">
        <f>+'S8.8 '!G43</f>
        <v>118</v>
      </c>
      <c r="H29" s="79"/>
      <c r="I29" s="79">
        <f>+'S8.8 '!I43</f>
        <v>0</v>
      </c>
      <c r="J29" s="79"/>
      <c r="K29" s="79">
        <f>+'S8.8 '!K43</f>
        <v>0</v>
      </c>
      <c r="L29" s="79"/>
      <c r="M29" s="79">
        <f>+'S8.8 '!M43</f>
        <v>0</v>
      </c>
      <c r="N29" s="79"/>
      <c r="O29" s="79">
        <v>0</v>
      </c>
      <c r="P29" s="79"/>
      <c r="Q29" s="79">
        <v>0</v>
      </c>
      <c r="R29" s="79"/>
      <c r="S29" s="79">
        <v>0</v>
      </c>
      <c r="T29" s="79"/>
      <c r="U29" s="79">
        <v>0</v>
      </c>
      <c r="V29" s="79"/>
      <c r="W29" s="79">
        <f>+'S8.8 '!W43</f>
        <v>60</v>
      </c>
      <c r="X29" s="79"/>
      <c r="Y29" s="79">
        <f>+'S8.8 '!Y43</f>
        <v>0</v>
      </c>
      <c r="Z29" s="79"/>
    </row>
    <row r="30" spans="1:29" x14ac:dyDescent="0.2">
      <c r="A30" s="117">
        <f t="shared" si="0"/>
        <v>22</v>
      </c>
      <c r="C30" s="419" t="s">
        <v>239</v>
      </c>
      <c r="F30" s="79"/>
      <c r="G30" s="79">
        <f>+'S8.8 '!G44</f>
        <v>-124</v>
      </c>
      <c r="H30" s="79"/>
      <c r="I30" s="79">
        <f>+'S8.8 '!I44</f>
        <v>-141</v>
      </c>
      <c r="J30" s="79"/>
      <c r="K30" s="79">
        <f>+'S8.8 '!K44</f>
        <v>-141</v>
      </c>
      <c r="L30" s="79"/>
      <c r="M30" s="79">
        <f>+'S8.8 '!M44</f>
        <v>0</v>
      </c>
      <c r="N30" s="79"/>
      <c r="O30" s="79">
        <v>0</v>
      </c>
      <c r="P30" s="79"/>
      <c r="Q30" s="79">
        <v>0</v>
      </c>
      <c r="R30" s="79"/>
      <c r="S30" s="79">
        <v>0</v>
      </c>
      <c r="T30" s="79"/>
      <c r="U30" s="79">
        <v>0</v>
      </c>
      <c r="V30" s="79"/>
      <c r="W30" s="79">
        <f>+'S8.8 '!W44</f>
        <v>-123</v>
      </c>
      <c r="X30" s="79"/>
      <c r="Y30" s="79">
        <f>+'S8.8 '!Y44</f>
        <v>-123</v>
      </c>
      <c r="Z30" s="79"/>
    </row>
    <row r="31" spans="1:29" x14ac:dyDescent="0.2">
      <c r="A31" s="117">
        <f t="shared" si="0"/>
        <v>23</v>
      </c>
      <c r="C31" s="261" t="s">
        <v>289</v>
      </c>
      <c r="F31" s="79"/>
      <c r="G31" s="79">
        <f>+'S8.4 '!G39</f>
        <v>0</v>
      </c>
      <c r="H31" s="79"/>
      <c r="I31" s="79">
        <f>+'S8.4 '!I39</f>
        <v>-147</v>
      </c>
      <c r="J31" s="79"/>
      <c r="K31" s="79">
        <f>+'S8.4 '!K39</f>
        <v>-100</v>
      </c>
      <c r="L31" s="79"/>
      <c r="M31" s="79">
        <f>+'S8.4 '!M39</f>
        <v>-100</v>
      </c>
      <c r="N31" s="79"/>
      <c r="O31" s="79">
        <f>+'S8.4 '!O39</f>
        <v>-100</v>
      </c>
      <c r="P31" s="79"/>
      <c r="Q31" s="79">
        <f>+'S8.4 '!Q39</f>
        <v>-1584</v>
      </c>
      <c r="R31" s="79">
        <f>+'S8.4 '!R39</f>
        <v>0</v>
      </c>
      <c r="S31" s="79">
        <f>+'S8.4 '!S39</f>
        <v>-100</v>
      </c>
      <c r="T31" s="79"/>
      <c r="U31" s="79">
        <f>+'S8.4 '!U39</f>
        <v>-100</v>
      </c>
      <c r="V31" s="79"/>
      <c r="W31" s="79">
        <f>+'S8.4 '!W39</f>
        <v>-60</v>
      </c>
      <c r="X31" s="79"/>
      <c r="Y31" s="79">
        <f>+'S8.4 '!Y39</f>
        <v>-60</v>
      </c>
      <c r="Z31" s="79"/>
    </row>
    <row r="32" spans="1:29" x14ac:dyDescent="0.2">
      <c r="A32" s="117">
        <f t="shared" si="0"/>
        <v>24</v>
      </c>
      <c r="C32" s="261" t="s">
        <v>292</v>
      </c>
      <c r="F32" s="79"/>
      <c r="G32" s="79">
        <f>+'S8.4 '!G38</f>
        <v>75</v>
      </c>
      <c r="H32" s="79"/>
      <c r="I32" s="79">
        <f>+'S8.4 '!I38</f>
        <v>97</v>
      </c>
      <c r="J32" s="79"/>
      <c r="K32" s="79">
        <f>+'S8.4 '!K38</f>
        <v>86</v>
      </c>
      <c r="L32" s="79"/>
      <c r="M32" s="79">
        <f>+'S8.4 '!M38</f>
        <v>86</v>
      </c>
      <c r="N32" s="79"/>
      <c r="O32" s="79">
        <f>+'S8.4 '!O38</f>
        <v>86</v>
      </c>
      <c r="P32" s="79"/>
      <c r="Q32" s="79">
        <f>+'S8.4 '!Q38</f>
        <v>617.66666666666663</v>
      </c>
      <c r="R32" s="79">
        <f>+'S8.4 '!R40</f>
        <v>0</v>
      </c>
      <c r="S32" s="79">
        <f>+'S8.4 '!S38</f>
        <v>617.66666666666663</v>
      </c>
      <c r="T32" s="79"/>
      <c r="U32" s="79">
        <f>+'S8.4 '!U38</f>
        <v>617.66666666666663</v>
      </c>
      <c r="V32" s="79"/>
      <c r="W32" s="79">
        <f>+'S8.4 '!W38</f>
        <v>86</v>
      </c>
      <c r="X32" s="79"/>
      <c r="Y32" s="79">
        <f>+'S8.4 '!Y38</f>
        <v>86</v>
      </c>
      <c r="Z32" s="79"/>
    </row>
    <row r="33" spans="1:26" x14ac:dyDescent="0.2">
      <c r="A33" s="117">
        <f t="shared" si="0"/>
        <v>25</v>
      </c>
      <c r="C33" s="419" t="s">
        <v>301</v>
      </c>
      <c r="F33" s="79"/>
      <c r="G33" s="79">
        <f>+'S8.8 '!G32</f>
        <v>274</v>
      </c>
      <c r="H33" s="79"/>
      <c r="I33" s="79">
        <f>+'S8.8 '!I32</f>
        <v>101</v>
      </c>
      <c r="J33" s="79"/>
      <c r="K33" s="79">
        <f>+'S8.8 '!K32</f>
        <v>0</v>
      </c>
      <c r="L33" s="79"/>
      <c r="M33" s="79">
        <f>+'S8.8 '!M32</f>
        <v>160</v>
      </c>
      <c r="N33" s="79"/>
      <c r="O33" s="79">
        <f>+'S8.8 '!O32</f>
        <v>24</v>
      </c>
      <c r="P33" s="79"/>
      <c r="Q33" s="79">
        <f>+'S8.8 '!Q32</f>
        <v>417.25</v>
      </c>
      <c r="R33" s="79"/>
      <c r="S33" s="79">
        <f>+'S8.8 '!S32</f>
        <v>193.25</v>
      </c>
      <c r="T33" s="79"/>
      <c r="U33" s="79">
        <f>+'S8.8 '!U32</f>
        <v>0</v>
      </c>
      <c r="V33" s="79"/>
      <c r="W33" s="79">
        <f>+'S8.8 '!W32</f>
        <v>720</v>
      </c>
      <c r="X33" s="79"/>
      <c r="Y33" s="79">
        <f>+'S8.8 '!Y32</f>
        <v>0</v>
      </c>
      <c r="Z33" s="79"/>
    </row>
    <row r="34" spans="1:26" x14ac:dyDescent="0.2">
      <c r="A34" s="117">
        <f t="shared" si="0"/>
        <v>26</v>
      </c>
      <c r="C34" s="419" t="s">
        <v>84</v>
      </c>
      <c r="F34" s="79"/>
      <c r="G34" s="79">
        <f>+'S8.8 '!G33</f>
        <v>-150</v>
      </c>
      <c r="H34" s="79"/>
      <c r="I34" s="79">
        <f>+'S8.8 '!I33</f>
        <v>-150</v>
      </c>
      <c r="J34" s="79"/>
      <c r="K34" s="79">
        <f>+'S8.8 '!K33</f>
        <v>-150</v>
      </c>
      <c r="L34" s="79"/>
      <c r="M34" s="79">
        <f>+'S8.8 '!M33</f>
        <v>-150</v>
      </c>
      <c r="N34" s="79"/>
      <c r="O34" s="79">
        <f>+'S8.8 '!O33</f>
        <v>-150</v>
      </c>
      <c r="P34" s="79"/>
      <c r="Q34" s="79">
        <f>+'S8.8 '!Q33</f>
        <v>0</v>
      </c>
      <c r="R34" s="79"/>
      <c r="S34" s="79">
        <f>+'S8.8 '!S33</f>
        <v>0</v>
      </c>
      <c r="T34" s="79"/>
      <c r="U34" s="79">
        <f>+'S8.8 '!U33</f>
        <v>0</v>
      </c>
      <c r="V34" s="79"/>
      <c r="W34" s="79">
        <f>+'S8.8 '!W33</f>
        <v>-150</v>
      </c>
      <c r="X34" s="79"/>
      <c r="Y34" s="79">
        <f>+'S8.8 '!Y33</f>
        <v>-150</v>
      </c>
      <c r="Z34" s="79"/>
    </row>
    <row r="35" spans="1:26" x14ac:dyDescent="0.2">
      <c r="A35" s="117">
        <f t="shared" si="0"/>
        <v>27</v>
      </c>
      <c r="C35" s="419" t="s">
        <v>618</v>
      </c>
      <c r="E35" s="117" t="s">
        <v>620</v>
      </c>
      <c r="F35" s="79"/>
      <c r="G35" s="79">
        <v>0</v>
      </c>
      <c r="H35" s="79"/>
      <c r="I35" s="79">
        <v>0</v>
      </c>
      <c r="J35" s="79"/>
      <c r="K35" s="79">
        <v>0</v>
      </c>
      <c r="L35" s="79"/>
      <c r="M35" s="79">
        <v>0</v>
      </c>
      <c r="N35" s="79"/>
      <c r="O35" s="79">
        <v>0</v>
      </c>
      <c r="P35" s="79"/>
      <c r="Q35" s="79">
        <f>+'S8.8 '!Q61+'S8.8 '!Q69+'S8.8 '!Q77</f>
        <v>250</v>
      </c>
      <c r="R35" s="79"/>
      <c r="S35" s="79">
        <f>+'S8.8 '!S61+'S8.8 '!S69+'S8.8 '!S77</f>
        <v>16</v>
      </c>
      <c r="T35" s="79"/>
      <c r="U35" s="79">
        <f>+'S8.8 '!U61+'S8.8 '!U69+'S8.8 '!U77</f>
        <v>17</v>
      </c>
      <c r="V35" s="79"/>
      <c r="W35" s="79">
        <v>0</v>
      </c>
      <c r="X35" s="79"/>
      <c r="Y35" s="79">
        <v>0</v>
      </c>
      <c r="Z35" s="79"/>
    </row>
    <row r="36" spans="1:26" x14ac:dyDescent="0.2">
      <c r="A36" s="117">
        <f t="shared" si="0"/>
        <v>28</v>
      </c>
      <c r="C36" s="419" t="s">
        <v>619</v>
      </c>
      <c r="E36" s="117" t="s">
        <v>640</v>
      </c>
      <c r="F36" s="79"/>
      <c r="G36" s="79">
        <v>0</v>
      </c>
      <c r="H36" s="79"/>
      <c r="I36" s="79">
        <v>0</v>
      </c>
      <c r="J36" s="79"/>
      <c r="K36" s="79">
        <v>0</v>
      </c>
      <c r="L36" s="79"/>
      <c r="M36" s="79">
        <v>0</v>
      </c>
      <c r="N36" s="79"/>
      <c r="O36" s="79">
        <v>0</v>
      </c>
      <c r="P36" s="79"/>
      <c r="Q36" s="79">
        <f>+'S8.8 '!Q62+'S8.8 '!Q70+'S8.8 '!Q78</f>
        <v>-18</v>
      </c>
      <c r="R36" s="79"/>
      <c r="S36" s="79">
        <f>+'S8.8 '!S62+'S8.8 '!S70+'S8.8 '!S78</f>
        <v>-18</v>
      </c>
      <c r="T36" s="79"/>
      <c r="U36" s="79">
        <f>+'S8.8 '!U62+'S8.8 '!U70+'S8.8 '!U78</f>
        <v>-17</v>
      </c>
      <c r="V36" s="79"/>
      <c r="W36" s="79">
        <v>0</v>
      </c>
      <c r="X36" s="79"/>
      <c r="Y36" s="79">
        <v>0</v>
      </c>
      <c r="Z36" s="79"/>
    </row>
    <row r="37" spans="1:26" x14ac:dyDescent="0.2">
      <c r="A37" s="117">
        <f t="shared" si="0"/>
        <v>29</v>
      </c>
      <c r="C37" s="419" t="s">
        <v>347</v>
      </c>
      <c r="F37" s="79"/>
      <c r="G37" s="95">
        <f>S9.1!F39</f>
        <v>9906</v>
      </c>
      <c r="H37" s="79"/>
      <c r="I37" s="95">
        <f>S9.1!H39</f>
        <v>6253</v>
      </c>
      <c r="J37" s="79"/>
      <c r="K37" s="95">
        <f>S9.1!J39</f>
        <v>9042</v>
      </c>
      <c r="L37" s="79"/>
      <c r="M37" s="95">
        <v>14297</v>
      </c>
      <c r="N37" s="90"/>
      <c r="O37" s="95">
        <f>+S9.1!N39</f>
        <v>14184.555</v>
      </c>
      <c r="P37" s="90"/>
      <c r="Q37" s="95">
        <f>+S9.1!P39</f>
        <v>19259.127999999997</v>
      </c>
      <c r="R37" s="90"/>
      <c r="S37" s="95">
        <f>+S9.1!R39</f>
        <v>19692.125</v>
      </c>
      <c r="T37" s="90"/>
      <c r="U37" s="95">
        <f>+S9.1!T39</f>
        <v>14484.100999999999</v>
      </c>
      <c r="V37" s="79"/>
      <c r="W37" s="95">
        <f>S9.1!V39</f>
        <v>9299</v>
      </c>
      <c r="X37" s="79"/>
      <c r="Y37" s="95">
        <f>S9.1!X39</f>
        <v>7718</v>
      </c>
      <c r="Z37" s="79"/>
    </row>
    <row r="38" spans="1:26" x14ac:dyDescent="0.2">
      <c r="A38" s="117">
        <f t="shared" si="0"/>
        <v>30</v>
      </c>
      <c r="C38" s="419" t="s">
        <v>187</v>
      </c>
      <c r="G38" s="361">
        <f>SUM(G21:G37)</f>
        <v>48950.302930000005</v>
      </c>
      <c r="I38" s="361">
        <f>SUM(I21:I37)</f>
        <v>42128.077650000007</v>
      </c>
      <c r="K38" s="361">
        <f>SUM(K21:K37)</f>
        <v>46241.561660000007</v>
      </c>
      <c r="M38" s="361">
        <f>SUM(M21:M37)</f>
        <v>52858.297020999998</v>
      </c>
      <c r="N38" s="361"/>
      <c r="O38" s="361">
        <f>SUM(O21:O37)</f>
        <v>56319.246889999995</v>
      </c>
      <c r="P38" s="361"/>
      <c r="Q38" s="361">
        <f>SUM(Q21:Q37)</f>
        <v>60351.808103082913</v>
      </c>
      <c r="R38" s="361"/>
      <c r="S38" s="361">
        <f>SUM(S21:S37)</f>
        <v>65115.412581959936</v>
      </c>
      <c r="T38" s="361"/>
      <c r="U38" s="361">
        <f>SUM(U21:U37)</f>
        <v>61059.476409082621</v>
      </c>
      <c r="W38" s="361">
        <f>SUM(W21:W37)</f>
        <v>47765.67260822055</v>
      </c>
      <c r="Y38" s="361">
        <f>SUM(Y21:Y37)</f>
        <v>44721.258908302108</v>
      </c>
    </row>
    <row r="39" spans="1:26" x14ac:dyDescent="0.2">
      <c r="A39" s="117">
        <f t="shared" si="0"/>
        <v>31</v>
      </c>
      <c r="C39" s="419" t="s">
        <v>180</v>
      </c>
      <c r="G39" s="253">
        <v>0.05</v>
      </c>
      <c r="I39" s="253">
        <v>0.05</v>
      </c>
      <c r="K39" s="253">
        <v>0.05</v>
      </c>
      <c r="M39" s="253">
        <v>0.05</v>
      </c>
      <c r="N39" s="285"/>
      <c r="O39" s="253">
        <v>0.05</v>
      </c>
      <c r="P39" s="285"/>
      <c r="Q39" s="253">
        <v>0.05</v>
      </c>
      <c r="R39" s="285"/>
      <c r="S39" s="253">
        <v>0.05</v>
      </c>
      <c r="T39" s="285"/>
      <c r="U39" s="253">
        <v>0.05</v>
      </c>
      <c r="W39" s="253">
        <f>W11</f>
        <v>0.05</v>
      </c>
      <c r="Y39" s="253">
        <f>Y11</f>
        <v>0.05</v>
      </c>
    </row>
    <row r="40" spans="1:26" x14ac:dyDescent="0.2">
      <c r="A40" s="117">
        <f t="shared" si="0"/>
        <v>32</v>
      </c>
      <c r="C40" s="419" t="s">
        <v>208</v>
      </c>
      <c r="F40" s="407"/>
      <c r="G40" s="366">
        <f>G39*G38</f>
        <v>2447.5151465000004</v>
      </c>
      <c r="H40" s="407"/>
      <c r="I40" s="366">
        <f>I39*I38</f>
        <v>2106.4038825000002</v>
      </c>
      <c r="J40" s="407"/>
      <c r="K40" s="366">
        <f>K39*K38</f>
        <v>2312.0780830000003</v>
      </c>
      <c r="L40" s="407"/>
      <c r="M40" s="366">
        <f>M39*M38</f>
        <v>2642.9148510499999</v>
      </c>
      <c r="N40" s="366"/>
      <c r="O40" s="366">
        <f>O39*O38</f>
        <v>2815.9623444999997</v>
      </c>
      <c r="P40" s="366"/>
      <c r="Q40" s="366">
        <f>Q39*Q38</f>
        <v>3017.5904051541456</v>
      </c>
      <c r="R40" s="366"/>
      <c r="S40" s="366">
        <f>S39*S38</f>
        <v>3255.7706290979968</v>
      </c>
      <c r="T40" s="366"/>
      <c r="U40" s="366">
        <f>U39*U38</f>
        <v>3052.9738204541313</v>
      </c>
      <c r="V40" s="407"/>
      <c r="W40" s="366">
        <f>W39*W38</f>
        <v>2388.2836304110274</v>
      </c>
      <c r="X40" s="407"/>
      <c r="Y40" s="366">
        <f>Y39*Y38</f>
        <v>2236.0629454151053</v>
      </c>
      <c r="Z40" s="407"/>
    </row>
    <row r="41" spans="1:26" x14ac:dyDescent="0.2">
      <c r="A41" s="117">
        <f t="shared" si="0"/>
        <v>33</v>
      </c>
    </row>
    <row r="42" spans="1:26" x14ac:dyDescent="0.2">
      <c r="A42" s="117">
        <f t="shared" si="0"/>
        <v>34</v>
      </c>
      <c r="C42" s="419" t="s">
        <v>209</v>
      </c>
      <c r="F42" s="262"/>
      <c r="G42" s="262">
        <v>26</v>
      </c>
      <c r="H42" s="262"/>
      <c r="I42" s="262">
        <v>26</v>
      </c>
      <c r="J42" s="262"/>
      <c r="K42" s="262">
        <f>I42</f>
        <v>26</v>
      </c>
      <c r="L42" s="262"/>
      <c r="M42" s="262">
        <f>I42</f>
        <v>26</v>
      </c>
      <c r="N42" s="262"/>
      <c r="O42" s="262">
        <f>K42</f>
        <v>26</v>
      </c>
      <c r="P42" s="262"/>
      <c r="Q42" s="262">
        <f>M42</f>
        <v>26</v>
      </c>
      <c r="R42" s="262"/>
      <c r="S42" s="262">
        <f>O42</f>
        <v>26</v>
      </c>
      <c r="T42" s="262"/>
      <c r="U42" s="262">
        <f>Q42</f>
        <v>26</v>
      </c>
      <c r="V42" s="262"/>
      <c r="W42" s="262">
        <v>26</v>
      </c>
      <c r="X42" s="262"/>
      <c r="Y42" s="262">
        <v>26</v>
      </c>
      <c r="Z42" s="262"/>
    </row>
    <row r="43" spans="1:26" x14ac:dyDescent="0.2">
      <c r="A43" s="117">
        <f t="shared" si="0"/>
        <v>35</v>
      </c>
      <c r="C43" s="419" t="s">
        <v>206</v>
      </c>
      <c r="F43" s="254"/>
      <c r="G43" s="255">
        <v>56.593281923785369</v>
      </c>
      <c r="H43" s="254"/>
      <c r="I43" s="255">
        <v>56.593281923785369</v>
      </c>
      <c r="J43" s="254"/>
      <c r="K43" s="255">
        <f>I43</f>
        <v>56.593281923785369</v>
      </c>
      <c r="L43" s="254"/>
      <c r="M43" s="255">
        <f>I43</f>
        <v>56.593281923785369</v>
      </c>
      <c r="N43" s="262"/>
      <c r="O43" s="255">
        <f>K43</f>
        <v>56.593281923785369</v>
      </c>
      <c r="P43" s="262"/>
      <c r="Q43" s="255">
        <f>M43</f>
        <v>56.593281923785369</v>
      </c>
      <c r="R43" s="262"/>
      <c r="S43" s="255">
        <f>O43</f>
        <v>56.593281923785369</v>
      </c>
      <c r="T43" s="262"/>
      <c r="U43" s="255">
        <f>Q43</f>
        <v>56.593281923785369</v>
      </c>
      <c r="V43" s="254"/>
      <c r="W43" s="255">
        <v>56.593281923785369</v>
      </c>
      <c r="X43" s="254"/>
      <c r="Y43" s="255">
        <v>56.593281923785369</v>
      </c>
      <c r="Z43" s="254"/>
    </row>
    <row r="44" spans="1:26" x14ac:dyDescent="0.2">
      <c r="A44" s="117">
        <f t="shared" si="0"/>
        <v>36</v>
      </c>
      <c r="F44" s="263"/>
      <c r="G44" s="263">
        <f>G43-G42</f>
        <v>30.593281923785369</v>
      </c>
      <c r="H44" s="263"/>
      <c r="I44" s="263">
        <f>I43-I42</f>
        <v>30.593281923785369</v>
      </c>
      <c r="J44" s="263"/>
      <c r="K44" s="263">
        <f>K43-K42</f>
        <v>30.593281923785369</v>
      </c>
      <c r="L44" s="263"/>
      <c r="M44" s="263">
        <f>M43-M42</f>
        <v>30.593281923785369</v>
      </c>
      <c r="N44" s="263"/>
      <c r="O44" s="263">
        <f>O43-O42</f>
        <v>30.593281923785369</v>
      </c>
      <c r="P44" s="263"/>
      <c r="Q44" s="263">
        <f>Q43-Q42</f>
        <v>30.593281923785369</v>
      </c>
      <c r="R44" s="263"/>
      <c r="S44" s="263">
        <f>S43-S42</f>
        <v>30.593281923785369</v>
      </c>
      <c r="T44" s="263"/>
      <c r="U44" s="263">
        <f>U43-U42</f>
        <v>30.593281923785369</v>
      </c>
      <c r="V44" s="263"/>
      <c r="W44" s="263">
        <f>W43-W42</f>
        <v>30.593281923785369</v>
      </c>
      <c r="X44" s="263"/>
      <c r="Y44" s="263">
        <f>Y43-Y42</f>
        <v>30.593281923785369</v>
      </c>
      <c r="Z44" s="263"/>
    </row>
    <row r="45" spans="1:26" x14ac:dyDescent="0.2">
      <c r="A45" s="117">
        <f t="shared" si="0"/>
        <v>37</v>
      </c>
      <c r="W45" s="361"/>
    </row>
    <row r="46" spans="1:26" x14ac:dyDescent="0.2">
      <c r="A46" s="117">
        <f t="shared" si="0"/>
        <v>38</v>
      </c>
      <c r="C46" s="419" t="s">
        <v>207</v>
      </c>
      <c r="E46" s="117" t="s">
        <v>641</v>
      </c>
      <c r="G46" s="340">
        <f>G40*G44/365</f>
        <v>205.1438928482448</v>
      </c>
      <c r="I46" s="340">
        <f>I40*I44/365</f>
        <v>176.55289814432487</v>
      </c>
      <c r="K46" s="340">
        <f>K40*K44/365</f>
        <v>193.79193595349108</v>
      </c>
      <c r="M46" s="340">
        <f>M40*M44/365</f>
        <v>221.5217510650188</v>
      </c>
      <c r="N46" s="366"/>
      <c r="O46" s="340">
        <f>O40*O44/365</f>
        <v>236.02610929329347</v>
      </c>
      <c r="P46" s="366"/>
      <c r="Q46" s="340">
        <f>Q40*Q44/365</f>
        <v>252.92601094627534</v>
      </c>
      <c r="R46" s="366"/>
      <c r="S46" s="340">
        <f>S40*S44/365</f>
        <v>272.88961297308236</v>
      </c>
      <c r="T46" s="366"/>
      <c r="U46" s="340">
        <f>U40*U44/365</f>
        <v>255.8917501235324</v>
      </c>
      <c r="W46" s="340">
        <f>W40*W44/365</f>
        <v>200.17927238116761</v>
      </c>
      <c r="Y46" s="340">
        <f>Y40*Y44/365</f>
        <v>187.42055914634028</v>
      </c>
    </row>
    <row r="47" spans="1:26" x14ac:dyDescent="0.2">
      <c r="A47" s="117">
        <f t="shared" si="0"/>
        <v>39</v>
      </c>
      <c r="W47" s="361"/>
    </row>
    <row r="48" spans="1:26" ht="15.75" thickBot="1" x14ac:dyDescent="0.25">
      <c r="A48" s="117">
        <f t="shared" si="0"/>
        <v>40</v>
      </c>
      <c r="C48" s="419" t="s">
        <v>348</v>
      </c>
      <c r="E48" s="117" t="s">
        <v>578</v>
      </c>
      <c r="G48" s="264">
        <f>G18+G46</f>
        <v>114.61610258088105</v>
      </c>
      <c r="I48" s="264">
        <f>I18+I46</f>
        <v>90.264429534251917</v>
      </c>
      <c r="K48" s="264">
        <f>K18+K46</f>
        <v>103.8081162395405</v>
      </c>
      <c r="M48" s="264">
        <f>M18+M46</f>
        <v>128.85406006844426</v>
      </c>
      <c r="N48" s="366"/>
      <c r="O48" s="264">
        <f>O18+O46</f>
        <v>135.54227192911236</v>
      </c>
      <c r="P48" s="366"/>
      <c r="Q48" s="264">
        <f>Q18+Q46</f>
        <v>152.32520654304926</v>
      </c>
      <c r="R48" s="366"/>
      <c r="S48" s="264">
        <f>S18+S46</f>
        <v>164.89472954465222</v>
      </c>
      <c r="T48" s="366"/>
      <c r="U48" s="264">
        <f>U18+U46</f>
        <v>144.44223299248682</v>
      </c>
      <c r="W48" s="264">
        <f>W18+W46</f>
        <v>111.27267086392196</v>
      </c>
      <c r="Y48" s="264">
        <f>Y18+Y46</f>
        <v>97.674208872856127</v>
      </c>
    </row>
    <row r="49" spans="1:7" x14ac:dyDescent="0.2">
      <c r="A49" s="117"/>
    </row>
    <row r="50" spans="1:7" x14ac:dyDescent="0.2">
      <c r="A50" s="117"/>
      <c r="C50" s="419" t="s">
        <v>28</v>
      </c>
    </row>
    <row r="51" spans="1:7" x14ac:dyDescent="0.2">
      <c r="A51" s="117"/>
      <c r="G51" s="361"/>
    </row>
    <row r="52" spans="1:7" x14ac:dyDescent="0.2">
      <c r="A52" s="117"/>
    </row>
  </sheetData>
  <customSheetViews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1"/>
      <headerFooter alignWithMargins="0"/>
    </customSheetView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5" bottom="0.75" header="0.5" footer="0.5"/>
  <pageSetup scale="54" orientation="landscape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pageSetUpPr fitToPage="1"/>
  </sheetPr>
  <dimension ref="A1:Z28"/>
  <sheetViews>
    <sheetView view="pageBreakPreview" zoomScaleNormal="75" zoomScaleSheetLayoutView="100" workbookViewId="0">
      <selection activeCell="Y2" sqref="Y2"/>
    </sheetView>
  </sheetViews>
  <sheetFormatPr defaultRowHeight="15" x14ac:dyDescent="0.2"/>
  <cols>
    <col min="1" max="1" width="9.140625" style="481"/>
    <col min="2" max="2" width="46.7109375" style="481" bestFit="1" customWidth="1"/>
    <col min="3" max="3" width="2.28515625" style="401" customWidth="1"/>
    <col min="4" max="4" width="12.140625" style="482" customWidth="1"/>
    <col min="5" max="5" width="2.7109375" style="481" customWidth="1"/>
    <col min="6" max="6" width="12.140625" style="481" customWidth="1"/>
    <col min="7" max="7" width="2.28515625" style="481" customWidth="1"/>
    <col min="8" max="8" width="12.140625" style="481" customWidth="1"/>
    <col min="9" max="9" width="2.28515625" style="481" customWidth="1"/>
    <col min="10" max="10" width="12.140625" style="481" customWidth="1"/>
    <col min="11" max="11" width="2.28515625" style="481" customWidth="1"/>
    <col min="12" max="12" width="12.140625" style="481" customWidth="1"/>
    <col min="13" max="13" width="2.28515625" style="481" customWidth="1"/>
    <col min="14" max="14" width="12.140625" style="481" customWidth="1"/>
    <col min="15" max="15" width="2.28515625" style="481" customWidth="1"/>
    <col min="16" max="16" width="12.140625" style="481" customWidth="1"/>
    <col min="17" max="17" width="2.28515625" style="481" customWidth="1"/>
    <col min="18" max="18" width="12.140625" style="481" customWidth="1"/>
    <col min="19" max="19" width="2.28515625" style="481" customWidth="1"/>
    <col min="20" max="20" width="12.140625" style="481" customWidth="1"/>
    <col min="21" max="21" width="2.28515625" style="481" customWidth="1"/>
    <col min="22" max="22" width="12.140625" style="481" customWidth="1"/>
    <col min="23" max="23" width="2.28515625" style="481" customWidth="1"/>
    <col min="24" max="24" width="12.140625" style="481" customWidth="1"/>
    <col min="25" max="25" width="2.28515625" style="481" customWidth="1"/>
    <col min="26" max="26" width="8.28515625" style="481" customWidth="1"/>
    <col min="27" max="16384" width="9.140625" style="481"/>
  </cols>
  <sheetData>
    <row r="1" spans="1:26" ht="15.75" x14ac:dyDescent="0.25">
      <c r="Y1" s="66" t="s">
        <v>868</v>
      </c>
    </row>
    <row r="2" spans="1:26" ht="15.75" x14ac:dyDescent="0.25">
      <c r="A2" s="848" t="s">
        <v>539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504"/>
    </row>
    <row r="3" spans="1:26" ht="15.75" x14ac:dyDescent="0.25">
      <c r="A3" s="848" t="s">
        <v>489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504"/>
      <c r="X3" s="504"/>
    </row>
    <row r="4" spans="1:26" ht="15.75" x14ac:dyDescent="0.25">
      <c r="A4" s="848" t="s">
        <v>171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504"/>
      <c r="X4" s="504"/>
    </row>
    <row r="5" spans="1:26" ht="15.75" x14ac:dyDescent="0.25">
      <c r="A5" s="853" t="s">
        <v>109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510"/>
      <c r="X5" s="510"/>
    </row>
    <row r="6" spans="1:26" ht="15.75" x14ac:dyDescent="0.25">
      <c r="E6" s="419"/>
      <c r="F6" s="419"/>
      <c r="G6" s="419"/>
      <c r="H6" s="419"/>
      <c r="I6" s="419"/>
      <c r="J6" s="419"/>
      <c r="K6" s="419"/>
      <c r="L6" s="419"/>
      <c r="M6" s="419"/>
      <c r="N6" s="345"/>
      <c r="O6" s="345"/>
      <c r="P6" s="504"/>
      <c r="Q6" s="345"/>
      <c r="R6" s="504"/>
      <c r="S6" s="345"/>
      <c r="T6" s="504"/>
      <c r="U6" s="419"/>
      <c r="V6" s="504" t="s">
        <v>461</v>
      </c>
      <c r="W6" s="419"/>
      <c r="X6" s="504" t="s">
        <v>461</v>
      </c>
    </row>
    <row r="7" spans="1:26" ht="15.75" x14ac:dyDescent="0.25">
      <c r="A7" s="504" t="s">
        <v>34</v>
      </c>
      <c r="D7" s="504" t="s">
        <v>35</v>
      </c>
      <c r="E7" s="419"/>
      <c r="F7" s="219" t="s">
        <v>26</v>
      </c>
      <c r="G7" s="419"/>
      <c r="H7" s="219" t="s">
        <v>26</v>
      </c>
      <c r="I7" s="419"/>
      <c r="J7" s="219" t="s">
        <v>26</v>
      </c>
      <c r="K7" s="419"/>
      <c r="L7" s="219" t="s">
        <v>26</v>
      </c>
      <c r="M7" s="219"/>
      <c r="N7" s="504" t="s">
        <v>26</v>
      </c>
      <c r="O7" s="504"/>
      <c r="P7" s="844" t="s">
        <v>330</v>
      </c>
      <c r="Q7" s="844"/>
      <c r="R7" s="844"/>
      <c r="S7" s="844"/>
      <c r="T7" s="844"/>
      <c r="U7" s="419"/>
      <c r="V7" s="504" t="s">
        <v>15</v>
      </c>
      <c r="W7" s="504"/>
      <c r="X7" s="504" t="s">
        <v>15</v>
      </c>
    </row>
    <row r="8" spans="1:26" ht="15.75" x14ac:dyDescent="0.25">
      <c r="A8" s="503" t="s">
        <v>36</v>
      </c>
      <c r="B8" s="400" t="s">
        <v>178</v>
      </c>
      <c r="C8" s="68"/>
      <c r="D8" s="503" t="s">
        <v>37</v>
      </c>
      <c r="E8" s="419"/>
      <c r="F8" s="470">
        <v>2008</v>
      </c>
      <c r="G8" s="479"/>
      <c r="H8" s="470">
        <v>2009</v>
      </c>
      <c r="I8" s="479"/>
      <c r="J8" s="470">
        <v>2010</v>
      </c>
      <c r="K8" s="479"/>
      <c r="L8" s="470">
        <v>2011</v>
      </c>
      <c r="M8" s="475"/>
      <c r="N8" s="473">
        <v>2012</v>
      </c>
      <c r="O8" s="475"/>
      <c r="P8" s="473">
        <v>2013</v>
      </c>
      <c r="Q8" s="475"/>
      <c r="R8" s="473">
        <v>2014</v>
      </c>
      <c r="S8" s="475"/>
      <c r="T8" s="473">
        <v>2015</v>
      </c>
      <c r="U8" s="479"/>
      <c r="V8" s="470">
        <v>2008</v>
      </c>
      <c r="W8" s="479"/>
      <c r="X8" s="470">
        <v>2009</v>
      </c>
      <c r="Y8" s="478"/>
      <c r="Z8" s="504"/>
    </row>
    <row r="9" spans="1:26" x14ac:dyDescent="0.2"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</row>
    <row r="10" spans="1:26" ht="15.75" x14ac:dyDescent="0.25">
      <c r="A10" s="471">
        <f>A9+1</f>
        <v>1</v>
      </c>
      <c r="B10" s="372" t="s">
        <v>73</v>
      </c>
      <c r="C10" s="68"/>
      <c r="D10" s="504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</row>
    <row r="11" spans="1:26" ht="7.5" customHeight="1" x14ac:dyDescent="0.25">
      <c r="A11" s="471"/>
      <c r="B11" s="372"/>
      <c r="C11" s="68"/>
      <c r="D11" s="504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</row>
    <row r="12" spans="1:26" x14ac:dyDescent="0.2">
      <c r="A12" s="471">
        <v>2</v>
      </c>
      <c r="B12" s="481" t="s">
        <v>166</v>
      </c>
      <c r="E12" s="419"/>
      <c r="F12" s="79">
        <v>36205</v>
      </c>
      <c r="G12" s="419"/>
      <c r="H12" s="79">
        <f>+F17</f>
        <v>38338</v>
      </c>
      <c r="I12" s="419"/>
      <c r="J12" s="79">
        <f>+H17</f>
        <v>41379</v>
      </c>
      <c r="K12" s="419"/>
      <c r="L12" s="79">
        <f>+J17</f>
        <v>44938</v>
      </c>
      <c r="M12" s="79"/>
      <c r="N12" s="79">
        <f>+L17</f>
        <v>50503</v>
      </c>
      <c r="O12" s="79"/>
      <c r="P12" s="79">
        <f>+N17</f>
        <v>54075</v>
      </c>
      <c r="Q12" s="79"/>
      <c r="R12" s="79">
        <f>+P17</f>
        <v>57851.142</v>
      </c>
      <c r="S12" s="79"/>
      <c r="T12" s="79">
        <f>+R17</f>
        <v>62404.142</v>
      </c>
      <c r="U12" s="419"/>
      <c r="V12" s="79">
        <v>36205</v>
      </c>
      <c r="W12" s="419"/>
      <c r="X12" s="79">
        <v>38765</v>
      </c>
    </row>
    <row r="13" spans="1:26" ht="7.5" customHeight="1" x14ac:dyDescent="0.2">
      <c r="A13" s="471"/>
      <c r="D13" s="117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79"/>
      <c r="W13" s="419"/>
      <c r="X13" s="79"/>
      <c r="Z13" s="419"/>
    </row>
    <row r="14" spans="1:26" x14ac:dyDescent="0.2">
      <c r="A14" s="471">
        <v>3</v>
      </c>
      <c r="B14" s="481" t="s">
        <v>749</v>
      </c>
      <c r="D14" s="117"/>
      <c r="E14" s="419"/>
      <c r="F14" s="79">
        <v>2133</v>
      </c>
      <c r="G14" s="419"/>
      <c r="H14" s="79">
        <v>3072</v>
      </c>
      <c r="I14" s="419"/>
      <c r="J14" s="79">
        <v>3771</v>
      </c>
      <c r="K14" s="419"/>
      <c r="L14" s="79">
        <v>5732</v>
      </c>
      <c r="M14" s="79"/>
      <c r="N14" s="79">
        <v>3618</v>
      </c>
      <c r="O14" s="79"/>
      <c r="P14" s="79">
        <v>3918.1419999999998</v>
      </c>
      <c r="Q14" s="79"/>
      <c r="R14" s="79">
        <v>4695</v>
      </c>
      <c r="S14" s="79"/>
      <c r="T14" s="79">
        <v>4426</v>
      </c>
      <c r="U14" s="419"/>
      <c r="V14" s="79">
        <v>2560</v>
      </c>
      <c r="W14" s="419"/>
      <c r="X14" s="79">
        <v>2506</v>
      </c>
      <c r="Z14" s="419"/>
    </row>
    <row r="15" spans="1:26" x14ac:dyDescent="0.2">
      <c r="A15" s="471">
        <v>4</v>
      </c>
      <c r="B15" s="481" t="s">
        <v>167</v>
      </c>
      <c r="D15" s="117"/>
      <c r="E15" s="419"/>
      <c r="F15" s="95">
        <v>0</v>
      </c>
      <c r="G15" s="419"/>
      <c r="H15" s="95">
        <v>-31</v>
      </c>
      <c r="I15" s="419"/>
      <c r="J15" s="95">
        <v>-212</v>
      </c>
      <c r="K15" s="419"/>
      <c r="L15" s="95">
        <v>-167</v>
      </c>
      <c r="M15" s="90"/>
      <c r="N15" s="95">
        <v>-46</v>
      </c>
      <c r="O15" s="90"/>
      <c r="P15" s="95">
        <v>-142</v>
      </c>
      <c r="Q15" s="90"/>
      <c r="R15" s="95">
        <v>-142</v>
      </c>
      <c r="S15" s="90"/>
      <c r="T15" s="95">
        <v>-142</v>
      </c>
      <c r="U15" s="419"/>
      <c r="V15" s="95">
        <v>0</v>
      </c>
      <c r="W15" s="419"/>
      <c r="X15" s="95">
        <v>0</v>
      </c>
      <c r="Z15" s="394"/>
    </row>
    <row r="16" spans="1:26" ht="7.5" customHeight="1" x14ac:dyDescent="0.2">
      <c r="A16" s="471"/>
      <c r="D16" s="117"/>
      <c r="E16" s="419"/>
      <c r="F16" s="79"/>
      <c r="G16" s="419"/>
      <c r="H16" s="79"/>
      <c r="I16" s="419"/>
      <c r="J16" s="79"/>
      <c r="K16" s="419"/>
      <c r="L16" s="79"/>
      <c r="M16" s="79"/>
      <c r="N16" s="79"/>
      <c r="O16" s="79"/>
      <c r="P16" s="79"/>
      <c r="Q16" s="79"/>
      <c r="R16" s="79"/>
      <c r="S16" s="79"/>
      <c r="T16" s="79"/>
      <c r="U16" s="419"/>
      <c r="V16" s="79"/>
      <c r="W16" s="419"/>
      <c r="X16" s="79"/>
      <c r="Z16" s="419"/>
    </row>
    <row r="17" spans="1:26" x14ac:dyDescent="0.2">
      <c r="A17" s="471">
        <v>5</v>
      </c>
      <c r="B17" s="481" t="s">
        <v>168</v>
      </c>
      <c r="D17" s="117"/>
      <c r="E17" s="419"/>
      <c r="F17" s="79">
        <f>SUM(F12:F15)</f>
        <v>38338</v>
      </c>
      <c r="G17" s="419"/>
      <c r="H17" s="79">
        <f>SUM(H12:H15)</f>
        <v>41379</v>
      </c>
      <c r="I17" s="419"/>
      <c r="J17" s="79">
        <f>SUM(J12:J15)</f>
        <v>44938</v>
      </c>
      <c r="K17" s="419"/>
      <c r="L17" s="79">
        <f>SUM(L12:L15)</f>
        <v>50503</v>
      </c>
      <c r="M17" s="79"/>
      <c r="N17" s="79">
        <f>SUM(N12:N15)</f>
        <v>54075</v>
      </c>
      <c r="O17" s="79"/>
      <c r="P17" s="79">
        <f>SUM(P12:P15)</f>
        <v>57851.142</v>
      </c>
      <c r="Q17" s="79"/>
      <c r="R17" s="79">
        <f>SUM(R12:R15)</f>
        <v>62404.142</v>
      </c>
      <c r="S17" s="79"/>
      <c r="T17" s="79">
        <f>SUM(T12:T15)</f>
        <v>66688.141999999993</v>
      </c>
      <c r="U17" s="419"/>
      <c r="V17" s="79">
        <f>SUM(V12:V15)</f>
        <v>38765</v>
      </c>
      <c r="W17" s="419"/>
      <c r="X17" s="79">
        <f>SUM(X12:X15)</f>
        <v>41271</v>
      </c>
      <c r="Z17" s="394"/>
    </row>
    <row r="18" spans="1:26" ht="7.5" customHeight="1" x14ac:dyDescent="0.2">
      <c r="A18" s="471"/>
      <c r="D18" s="117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79"/>
      <c r="W18" s="419"/>
      <c r="X18" s="79"/>
      <c r="Z18" s="419"/>
    </row>
    <row r="19" spans="1:26" ht="15.75" x14ac:dyDescent="0.25">
      <c r="A19" s="471">
        <v>6</v>
      </c>
      <c r="B19" s="372" t="s">
        <v>72</v>
      </c>
      <c r="C19" s="68"/>
      <c r="D19" s="507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79"/>
      <c r="W19" s="419"/>
      <c r="X19" s="79"/>
      <c r="Z19" s="419"/>
    </row>
    <row r="20" spans="1:26" ht="7.5" customHeight="1" x14ac:dyDescent="0.2">
      <c r="A20" s="471"/>
      <c r="D20" s="117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79"/>
      <c r="W20" s="419"/>
      <c r="X20" s="79"/>
      <c r="Z20" s="419"/>
    </row>
    <row r="21" spans="1:26" x14ac:dyDescent="0.2">
      <c r="A21" s="471">
        <v>7</v>
      </c>
      <c r="B21" s="481" t="s">
        <v>305</v>
      </c>
      <c r="D21" s="117"/>
      <c r="E21" s="419"/>
      <c r="F21" s="79">
        <v>13709</v>
      </c>
      <c r="G21" s="419"/>
      <c r="H21" s="79">
        <f>+F26</f>
        <v>14689</v>
      </c>
      <c r="I21" s="419"/>
      <c r="J21" s="79">
        <f>+H26</f>
        <v>15791</v>
      </c>
      <c r="K21" s="419"/>
      <c r="L21" s="79">
        <f>+J26</f>
        <v>16800</v>
      </c>
      <c r="M21" s="79"/>
      <c r="N21" s="79">
        <f>+L26</f>
        <v>17922</v>
      </c>
      <c r="O21" s="79"/>
      <c r="P21" s="79">
        <f>+N26</f>
        <v>19247</v>
      </c>
      <c r="Q21" s="79"/>
      <c r="R21" s="79">
        <f>+P26</f>
        <v>20548.847231799999</v>
      </c>
      <c r="S21" s="79"/>
      <c r="T21" s="79">
        <f>+R26</f>
        <v>21964.153159599999</v>
      </c>
      <c r="U21" s="419"/>
      <c r="V21" s="79">
        <v>13709</v>
      </c>
      <c r="W21" s="419"/>
      <c r="X21" s="79">
        <v>14671.986724648999</v>
      </c>
    </row>
    <row r="22" spans="1:26" ht="7.5" customHeight="1" x14ac:dyDescent="0.2">
      <c r="A22" s="471"/>
      <c r="B22" s="481" t="s">
        <v>28</v>
      </c>
      <c r="D22" s="117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Z22" s="419"/>
    </row>
    <row r="23" spans="1:26" x14ac:dyDescent="0.2">
      <c r="A23" s="471">
        <v>8</v>
      </c>
      <c r="B23" s="481" t="s">
        <v>169</v>
      </c>
      <c r="D23" s="117" t="s">
        <v>320</v>
      </c>
      <c r="E23" s="419"/>
      <c r="F23" s="79">
        <v>980</v>
      </c>
      <c r="G23" s="419"/>
      <c r="H23" s="79">
        <v>1133</v>
      </c>
      <c r="I23" s="419"/>
      <c r="J23" s="79">
        <v>1221</v>
      </c>
      <c r="K23" s="419"/>
      <c r="L23" s="79">
        <v>1289</v>
      </c>
      <c r="M23" s="79"/>
      <c r="N23" s="79">
        <f>1371</f>
        <v>1371</v>
      </c>
      <c r="O23" s="79"/>
      <c r="P23" s="79">
        <v>1443.8472317999999</v>
      </c>
      <c r="Q23" s="79"/>
      <c r="R23" s="79">
        <v>1557.3059278000001</v>
      </c>
      <c r="S23" s="79"/>
      <c r="T23" s="79">
        <v>1749.2004482</v>
      </c>
      <c r="U23" s="419"/>
      <c r="V23" s="79">
        <v>962.98672464899994</v>
      </c>
      <c r="W23" s="419"/>
      <c r="X23" s="79">
        <v>1028.0848246490009</v>
      </c>
      <c r="Z23" s="419"/>
    </row>
    <row r="24" spans="1:26" x14ac:dyDescent="0.2">
      <c r="A24" s="471">
        <f>A23+1</f>
        <v>9</v>
      </c>
      <c r="B24" s="481" t="s">
        <v>167</v>
      </c>
      <c r="D24" s="117"/>
      <c r="E24" s="419"/>
      <c r="F24" s="95">
        <v>0</v>
      </c>
      <c r="G24" s="419"/>
      <c r="H24" s="95">
        <v>-31</v>
      </c>
      <c r="I24" s="419"/>
      <c r="J24" s="95">
        <v>-212</v>
      </c>
      <c r="K24" s="419"/>
      <c r="L24" s="95">
        <f>+L15</f>
        <v>-167</v>
      </c>
      <c r="M24" s="90"/>
      <c r="N24" s="95">
        <f>+N15</f>
        <v>-46</v>
      </c>
      <c r="O24" s="90"/>
      <c r="P24" s="95">
        <f>+P15</f>
        <v>-142</v>
      </c>
      <c r="Q24" s="90"/>
      <c r="R24" s="95">
        <f>+R15</f>
        <v>-142</v>
      </c>
      <c r="S24" s="90"/>
      <c r="T24" s="95">
        <f>+T15</f>
        <v>-142</v>
      </c>
      <c r="U24" s="419"/>
      <c r="V24" s="95">
        <v>0</v>
      </c>
      <c r="W24" s="419"/>
      <c r="X24" s="95">
        <v>0</v>
      </c>
      <c r="Z24" s="419"/>
    </row>
    <row r="25" spans="1:26" ht="7.5" customHeight="1" x14ac:dyDescent="0.2">
      <c r="A25" s="471"/>
      <c r="D25" s="117"/>
      <c r="E25" s="419"/>
      <c r="F25" s="79"/>
      <c r="G25" s="419"/>
      <c r="H25" s="79"/>
      <c r="I25" s="419"/>
      <c r="J25" s="79"/>
      <c r="K25" s="419"/>
      <c r="L25" s="79"/>
      <c r="M25" s="79"/>
      <c r="N25" s="79"/>
      <c r="O25" s="79"/>
      <c r="P25" s="79"/>
      <c r="Q25" s="79"/>
      <c r="R25" s="79"/>
      <c r="S25" s="79"/>
      <c r="T25" s="79"/>
      <c r="U25" s="419"/>
      <c r="V25" s="79"/>
      <c r="W25" s="419"/>
      <c r="X25" s="79"/>
      <c r="Z25" s="419"/>
    </row>
    <row r="26" spans="1:26" x14ac:dyDescent="0.2">
      <c r="A26" s="471">
        <v>10</v>
      </c>
      <c r="B26" s="481" t="s">
        <v>306</v>
      </c>
      <c r="D26" s="117"/>
      <c r="E26" s="419"/>
      <c r="F26" s="79">
        <f>SUM(F21:F24)</f>
        <v>14689</v>
      </c>
      <c r="G26" s="419"/>
      <c r="H26" s="79">
        <f>SUM(H21:H24)</f>
        <v>15791</v>
      </c>
      <c r="I26" s="419"/>
      <c r="J26" s="79">
        <f>SUM(J21:J24)</f>
        <v>16800</v>
      </c>
      <c r="K26" s="419"/>
      <c r="L26" s="79">
        <f>SUM(L21:L24)</f>
        <v>17922</v>
      </c>
      <c r="M26" s="79"/>
      <c r="N26" s="79">
        <f>SUM(N21:N24)</f>
        <v>19247</v>
      </c>
      <c r="O26" s="79"/>
      <c r="P26" s="79">
        <f>SUM(P21:P24)</f>
        <v>20548.847231799999</v>
      </c>
      <c r="Q26" s="79"/>
      <c r="R26" s="79">
        <f>SUM(R21:R24)</f>
        <v>21964.153159599999</v>
      </c>
      <c r="S26" s="79"/>
      <c r="T26" s="79">
        <f>SUM(T21:T24)</f>
        <v>23571.3536078</v>
      </c>
      <c r="U26" s="419"/>
      <c r="V26" s="79">
        <f>SUM(V21:V24)</f>
        <v>14671.986724648999</v>
      </c>
      <c r="W26" s="419"/>
      <c r="X26" s="79">
        <f>SUM(X21:X24)</f>
        <v>15700.071549298</v>
      </c>
      <c r="Z26" s="419"/>
    </row>
    <row r="27" spans="1:26" ht="7.5" customHeight="1" x14ac:dyDescent="0.2">
      <c r="A27" s="471"/>
      <c r="D27" s="117"/>
      <c r="E27" s="419"/>
      <c r="F27" s="79"/>
      <c r="G27" s="419"/>
      <c r="H27" s="79"/>
      <c r="I27" s="419"/>
      <c r="J27" s="79"/>
      <c r="K27" s="419"/>
      <c r="L27" s="79"/>
      <c r="M27" s="79"/>
      <c r="N27" s="79"/>
      <c r="O27" s="79"/>
      <c r="P27" s="79"/>
      <c r="Q27" s="79"/>
      <c r="R27" s="79"/>
      <c r="S27" s="79"/>
      <c r="T27" s="79"/>
      <c r="U27" s="419"/>
      <c r="V27" s="79"/>
      <c r="W27" s="419"/>
      <c r="X27" s="79"/>
      <c r="Z27" s="419"/>
    </row>
    <row r="28" spans="1:26" ht="15.75" x14ac:dyDescent="0.25">
      <c r="A28" s="471">
        <v>11</v>
      </c>
      <c r="B28" s="372" t="s">
        <v>170</v>
      </c>
      <c r="C28" s="68"/>
      <c r="D28" s="117" t="s">
        <v>277</v>
      </c>
      <c r="E28" s="419"/>
      <c r="F28" s="511">
        <f>+F17-F26</f>
        <v>23649</v>
      </c>
      <c r="G28" s="419"/>
      <c r="H28" s="511">
        <f>+H17-H26</f>
        <v>25588</v>
      </c>
      <c r="I28" s="419"/>
      <c r="J28" s="511">
        <f>+J17-J26</f>
        <v>28138</v>
      </c>
      <c r="K28" s="419"/>
      <c r="L28" s="511">
        <f>+L17-L26</f>
        <v>32581</v>
      </c>
      <c r="M28" s="135"/>
      <c r="N28" s="511">
        <f>+N17-N26</f>
        <v>34828</v>
      </c>
      <c r="O28" s="135"/>
      <c r="P28" s="511">
        <f>+P17-P26</f>
        <v>37302.294768200001</v>
      </c>
      <c r="Q28" s="135"/>
      <c r="R28" s="511">
        <f>+R17-R26</f>
        <v>40439.988840400001</v>
      </c>
      <c r="S28" s="135"/>
      <c r="T28" s="511">
        <f>+T17-T26</f>
        <v>43116.788392199989</v>
      </c>
      <c r="U28" s="419"/>
      <c r="V28" s="511">
        <f>+V17-V26</f>
        <v>24093.013275351001</v>
      </c>
      <c r="W28" s="419"/>
      <c r="X28" s="511">
        <f>+X17-X26</f>
        <v>25570.928450701998</v>
      </c>
      <c r="Z28" s="419"/>
    </row>
  </sheetData>
  <customSheetViews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5">
    <mergeCell ref="A2:V2"/>
    <mergeCell ref="A3:V3"/>
    <mergeCell ref="A4:V4"/>
    <mergeCell ref="A5:V5"/>
    <mergeCell ref="P7:T7"/>
  </mergeCells>
  <phoneticPr fontId="10" type="noConversion"/>
  <printOptions horizontalCentered="1"/>
  <pageMargins left="0.5" right="0.5" top="0.75" bottom="0.75" header="0.5" footer="0.5"/>
  <pageSetup scale="59" orientation="landscape" r:id="rId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pageSetUpPr fitToPage="1"/>
  </sheetPr>
  <dimension ref="A1:Z115"/>
  <sheetViews>
    <sheetView view="pageBreakPreview" zoomScale="70" zoomScaleNormal="70" zoomScaleSheetLayoutView="70" workbookViewId="0">
      <selection activeCell="L31" sqref="L31:P31"/>
    </sheetView>
  </sheetViews>
  <sheetFormatPr defaultRowHeight="15" x14ac:dyDescent="0.2"/>
  <cols>
    <col min="1" max="1" width="6" style="482" bestFit="1" customWidth="1"/>
    <col min="2" max="2" width="40" style="429" bestFit="1" customWidth="1"/>
    <col min="3" max="3" width="2.28515625" style="429" customWidth="1"/>
    <col min="4" max="4" width="12.5703125" style="429" bestFit="1" customWidth="1"/>
    <col min="5" max="5" width="2.7109375" style="429" customWidth="1"/>
    <col min="6" max="6" width="12" style="429" customWidth="1"/>
    <col min="7" max="7" width="2.28515625" style="429" customWidth="1"/>
    <col min="8" max="8" width="12" style="429" customWidth="1"/>
    <col min="9" max="9" width="2.28515625" style="429" customWidth="1"/>
    <col min="10" max="10" width="12" style="429" customWidth="1"/>
    <col min="11" max="11" width="2.28515625" style="429" customWidth="1"/>
    <col min="12" max="12" width="12" style="429" customWidth="1"/>
    <col min="13" max="13" width="2.28515625" style="429" customWidth="1"/>
    <col min="14" max="14" width="12" style="429" customWidth="1"/>
    <col min="15" max="15" width="2.28515625" style="429" customWidth="1"/>
    <col min="16" max="16" width="14.28515625" style="429" customWidth="1"/>
    <col min="17" max="17" width="2.28515625" style="429" customWidth="1"/>
    <col min="18" max="18" width="12" style="429" customWidth="1"/>
    <col min="19" max="19" width="2.28515625" style="429" customWidth="1"/>
    <col min="20" max="20" width="12" style="429" customWidth="1"/>
    <col min="21" max="21" width="2.28515625" style="429" customWidth="1"/>
    <col min="22" max="22" width="12" style="429" customWidth="1"/>
    <col min="23" max="23" width="2.28515625" style="429" customWidth="1"/>
    <col min="24" max="24" width="12" style="429" customWidth="1"/>
    <col min="25" max="25" width="2.28515625" style="429" customWidth="1"/>
    <col min="26" max="16384" width="9.140625" style="428"/>
  </cols>
  <sheetData>
    <row r="1" spans="1:26" s="69" customFormat="1" ht="15.75" x14ac:dyDescent="0.25">
      <c r="A1" s="40" t="s">
        <v>539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66" t="s">
        <v>869</v>
      </c>
    </row>
    <row r="2" spans="1:26" s="69" customFormat="1" ht="15.75" x14ac:dyDescent="0.25">
      <c r="A2" s="848" t="s">
        <v>489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848"/>
      <c r="Y2" s="48"/>
    </row>
    <row r="3" spans="1:26" s="435" customFormat="1" ht="15.75" x14ac:dyDescent="0.25">
      <c r="A3" s="848" t="s">
        <v>233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441"/>
    </row>
    <row r="4" spans="1:26" ht="15.75" x14ac:dyDescent="0.25">
      <c r="A4" s="854" t="s">
        <v>33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428"/>
    </row>
    <row r="5" spans="1:26" s="798" customFormat="1" ht="15.75" x14ac:dyDescent="0.25">
      <c r="A5" s="784"/>
      <c r="B5" s="481"/>
      <c r="C5" s="481"/>
      <c r="D5" s="481"/>
      <c r="E5" s="441"/>
      <c r="F5" s="441"/>
      <c r="G5" s="441"/>
      <c r="H5" s="441"/>
      <c r="I5" s="441"/>
      <c r="J5" s="441"/>
      <c r="K5" s="441"/>
      <c r="L5" s="441"/>
      <c r="M5" s="441"/>
      <c r="N5" s="419"/>
      <c r="O5" s="419"/>
      <c r="P5" s="784"/>
      <c r="Q5" s="419"/>
      <c r="R5" s="784"/>
      <c r="S5" s="419"/>
      <c r="T5" s="784"/>
      <c r="U5" s="419"/>
      <c r="V5" s="784" t="s">
        <v>461</v>
      </c>
      <c r="W5" s="419"/>
      <c r="X5" s="784" t="s">
        <v>461</v>
      </c>
      <c r="Y5" s="441"/>
    </row>
    <row r="6" spans="1:26" s="798" customFormat="1" ht="15.75" x14ac:dyDescent="0.25">
      <c r="A6" s="784" t="s">
        <v>34</v>
      </c>
      <c r="B6" s="481"/>
      <c r="C6" s="481"/>
      <c r="D6" s="784" t="s">
        <v>35</v>
      </c>
      <c r="E6" s="218"/>
      <c r="F6" s="219" t="s">
        <v>26</v>
      </c>
      <c r="G6" s="218"/>
      <c r="H6" s="219" t="s">
        <v>26</v>
      </c>
      <c r="I6" s="218"/>
      <c r="J6" s="219" t="s">
        <v>26</v>
      </c>
      <c r="K6" s="218"/>
      <c r="L6" s="219" t="s">
        <v>26</v>
      </c>
      <c r="M6" s="218"/>
      <c r="N6" s="784" t="s">
        <v>26</v>
      </c>
      <c r="O6" s="784"/>
      <c r="P6" s="844" t="s">
        <v>330</v>
      </c>
      <c r="Q6" s="844"/>
      <c r="R6" s="844"/>
      <c r="S6" s="844"/>
      <c r="T6" s="844"/>
      <c r="U6" s="419"/>
      <c r="V6" s="784" t="s">
        <v>15</v>
      </c>
      <c r="W6" s="784"/>
      <c r="X6" s="784" t="s">
        <v>15</v>
      </c>
      <c r="Y6" s="604"/>
    </row>
    <row r="7" spans="1:26" s="798" customFormat="1" ht="15.75" x14ac:dyDescent="0.25">
      <c r="A7" s="783" t="s">
        <v>36</v>
      </c>
      <c r="B7" s="400" t="s">
        <v>178</v>
      </c>
      <c r="C7" s="68"/>
      <c r="D7" s="783" t="s">
        <v>37</v>
      </c>
      <c r="E7" s="481"/>
      <c r="F7" s="783">
        <v>2008</v>
      </c>
      <c r="G7" s="481"/>
      <c r="H7" s="783">
        <v>2009</v>
      </c>
      <c r="I7" s="481"/>
      <c r="J7" s="783">
        <v>2010</v>
      </c>
      <c r="K7" s="481"/>
      <c r="L7" s="783">
        <v>2011</v>
      </c>
      <c r="M7" s="481"/>
      <c r="N7" s="783">
        <v>2012</v>
      </c>
      <c r="O7" s="346"/>
      <c r="P7" s="783">
        <v>2013</v>
      </c>
      <c r="Q7" s="346"/>
      <c r="R7" s="783">
        <v>2014</v>
      </c>
      <c r="S7" s="346"/>
      <c r="T7" s="783">
        <v>2015</v>
      </c>
      <c r="U7" s="419"/>
      <c r="V7" s="785">
        <v>2008</v>
      </c>
      <c r="W7" s="419"/>
      <c r="X7" s="785">
        <v>2009</v>
      </c>
      <c r="Y7" s="604"/>
    </row>
    <row r="8" spans="1:26" s="798" customFormat="1" ht="15.75" x14ac:dyDescent="0.25">
      <c r="A8" s="784"/>
      <c r="B8" s="481"/>
      <c r="C8" s="481"/>
      <c r="D8" s="481"/>
      <c r="E8" s="604"/>
      <c r="F8" s="604"/>
      <c r="G8" s="604"/>
      <c r="H8" s="604"/>
      <c r="I8" s="604"/>
      <c r="J8" s="604"/>
      <c r="K8" s="604"/>
      <c r="L8" s="604"/>
      <c r="M8" s="604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604"/>
    </row>
    <row r="9" spans="1:26" s="798" customFormat="1" x14ac:dyDescent="0.2">
      <c r="A9" s="482">
        <v>1</v>
      </c>
      <c r="B9" s="481" t="s">
        <v>633</v>
      </c>
      <c r="C9" s="481"/>
      <c r="D9" s="481"/>
      <c r="E9" s="799"/>
      <c r="F9" s="308">
        <v>1035</v>
      </c>
      <c r="G9" s="799"/>
      <c r="H9" s="123">
        <f>F43</f>
        <v>1771</v>
      </c>
      <c r="I9" s="800"/>
      <c r="J9" s="123">
        <f>H43</f>
        <v>555</v>
      </c>
      <c r="K9" s="800"/>
      <c r="L9" s="123">
        <f>+J43</f>
        <v>2749</v>
      </c>
      <c r="M9" s="799"/>
      <c r="N9" s="123">
        <f>+L43</f>
        <v>5025.3999999999996</v>
      </c>
      <c r="O9" s="799"/>
      <c r="P9" s="123">
        <f>+N43</f>
        <v>2093.5720799999999</v>
      </c>
      <c r="Q9" s="799"/>
      <c r="R9" s="123">
        <f>+P43</f>
        <v>1560.5067059999999</v>
      </c>
      <c r="S9" s="799"/>
      <c r="T9" s="123">
        <f>+R43</f>
        <v>960.50670600000001</v>
      </c>
      <c r="U9" s="799"/>
      <c r="V9" s="123">
        <v>1035</v>
      </c>
      <c r="W9" s="799"/>
      <c r="X9" s="123">
        <f>+V43</f>
        <v>620</v>
      </c>
      <c r="Y9" s="604"/>
    </row>
    <row r="10" spans="1:26" s="798" customFormat="1" ht="15.75" x14ac:dyDescent="0.25">
      <c r="A10" s="482">
        <f>A9+1</f>
        <v>2</v>
      </c>
      <c r="B10" s="481"/>
      <c r="C10" s="481"/>
      <c r="D10" s="481"/>
      <c r="E10" s="799"/>
      <c r="F10" s="799"/>
      <c r="G10" s="799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0"/>
      <c r="T10" s="800"/>
      <c r="U10" s="800"/>
      <c r="V10" s="124"/>
      <c r="W10" s="800"/>
      <c r="X10" s="124"/>
      <c r="Y10" s="425"/>
      <c r="Z10" s="424"/>
    </row>
    <row r="11" spans="1:26" s="798" customFormat="1" ht="15.75" x14ac:dyDescent="0.25">
      <c r="A11" s="482">
        <f t="shared" ref="A11:A43" si="0">A10+1</f>
        <v>3</v>
      </c>
      <c r="B11" s="71" t="s">
        <v>244</v>
      </c>
      <c r="C11" s="481"/>
      <c r="D11" s="481"/>
      <c r="E11" s="799"/>
      <c r="F11" s="799"/>
      <c r="G11" s="799"/>
      <c r="H11" s="800"/>
      <c r="I11" s="800"/>
      <c r="J11" s="800"/>
      <c r="K11" s="800"/>
      <c r="L11" s="800"/>
      <c r="M11" s="800"/>
      <c r="N11" s="800"/>
      <c r="O11" s="800"/>
      <c r="P11" s="800"/>
      <c r="Q11" s="800"/>
      <c r="R11" s="800"/>
      <c r="S11" s="800"/>
      <c r="T11" s="800"/>
      <c r="U11" s="800"/>
      <c r="V11" s="124"/>
      <c r="W11" s="800"/>
      <c r="X11" s="124"/>
      <c r="Y11" s="425"/>
      <c r="Z11" s="424"/>
    </row>
    <row r="12" spans="1:26" s="798" customFormat="1" x14ac:dyDescent="0.2">
      <c r="A12" s="482">
        <f t="shared" si="0"/>
        <v>4</v>
      </c>
      <c r="B12" s="252" t="s">
        <v>245</v>
      </c>
      <c r="C12" s="481"/>
      <c r="D12" s="481"/>
      <c r="E12" s="799"/>
      <c r="F12" s="308">
        <v>853</v>
      </c>
      <c r="G12" s="799"/>
      <c r="H12" s="123">
        <f>730+49</f>
        <v>779</v>
      </c>
      <c r="I12" s="800"/>
      <c r="J12" s="123">
        <f>1810-346</f>
        <v>1464</v>
      </c>
      <c r="K12" s="800"/>
      <c r="L12" s="123">
        <f>1651.685-367</f>
        <v>1284.6849999999999</v>
      </c>
      <c r="M12" s="800"/>
      <c r="N12" s="123">
        <f>3115.105-402</f>
        <v>2713.105</v>
      </c>
      <c r="O12" s="800"/>
      <c r="P12" s="737">
        <v>5964.4699999999993</v>
      </c>
      <c r="Q12" s="800"/>
      <c r="R12" s="123">
        <v>7386.5</v>
      </c>
      <c r="S12" s="800"/>
      <c r="T12" s="123">
        <v>2900</v>
      </c>
      <c r="U12" s="800"/>
      <c r="V12" s="126">
        <v>1083</v>
      </c>
      <c r="W12" s="800"/>
      <c r="X12" s="126">
        <v>1193</v>
      </c>
      <c r="Y12" s="425"/>
      <c r="Z12" s="424"/>
    </row>
    <row r="13" spans="1:26" s="798" customFormat="1" x14ac:dyDescent="0.2">
      <c r="A13" s="482">
        <f t="shared" si="0"/>
        <v>5</v>
      </c>
      <c r="B13" s="481"/>
      <c r="C13" s="481"/>
      <c r="D13" s="481"/>
      <c r="E13" s="799"/>
      <c r="F13" s="127">
        <f>SUM(F12:F12)</f>
        <v>853</v>
      </c>
      <c r="G13" s="799"/>
      <c r="H13" s="127">
        <f>SUM(H12:H12)</f>
        <v>779</v>
      </c>
      <c r="I13" s="800"/>
      <c r="J13" s="127">
        <f>SUM(J12:J12)</f>
        <v>1464</v>
      </c>
      <c r="K13" s="800"/>
      <c r="L13" s="127">
        <f>SUM(L12:L12)</f>
        <v>1284.6849999999999</v>
      </c>
      <c r="M13" s="800"/>
      <c r="N13" s="127">
        <f>SUM(N12:N12)</f>
        <v>2713.105</v>
      </c>
      <c r="O13" s="800"/>
      <c r="P13" s="127">
        <f>SUM(P12:P12)</f>
        <v>5964.4699999999993</v>
      </c>
      <c r="Q13" s="800"/>
      <c r="R13" s="127">
        <f>SUM(R12:R12)</f>
        <v>7386.5</v>
      </c>
      <c r="S13" s="800"/>
      <c r="T13" s="127">
        <f>SUM(T12:T12)</f>
        <v>2900</v>
      </c>
      <c r="U13" s="800"/>
      <c r="V13" s="127">
        <f>SUM(V12:V12)</f>
        <v>1083</v>
      </c>
      <c r="W13" s="800"/>
      <c r="X13" s="127">
        <f>SUM(X12:X12)</f>
        <v>1193</v>
      </c>
      <c r="Y13" s="425"/>
      <c r="Z13" s="424"/>
    </row>
    <row r="14" spans="1:26" s="798" customFormat="1" ht="15.75" x14ac:dyDescent="0.25">
      <c r="A14" s="482">
        <f t="shared" si="0"/>
        <v>6</v>
      </c>
      <c r="B14" s="214" t="s">
        <v>359</v>
      </c>
      <c r="C14" s="481"/>
      <c r="D14" s="481"/>
      <c r="E14" s="799"/>
      <c r="F14" s="799"/>
      <c r="G14" s="799"/>
      <c r="H14" s="800"/>
      <c r="I14" s="800"/>
      <c r="J14" s="800"/>
      <c r="K14" s="800"/>
      <c r="L14" s="800"/>
      <c r="M14" s="800"/>
      <c r="N14" s="800"/>
      <c r="O14" s="800"/>
      <c r="P14" s="800"/>
      <c r="Q14" s="800"/>
      <c r="R14" s="800"/>
      <c r="S14" s="800"/>
      <c r="T14" s="800"/>
      <c r="U14" s="800"/>
      <c r="V14" s="124"/>
      <c r="W14" s="800"/>
      <c r="X14" s="124"/>
      <c r="Y14" s="425"/>
      <c r="Z14" s="424"/>
    </row>
    <row r="15" spans="1:26" s="798" customFormat="1" x14ac:dyDescent="0.2">
      <c r="A15" s="482">
        <f t="shared" si="0"/>
        <v>7</v>
      </c>
      <c r="B15" s="252" t="s">
        <v>360</v>
      </c>
      <c r="C15" s="481"/>
      <c r="D15" s="481"/>
      <c r="E15" s="801"/>
      <c r="F15" s="126">
        <v>1035</v>
      </c>
      <c r="G15" s="801"/>
      <c r="H15" s="126">
        <v>0</v>
      </c>
      <c r="I15" s="802"/>
      <c r="J15" s="126">
        <v>0</v>
      </c>
      <c r="K15" s="802"/>
      <c r="L15" s="126"/>
      <c r="M15" s="802"/>
      <c r="N15" s="126">
        <v>0</v>
      </c>
      <c r="O15" s="802"/>
      <c r="P15" s="126">
        <v>0</v>
      </c>
      <c r="Q15" s="802"/>
      <c r="R15" s="126">
        <v>0</v>
      </c>
      <c r="S15" s="802"/>
      <c r="T15" s="126">
        <v>0</v>
      </c>
      <c r="U15" s="802"/>
      <c r="V15" s="126">
        <v>1008</v>
      </c>
      <c r="W15" s="802"/>
      <c r="X15" s="126">
        <v>0</v>
      </c>
      <c r="Y15" s="425"/>
      <c r="Z15" s="424"/>
    </row>
    <row r="16" spans="1:26" s="798" customFormat="1" x14ac:dyDescent="0.2">
      <c r="A16" s="482">
        <f t="shared" si="0"/>
        <v>8</v>
      </c>
      <c r="B16" s="481"/>
      <c r="C16" s="481"/>
      <c r="D16" s="481"/>
      <c r="E16" s="801"/>
      <c r="F16" s="127">
        <f>SUM(F15)</f>
        <v>1035</v>
      </c>
      <c r="G16" s="801"/>
      <c r="H16" s="127">
        <f>SUM(H15)</f>
        <v>0</v>
      </c>
      <c r="I16" s="802"/>
      <c r="J16" s="127">
        <f>SUM(J15)</f>
        <v>0</v>
      </c>
      <c r="K16" s="802"/>
      <c r="L16" s="127">
        <f>SUM(L15)</f>
        <v>0</v>
      </c>
      <c r="M16" s="802"/>
      <c r="N16" s="127">
        <f>SUM(N15)</f>
        <v>0</v>
      </c>
      <c r="O16" s="802"/>
      <c r="P16" s="127">
        <f>SUM(P15)</f>
        <v>0</v>
      </c>
      <c r="Q16" s="802"/>
      <c r="R16" s="127">
        <f>SUM(R15)</f>
        <v>0</v>
      </c>
      <c r="S16" s="802"/>
      <c r="T16" s="127">
        <f>SUM(T15)</f>
        <v>0</v>
      </c>
      <c r="U16" s="802"/>
      <c r="V16" s="127">
        <f>SUM(V15)</f>
        <v>1008</v>
      </c>
      <c r="W16" s="802"/>
      <c r="X16" s="127">
        <f>SUM(X15)</f>
        <v>0</v>
      </c>
      <c r="Y16" s="425"/>
      <c r="Z16" s="424"/>
    </row>
    <row r="17" spans="1:26" ht="15.75" x14ac:dyDescent="0.25">
      <c r="A17" s="482">
        <f t="shared" si="0"/>
        <v>9</v>
      </c>
      <c r="B17" s="71" t="s">
        <v>153</v>
      </c>
      <c r="C17" s="319"/>
      <c r="D17" s="319"/>
      <c r="E17" s="801"/>
      <c r="F17" s="801"/>
      <c r="G17" s="801"/>
      <c r="H17" s="802"/>
      <c r="I17" s="802"/>
      <c r="J17" s="802"/>
      <c r="K17" s="802"/>
      <c r="L17" s="802"/>
      <c r="M17" s="802"/>
      <c r="N17" s="802"/>
      <c r="O17" s="802"/>
      <c r="P17" s="802"/>
      <c r="Q17" s="802"/>
      <c r="R17" s="802"/>
      <c r="S17" s="802"/>
      <c r="T17" s="802"/>
      <c r="U17" s="802"/>
      <c r="V17" s="123"/>
      <c r="W17" s="802"/>
      <c r="X17" s="123"/>
      <c r="Y17" s="427"/>
      <c r="Z17" s="426"/>
    </row>
    <row r="18" spans="1:26" x14ac:dyDescent="0.2">
      <c r="A18" s="482">
        <f t="shared" si="0"/>
        <v>10</v>
      </c>
      <c r="B18" s="319" t="s">
        <v>154</v>
      </c>
      <c r="C18" s="319"/>
      <c r="D18" s="100"/>
      <c r="E18" s="801"/>
      <c r="F18" s="308">
        <f>3267-23</f>
        <v>3244</v>
      </c>
      <c r="G18" s="801"/>
      <c r="H18" s="123">
        <f>3412+(146/2)+3-51</f>
        <v>3437</v>
      </c>
      <c r="I18" s="802"/>
      <c r="J18" s="123">
        <f>3322+149/2</f>
        <v>3396.5</v>
      </c>
      <c r="K18" s="802"/>
      <c r="L18" s="123">
        <f>5942-(303/2)+287</f>
        <v>6077.5</v>
      </c>
      <c r="M18" s="802"/>
      <c r="N18" s="123">
        <f>4961-42.5</f>
        <v>4918.5</v>
      </c>
      <c r="O18" s="802"/>
      <c r="P18" s="123">
        <v>5033.4279999999999</v>
      </c>
      <c r="Q18" s="802"/>
      <c r="R18" s="123">
        <v>5146.62</v>
      </c>
      <c r="S18" s="802"/>
      <c r="T18" s="123">
        <v>5300.44</v>
      </c>
      <c r="U18" s="802"/>
      <c r="V18" s="123">
        <v>3140.5</v>
      </c>
      <c r="W18" s="802"/>
      <c r="X18" s="123">
        <v>2961.5</v>
      </c>
      <c r="Y18" s="427"/>
      <c r="Z18" s="426"/>
    </row>
    <row r="19" spans="1:26" x14ac:dyDescent="0.2">
      <c r="A19" s="482">
        <f t="shared" si="0"/>
        <v>11</v>
      </c>
      <c r="B19" s="319" t="s">
        <v>155</v>
      </c>
      <c r="C19" s="319"/>
      <c r="D19" s="100"/>
      <c r="E19" s="801"/>
      <c r="F19" s="308">
        <f>3420-22-3</f>
        <v>3395</v>
      </c>
      <c r="G19" s="801"/>
      <c r="H19" s="123">
        <f>1130+(146/2)</f>
        <v>1203</v>
      </c>
      <c r="I19" s="802"/>
      <c r="J19" s="123">
        <f>2204+149/2-28</f>
        <v>2250.5</v>
      </c>
      <c r="K19" s="802"/>
      <c r="L19" s="123">
        <v>4626.0219999999999</v>
      </c>
      <c r="M19" s="802"/>
      <c r="N19" s="123">
        <v>4017.95</v>
      </c>
      <c r="O19" s="802"/>
      <c r="P19" s="123">
        <v>4021</v>
      </c>
      <c r="Q19" s="802"/>
      <c r="R19" s="123">
        <v>4456.5</v>
      </c>
      <c r="S19" s="802"/>
      <c r="T19" s="123">
        <v>3874.53</v>
      </c>
      <c r="U19" s="802"/>
      <c r="V19" s="123">
        <v>2966.5</v>
      </c>
      <c r="W19" s="802"/>
      <c r="X19" s="123">
        <v>2531.5</v>
      </c>
      <c r="Y19" s="427"/>
      <c r="Z19" s="426"/>
    </row>
    <row r="20" spans="1:26" x14ac:dyDescent="0.2">
      <c r="A20" s="482">
        <f t="shared" si="0"/>
        <v>12</v>
      </c>
      <c r="B20" s="319" t="s">
        <v>174</v>
      </c>
      <c r="C20" s="319"/>
      <c r="D20" s="100"/>
      <c r="E20" s="801"/>
      <c r="F20" s="308">
        <v>839</v>
      </c>
      <c r="G20" s="801"/>
      <c r="H20" s="123">
        <v>354</v>
      </c>
      <c r="I20" s="802"/>
      <c r="J20" s="123">
        <f>486</f>
        <v>486</v>
      </c>
      <c r="K20" s="802"/>
      <c r="L20" s="123">
        <v>1045</v>
      </c>
      <c r="M20" s="802"/>
      <c r="N20" s="123">
        <v>456</v>
      </c>
      <c r="O20" s="802"/>
      <c r="P20" s="123">
        <v>420</v>
      </c>
      <c r="Q20" s="802"/>
      <c r="R20" s="123">
        <v>945</v>
      </c>
      <c r="S20" s="802"/>
      <c r="T20" s="123">
        <v>813</v>
      </c>
      <c r="U20" s="802"/>
      <c r="V20" s="123">
        <v>506</v>
      </c>
      <c r="W20" s="802"/>
      <c r="X20" s="123">
        <v>495</v>
      </c>
      <c r="Y20" s="427"/>
      <c r="Z20" s="426"/>
    </row>
    <row r="21" spans="1:26" x14ac:dyDescent="0.2">
      <c r="A21" s="482">
        <f t="shared" si="0"/>
        <v>13</v>
      </c>
      <c r="B21" s="319" t="s">
        <v>156</v>
      </c>
      <c r="C21" s="319"/>
      <c r="D21" s="100"/>
      <c r="E21" s="801"/>
      <c r="F21" s="308">
        <v>31</v>
      </c>
      <c r="G21" s="801"/>
      <c r="H21" s="123">
        <v>0</v>
      </c>
      <c r="I21" s="802"/>
      <c r="J21" s="123">
        <f>460</f>
        <v>460</v>
      </c>
      <c r="K21" s="802"/>
      <c r="L21" s="123">
        <v>199</v>
      </c>
      <c r="M21" s="802"/>
      <c r="N21" s="123">
        <v>283</v>
      </c>
      <c r="O21" s="802"/>
      <c r="P21" s="123">
        <v>600</v>
      </c>
      <c r="Q21" s="802"/>
      <c r="R21" s="123">
        <v>203.52500000000001</v>
      </c>
      <c r="S21" s="802"/>
      <c r="T21" s="123">
        <v>206.596</v>
      </c>
      <c r="U21" s="802"/>
      <c r="V21" s="123">
        <v>0</v>
      </c>
      <c r="W21" s="802"/>
      <c r="X21" s="123">
        <v>0</v>
      </c>
      <c r="Y21" s="427"/>
      <c r="Z21" s="426"/>
    </row>
    <row r="22" spans="1:26" x14ac:dyDescent="0.2">
      <c r="A22" s="482">
        <f t="shared" si="0"/>
        <v>14</v>
      </c>
      <c r="B22" s="319" t="s">
        <v>505</v>
      </c>
      <c r="C22" s="319"/>
      <c r="D22" s="100"/>
      <c r="E22" s="801"/>
      <c r="F22" s="308">
        <v>0</v>
      </c>
      <c r="G22" s="801"/>
      <c r="H22" s="123">
        <v>0</v>
      </c>
      <c r="I22" s="802"/>
      <c r="J22" s="123">
        <v>0</v>
      </c>
      <c r="K22" s="802"/>
      <c r="L22" s="123">
        <v>0</v>
      </c>
      <c r="M22" s="802"/>
      <c r="N22" s="123">
        <v>0</v>
      </c>
      <c r="O22" s="802"/>
      <c r="P22" s="123">
        <v>0</v>
      </c>
      <c r="Q22" s="802"/>
      <c r="R22" s="123">
        <v>0</v>
      </c>
      <c r="S22" s="802"/>
      <c r="T22" s="123">
        <v>0</v>
      </c>
      <c r="U22" s="802"/>
      <c r="V22" s="123">
        <v>0</v>
      </c>
      <c r="W22" s="802"/>
      <c r="X22" s="123">
        <v>0</v>
      </c>
      <c r="Y22" s="427"/>
      <c r="Z22" s="426"/>
    </row>
    <row r="23" spans="1:26" x14ac:dyDescent="0.2">
      <c r="A23" s="482">
        <f t="shared" si="0"/>
        <v>15</v>
      </c>
      <c r="B23" s="319" t="s">
        <v>309</v>
      </c>
      <c r="C23" s="319"/>
      <c r="D23" s="100"/>
      <c r="E23" s="801"/>
      <c r="F23" s="308">
        <v>0</v>
      </c>
      <c r="G23" s="801"/>
      <c r="H23" s="123">
        <v>80</v>
      </c>
      <c r="I23" s="802"/>
      <c r="J23" s="123">
        <v>0</v>
      </c>
      <c r="K23" s="802"/>
      <c r="L23" s="123">
        <v>9</v>
      </c>
      <c r="M23" s="802"/>
      <c r="N23" s="123">
        <v>34</v>
      </c>
      <c r="O23" s="802"/>
      <c r="P23" s="123">
        <v>10</v>
      </c>
      <c r="Q23" s="802"/>
      <c r="R23" s="123">
        <v>10</v>
      </c>
      <c r="S23" s="802"/>
      <c r="T23" s="123">
        <v>10</v>
      </c>
      <c r="U23" s="802"/>
      <c r="V23" s="123">
        <v>0</v>
      </c>
      <c r="W23" s="802"/>
      <c r="X23" s="123">
        <v>0</v>
      </c>
      <c r="Y23" s="427"/>
      <c r="Z23" s="426"/>
    </row>
    <row r="24" spans="1:26" ht="15.75" x14ac:dyDescent="0.25">
      <c r="A24" s="482">
        <f t="shared" si="0"/>
        <v>16</v>
      </c>
      <c r="B24" s="372"/>
      <c r="C24" s="372"/>
      <c r="D24" s="372"/>
      <c r="E24" s="801"/>
      <c r="F24" s="127">
        <f>SUM(F18:F23)</f>
        <v>7509</v>
      </c>
      <c r="G24" s="801"/>
      <c r="H24" s="127">
        <f>SUM(H18:H23)</f>
        <v>5074</v>
      </c>
      <c r="I24" s="802"/>
      <c r="J24" s="127">
        <f>SUM(J18:J23)</f>
        <v>6593</v>
      </c>
      <c r="K24" s="802"/>
      <c r="L24" s="127">
        <f>SUM(L18:L23)</f>
        <v>11956.522000000001</v>
      </c>
      <c r="M24" s="802"/>
      <c r="N24" s="127">
        <f>SUM(N18:N23)</f>
        <v>9709.4500000000007</v>
      </c>
      <c r="O24" s="802"/>
      <c r="P24" s="127">
        <f>SUM(P18:P23)</f>
        <v>10084.428</v>
      </c>
      <c r="Q24" s="802"/>
      <c r="R24" s="127">
        <f>SUM(R18:R23)</f>
        <v>10761.644999999999</v>
      </c>
      <c r="S24" s="802"/>
      <c r="T24" s="127">
        <f>SUM(T18:T23)</f>
        <v>10204.565999999999</v>
      </c>
      <c r="U24" s="802"/>
      <c r="V24" s="127">
        <f>SUM(V18:V23)</f>
        <v>6613</v>
      </c>
      <c r="W24" s="802"/>
      <c r="X24" s="127">
        <f>SUM(X18:X23)</f>
        <v>5988</v>
      </c>
      <c r="Y24" s="427"/>
      <c r="Z24" s="426"/>
    </row>
    <row r="25" spans="1:26" ht="15.75" x14ac:dyDescent="0.25">
      <c r="A25" s="482">
        <f t="shared" si="0"/>
        <v>17</v>
      </c>
      <c r="B25" s="372" t="s">
        <v>748</v>
      </c>
      <c r="C25" s="481"/>
      <c r="D25" s="481"/>
      <c r="E25" s="801"/>
      <c r="F25" s="801"/>
      <c r="G25" s="801"/>
      <c r="H25" s="802"/>
      <c r="I25" s="802"/>
      <c r="J25" s="802"/>
      <c r="K25" s="802"/>
      <c r="L25" s="802"/>
      <c r="M25" s="802"/>
      <c r="N25" s="802"/>
      <c r="O25" s="802"/>
      <c r="P25" s="802"/>
      <c r="Q25" s="802"/>
      <c r="R25" s="802"/>
      <c r="S25" s="802"/>
      <c r="T25" s="802"/>
      <c r="U25" s="802"/>
      <c r="V25" s="126"/>
      <c r="W25" s="802"/>
      <c r="X25" s="126"/>
      <c r="Y25" s="427"/>
      <c r="Z25" s="426"/>
    </row>
    <row r="26" spans="1:26" x14ac:dyDescent="0.2">
      <c r="A26" s="482">
        <f t="shared" si="0"/>
        <v>18</v>
      </c>
      <c r="B26" s="319" t="s">
        <v>157</v>
      </c>
      <c r="C26" s="319"/>
      <c r="D26" s="100"/>
      <c r="E26" s="801"/>
      <c r="F26" s="308">
        <v>45</v>
      </c>
      <c r="G26" s="801"/>
      <c r="H26" s="123">
        <v>37</v>
      </c>
      <c r="I26" s="802"/>
      <c r="J26" s="123">
        <v>176</v>
      </c>
      <c r="K26" s="802"/>
      <c r="L26" s="123">
        <v>67</v>
      </c>
      <c r="M26" s="802"/>
      <c r="N26" s="123">
        <v>178</v>
      </c>
      <c r="O26" s="802"/>
      <c r="P26" s="123">
        <v>117.33</v>
      </c>
      <c r="Q26" s="802"/>
      <c r="R26" s="123">
        <v>167.49</v>
      </c>
      <c r="S26" s="802"/>
      <c r="T26" s="123">
        <v>114.645</v>
      </c>
      <c r="U26" s="802"/>
      <c r="V26" s="123">
        <v>50</v>
      </c>
      <c r="W26" s="802"/>
      <c r="X26" s="123">
        <v>57</v>
      </c>
      <c r="Y26" s="427"/>
      <c r="Z26" s="426"/>
    </row>
    <row r="27" spans="1:26" x14ac:dyDescent="0.2">
      <c r="A27" s="482">
        <f t="shared" si="0"/>
        <v>19</v>
      </c>
      <c r="B27" s="319" t="s">
        <v>158</v>
      </c>
      <c r="C27" s="319"/>
      <c r="D27" s="100"/>
      <c r="E27" s="801"/>
      <c r="F27" s="308">
        <v>10</v>
      </c>
      <c r="G27" s="801"/>
      <c r="H27" s="123">
        <v>1</v>
      </c>
      <c r="I27" s="802"/>
      <c r="J27" s="123">
        <v>10</v>
      </c>
      <c r="K27" s="802"/>
      <c r="L27" s="123">
        <v>72</v>
      </c>
      <c r="M27" s="802"/>
      <c r="N27" s="123">
        <v>24</v>
      </c>
      <c r="O27" s="802"/>
      <c r="P27" s="123">
        <v>43.6</v>
      </c>
      <c r="Q27" s="802"/>
      <c r="R27" s="123">
        <v>41.73</v>
      </c>
      <c r="S27" s="802"/>
      <c r="T27" s="123">
        <v>33.93</v>
      </c>
      <c r="U27" s="802"/>
      <c r="V27" s="123">
        <v>13</v>
      </c>
      <c r="W27" s="802"/>
      <c r="X27" s="123">
        <v>10</v>
      </c>
      <c r="Y27" s="427"/>
      <c r="Z27" s="426"/>
    </row>
    <row r="28" spans="1:26" x14ac:dyDescent="0.2">
      <c r="A28" s="482">
        <f t="shared" si="0"/>
        <v>20</v>
      </c>
      <c r="B28" s="319" t="s">
        <v>159</v>
      </c>
      <c r="C28" s="319"/>
      <c r="D28" s="100"/>
      <c r="E28" s="801"/>
      <c r="F28" s="308">
        <v>3</v>
      </c>
      <c r="G28" s="801"/>
      <c r="H28" s="123">
        <v>22</v>
      </c>
      <c r="I28" s="802"/>
      <c r="J28" s="123">
        <v>4</v>
      </c>
      <c r="K28" s="802"/>
      <c r="L28" s="123">
        <v>36</v>
      </c>
      <c r="M28" s="802"/>
      <c r="N28" s="123">
        <v>0</v>
      </c>
      <c r="O28" s="802"/>
      <c r="P28" s="123">
        <v>5</v>
      </c>
      <c r="Q28" s="802"/>
      <c r="R28" s="123">
        <v>5</v>
      </c>
      <c r="S28" s="802"/>
      <c r="T28" s="123">
        <v>5</v>
      </c>
      <c r="U28" s="802"/>
      <c r="V28" s="123">
        <v>6</v>
      </c>
      <c r="W28" s="802"/>
      <c r="X28" s="123">
        <v>5</v>
      </c>
      <c r="Y28" s="803"/>
      <c r="Z28" s="426"/>
    </row>
    <row r="29" spans="1:26" x14ac:dyDescent="0.2">
      <c r="A29" s="482">
        <f t="shared" si="0"/>
        <v>21</v>
      </c>
      <c r="B29" s="319" t="s">
        <v>487</v>
      </c>
      <c r="C29" s="319"/>
      <c r="D29" s="100"/>
      <c r="E29" s="801"/>
      <c r="F29" s="308">
        <v>138</v>
      </c>
      <c r="G29" s="801"/>
      <c r="H29" s="123">
        <v>117</v>
      </c>
      <c r="I29" s="802"/>
      <c r="J29" s="123">
        <v>103</v>
      </c>
      <c r="K29" s="802"/>
      <c r="L29" s="123">
        <v>13</v>
      </c>
      <c r="M29" s="802"/>
      <c r="N29" s="123">
        <v>62</v>
      </c>
      <c r="O29" s="802"/>
      <c r="P29" s="123">
        <v>700</v>
      </c>
      <c r="Q29" s="802"/>
      <c r="R29" s="123">
        <v>2.2000000000000002</v>
      </c>
      <c r="S29" s="802"/>
      <c r="T29" s="123">
        <v>52.4</v>
      </c>
      <c r="U29" s="802"/>
      <c r="V29" s="123">
        <v>0</v>
      </c>
      <c r="W29" s="802"/>
      <c r="X29" s="123">
        <v>0</v>
      </c>
      <c r="Y29" s="803"/>
      <c r="Z29" s="426"/>
    </row>
    <row r="30" spans="1:26" x14ac:dyDescent="0.2">
      <c r="A30" s="482">
        <f t="shared" si="0"/>
        <v>22</v>
      </c>
      <c r="B30" s="319" t="s">
        <v>560</v>
      </c>
      <c r="C30" s="319"/>
      <c r="D30" s="100"/>
      <c r="E30" s="801"/>
      <c r="F30" s="308">
        <v>0</v>
      </c>
      <c r="G30" s="801"/>
      <c r="H30" s="123">
        <v>0</v>
      </c>
      <c r="I30" s="802"/>
      <c r="J30" s="123">
        <v>0</v>
      </c>
      <c r="K30" s="802"/>
      <c r="L30" s="123">
        <v>491</v>
      </c>
      <c r="M30" s="802"/>
      <c r="N30" s="123">
        <v>688</v>
      </c>
      <c r="O30" s="802"/>
      <c r="P30" s="123">
        <v>650</v>
      </c>
      <c r="Q30" s="802"/>
      <c r="R30" s="123">
        <v>0</v>
      </c>
      <c r="S30" s="802"/>
      <c r="T30" s="123">
        <v>0</v>
      </c>
      <c r="U30" s="802"/>
      <c r="V30" s="123">
        <v>0</v>
      </c>
      <c r="W30" s="802"/>
      <c r="X30" s="123">
        <v>0</v>
      </c>
      <c r="Y30" s="803"/>
      <c r="Z30" s="426"/>
    </row>
    <row r="31" spans="1:26" s="426" customFormat="1" x14ac:dyDescent="0.2">
      <c r="A31" s="117">
        <f t="shared" si="0"/>
        <v>23</v>
      </c>
      <c r="B31" s="547" t="s">
        <v>562</v>
      </c>
      <c r="C31" s="547"/>
      <c r="D31" s="369"/>
      <c r="E31" s="802"/>
      <c r="F31" s="123">
        <v>0</v>
      </c>
      <c r="G31" s="802"/>
      <c r="H31" s="123">
        <v>0</v>
      </c>
      <c r="I31" s="802"/>
      <c r="J31" s="123">
        <v>0</v>
      </c>
      <c r="K31" s="802"/>
      <c r="L31" s="123">
        <f>203.58*0+175</f>
        <v>175</v>
      </c>
      <c r="M31" s="802"/>
      <c r="N31" s="123">
        <f>142.848*0+139</f>
        <v>139</v>
      </c>
      <c r="O31" s="802"/>
      <c r="P31" s="737">
        <v>75</v>
      </c>
      <c r="Q31" s="802"/>
      <c r="R31" s="737">
        <v>0</v>
      </c>
      <c r="S31" s="802"/>
      <c r="T31" s="123">
        <v>0</v>
      </c>
      <c r="U31" s="802"/>
      <c r="V31" s="123">
        <v>0</v>
      </c>
      <c r="W31" s="802"/>
      <c r="X31" s="123">
        <v>0</v>
      </c>
      <c r="Y31" s="427"/>
    </row>
    <row r="32" spans="1:26" x14ac:dyDescent="0.2">
      <c r="A32" s="482">
        <f>A31+1</f>
        <v>24</v>
      </c>
      <c r="B32" s="319" t="s">
        <v>160</v>
      </c>
      <c r="C32" s="319"/>
      <c r="D32" s="100"/>
      <c r="E32" s="801"/>
      <c r="F32" s="308">
        <v>57</v>
      </c>
      <c r="G32" s="801"/>
      <c r="H32" s="123">
        <v>47</v>
      </c>
      <c r="I32" s="802"/>
      <c r="J32" s="123">
        <v>228</v>
      </c>
      <c r="K32" s="802"/>
      <c r="L32" s="123">
        <v>49</v>
      </c>
      <c r="M32" s="802"/>
      <c r="N32" s="123">
        <v>57</v>
      </c>
      <c r="O32" s="802"/>
      <c r="P32" s="123">
        <v>64.7</v>
      </c>
      <c r="Q32" s="802"/>
      <c r="R32" s="123">
        <v>11.25</v>
      </c>
      <c r="S32" s="802"/>
      <c r="T32" s="123">
        <v>11.7</v>
      </c>
      <c r="U32" s="802"/>
      <c r="V32" s="123">
        <v>102</v>
      </c>
      <c r="W32" s="802"/>
      <c r="X32" s="123">
        <v>54</v>
      </c>
      <c r="Y32" s="427"/>
      <c r="Z32" s="426"/>
    </row>
    <row r="33" spans="1:26" x14ac:dyDescent="0.2">
      <c r="A33" s="482">
        <f t="shared" si="0"/>
        <v>25</v>
      </c>
      <c r="B33" s="319" t="s">
        <v>161</v>
      </c>
      <c r="C33" s="319"/>
      <c r="D33" s="100"/>
      <c r="E33" s="801"/>
      <c r="F33" s="308">
        <v>139</v>
      </c>
      <c r="G33" s="801"/>
      <c r="H33" s="123">
        <v>100</v>
      </c>
      <c r="I33" s="802"/>
      <c r="J33" s="123">
        <v>358</v>
      </c>
      <c r="K33" s="802"/>
      <c r="L33" s="123">
        <v>257</v>
      </c>
      <c r="M33" s="802"/>
      <c r="N33" s="123">
        <v>421</v>
      </c>
      <c r="O33" s="802"/>
      <c r="P33" s="123">
        <v>424</v>
      </c>
      <c r="Q33" s="802"/>
      <c r="R33" s="123">
        <v>995</v>
      </c>
      <c r="S33" s="802"/>
      <c r="T33" s="123">
        <v>850</v>
      </c>
      <c r="U33" s="802"/>
      <c r="V33" s="123">
        <v>205</v>
      </c>
      <c r="W33" s="802"/>
      <c r="X33" s="123">
        <v>230</v>
      </c>
      <c r="Y33" s="427"/>
      <c r="Z33" s="426"/>
    </row>
    <row r="34" spans="1:26" x14ac:dyDescent="0.2">
      <c r="A34" s="482">
        <f t="shared" si="0"/>
        <v>26</v>
      </c>
      <c r="B34" s="319" t="s">
        <v>162</v>
      </c>
      <c r="C34" s="319"/>
      <c r="D34" s="100"/>
      <c r="E34" s="801"/>
      <c r="F34" s="308">
        <v>117</v>
      </c>
      <c r="G34" s="801"/>
      <c r="H34" s="123">
        <v>76</v>
      </c>
      <c r="I34" s="802"/>
      <c r="J34" s="123">
        <v>106</v>
      </c>
      <c r="K34" s="802"/>
      <c r="L34" s="123">
        <f>65+76</f>
        <v>141</v>
      </c>
      <c r="M34" s="802"/>
      <c r="N34" s="123">
        <v>193</v>
      </c>
      <c r="O34" s="802"/>
      <c r="P34" s="123">
        <v>1130.5999999999999</v>
      </c>
      <c r="Q34" s="802"/>
      <c r="R34" s="123">
        <v>321.31</v>
      </c>
      <c r="S34" s="802"/>
      <c r="T34" s="123">
        <v>311.86</v>
      </c>
      <c r="U34" s="802"/>
      <c r="V34" s="123">
        <v>219</v>
      </c>
      <c r="W34" s="802"/>
      <c r="X34" s="123">
        <v>181</v>
      </c>
      <c r="Y34" s="427"/>
      <c r="Z34" s="426"/>
    </row>
    <row r="35" spans="1:26" x14ac:dyDescent="0.2">
      <c r="A35" s="482">
        <f t="shared" si="0"/>
        <v>27</v>
      </c>
      <c r="B35" s="481"/>
      <c r="C35" s="481"/>
      <c r="D35" s="482"/>
      <c r="E35" s="801"/>
      <c r="F35" s="127">
        <f>SUM(F26:F34)</f>
        <v>509</v>
      </c>
      <c r="G35" s="801"/>
      <c r="H35" s="127">
        <f>SUM(H26:H34)</f>
        <v>400</v>
      </c>
      <c r="I35" s="802"/>
      <c r="J35" s="127">
        <f>SUM(J26:J34)</f>
        <v>985</v>
      </c>
      <c r="K35" s="802"/>
      <c r="L35" s="127">
        <f>SUM(L26:L34)</f>
        <v>1301</v>
      </c>
      <c r="M35" s="802"/>
      <c r="N35" s="127">
        <f>SUM(N26:N34)</f>
        <v>1762</v>
      </c>
      <c r="O35" s="802"/>
      <c r="P35" s="127">
        <f>SUM(P26:P34)</f>
        <v>3210.23</v>
      </c>
      <c r="Q35" s="802"/>
      <c r="R35" s="127">
        <f>SUM(R26:R34)</f>
        <v>1543.98</v>
      </c>
      <c r="S35" s="802"/>
      <c r="T35" s="127">
        <f>SUM(T26:T34)</f>
        <v>1379.5349999999999</v>
      </c>
      <c r="U35" s="802"/>
      <c r="V35" s="127">
        <f>SUM(V26:V34)</f>
        <v>595</v>
      </c>
      <c r="W35" s="802"/>
      <c r="X35" s="127">
        <f>SUM(X26:X34)</f>
        <v>537</v>
      </c>
      <c r="Y35" s="427"/>
      <c r="Z35" s="426"/>
    </row>
    <row r="36" spans="1:26" x14ac:dyDescent="0.2">
      <c r="A36" s="482">
        <f t="shared" si="0"/>
        <v>28</v>
      </c>
      <c r="B36" s="481"/>
      <c r="C36" s="481"/>
      <c r="D36" s="482"/>
      <c r="E36" s="801"/>
      <c r="F36" s="801"/>
      <c r="G36" s="801"/>
      <c r="H36" s="802"/>
      <c r="I36" s="802"/>
      <c r="J36" s="802"/>
      <c r="K36" s="802"/>
      <c r="L36" s="802"/>
      <c r="M36" s="802"/>
      <c r="N36" s="802"/>
      <c r="O36" s="802"/>
      <c r="P36" s="802"/>
      <c r="Q36" s="802"/>
      <c r="R36" s="802"/>
      <c r="S36" s="802"/>
      <c r="T36" s="802"/>
      <c r="U36" s="802"/>
      <c r="V36" s="802"/>
      <c r="W36" s="802"/>
      <c r="X36" s="802"/>
      <c r="Y36" s="427"/>
      <c r="Z36" s="426"/>
    </row>
    <row r="37" spans="1:26" x14ac:dyDescent="0.2">
      <c r="A37" s="482">
        <f t="shared" si="0"/>
        <v>29</v>
      </c>
      <c r="B37" s="481" t="s">
        <v>111</v>
      </c>
      <c r="C37" s="481"/>
      <c r="D37" s="482"/>
      <c r="E37" s="801"/>
      <c r="F37" s="123">
        <v>0</v>
      </c>
      <c r="G37" s="123"/>
      <c r="H37" s="123">
        <v>0</v>
      </c>
      <c r="I37" s="123"/>
      <c r="J37" s="123">
        <v>0</v>
      </c>
      <c r="K37" s="123"/>
      <c r="L37" s="123">
        <v>0</v>
      </c>
      <c r="M37" s="123"/>
      <c r="N37" s="123">
        <v>0</v>
      </c>
      <c r="O37" s="123"/>
      <c r="P37" s="123">
        <v>0</v>
      </c>
      <c r="Q37" s="123"/>
      <c r="R37" s="123">
        <v>0</v>
      </c>
      <c r="S37" s="123"/>
      <c r="T37" s="123">
        <v>0</v>
      </c>
      <c r="U37" s="123"/>
      <c r="V37" s="123">
        <v>0</v>
      </c>
      <c r="W37" s="123"/>
      <c r="X37" s="123">
        <v>0</v>
      </c>
      <c r="Y37" s="427"/>
      <c r="Z37" s="426"/>
    </row>
    <row r="38" spans="1:26" x14ac:dyDescent="0.2">
      <c r="A38" s="482">
        <f t="shared" si="0"/>
        <v>30</v>
      </c>
      <c r="B38" s="481"/>
      <c r="C38" s="481"/>
      <c r="D38" s="482"/>
      <c r="E38" s="801"/>
      <c r="F38" s="801"/>
      <c r="G38" s="801"/>
      <c r="H38" s="802"/>
      <c r="I38" s="802"/>
      <c r="J38" s="802"/>
      <c r="K38" s="802"/>
      <c r="L38" s="802"/>
      <c r="M38" s="802"/>
      <c r="N38" s="802"/>
      <c r="O38" s="802"/>
      <c r="P38" s="802"/>
      <c r="Q38" s="802"/>
      <c r="R38" s="802"/>
      <c r="S38" s="802"/>
      <c r="T38" s="802"/>
      <c r="U38" s="802"/>
      <c r="V38" s="126"/>
      <c r="W38" s="802"/>
      <c r="X38" s="126"/>
      <c r="Y38" s="804" t="s">
        <v>28</v>
      </c>
      <c r="Z38" s="426"/>
    </row>
    <row r="39" spans="1:26" ht="15.75" x14ac:dyDescent="0.25">
      <c r="A39" s="482">
        <f t="shared" si="0"/>
        <v>31</v>
      </c>
      <c r="B39" s="372" t="s">
        <v>634</v>
      </c>
      <c r="C39" s="481"/>
      <c r="D39" s="100"/>
      <c r="E39" s="801"/>
      <c r="F39" s="123">
        <f>SUM(F24,F35,F37,F16,F13)</f>
        <v>9906</v>
      </c>
      <c r="G39" s="801"/>
      <c r="H39" s="123">
        <f>SUM(H24,H35,H37,H16,H13)</f>
        <v>6253</v>
      </c>
      <c r="I39" s="802"/>
      <c r="J39" s="123">
        <f>SUM(J24,J35,J37,J16,J13)</f>
        <v>9042</v>
      </c>
      <c r="K39" s="802"/>
      <c r="L39" s="123">
        <f>SUM(L24,L35,L37,L16,L13)</f>
        <v>14542.207</v>
      </c>
      <c r="M39" s="802"/>
      <c r="N39" s="123">
        <f>SUM(N24,N35,N37,N16,N13)</f>
        <v>14184.555</v>
      </c>
      <c r="O39" s="802"/>
      <c r="P39" s="123">
        <f>SUM(P24,P35,P37,P16,P13)</f>
        <v>19259.127999999997</v>
      </c>
      <c r="Q39" s="802"/>
      <c r="R39" s="123">
        <f>SUM(R24,R35,R37,R16,R13)</f>
        <v>19692.125</v>
      </c>
      <c r="S39" s="802"/>
      <c r="T39" s="123">
        <f>SUM(T24,T35,T37,T16,T13)</f>
        <v>14484.100999999999</v>
      </c>
      <c r="U39" s="802"/>
      <c r="V39" s="123">
        <f>SUM(V24,V35,V37,V16,V13)</f>
        <v>9299</v>
      </c>
      <c r="W39" s="802"/>
      <c r="X39" s="123">
        <f>SUM(X24,X35,X37,X16,X13)</f>
        <v>7718</v>
      </c>
      <c r="Y39" s="427"/>
      <c r="Z39" s="426"/>
    </row>
    <row r="40" spans="1:26" x14ac:dyDescent="0.2">
      <c r="A40" s="482">
        <f t="shared" si="0"/>
        <v>32</v>
      </c>
      <c r="B40" s="481"/>
      <c r="C40" s="481"/>
      <c r="D40" s="482"/>
      <c r="E40" s="801"/>
      <c r="F40" s="123"/>
      <c r="G40" s="801"/>
      <c r="H40" s="123"/>
      <c r="I40" s="802"/>
      <c r="J40" s="123"/>
      <c r="K40" s="802"/>
      <c r="L40" s="123"/>
      <c r="M40" s="802"/>
      <c r="N40" s="123"/>
      <c r="O40" s="802"/>
      <c r="P40" s="123"/>
      <c r="Q40" s="802"/>
      <c r="R40" s="123"/>
      <c r="S40" s="802"/>
      <c r="T40" s="123"/>
      <c r="U40" s="802"/>
      <c r="V40" s="123"/>
      <c r="W40" s="802"/>
      <c r="X40" s="123"/>
      <c r="Y40" s="427"/>
      <c r="Z40" s="426"/>
    </row>
    <row r="41" spans="1:26" x14ac:dyDescent="0.2">
      <c r="A41" s="482">
        <f t="shared" si="0"/>
        <v>33</v>
      </c>
      <c r="B41" s="481" t="s">
        <v>635</v>
      </c>
      <c r="C41" s="481"/>
      <c r="D41" s="482" t="s">
        <v>637</v>
      </c>
      <c r="E41" s="802"/>
      <c r="F41" s="125">
        <f>F43-F39-F9</f>
        <v>-9170</v>
      </c>
      <c r="G41" s="802"/>
      <c r="H41" s="125">
        <f>H43-H39-H9</f>
        <v>-7469</v>
      </c>
      <c r="I41" s="802"/>
      <c r="J41" s="125">
        <f>J43-J39-J9</f>
        <v>-6848</v>
      </c>
      <c r="K41" s="802"/>
      <c r="L41" s="125">
        <f>L43-L39-L9</f>
        <v>-12265.807000000001</v>
      </c>
      <c r="M41" s="802"/>
      <c r="N41" s="125">
        <f>N43-N39-N9</f>
        <v>-17116.38292</v>
      </c>
      <c r="O41" s="802"/>
      <c r="P41" s="125">
        <f>P43-P39-P9</f>
        <v>-19792.193373999995</v>
      </c>
      <c r="Q41" s="802"/>
      <c r="R41" s="125">
        <f>R43-R39-R9</f>
        <v>-20292.125</v>
      </c>
      <c r="S41" s="802"/>
      <c r="T41" s="125">
        <f>T43-T39-T9</f>
        <v>-14484.100999999999</v>
      </c>
      <c r="U41" s="802"/>
      <c r="V41" s="125">
        <f>V43-V39-V9</f>
        <v>-9714</v>
      </c>
      <c r="W41" s="802"/>
      <c r="X41" s="125">
        <f>X43-X39-X9</f>
        <v>-7758</v>
      </c>
      <c r="Y41" s="427"/>
      <c r="Z41" s="426"/>
    </row>
    <row r="42" spans="1:26" x14ac:dyDescent="0.2">
      <c r="A42" s="482">
        <f t="shared" si="0"/>
        <v>34</v>
      </c>
      <c r="B42" s="481"/>
      <c r="C42" s="481"/>
      <c r="D42" s="482"/>
      <c r="E42" s="805"/>
      <c r="F42" s="223"/>
      <c r="G42" s="805"/>
      <c r="H42" s="223"/>
      <c r="I42" s="805"/>
      <c r="J42" s="223"/>
      <c r="K42" s="805"/>
      <c r="L42" s="223"/>
      <c r="M42" s="805"/>
      <c r="N42" s="223"/>
      <c r="O42" s="805"/>
      <c r="P42" s="223"/>
      <c r="Q42" s="805"/>
      <c r="R42" s="223"/>
      <c r="S42" s="805"/>
      <c r="T42" s="223"/>
      <c r="U42" s="805"/>
      <c r="V42" s="223"/>
      <c r="W42" s="805"/>
      <c r="X42" s="223"/>
      <c r="Y42" s="427"/>
      <c r="Z42" s="426"/>
    </row>
    <row r="43" spans="1:26" ht="15.75" thickBot="1" x14ac:dyDescent="0.25">
      <c r="A43" s="482">
        <f t="shared" si="0"/>
        <v>35</v>
      </c>
      <c r="B43" s="481" t="s">
        <v>636</v>
      </c>
      <c r="C43" s="481"/>
      <c r="D43" s="482" t="s">
        <v>318</v>
      </c>
      <c r="E43" s="805"/>
      <c r="F43" s="224">
        <v>1771</v>
      </c>
      <c r="G43" s="805"/>
      <c r="H43" s="224">
        <v>555</v>
      </c>
      <c r="I43" s="805"/>
      <c r="J43" s="224">
        <v>2749</v>
      </c>
      <c r="K43" s="805"/>
      <c r="L43" s="224">
        <v>5025.3999999999996</v>
      </c>
      <c r="M43" s="805"/>
      <c r="N43" s="224">
        <v>2093.5720799999999</v>
      </c>
      <c r="O43" s="805"/>
      <c r="P43" s="224">
        <v>1560.5067059999999</v>
      </c>
      <c r="Q43" s="805"/>
      <c r="R43" s="224">
        <v>960.50670600000001</v>
      </c>
      <c r="S43" s="805"/>
      <c r="T43" s="224">
        <v>960.50670600000001</v>
      </c>
      <c r="U43" s="805"/>
      <c r="V43" s="224">
        <v>620</v>
      </c>
      <c r="W43" s="805"/>
      <c r="X43" s="224">
        <v>580</v>
      </c>
      <c r="Y43" s="427"/>
      <c r="Z43" s="426"/>
    </row>
    <row r="44" spans="1:26" ht="15.75" thickTop="1" x14ac:dyDescent="0.2">
      <c r="A44" s="428"/>
      <c r="J44" s="481"/>
      <c r="K44" s="481"/>
      <c r="L44" s="123"/>
      <c r="W44" s="427"/>
    </row>
    <row r="45" spans="1:26" x14ac:dyDescent="0.2">
      <c r="J45" s="481"/>
      <c r="K45" s="481"/>
      <c r="L45" s="481"/>
      <c r="W45" s="427"/>
    </row>
    <row r="46" spans="1:26" x14ac:dyDescent="0.2">
      <c r="W46" s="427"/>
    </row>
    <row r="47" spans="1:26" x14ac:dyDescent="0.2">
      <c r="W47" s="427"/>
    </row>
    <row r="48" spans="1:26" x14ac:dyDescent="0.2">
      <c r="W48" s="427"/>
    </row>
    <row r="49" spans="1:25" x14ac:dyDescent="0.2">
      <c r="W49" s="427"/>
    </row>
    <row r="50" spans="1:25" x14ac:dyDescent="0.2">
      <c r="W50" s="427"/>
    </row>
    <row r="51" spans="1:25" x14ac:dyDescent="0.2">
      <c r="W51" s="427"/>
    </row>
    <row r="52" spans="1:25" x14ac:dyDescent="0.2">
      <c r="W52" s="427"/>
    </row>
    <row r="53" spans="1:25" x14ac:dyDescent="0.2">
      <c r="W53" s="427"/>
    </row>
    <row r="54" spans="1:25" x14ac:dyDescent="0.2">
      <c r="W54" s="427"/>
    </row>
    <row r="55" spans="1:25" x14ac:dyDescent="0.2">
      <c r="W55" s="427"/>
    </row>
    <row r="56" spans="1:25" x14ac:dyDescent="0.2">
      <c r="W56" s="427"/>
    </row>
    <row r="57" spans="1:25" x14ac:dyDescent="0.2">
      <c r="W57" s="427"/>
    </row>
    <row r="58" spans="1:25" x14ac:dyDescent="0.2">
      <c r="W58" s="427"/>
    </row>
    <row r="59" spans="1:25" x14ac:dyDescent="0.2">
      <c r="W59" s="427"/>
    </row>
    <row r="61" spans="1:25" ht="11.25" x14ac:dyDescent="0.2">
      <c r="A61" s="428"/>
      <c r="B61" s="428"/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428"/>
      <c r="Y61" s="428"/>
    </row>
    <row r="64" spans="1:25" ht="11.25" x14ac:dyDescent="0.2">
      <c r="A64" s="428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</row>
    <row r="68" spans="1:25" ht="11.25" x14ac:dyDescent="0.2">
      <c r="A68" s="428"/>
      <c r="B68" s="428"/>
      <c r="C68" s="428"/>
      <c r="D68" s="428"/>
      <c r="E68" s="428"/>
      <c r="F68" s="428"/>
      <c r="G68" s="428"/>
      <c r="H68" s="428"/>
      <c r="I68" s="428"/>
      <c r="J68" s="428"/>
      <c r="K68" s="428"/>
      <c r="L68" s="428"/>
      <c r="M68" s="428"/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8"/>
      <c r="Y68" s="428"/>
    </row>
    <row r="69" spans="1:25" ht="11.25" x14ac:dyDescent="0.2">
      <c r="A69" s="428"/>
      <c r="B69" s="428"/>
      <c r="C69" s="428"/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8"/>
      <c r="Y69" s="428"/>
    </row>
    <row r="70" spans="1:25" ht="11.25" x14ac:dyDescent="0.2">
      <c r="A70" s="428"/>
      <c r="B70" s="428"/>
      <c r="C70" s="428"/>
      <c r="D70" s="428"/>
      <c r="E70" s="428"/>
      <c r="F70" s="428"/>
      <c r="G70" s="428"/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8"/>
      <c r="Y70" s="428"/>
    </row>
    <row r="71" spans="1:25" ht="11.25" x14ac:dyDescent="0.2">
      <c r="A71" s="428"/>
      <c r="B71" s="428"/>
      <c r="C71" s="428"/>
      <c r="D71" s="428"/>
      <c r="E71" s="428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8"/>
      <c r="Y71" s="428"/>
    </row>
    <row r="72" spans="1:25" ht="11.25" x14ac:dyDescent="0.2">
      <c r="A72" s="428"/>
      <c r="B72" s="428"/>
      <c r="C72" s="428"/>
      <c r="D72" s="428"/>
      <c r="E72" s="428"/>
      <c r="F72" s="428"/>
      <c r="G72" s="428"/>
      <c r="H72" s="428"/>
      <c r="I72" s="428"/>
      <c r="J72" s="428"/>
      <c r="K72" s="428"/>
      <c r="L72" s="428"/>
      <c r="M72" s="428"/>
      <c r="N72" s="428"/>
      <c r="O72" s="428"/>
      <c r="P72" s="428"/>
      <c r="Q72" s="428"/>
      <c r="R72" s="428"/>
      <c r="S72" s="428"/>
      <c r="T72" s="428"/>
      <c r="U72" s="428"/>
      <c r="V72" s="428"/>
      <c r="W72" s="428"/>
      <c r="X72" s="428"/>
      <c r="Y72" s="428"/>
    </row>
    <row r="73" spans="1:25" ht="11.25" x14ac:dyDescent="0.2">
      <c r="A73" s="428"/>
      <c r="B73" s="428"/>
      <c r="C73" s="428"/>
      <c r="D73" s="428"/>
      <c r="E73" s="428"/>
      <c r="F73" s="428"/>
      <c r="G73" s="428"/>
      <c r="H73" s="428"/>
      <c r="I73" s="428"/>
      <c r="J73" s="428"/>
      <c r="K73" s="428"/>
      <c r="L73" s="428"/>
      <c r="M73" s="428"/>
      <c r="N73" s="428"/>
      <c r="O73" s="428"/>
      <c r="P73" s="428"/>
      <c r="Q73" s="428"/>
      <c r="R73" s="428"/>
      <c r="S73" s="428"/>
      <c r="T73" s="428"/>
      <c r="U73" s="428"/>
      <c r="V73" s="428"/>
      <c r="W73" s="428"/>
      <c r="X73" s="428"/>
      <c r="Y73" s="428"/>
    </row>
    <row r="74" spans="1:25" ht="11.25" x14ac:dyDescent="0.2">
      <c r="A74" s="428"/>
      <c r="B74" s="428"/>
      <c r="C74" s="428"/>
      <c r="D74" s="428"/>
      <c r="E74" s="428"/>
      <c r="F74" s="428"/>
      <c r="G74" s="428"/>
      <c r="H74" s="428"/>
      <c r="I74" s="428"/>
      <c r="J74" s="428"/>
      <c r="K74" s="428"/>
      <c r="L74" s="428"/>
      <c r="M74" s="428"/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8"/>
      <c r="Y74" s="428"/>
    </row>
    <row r="75" spans="1:25" ht="11.25" x14ac:dyDescent="0.2">
      <c r="A75" s="428"/>
      <c r="B75" s="428"/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  <c r="O75" s="428"/>
      <c r="P75" s="428"/>
      <c r="Q75" s="428"/>
      <c r="R75" s="428"/>
      <c r="S75" s="428"/>
      <c r="T75" s="428"/>
      <c r="U75" s="428"/>
      <c r="V75" s="428"/>
      <c r="W75" s="428"/>
      <c r="X75" s="428"/>
      <c r="Y75" s="428"/>
    </row>
    <row r="76" spans="1:25" ht="11.25" x14ac:dyDescent="0.2">
      <c r="A76" s="428"/>
      <c r="B76" s="428"/>
      <c r="C76" s="428"/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8"/>
      <c r="O76" s="428"/>
      <c r="P76" s="428"/>
      <c r="Q76" s="428"/>
      <c r="R76" s="428"/>
      <c r="S76" s="428"/>
      <c r="T76" s="428"/>
      <c r="U76" s="428"/>
      <c r="V76" s="428"/>
      <c r="W76" s="428"/>
      <c r="X76" s="428"/>
      <c r="Y76" s="428"/>
    </row>
    <row r="77" spans="1:25" ht="11.25" x14ac:dyDescent="0.2">
      <c r="A77" s="428"/>
      <c r="B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  <c r="P77" s="428"/>
      <c r="Q77" s="428"/>
      <c r="R77" s="428"/>
      <c r="S77" s="428"/>
      <c r="T77" s="428"/>
      <c r="U77" s="428"/>
      <c r="V77" s="428"/>
      <c r="W77" s="428"/>
      <c r="X77" s="428"/>
      <c r="Y77" s="428"/>
    </row>
    <row r="78" spans="1:25" ht="11.25" x14ac:dyDescent="0.2">
      <c r="A78" s="428"/>
      <c r="B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  <c r="O78" s="428"/>
      <c r="P78" s="428"/>
      <c r="Q78" s="428"/>
      <c r="R78" s="428"/>
      <c r="S78" s="428"/>
      <c r="T78" s="428"/>
      <c r="U78" s="428"/>
      <c r="V78" s="428"/>
      <c r="W78" s="428"/>
      <c r="X78" s="428"/>
      <c r="Y78" s="428"/>
    </row>
    <row r="79" spans="1:25" ht="11.25" x14ac:dyDescent="0.2">
      <c r="A79" s="428"/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  <c r="M79" s="428"/>
      <c r="N79" s="428"/>
      <c r="O79" s="428"/>
      <c r="P79" s="428"/>
      <c r="Q79" s="428"/>
      <c r="R79" s="428"/>
      <c r="S79" s="428"/>
      <c r="T79" s="428"/>
      <c r="U79" s="428"/>
      <c r="V79" s="428"/>
      <c r="W79" s="428"/>
      <c r="X79" s="428"/>
      <c r="Y79" s="428"/>
    </row>
    <row r="80" spans="1:25" ht="11.25" x14ac:dyDescent="0.2">
      <c r="A80" s="428"/>
      <c r="B80" s="428"/>
      <c r="C80" s="428"/>
      <c r="D80" s="428"/>
      <c r="E80" s="428"/>
      <c r="F80" s="428"/>
      <c r="G80" s="428"/>
      <c r="H80" s="428"/>
      <c r="I80" s="428"/>
      <c r="J80" s="428"/>
      <c r="K80" s="428"/>
      <c r="L80" s="428"/>
      <c r="M80" s="428"/>
      <c r="N80" s="428"/>
      <c r="O80" s="428"/>
      <c r="P80" s="428"/>
      <c r="Q80" s="428"/>
      <c r="R80" s="428"/>
      <c r="S80" s="428"/>
      <c r="T80" s="428"/>
      <c r="U80" s="428"/>
      <c r="V80" s="428"/>
      <c r="W80" s="428"/>
      <c r="X80" s="428"/>
      <c r="Y80" s="428"/>
    </row>
    <row r="81" spans="1:25" ht="11.25" x14ac:dyDescent="0.2">
      <c r="A81" s="428"/>
      <c r="B81" s="428"/>
      <c r="C81" s="428"/>
      <c r="D81" s="428"/>
      <c r="E81" s="428"/>
      <c r="F81" s="428"/>
      <c r="G81" s="428"/>
      <c r="H81" s="428"/>
      <c r="I81" s="428"/>
      <c r="J81" s="428"/>
      <c r="K81" s="428"/>
      <c r="L81" s="428"/>
      <c r="M81" s="428"/>
      <c r="N81" s="428"/>
      <c r="O81" s="428"/>
      <c r="P81" s="428"/>
      <c r="Q81" s="428"/>
      <c r="R81" s="428"/>
      <c r="S81" s="428"/>
      <c r="T81" s="428"/>
      <c r="U81" s="428"/>
      <c r="V81" s="428"/>
      <c r="W81" s="428"/>
      <c r="X81" s="428"/>
      <c r="Y81" s="428"/>
    </row>
    <row r="82" spans="1:25" ht="11.25" x14ac:dyDescent="0.2">
      <c r="A82" s="428"/>
      <c r="B82" s="428"/>
      <c r="C82" s="428"/>
      <c r="D82" s="428"/>
      <c r="E82" s="428"/>
      <c r="F82" s="428"/>
      <c r="G82" s="428"/>
      <c r="H82" s="428"/>
      <c r="I82" s="428"/>
      <c r="J82" s="428"/>
      <c r="K82" s="428"/>
      <c r="L82" s="428"/>
      <c r="M82" s="428"/>
      <c r="N82" s="428"/>
      <c r="O82" s="428"/>
      <c r="P82" s="428"/>
      <c r="Q82" s="428"/>
      <c r="R82" s="428"/>
      <c r="S82" s="428"/>
      <c r="T82" s="428"/>
      <c r="U82" s="428"/>
      <c r="V82" s="428"/>
      <c r="W82" s="428"/>
      <c r="X82" s="428"/>
      <c r="Y82" s="428"/>
    </row>
    <row r="83" spans="1:25" ht="11.25" x14ac:dyDescent="0.2">
      <c r="A83" s="428"/>
      <c r="B83" s="428"/>
      <c r="C83" s="428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8"/>
      <c r="O83" s="428"/>
      <c r="P83" s="428"/>
      <c r="Q83" s="428"/>
      <c r="R83" s="428"/>
      <c r="S83" s="428"/>
      <c r="T83" s="428"/>
      <c r="U83" s="428"/>
      <c r="V83" s="428"/>
      <c r="W83" s="428"/>
      <c r="X83" s="428"/>
      <c r="Y83" s="428"/>
    </row>
    <row r="84" spans="1:25" ht="11.25" x14ac:dyDescent="0.2">
      <c r="A84" s="428"/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  <c r="N84" s="428"/>
      <c r="O84" s="428"/>
      <c r="P84" s="428"/>
      <c r="Q84" s="428"/>
      <c r="R84" s="428"/>
      <c r="S84" s="428"/>
      <c r="T84" s="428"/>
      <c r="U84" s="428"/>
      <c r="V84" s="428"/>
      <c r="W84" s="428"/>
      <c r="X84" s="428"/>
      <c r="Y84" s="428"/>
    </row>
    <row r="85" spans="1:25" ht="11.25" x14ac:dyDescent="0.2">
      <c r="A85" s="428"/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8"/>
      <c r="N85" s="428"/>
      <c r="O85" s="428"/>
      <c r="P85" s="428"/>
      <c r="Q85" s="428"/>
      <c r="R85" s="428"/>
      <c r="S85" s="428"/>
      <c r="T85" s="428"/>
      <c r="U85" s="428"/>
      <c r="V85" s="428"/>
      <c r="W85" s="428"/>
      <c r="X85" s="428"/>
      <c r="Y85" s="428"/>
    </row>
    <row r="86" spans="1:25" ht="11.25" x14ac:dyDescent="0.2">
      <c r="A86" s="428"/>
      <c r="B86" s="428"/>
      <c r="C86" s="428"/>
      <c r="D86" s="428"/>
      <c r="E86" s="428"/>
      <c r="F86" s="428"/>
      <c r="G86" s="428"/>
      <c r="H86" s="428"/>
      <c r="I86" s="428"/>
      <c r="J86" s="428"/>
      <c r="K86" s="428"/>
      <c r="L86" s="428"/>
      <c r="M86" s="428"/>
      <c r="N86" s="428"/>
      <c r="O86" s="428"/>
      <c r="P86" s="428"/>
      <c r="Q86" s="428"/>
      <c r="R86" s="428"/>
      <c r="S86" s="428"/>
      <c r="T86" s="428"/>
      <c r="U86" s="428"/>
      <c r="V86" s="428"/>
      <c r="W86" s="428"/>
      <c r="X86" s="428"/>
      <c r="Y86" s="428"/>
    </row>
    <row r="87" spans="1:25" ht="11.25" x14ac:dyDescent="0.2">
      <c r="A87" s="428"/>
      <c r="B87" s="428"/>
      <c r="C87" s="428"/>
      <c r="D87" s="428"/>
      <c r="E87" s="428"/>
      <c r="F87" s="428"/>
      <c r="G87" s="428"/>
      <c r="H87" s="428"/>
      <c r="I87" s="428"/>
      <c r="J87" s="428"/>
      <c r="K87" s="428"/>
      <c r="L87" s="428"/>
      <c r="M87" s="428"/>
      <c r="N87" s="428"/>
      <c r="O87" s="428"/>
      <c r="P87" s="428"/>
      <c r="Q87" s="428"/>
      <c r="R87" s="428"/>
      <c r="S87" s="428"/>
      <c r="T87" s="428"/>
      <c r="U87" s="428"/>
      <c r="V87" s="428"/>
      <c r="W87" s="428"/>
      <c r="X87" s="428"/>
      <c r="Y87" s="428"/>
    </row>
    <row r="88" spans="1:25" ht="11.25" x14ac:dyDescent="0.2">
      <c r="A88" s="428"/>
      <c r="B88" s="428"/>
      <c r="C88" s="428"/>
      <c r="D88" s="428"/>
      <c r="E88" s="428"/>
      <c r="F88" s="428"/>
      <c r="G88" s="428"/>
      <c r="H88" s="428"/>
      <c r="I88" s="428"/>
      <c r="J88" s="428"/>
      <c r="K88" s="428"/>
      <c r="L88" s="428"/>
      <c r="M88" s="428"/>
      <c r="N88" s="428"/>
      <c r="O88" s="428"/>
      <c r="P88" s="428"/>
      <c r="Q88" s="428"/>
      <c r="R88" s="428"/>
      <c r="S88" s="428"/>
      <c r="T88" s="428"/>
      <c r="U88" s="428"/>
      <c r="V88" s="428"/>
      <c r="W88" s="428"/>
      <c r="X88" s="428"/>
      <c r="Y88" s="428"/>
    </row>
    <row r="89" spans="1:25" ht="11.25" x14ac:dyDescent="0.2">
      <c r="A89" s="428"/>
      <c r="B89" s="428"/>
      <c r="C89" s="428"/>
      <c r="D89" s="428"/>
      <c r="E89" s="428"/>
      <c r="F89" s="428"/>
      <c r="G89" s="428"/>
      <c r="H89" s="428"/>
      <c r="I89" s="428"/>
      <c r="J89" s="428"/>
      <c r="K89" s="428"/>
      <c r="L89" s="428"/>
      <c r="M89" s="428"/>
      <c r="N89" s="428"/>
      <c r="O89" s="428"/>
      <c r="P89" s="428"/>
      <c r="Q89" s="428"/>
      <c r="R89" s="428"/>
      <c r="S89" s="428"/>
      <c r="T89" s="428"/>
      <c r="U89" s="428"/>
      <c r="V89" s="428"/>
      <c r="W89" s="428"/>
      <c r="X89" s="428"/>
      <c r="Y89" s="428"/>
    </row>
    <row r="90" spans="1:25" ht="11.25" x14ac:dyDescent="0.2">
      <c r="A90" s="428"/>
      <c r="B90" s="428"/>
      <c r="C90" s="428"/>
      <c r="D90" s="428"/>
      <c r="E90" s="428"/>
      <c r="F90" s="428"/>
      <c r="G90" s="428"/>
      <c r="H90" s="428"/>
      <c r="I90" s="428"/>
      <c r="J90" s="428"/>
      <c r="K90" s="428"/>
      <c r="L90" s="428"/>
      <c r="M90" s="428"/>
      <c r="N90" s="428"/>
      <c r="O90" s="428"/>
      <c r="P90" s="428"/>
      <c r="Q90" s="428"/>
      <c r="R90" s="428"/>
      <c r="S90" s="428"/>
      <c r="T90" s="428"/>
      <c r="U90" s="428"/>
      <c r="V90" s="428"/>
      <c r="W90" s="428"/>
      <c r="X90" s="428"/>
      <c r="Y90" s="428"/>
    </row>
    <row r="91" spans="1:25" ht="11.25" x14ac:dyDescent="0.2">
      <c r="A91" s="428"/>
      <c r="B91" s="428"/>
      <c r="C91" s="428"/>
      <c r="D91" s="428"/>
      <c r="E91" s="428"/>
      <c r="F91" s="428"/>
      <c r="G91" s="428"/>
      <c r="H91" s="428"/>
      <c r="I91" s="428"/>
      <c r="J91" s="428"/>
      <c r="K91" s="428"/>
      <c r="L91" s="428"/>
      <c r="M91" s="428"/>
      <c r="N91" s="428"/>
      <c r="O91" s="428"/>
      <c r="P91" s="428"/>
      <c r="Q91" s="428"/>
      <c r="R91" s="428"/>
      <c r="S91" s="428"/>
      <c r="T91" s="428"/>
      <c r="U91" s="428"/>
      <c r="V91" s="428"/>
      <c r="W91" s="428"/>
      <c r="X91" s="428"/>
      <c r="Y91" s="428"/>
    </row>
    <row r="92" spans="1:25" ht="11.25" x14ac:dyDescent="0.2">
      <c r="A92" s="428"/>
      <c r="B92" s="428"/>
      <c r="C92" s="428"/>
      <c r="D92" s="428"/>
      <c r="E92" s="428"/>
      <c r="F92" s="428"/>
      <c r="G92" s="428"/>
      <c r="H92" s="428"/>
      <c r="I92" s="428"/>
      <c r="J92" s="428"/>
      <c r="K92" s="428"/>
      <c r="L92" s="428"/>
      <c r="M92" s="428"/>
      <c r="N92" s="428"/>
      <c r="O92" s="428"/>
      <c r="P92" s="428"/>
      <c r="Q92" s="428"/>
      <c r="R92" s="428"/>
      <c r="S92" s="428"/>
      <c r="T92" s="428"/>
      <c r="U92" s="428"/>
      <c r="V92" s="428"/>
      <c r="W92" s="428"/>
      <c r="X92" s="428"/>
      <c r="Y92" s="428"/>
    </row>
    <row r="93" spans="1:25" ht="11.25" x14ac:dyDescent="0.2">
      <c r="A93" s="428"/>
      <c r="B93" s="428"/>
      <c r="C93" s="428"/>
      <c r="D93" s="428"/>
      <c r="E93" s="428"/>
      <c r="F93" s="428"/>
      <c r="G93" s="428"/>
      <c r="H93" s="428"/>
      <c r="I93" s="428"/>
      <c r="J93" s="428"/>
      <c r="K93" s="428"/>
      <c r="L93" s="428"/>
      <c r="M93" s="428"/>
      <c r="N93" s="428"/>
      <c r="O93" s="428"/>
      <c r="P93" s="428"/>
      <c r="Q93" s="428"/>
      <c r="R93" s="428"/>
      <c r="S93" s="428"/>
      <c r="T93" s="428"/>
      <c r="U93" s="428"/>
      <c r="V93" s="428"/>
      <c r="W93" s="428"/>
      <c r="X93" s="428"/>
      <c r="Y93" s="428"/>
    </row>
    <row r="94" spans="1:25" ht="11.25" x14ac:dyDescent="0.2">
      <c r="A94" s="428"/>
      <c r="B94" s="428"/>
      <c r="C94" s="428"/>
      <c r="D94" s="428"/>
      <c r="E94" s="428"/>
      <c r="F94" s="428"/>
      <c r="G94" s="428"/>
      <c r="H94" s="428"/>
      <c r="I94" s="428"/>
      <c r="J94" s="428"/>
      <c r="K94" s="428"/>
      <c r="L94" s="428"/>
      <c r="M94" s="428"/>
      <c r="N94" s="428"/>
      <c r="O94" s="428"/>
      <c r="P94" s="428"/>
      <c r="Q94" s="428"/>
      <c r="R94" s="428"/>
      <c r="S94" s="428"/>
      <c r="T94" s="428"/>
      <c r="U94" s="428"/>
      <c r="V94" s="428"/>
      <c r="W94" s="428"/>
      <c r="X94" s="428"/>
      <c r="Y94" s="428"/>
    </row>
    <row r="95" spans="1:25" ht="11.25" x14ac:dyDescent="0.2">
      <c r="A95" s="428"/>
      <c r="B95" s="428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8"/>
    </row>
    <row r="96" spans="1:25" ht="11.25" x14ac:dyDescent="0.2">
      <c r="A96" s="428"/>
      <c r="B96" s="428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</row>
    <row r="97" spans="1:25" ht="11.25" x14ac:dyDescent="0.2">
      <c r="A97" s="428"/>
      <c r="B97" s="428"/>
      <c r="C97" s="428"/>
      <c r="D97" s="428"/>
      <c r="E97" s="428"/>
      <c r="F97" s="428"/>
      <c r="G97" s="428"/>
      <c r="H97" s="428"/>
      <c r="I97" s="428"/>
      <c r="J97" s="428"/>
      <c r="K97" s="428"/>
      <c r="L97" s="428"/>
      <c r="M97" s="428"/>
      <c r="N97" s="428"/>
      <c r="O97" s="428"/>
      <c r="P97" s="428"/>
      <c r="Q97" s="428"/>
      <c r="R97" s="428"/>
      <c r="S97" s="428"/>
      <c r="T97" s="428"/>
      <c r="U97" s="428"/>
      <c r="V97" s="428"/>
      <c r="W97" s="428"/>
      <c r="X97" s="428"/>
      <c r="Y97" s="428"/>
    </row>
    <row r="98" spans="1:25" ht="11.25" x14ac:dyDescent="0.2">
      <c r="A98" s="428"/>
      <c r="B98" s="428"/>
      <c r="C98" s="428"/>
      <c r="D98" s="428"/>
      <c r="E98" s="428"/>
      <c r="F98" s="428"/>
      <c r="G98" s="428"/>
      <c r="H98" s="428"/>
      <c r="I98" s="428"/>
      <c r="J98" s="428"/>
      <c r="K98" s="428"/>
      <c r="L98" s="428"/>
      <c r="M98" s="428"/>
      <c r="N98" s="428"/>
      <c r="O98" s="428"/>
      <c r="P98" s="428"/>
      <c r="Q98" s="428"/>
      <c r="R98" s="428"/>
      <c r="S98" s="428"/>
      <c r="T98" s="428"/>
      <c r="U98" s="428"/>
      <c r="V98" s="428"/>
      <c r="W98" s="428"/>
      <c r="X98" s="428"/>
      <c r="Y98" s="428"/>
    </row>
    <row r="99" spans="1:25" ht="11.25" x14ac:dyDescent="0.2">
      <c r="A99" s="428"/>
      <c r="B99" s="428"/>
      <c r="C99" s="428"/>
      <c r="D99" s="428"/>
      <c r="E99" s="428"/>
      <c r="F99" s="428"/>
      <c r="G99" s="428"/>
      <c r="H99" s="428"/>
      <c r="I99" s="428"/>
      <c r="J99" s="428"/>
      <c r="K99" s="428"/>
      <c r="L99" s="428"/>
      <c r="M99" s="428"/>
      <c r="N99" s="428"/>
      <c r="O99" s="428"/>
      <c r="P99" s="428"/>
      <c r="Q99" s="428"/>
      <c r="R99" s="428"/>
      <c r="S99" s="428"/>
      <c r="T99" s="428"/>
      <c r="U99" s="428"/>
      <c r="V99" s="428"/>
      <c r="W99" s="428"/>
      <c r="X99" s="428"/>
      <c r="Y99" s="428"/>
    </row>
    <row r="100" spans="1:25" ht="11.25" x14ac:dyDescent="0.2">
      <c r="A100" s="428"/>
      <c r="B100" s="428"/>
      <c r="C100" s="428"/>
      <c r="D100" s="428"/>
      <c r="E100" s="428"/>
      <c r="F100" s="428"/>
      <c r="G100" s="428"/>
      <c r="H100" s="428"/>
      <c r="I100" s="428"/>
      <c r="J100" s="428"/>
      <c r="K100" s="428"/>
      <c r="L100" s="428"/>
      <c r="M100" s="428"/>
      <c r="N100" s="428"/>
      <c r="O100" s="428"/>
      <c r="P100" s="428"/>
      <c r="Q100" s="428"/>
      <c r="R100" s="428"/>
      <c r="S100" s="428"/>
      <c r="T100" s="428"/>
      <c r="U100" s="428"/>
      <c r="V100" s="428"/>
      <c r="W100" s="428"/>
      <c r="X100" s="428"/>
      <c r="Y100" s="428"/>
    </row>
    <row r="101" spans="1:25" ht="11.25" x14ac:dyDescent="0.2">
      <c r="A101" s="428"/>
      <c r="B101" s="428"/>
      <c r="C101" s="428"/>
      <c r="D101" s="428"/>
      <c r="E101" s="428"/>
      <c r="F101" s="428"/>
      <c r="G101" s="428"/>
      <c r="H101" s="428"/>
      <c r="I101" s="428"/>
      <c r="J101" s="428"/>
      <c r="K101" s="428"/>
      <c r="L101" s="428"/>
      <c r="M101" s="428"/>
      <c r="N101" s="428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</row>
    <row r="102" spans="1:25" ht="11.25" x14ac:dyDescent="0.2">
      <c r="A102" s="428"/>
      <c r="B102" s="428"/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8"/>
      <c r="N102" s="428"/>
      <c r="O102" s="428"/>
      <c r="P102" s="428"/>
      <c r="Q102" s="428"/>
      <c r="R102" s="428"/>
      <c r="S102" s="428"/>
      <c r="T102" s="428"/>
      <c r="U102" s="428"/>
      <c r="V102" s="428"/>
      <c r="W102" s="428"/>
      <c r="X102" s="428"/>
      <c r="Y102" s="428"/>
    </row>
    <row r="103" spans="1:25" ht="11.25" x14ac:dyDescent="0.2">
      <c r="A103" s="428"/>
      <c r="B103" s="428"/>
      <c r="C103" s="428"/>
      <c r="D103" s="428"/>
      <c r="E103" s="428"/>
      <c r="F103" s="428"/>
      <c r="G103" s="428"/>
      <c r="H103" s="428"/>
      <c r="I103" s="428"/>
      <c r="J103" s="428"/>
      <c r="K103" s="428"/>
      <c r="L103" s="428"/>
      <c r="M103" s="428"/>
      <c r="N103" s="428"/>
      <c r="O103" s="428"/>
      <c r="P103" s="428"/>
      <c r="Q103" s="428"/>
      <c r="R103" s="428"/>
      <c r="S103" s="428"/>
      <c r="T103" s="428"/>
      <c r="U103" s="428"/>
      <c r="V103" s="428"/>
      <c r="W103" s="428"/>
      <c r="X103" s="428"/>
      <c r="Y103" s="428"/>
    </row>
    <row r="104" spans="1:25" ht="11.25" x14ac:dyDescent="0.2">
      <c r="A104" s="428"/>
      <c r="B104" s="428"/>
      <c r="C104" s="428"/>
      <c r="D104" s="428"/>
      <c r="E104" s="428"/>
      <c r="F104" s="428"/>
      <c r="G104" s="428"/>
      <c r="H104" s="428"/>
      <c r="I104" s="428"/>
      <c r="J104" s="428"/>
      <c r="K104" s="428"/>
      <c r="L104" s="428"/>
      <c r="M104" s="428"/>
      <c r="N104" s="428"/>
      <c r="O104" s="428"/>
      <c r="P104" s="428"/>
      <c r="Q104" s="428"/>
      <c r="R104" s="428"/>
      <c r="S104" s="428"/>
      <c r="T104" s="428"/>
      <c r="U104" s="428"/>
      <c r="V104" s="428"/>
      <c r="W104" s="428"/>
      <c r="X104" s="428"/>
      <c r="Y104" s="428"/>
    </row>
    <row r="105" spans="1:25" ht="11.25" x14ac:dyDescent="0.2">
      <c r="A105" s="428"/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8"/>
      <c r="O105" s="428"/>
      <c r="P105" s="428"/>
      <c r="Q105" s="428"/>
      <c r="R105" s="428"/>
      <c r="S105" s="428"/>
      <c r="T105" s="428"/>
      <c r="U105" s="428"/>
      <c r="V105" s="428"/>
      <c r="W105" s="428"/>
      <c r="X105" s="428"/>
      <c r="Y105" s="428"/>
    </row>
    <row r="106" spans="1:25" ht="11.25" x14ac:dyDescent="0.2">
      <c r="A106" s="428"/>
      <c r="B106" s="428"/>
      <c r="C106" s="428"/>
      <c r="D106" s="428"/>
      <c r="E106" s="428"/>
      <c r="F106" s="428"/>
      <c r="G106" s="428"/>
      <c r="H106" s="428"/>
      <c r="I106" s="428"/>
      <c r="J106" s="428"/>
      <c r="K106" s="428"/>
      <c r="L106" s="428"/>
      <c r="M106" s="428"/>
      <c r="N106" s="428"/>
      <c r="O106" s="428"/>
      <c r="P106" s="428"/>
      <c r="Q106" s="428"/>
      <c r="R106" s="428"/>
      <c r="S106" s="428"/>
      <c r="T106" s="428"/>
      <c r="U106" s="428"/>
      <c r="V106" s="428"/>
      <c r="W106" s="428"/>
      <c r="X106" s="428"/>
      <c r="Y106" s="428"/>
    </row>
    <row r="107" spans="1:25" ht="11.25" x14ac:dyDescent="0.2">
      <c r="A107" s="428"/>
      <c r="B107" s="428"/>
      <c r="C107" s="428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8"/>
      <c r="O107" s="428"/>
      <c r="P107" s="428"/>
      <c r="Q107" s="428"/>
      <c r="R107" s="428"/>
      <c r="S107" s="428"/>
      <c r="T107" s="428"/>
      <c r="U107" s="428"/>
      <c r="V107" s="428"/>
      <c r="W107" s="428"/>
      <c r="X107" s="428"/>
      <c r="Y107" s="428"/>
    </row>
    <row r="108" spans="1:25" ht="11.25" x14ac:dyDescent="0.2">
      <c r="A108" s="428"/>
      <c r="B108" s="428"/>
      <c r="C108" s="428"/>
      <c r="D108" s="428"/>
      <c r="E108" s="428"/>
      <c r="F108" s="428"/>
      <c r="G108" s="428"/>
      <c r="H108" s="428"/>
      <c r="I108" s="428"/>
      <c r="J108" s="428"/>
      <c r="K108" s="428"/>
      <c r="L108" s="428"/>
      <c r="M108" s="428"/>
      <c r="N108" s="428"/>
      <c r="O108" s="428"/>
      <c r="P108" s="428"/>
      <c r="Q108" s="428"/>
      <c r="R108" s="428"/>
      <c r="S108" s="428"/>
      <c r="T108" s="428"/>
      <c r="U108" s="428"/>
      <c r="V108" s="428"/>
      <c r="W108" s="428"/>
      <c r="X108" s="428"/>
      <c r="Y108" s="428"/>
    </row>
    <row r="109" spans="1:25" ht="11.25" x14ac:dyDescent="0.2">
      <c r="A109" s="428"/>
      <c r="B109" s="428"/>
      <c r="C109" s="428"/>
      <c r="D109" s="428"/>
      <c r="E109" s="428"/>
      <c r="F109" s="428"/>
      <c r="G109" s="428"/>
      <c r="H109" s="428"/>
      <c r="I109" s="428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</row>
    <row r="110" spans="1:25" ht="11.25" x14ac:dyDescent="0.2">
      <c r="A110" s="428"/>
      <c r="B110" s="428"/>
      <c r="C110" s="428"/>
      <c r="D110" s="428"/>
      <c r="E110" s="428"/>
      <c r="F110" s="428"/>
      <c r="G110" s="428"/>
      <c r="H110" s="428"/>
      <c r="I110" s="428"/>
      <c r="J110" s="428"/>
      <c r="K110" s="428"/>
      <c r="L110" s="428"/>
      <c r="M110" s="428"/>
      <c r="N110" s="428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</row>
    <row r="111" spans="1:25" ht="11.25" x14ac:dyDescent="0.2">
      <c r="A111" s="428"/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8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  <c r="Y111" s="428"/>
    </row>
    <row r="112" spans="1:25" ht="11.25" x14ac:dyDescent="0.2">
      <c r="A112" s="428"/>
      <c r="B112" s="428"/>
      <c r="C112" s="428"/>
      <c r="D112" s="428"/>
      <c r="E112" s="428"/>
      <c r="F112" s="428"/>
      <c r="G112" s="428"/>
      <c r="H112" s="428"/>
      <c r="I112" s="428"/>
      <c r="J112" s="428"/>
      <c r="K112" s="428"/>
      <c r="L112" s="428"/>
      <c r="M112" s="428"/>
      <c r="N112" s="428"/>
      <c r="O112" s="428"/>
      <c r="P112" s="428"/>
      <c r="Q112" s="428"/>
      <c r="R112" s="428"/>
      <c r="S112" s="428"/>
      <c r="T112" s="428"/>
      <c r="U112" s="428"/>
      <c r="V112" s="428"/>
      <c r="W112" s="428"/>
      <c r="X112" s="428"/>
      <c r="Y112" s="428"/>
    </row>
    <row r="113" spans="1:25" ht="11.25" x14ac:dyDescent="0.2">
      <c r="A113" s="428"/>
      <c r="B113" s="428"/>
      <c r="C113" s="428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8"/>
      <c r="O113" s="428"/>
      <c r="P113" s="428"/>
      <c r="Q113" s="428"/>
      <c r="R113" s="428"/>
      <c r="S113" s="428"/>
      <c r="T113" s="428"/>
      <c r="U113" s="428"/>
      <c r="V113" s="428"/>
      <c r="W113" s="428"/>
      <c r="X113" s="428"/>
      <c r="Y113" s="428"/>
    </row>
    <row r="114" spans="1:25" ht="11.25" x14ac:dyDescent="0.2">
      <c r="A114" s="428"/>
      <c r="B114" s="428"/>
      <c r="C114" s="428"/>
      <c r="D114" s="428"/>
      <c r="E114" s="428"/>
      <c r="F114" s="428"/>
      <c r="G114" s="428"/>
      <c r="H114" s="428"/>
      <c r="I114" s="428"/>
      <c r="J114" s="428"/>
      <c r="K114" s="428"/>
      <c r="L114" s="428"/>
      <c r="M114" s="428"/>
      <c r="N114" s="428"/>
      <c r="O114" s="428"/>
      <c r="P114" s="428"/>
      <c r="Q114" s="428"/>
      <c r="R114" s="428"/>
      <c r="S114" s="428"/>
      <c r="T114" s="428"/>
      <c r="U114" s="428"/>
      <c r="V114" s="428"/>
      <c r="W114" s="428"/>
      <c r="X114" s="428"/>
      <c r="Y114" s="428"/>
    </row>
    <row r="115" spans="1:25" ht="11.25" x14ac:dyDescent="0.2">
      <c r="A115" s="428"/>
      <c r="B115" s="428"/>
      <c r="C115" s="428"/>
      <c r="D115" s="428"/>
      <c r="E115" s="428"/>
      <c r="F115" s="428"/>
      <c r="G115" s="428"/>
      <c r="H115" s="428"/>
      <c r="I115" s="428"/>
      <c r="J115" s="428"/>
      <c r="K115" s="428"/>
      <c r="L115" s="428"/>
      <c r="M115" s="428"/>
      <c r="N115" s="428"/>
      <c r="O115" s="428"/>
      <c r="P115" s="428"/>
      <c r="Q115" s="428"/>
      <c r="R115" s="428"/>
      <c r="S115" s="428"/>
      <c r="T115" s="428"/>
      <c r="U115" s="428"/>
      <c r="V115" s="428"/>
      <c r="W115" s="428"/>
      <c r="X115" s="428"/>
      <c r="Y115" s="428"/>
    </row>
  </sheetData>
  <customSheetViews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4">
    <mergeCell ref="A2:X2"/>
    <mergeCell ref="A3:X3"/>
    <mergeCell ref="A4:X4"/>
    <mergeCell ref="P6:T6"/>
  </mergeCells>
  <phoneticPr fontId="9" type="noConversion"/>
  <printOptions horizontalCentered="1"/>
  <pageMargins left="0.5" right="0.5" top="0.75" bottom="0.75" header="0.5" footer="0.5"/>
  <pageSetup scale="62" orientation="landscape" r:id="rId3"/>
  <headerFooter alignWithMargins="0">
    <oddFooter xml:space="preserve">&amp;C&amp;8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pageSetUpPr fitToPage="1"/>
  </sheetPr>
  <dimension ref="A1:AA42"/>
  <sheetViews>
    <sheetView view="pageBreakPreview" zoomScaleNormal="85" zoomScaleSheetLayoutView="100" workbookViewId="0">
      <selection activeCell="AG27" sqref="AG27"/>
    </sheetView>
  </sheetViews>
  <sheetFormatPr defaultRowHeight="12.75" x14ac:dyDescent="0.2"/>
  <cols>
    <col min="1" max="1" width="6" style="240" customWidth="1"/>
    <col min="2" max="2" width="2.28515625" style="240" customWidth="1"/>
    <col min="3" max="3" width="40.28515625" style="240" bestFit="1" customWidth="1"/>
    <col min="4" max="4" width="2.28515625" style="240" customWidth="1"/>
    <col min="5" max="5" width="20.7109375" style="201" bestFit="1" customWidth="1"/>
    <col min="6" max="6" width="2.28515625" style="240" customWidth="1"/>
    <col min="7" max="7" width="10.28515625" style="240" customWidth="1"/>
    <col min="8" max="8" width="2.28515625" style="240" customWidth="1"/>
    <col min="9" max="9" width="10.28515625" style="240" customWidth="1"/>
    <col min="10" max="10" width="2.28515625" style="240" customWidth="1"/>
    <col min="11" max="11" width="10.28515625" style="240" customWidth="1"/>
    <col min="12" max="12" width="2.28515625" style="240" customWidth="1"/>
    <col min="13" max="13" width="10.28515625" style="240" customWidth="1"/>
    <col min="14" max="14" width="2.28515625" style="240" customWidth="1"/>
    <col min="15" max="15" width="10.28515625" style="240" customWidth="1"/>
    <col min="16" max="16" width="2.28515625" style="240" customWidth="1"/>
    <col min="17" max="17" width="10.28515625" style="240" customWidth="1"/>
    <col min="18" max="18" width="2.28515625" style="240" customWidth="1"/>
    <col min="19" max="19" width="10.28515625" style="240" customWidth="1"/>
    <col min="20" max="20" width="2.28515625" style="240" customWidth="1"/>
    <col min="21" max="21" width="10.28515625" style="240" customWidth="1"/>
    <col min="22" max="22" width="2.28515625" style="240" customWidth="1"/>
    <col min="23" max="23" width="10.28515625" style="240" customWidth="1"/>
    <col min="24" max="24" width="2.28515625" style="240" customWidth="1"/>
    <col min="25" max="25" width="10.28515625" style="240" customWidth="1"/>
    <col min="26" max="26" width="2.28515625" style="240" customWidth="1"/>
    <col min="27" max="27" width="1.7109375" style="240" customWidth="1"/>
    <col min="28" max="28" width="2.140625" style="240" customWidth="1"/>
    <col min="29" max="16384" width="9.140625" style="240"/>
  </cols>
  <sheetData>
    <row r="1" spans="1:27" s="577" customFormat="1" ht="15.75" x14ac:dyDescent="0.25">
      <c r="A1" s="370" t="s">
        <v>539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172" t="s">
        <v>870</v>
      </c>
      <c r="AA1" s="568"/>
    </row>
    <row r="2" spans="1:27" s="577" customFormat="1" ht="15.75" x14ac:dyDescent="0.25">
      <c r="A2" s="370" t="s">
        <v>489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568"/>
      <c r="AA2" s="568"/>
    </row>
    <row r="3" spans="1:27" s="577" customFormat="1" ht="15.75" x14ac:dyDescent="0.25">
      <c r="A3" s="370" t="s">
        <v>179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568"/>
      <c r="AA3" s="568"/>
    </row>
    <row r="4" spans="1:27" s="577" customFormat="1" ht="15.75" x14ac:dyDescent="0.25">
      <c r="A4" s="370" t="s">
        <v>33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568"/>
      <c r="AA4" s="568"/>
    </row>
    <row r="5" spans="1:27" s="423" customFormat="1" x14ac:dyDescent="0.2">
      <c r="A5" s="488"/>
      <c r="B5" s="488"/>
      <c r="C5" s="501"/>
      <c r="D5" s="501"/>
      <c r="E5" s="569"/>
      <c r="F5" s="488"/>
      <c r="G5" s="488"/>
      <c r="H5" s="488"/>
      <c r="I5" s="488"/>
      <c r="J5" s="488"/>
      <c r="K5" s="488"/>
      <c r="L5" s="488"/>
      <c r="M5" s="488"/>
      <c r="N5" s="488"/>
      <c r="O5" s="343"/>
      <c r="P5" s="343"/>
      <c r="Q5" s="569"/>
      <c r="R5" s="343"/>
      <c r="S5" s="569"/>
      <c r="T5" s="343"/>
      <c r="U5" s="569"/>
      <c r="W5" s="569" t="s">
        <v>461</v>
      </c>
      <c r="Y5" s="569" t="s">
        <v>461</v>
      </c>
      <c r="AA5" s="488"/>
    </row>
    <row r="6" spans="1:27" s="423" customFormat="1" x14ac:dyDescent="0.2">
      <c r="A6" s="569" t="s">
        <v>34</v>
      </c>
      <c r="B6" s="569"/>
      <c r="C6" s="569"/>
      <c r="D6" s="569"/>
      <c r="E6" s="569" t="s">
        <v>35</v>
      </c>
      <c r="F6" s="569"/>
      <c r="G6" s="569" t="s">
        <v>26</v>
      </c>
      <c r="H6" s="569"/>
      <c r="I6" s="569" t="s">
        <v>26</v>
      </c>
      <c r="J6" s="569"/>
      <c r="K6" s="569" t="s">
        <v>26</v>
      </c>
      <c r="L6" s="569"/>
      <c r="M6" s="569" t="s">
        <v>26</v>
      </c>
      <c r="N6" s="569"/>
      <c r="O6" s="569" t="s">
        <v>26</v>
      </c>
      <c r="P6" s="569"/>
      <c r="Q6" s="850" t="s">
        <v>330</v>
      </c>
      <c r="R6" s="850"/>
      <c r="S6" s="850"/>
      <c r="T6" s="850"/>
      <c r="U6" s="850"/>
      <c r="W6" s="569" t="s">
        <v>15</v>
      </c>
      <c r="X6" s="569"/>
      <c r="Y6" s="569" t="s">
        <v>15</v>
      </c>
      <c r="Z6" s="569"/>
    </row>
    <row r="7" spans="1:27" s="423" customFormat="1" x14ac:dyDescent="0.2">
      <c r="A7" s="185" t="s">
        <v>36</v>
      </c>
      <c r="B7" s="569"/>
      <c r="C7" s="185" t="s">
        <v>178</v>
      </c>
      <c r="D7" s="569"/>
      <c r="E7" s="185" t="s">
        <v>37</v>
      </c>
      <c r="F7" s="489"/>
      <c r="G7" s="469">
        <v>2008</v>
      </c>
      <c r="H7" s="489"/>
      <c r="I7" s="469">
        <v>2009</v>
      </c>
      <c r="J7" s="489"/>
      <c r="K7" s="469">
        <v>2010</v>
      </c>
      <c r="L7" s="489"/>
      <c r="M7" s="469">
        <v>2011</v>
      </c>
      <c r="N7" s="489"/>
      <c r="O7" s="469">
        <v>2012</v>
      </c>
      <c r="P7" s="467"/>
      <c r="Q7" s="469">
        <v>2013</v>
      </c>
      <c r="R7" s="467"/>
      <c r="S7" s="469">
        <v>2014</v>
      </c>
      <c r="T7" s="467"/>
      <c r="U7" s="469">
        <v>2015</v>
      </c>
      <c r="V7" s="468"/>
      <c r="W7" s="469">
        <v>2008</v>
      </c>
      <c r="X7" s="468"/>
      <c r="Y7" s="469">
        <v>2009</v>
      </c>
      <c r="Z7" s="468"/>
    </row>
    <row r="8" spans="1:27" ht="15.75" x14ac:dyDescent="0.25">
      <c r="A8" s="475"/>
      <c r="B8" s="568"/>
      <c r="C8" s="346"/>
      <c r="D8" s="568"/>
      <c r="E8" s="346"/>
      <c r="F8" s="568"/>
      <c r="G8" s="164"/>
      <c r="H8" s="568"/>
      <c r="I8" s="164"/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346"/>
      <c r="X8" s="346"/>
      <c r="Y8" s="346"/>
      <c r="Z8" s="346"/>
    </row>
    <row r="9" spans="1:27" x14ac:dyDescent="0.2">
      <c r="A9" s="576">
        <v>1</v>
      </c>
      <c r="C9" s="423" t="s">
        <v>566</v>
      </c>
      <c r="E9" s="201" t="s">
        <v>28</v>
      </c>
      <c r="F9" s="164"/>
      <c r="G9" s="164">
        <v>1250</v>
      </c>
      <c r="H9" s="164">
        <v>2306</v>
      </c>
      <c r="I9" s="164">
        <f>2310+25-15-14</f>
        <v>2306</v>
      </c>
      <c r="J9" s="164"/>
      <c r="K9" s="164">
        <v>2465</v>
      </c>
      <c r="L9" s="164"/>
      <c r="M9" s="164">
        <v>2396</v>
      </c>
      <c r="N9" s="164"/>
      <c r="O9" s="164">
        <v>2177</v>
      </c>
      <c r="P9" s="164"/>
      <c r="Q9" s="164">
        <v>2107</v>
      </c>
      <c r="R9" s="164"/>
      <c r="S9" s="164">
        <v>3141</v>
      </c>
      <c r="T9" s="164"/>
      <c r="U9" s="164">
        <v>3613</v>
      </c>
      <c r="V9" s="164"/>
      <c r="W9" s="164">
        <v>1305</v>
      </c>
      <c r="X9" s="164"/>
      <c r="Y9" s="164">
        <v>1953</v>
      </c>
      <c r="Z9" s="164"/>
    </row>
    <row r="10" spans="1:27" x14ac:dyDescent="0.2">
      <c r="A10" s="576">
        <f t="shared" ref="A10:A41" si="0">A9+1</f>
        <v>2</v>
      </c>
      <c r="C10" s="174" t="s">
        <v>29</v>
      </c>
      <c r="D10" s="174"/>
      <c r="E10" s="569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27" x14ac:dyDescent="0.2">
      <c r="A11" s="576">
        <f t="shared" si="0"/>
        <v>3</v>
      </c>
      <c r="C11" s="240" t="s">
        <v>30</v>
      </c>
      <c r="E11" s="201" t="s">
        <v>317</v>
      </c>
      <c r="F11" s="164"/>
      <c r="G11" s="164">
        <f>+S1.1!G20</f>
        <v>3181</v>
      </c>
      <c r="H11" s="164"/>
      <c r="I11" s="164">
        <f>+S1.1!I20</f>
        <v>3446</v>
      </c>
      <c r="J11" s="164"/>
      <c r="K11" s="164">
        <f>+S1.1!K20</f>
        <v>3683</v>
      </c>
      <c r="L11" s="164"/>
      <c r="M11" s="164">
        <f>+S1.1!M20</f>
        <v>4128.9309999999996</v>
      </c>
      <c r="N11" s="164"/>
      <c r="O11" s="164">
        <f>+S1.1!O20</f>
        <v>4192.46</v>
      </c>
      <c r="P11" s="164"/>
      <c r="Q11" s="164">
        <f>+S1.1!Q20</f>
        <v>4520.1229999999996</v>
      </c>
      <c r="R11" s="164"/>
      <c r="S11" s="164">
        <f>+S1.1!S20</f>
        <v>5252.1229999999996</v>
      </c>
      <c r="T11" s="164"/>
      <c r="U11" s="164">
        <f>+S1.1!U20</f>
        <v>5778.1229999999996</v>
      </c>
      <c r="V11" s="164"/>
      <c r="W11" s="165">
        <f>S1.1!W20</f>
        <v>3354</v>
      </c>
      <c r="X11" s="164"/>
      <c r="Y11" s="164">
        <f>S1.1!Y20</f>
        <v>3661</v>
      </c>
      <c r="Z11" s="164"/>
    </row>
    <row r="12" spans="1:27" x14ac:dyDescent="0.2">
      <c r="A12" s="576">
        <f t="shared" si="0"/>
        <v>4</v>
      </c>
      <c r="C12" s="423" t="s">
        <v>553</v>
      </c>
      <c r="E12" s="201" t="s">
        <v>300</v>
      </c>
      <c r="F12" s="164"/>
      <c r="G12" s="164">
        <f>+S1.1!G21</f>
        <v>-980</v>
      </c>
      <c r="H12" s="164"/>
      <c r="I12" s="164">
        <f>+S1.1!I21</f>
        <v>-1133</v>
      </c>
      <c r="J12" s="164"/>
      <c r="K12" s="164">
        <f>+S1.1!K21</f>
        <v>-1221</v>
      </c>
      <c r="L12" s="164"/>
      <c r="M12" s="164">
        <f>+S1.1!M21</f>
        <v>-1289</v>
      </c>
      <c r="N12" s="164"/>
      <c r="O12" s="164">
        <f>+S1.1!O21</f>
        <v>-1371</v>
      </c>
      <c r="P12" s="164"/>
      <c r="Q12" s="164">
        <f>+S1.1!Q21</f>
        <v>-1443.8472317999999</v>
      </c>
      <c r="R12" s="164"/>
      <c r="S12" s="164">
        <f>+S1.1!S21</f>
        <v>-1557.3059278000001</v>
      </c>
      <c r="T12" s="164"/>
      <c r="U12" s="164">
        <f>+S1.1!U21</f>
        <v>-1749.2004482</v>
      </c>
      <c r="V12" s="164"/>
      <c r="W12" s="165">
        <f>S1.1!W21</f>
        <v>-962.98672464899994</v>
      </c>
      <c r="X12" s="164"/>
      <c r="Y12" s="164">
        <f>S1.1!Y21</f>
        <v>-1028.0848246490009</v>
      </c>
      <c r="Z12" s="164"/>
    </row>
    <row r="13" spans="1:27" x14ac:dyDescent="0.2">
      <c r="A13" s="576">
        <f t="shared" si="0"/>
        <v>5</v>
      </c>
      <c r="C13" s="423" t="s">
        <v>567</v>
      </c>
      <c r="F13" s="164"/>
      <c r="G13" s="164">
        <v>21</v>
      </c>
      <c r="H13" s="164"/>
      <c r="I13" s="164">
        <v>27</v>
      </c>
      <c r="J13" s="164"/>
      <c r="K13" s="164">
        <v>25</v>
      </c>
      <c r="L13" s="164"/>
      <c r="M13" s="164">
        <v>25</v>
      </c>
      <c r="N13" s="164"/>
      <c r="O13" s="164">
        <v>28</v>
      </c>
      <c r="P13" s="164"/>
      <c r="Q13" s="164">
        <v>25</v>
      </c>
      <c r="R13" s="164"/>
      <c r="S13" s="164">
        <v>25</v>
      </c>
      <c r="T13" s="164"/>
      <c r="U13" s="164">
        <v>25</v>
      </c>
      <c r="V13" s="164"/>
      <c r="W13" s="164">
        <v>18</v>
      </c>
      <c r="X13" s="164"/>
      <c r="Y13" s="164">
        <v>18</v>
      </c>
      <c r="Z13" s="164"/>
    </row>
    <row r="14" spans="1:27" hidden="1" x14ac:dyDescent="0.2">
      <c r="A14" s="576"/>
      <c r="C14" s="240" t="s">
        <v>494</v>
      </c>
      <c r="F14" s="164"/>
      <c r="G14" s="164">
        <v>0</v>
      </c>
      <c r="H14" s="164"/>
      <c r="I14" s="164">
        <v>0</v>
      </c>
      <c r="J14" s="164"/>
      <c r="K14" s="164">
        <v>0</v>
      </c>
      <c r="L14" s="164"/>
      <c r="M14" s="164">
        <v>0</v>
      </c>
      <c r="N14" s="164"/>
      <c r="O14" s="164">
        <f>24-24</f>
        <v>0</v>
      </c>
      <c r="P14" s="164"/>
      <c r="Q14" s="164">
        <v>0</v>
      </c>
      <c r="R14" s="164"/>
      <c r="S14" s="164">
        <v>0</v>
      </c>
      <c r="T14" s="164"/>
      <c r="U14" s="164">
        <v>0</v>
      </c>
      <c r="V14" s="164"/>
      <c r="W14" s="164">
        <v>0</v>
      </c>
      <c r="X14" s="164"/>
      <c r="Y14" s="164">
        <v>0</v>
      </c>
      <c r="Z14" s="164"/>
    </row>
    <row r="15" spans="1:27" hidden="1" x14ac:dyDescent="0.2">
      <c r="A15" s="576"/>
      <c r="C15" s="423" t="s">
        <v>568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>
        <f>36*0</f>
        <v>0</v>
      </c>
      <c r="P15" s="164"/>
      <c r="Q15" s="164">
        <f>36*0</f>
        <v>0</v>
      </c>
      <c r="R15" s="164"/>
      <c r="S15" s="164">
        <f>36*0</f>
        <v>0</v>
      </c>
      <c r="T15" s="164"/>
      <c r="U15" s="164">
        <f>36*0</f>
        <v>0</v>
      </c>
      <c r="V15" s="164"/>
      <c r="W15" s="164"/>
      <c r="X15" s="164"/>
      <c r="Y15" s="164"/>
      <c r="Z15" s="164"/>
    </row>
    <row r="16" spans="1:27" x14ac:dyDescent="0.2">
      <c r="A16" s="576">
        <f>A13+1</f>
        <v>6</v>
      </c>
      <c r="C16" s="423" t="s">
        <v>569</v>
      </c>
      <c r="E16" s="496" t="s">
        <v>647</v>
      </c>
      <c r="F16" s="164"/>
      <c r="G16" s="164">
        <f>-'S8.8 '!G44</f>
        <v>124</v>
      </c>
      <c r="H16" s="164"/>
      <c r="I16" s="164">
        <f>-'S8.8 '!I44</f>
        <v>141</v>
      </c>
      <c r="J16" s="164"/>
      <c r="K16" s="164">
        <f>-'S8.8 '!K44</f>
        <v>141</v>
      </c>
      <c r="L16" s="164"/>
      <c r="M16" s="164">
        <v>0</v>
      </c>
      <c r="N16" s="164"/>
      <c r="O16" s="164">
        <v>0</v>
      </c>
      <c r="P16" s="164"/>
      <c r="Q16" s="164">
        <v>0</v>
      </c>
      <c r="R16" s="164"/>
      <c r="S16" s="164">
        <v>0</v>
      </c>
      <c r="T16" s="164"/>
      <c r="U16" s="164">
        <v>0</v>
      </c>
      <c r="V16" s="164"/>
      <c r="W16" s="164">
        <f>-'S8.8 '!W44</f>
        <v>123</v>
      </c>
      <c r="X16" s="164"/>
      <c r="Y16" s="164">
        <f>-'S8.8 '!Y44</f>
        <v>123</v>
      </c>
      <c r="Z16" s="164"/>
    </row>
    <row r="17" spans="1:26" x14ac:dyDescent="0.2">
      <c r="A17" s="576">
        <f t="shared" si="0"/>
        <v>7</v>
      </c>
      <c r="C17" s="423" t="s">
        <v>808</v>
      </c>
      <c r="E17" s="496" t="s">
        <v>705</v>
      </c>
      <c r="F17" s="164"/>
      <c r="G17" s="164">
        <f>-'S8.8 '!G33-'S8.8 '!G34</f>
        <v>600</v>
      </c>
      <c r="H17" s="164"/>
      <c r="I17" s="164">
        <f>-'S8.8 '!I33</f>
        <v>150</v>
      </c>
      <c r="J17" s="164"/>
      <c r="K17" s="164">
        <f>-'S8.8 '!K33</f>
        <v>150</v>
      </c>
      <c r="L17" s="164"/>
      <c r="M17" s="164">
        <f>+'S8.8 '!M18*-1</f>
        <v>150</v>
      </c>
      <c r="N17" s="164"/>
      <c r="O17" s="164">
        <f>+'S8.8 '!O18*-1</f>
        <v>150</v>
      </c>
      <c r="P17" s="164"/>
      <c r="Q17" s="164">
        <f>+'S8.8 '!Q18*-1</f>
        <v>18</v>
      </c>
      <c r="R17" s="164"/>
      <c r="S17" s="164">
        <f>+'S8.8 '!S18*-1</f>
        <v>18</v>
      </c>
      <c r="T17" s="164"/>
      <c r="U17" s="164">
        <f>+'S8.8 '!U18*-1</f>
        <v>17</v>
      </c>
      <c r="V17" s="164"/>
      <c r="W17" s="164">
        <f>-'S8.8 '!W33</f>
        <v>150</v>
      </c>
      <c r="X17" s="164"/>
      <c r="Y17" s="164">
        <f>-'S8.8 '!Y33</f>
        <v>150</v>
      </c>
      <c r="Z17" s="164"/>
    </row>
    <row r="18" spans="1:26" x14ac:dyDescent="0.2">
      <c r="A18" s="576">
        <f t="shared" si="0"/>
        <v>8</v>
      </c>
      <c r="C18" s="423" t="s">
        <v>292</v>
      </c>
      <c r="E18" s="496" t="s">
        <v>703</v>
      </c>
      <c r="F18" s="164"/>
      <c r="G18" s="164">
        <v>75</v>
      </c>
      <c r="H18" s="164"/>
      <c r="I18" s="164">
        <v>97</v>
      </c>
      <c r="J18" s="164"/>
      <c r="K18" s="164">
        <v>86</v>
      </c>
      <c r="L18" s="164"/>
      <c r="M18" s="164">
        <f>+'S8.4 '!M38</f>
        <v>86</v>
      </c>
      <c r="N18" s="164"/>
      <c r="O18" s="164">
        <f>+'S8.4 '!O38</f>
        <v>86</v>
      </c>
      <c r="P18" s="164"/>
      <c r="Q18" s="164">
        <f>+'S8.4 '!Q38</f>
        <v>617.66666666666663</v>
      </c>
      <c r="R18" s="164"/>
      <c r="S18" s="164">
        <f>+'S8.4 '!S38</f>
        <v>617.66666666666663</v>
      </c>
      <c r="T18" s="164"/>
      <c r="U18" s="164">
        <f>+'S8.4 '!U38</f>
        <v>617.66666666666663</v>
      </c>
      <c r="V18" s="164"/>
      <c r="W18" s="164">
        <f>+'S8.4 '!W38</f>
        <v>86</v>
      </c>
      <c r="X18" s="164"/>
      <c r="Y18" s="164">
        <f>+'S8.4 '!Y38</f>
        <v>86</v>
      </c>
      <c r="Z18" s="164"/>
    </row>
    <row r="19" spans="1:26" x14ac:dyDescent="0.2">
      <c r="A19" s="576">
        <f t="shared" si="0"/>
        <v>9</v>
      </c>
      <c r="C19" s="423" t="s">
        <v>570</v>
      </c>
      <c r="E19" s="496" t="s">
        <v>646</v>
      </c>
      <c r="F19" s="164"/>
      <c r="G19" s="164">
        <f>-'S8.8 '!G54</f>
        <v>147</v>
      </c>
      <c r="H19" s="164"/>
      <c r="I19" s="164">
        <f>-'S8.8 '!I54</f>
        <v>147</v>
      </c>
      <c r="J19" s="164"/>
      <c r="K19" s="164">
        <f>-'S8.8 '!K54</f>
        <v>0</v>
      </c>
      <c r="L19" s="164"/>
      <c r="M19" s="164">
        <f>-'S8.8 '!M54</f>
        <v>0</v>
      </c>
      <c r="N19" s="164"/>
      <c r="O19" s="164">
        <v>0</v>
      </c>
      <c r="P19" s="164"/>
      <c r="Q19" s="164">
        <v>0</v>
      </c>
      <c r="R19" s="164"/>
      <c r="S19" s="164">
        <v>0</v>
      </c>
      <c r="T19" s="164"/>
      <c r="U19" s="164">
        <v>0</v>
      </c>
      <c r="V19" s="164"/>
      <c r="W19" s="164">
        <f>-'S8.8 '!W54</f>
        <v>154</v>
      </c>
      <c r="X19" s="164"/>
      <c r="Y19" s="164">
        <f>-'S8.8 '!Y54</f>
        <v>154</v>
      </c>
      <c r="Z19" s="164"/>
    </row>
    <row r="20" spans="1:26" x14ac:dyDescent="0.2">
      <c r="A20" s="576">
        <f t="shared" si="0"/>
        <v>10</v>
      </c>
      <c r="C20" s="423" t="s">
        <v>571</v>
      </c>
      <c r="E20" s="496"/>
      <c r="F20" s="164"/>
      <c r="G20" s="164">
        <f>+'S8.4 '!G31*-0.7+'S8.4 '!G23*0.7</f>
        <v>415.8</v>
      </c>
      <c r="H20" s="164"/>
      <c r="I20" s="164">
        <f>+'S8.4 '!I31*-0.7+'S8.4 '!I23*0.7</f>
        <v>447.99999999999994</v>
      </c>
      <c r="J20" s="164"/>
      <c r="K20" s="164">
        <f>+'S8.4 '!K31*-0.7+'S8.4 '!K23*0.7</f>
        <v>546.69999999999993</v>
      </c>
      <c r="L20" s="164"/>
      <c r="M20" s="164">
        <f>+'S8.4 '!M31*-0.7+'S8.4 '!M23*0.7</f>
        <v>590.09999999999991</v>
      </c>
      <c r="N20" s="164"/>
      <c r="O20" s="164">
        <f>+'S8.4 '!O31*-0.7+'S8.4 '!O23*0.7</f>
        <v>870.1</v>
      </c>
      <c r="P20" s="164"/>
      <c r="Q20" s="164">
        <f>+'S8.4 '!Q31*-0.65+'S8.4 '!Q23*-0.65</f>
        <v>473.04075</v>
      </c>
      <c r="R20" s="164"/>
      <c r="S20" s="164">
        <f>+'S8.4 '!S31*-0.64+'S8.4 '!S23*-0.64</f>
        <v>411.52000000000004</v>
      </c>
      <c r="T20" s="164"/>
      <c r="U20" s="164">
        <f>+'S8.4 '!U31*-0.64+'S8.4 '!U23*-0.64</f>
        <v>411.52000000000004</v>
      </c>
      <c r="V20" s="164"/>
      <c r="W20" s="164">
        <f>+'S8.4 '!W22+'S8.4 '!W30</f>
        <v>647.76368785157433</v>
      </c>
      <c r="X20" s="164"/>
      <c r="Y20" s="164">
        <f>+'S8.4 '!Y22+'S8.4 '!Y30</f>
        <v>683.02950912266886</v>
      </c>
      <c r="Z20" s="164"/>
    </row>
    <row r="21" spans="1:26" x14ac:dyDescent="0.2">
      <c r="A21" s="576">
        <f t="shared" si="0"/>
        <v>11</v>
      </c>
      <c r="C21" s="240" t="s">
        <v>625</v>
      </c>
      <c r="F21" s="164"/>
      <c r="G21" s="304">
        <f>SUM(G11:G20)</f>
        <v>3583.8</v>
      </c>
      <c r="H21" s="164"/>
      <c r="I21" s="304">
        <f>SUM(I11:I20)</f>
        <v>3323</v>
      </c>
      <c r="J21" s="164"/>
      <c r="K21" s="304">
        <f>SUM(K11:K20)</f>
        <v>3410.7</v>
      </c>
      <c r="L21" s="164"/>
      <c r="M21" s="304">
        <f>SUM(M11:M20)</f>
        <v>3691.0309999999995</v>
      </c>
      <c r="N21" s="164"/>
      <c r="O21" s="304">
        <f>SUM(O11:O20)</f>
        <v>3955.56</v>
      </c>
      <c r="P21" s="164"/>
      <c r="Q21" s="304">
        <f>SUM(Q11:Q20)</f>
        <v>4209.9831848666663</v>
      </c>
      <c r="R21" s="164"/>
      <c r="S21" s="304">
        <f>SUM(S11:S20)</f>
        <v>4767.0037388666669</v>
      </c>
      <c r="T21" s="164"/>
      <c r="U21" s="304">
        <f>SUM(U11:U20)</f>
        <v>5100.1092184666668</v>
      </c>
      <c r="V21" s="164"/>
      <c r="W21" s="303">
        <f>SUM(W11:W20)</f>
        <v>3569.7769632025747</v>
      </c>
      <c r="X21" s="166"/>
      <c r="Y21" s="304">
        <f>SUM(Y11:Y20)</f>
        <v>3846.9446844736681</v>
      </c>
      <c r="Z21" s="166"/>
    </row>
    <row r="22" spans="1:26" x14ac:dyDescent="0.2">
      <c r="A22" s="576">
        <f t="shared" si="0"/>
        <v>12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4"/>
      <c r="Y22" s="164"/>
      <c r="Z22" s="164"/>
    </row>
    <row r="23" spans="1:26" x14ac:dyDescent="0.2">
      <c r="A23" s="576">
        <f t="shared" si="0"/>
        <v>13</v>
      </c>
      <c r="C23" s="174" t="s">
        <v>31</v>
      </c>
      <c r="D23" s="174"/>
      <c r="E23" s="569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4"/>
      <c r="Y23" s="164"/>
      <c r="Z23" s="164"/>
    </row>
    <row r="24" spans="1:26" x14ac:dyDescent="0.2">
      <c r="A24" s="576">
        <f t="shared" si="0"/>
        <v>14</v>
      </c>
      <c r="C24" s="240" t="s">
        <v>32</v>
      </c>
      <c r="F24" s="164"/>
      <c r="G24" s="164">
        <v>3460.9050000000002</v>
      </c>
      <c r="H24" s="164"/>
      <c r="I24" s="164">
        <v>3668</v>
      </c>
      <c r="J24" s="164"/>
      <c r="K24" s="164">
        <v>3006</v>
      </c>
      <c r="L24" s="164"/>
      <c r="M24" s="164">
        <v>3085</v>
      </c>
      <c r="N24" s="164"/>
      <c r="O24" s="164">
        <v>3558.5</v>
      </c>
      <c r="P24" s="164"/>
      <c r="Q24" s="164">
        <v>4449.3100000000004</v>
      </c>
      <c r="R24" s="164"/>
      <c r="S24" s="164">
        <v>5375.0839999999998</v>
      </c>
      <c r="T24" s="164"/>
      <c r="U24" s="164">
        <v>5869.701</v>
      </c>
      <c r="V24" s="164"/>
      <c r="W24" s="165">
        <v>3514.797</v>
      </c>
      <c r="X24" s="164"/>
      <c r="Y24" s="165">
        <v>3700.0590000000002</v>
      </c>
      <c r="Z24" s="164"/>
    </row>
    <row r="25" spans="1:26" x14ac:dyDescent="0.2">
      <c r="A25" s="576">
        <f t="shared" si="0"/>
        <v>15</v>
      </c>
      <c r="C25" s="240" t="s">
        <v>240</v>
      </c>
      <c r="E25" s="496" t="s">
        <v>455</v>
      </c>
      <c r="F25" s="164"/>
      <c r="G25" s="164">
        <f>+'S8.8 '!G43</f>
        <v>118</v>
      </c>
      <c r="H25" s="164"/>
      <c r="I25" s="164">
        <f>+'S8.8 '!I43</f>
        <v>0</v>
      </c>
      <c r="J25" s="164"/>
      <c r="K25" s="164">
        <f>+'S8.8 '!K43</f>
        <v>0</v>
      </c>
      <c r="L25" s="164"/>
      <c r="M25" s="164">
        <v>0</v>
      </c>
      <c r="N25" s="164"/>
      <c r="O25" s="164">
        <v>0</v>
      </c>
      <c r="P25" s="164"/>
      <c r="Q25" s="164">
        <v>0</v>
      </c>
      <c r="R25" s="164"/>
      <c r="S25" s="164">
        <v>0</v>
      </c>
      <c r="T25" s="164"/>
      <c r="U25" s="164">
        <v>0</v>
      </c>
      <c r="V25" s="164"/>
      <c r="W25" s="165">
        <f>+'S8.8 '!W43</f>
        <v>60</v>
      </c>
      <c r="X25" s="164"/>
      <c r="Y25" s="165">
        <f>+'S8.8 '!Y43</f>
        <v>0</v>
      </c>
      <c r="Z25" s="164"/>
    </row>
    <row r="26" spans="1:26" x14ac:dyDescent="0.2">
      <c r="A26" s="576">
        <f t="shared" si="0"/>
        <v>16</v>
      </c>
      <c r="C26" s="240" t="s">
        <v>213</v>
      </c>
      <c r="E26" s="496" t="s">
        <v>631</v>
      </c>
      <c r="F26" s="164"/>
      <c r="G26" s="164">
        <f>+'S8.8 '!G32</f>
        <v>274</v>
      </c>
      <c r="H26" s="164"/>
      <c r="I26" s="164">
        <f>+'S8.8 '!I32</f>
        <v>101</v>
      </c>
      <c r="J26" s="164"/>
      <c r="K26" s="164">
        <f>+'S8.8 '!K32</f>
        <v>0</v>
      </c>
      <c r="L26" s="164"/>
      <c r="M26" s="164">
        <f>+'S8.8 '!M32</f>
        <v>160</v>
      </c>
      <c r="N26" s="164"/>
      <c r="O26" s="164">
        <f>+'S8.8 '!O32</f>
        <v>24</v>
      </c>
      <c r="P26" s="164"/>
      <c r="Q26" s="164">
        <f>+'S8.8 '!Q32</f>
        <v>417.25</v>
      </c>
      <c r="R26" s="164"/>
      <c r="S26" s="164">
        <f>+'S8.8 '!S32</f>
        <v>193.25</v>
      </c>
      <c r="T26" s="164"/>
      <c r="U26" s="164">
        <f>+'S8.8 '!U32</f>
        <v>0</v>
      </c>
      <c r="V26" s="164"/>
      <c r="W26" s="165">
        <v>720</v>
      </c>
      <c r="X26" s="164"/>
      <c r="Y26" s="165">
        <v>0</v>
      </c>
      <c r="Z26" s="164"/>
    </row>
    <row r="27" spans="1:26" x14ac:dyDescent="0.2">
      <c r="A27" s="576">
        <f t="shared" si="0"/>
        <v>17</v>
      </c>
      <c r="C27" s="240" t="s">
        <v>289</v>
      </c>
      <c r="E27" s="496" t="s">
        <v>632</v>
      </c>
      <c r="F27" s="164"/>
      <c r="G27" s="165">
        <f>-'S8.4 '!G39</f>
        <v>0</v>
      </c>
      <c r="H27" s="164"/>
      <c r="I27" s="165">
        <f>-'S8.4 '!I39</f>
        <v>147</v>
      </c>
      <c r="J27" s="164"/>
      <c r="K27" s="165">
        <f>-'S8.4 '!K39</f>
        <v>100</v>
      </c>
      <c r="L27" s="164"/>
      <c r="M27" s="164">
        <f>+'S8.4 '!M39*-1</f>
        <v>100</v>
      </c>
      <c r="N27" s="164"/>
      <c r="O27" s="164">
        <v>0</v>
      </c>
      <c r="P27" s="164"/>
      <c r="Q27" s="164">
        <v>100</v>
      </c>
      <c r="R27" s="164"/>
      <c r="S27" s="164">
        <f>+'S8.4 '!S39*-1</f>
        <v>100</v>
      </c>
      <c r="T27" s="164"/>
      <c r="U27" s="164">
        <f>+'S8.4 '!U39*-1</f>
        <v>100</v>
      </c>
      <c r="V27" s="164"/>
      <c r="W27" s="165">
        <f>-'S8.4 '!W39</f>
        <v>60</v>
      </c>
      <c r="X27" s="164"/>
      <c r="Y27" s="165">
        <f>-'S8.4 '!Y39</f>
        <v>60</v>
      </c>
      <c r="Z27" s="164"/>
    </row>
    <row r="28" spans="1:26" x14ac:dyDescent="0.2">
      <c r="A28" s="576">
        <f t="shared" si="0"/>
        <v>18</v>
      </c>
      <c r="C28" s="240" t="s">
        <v>770</v>
      </c>
      <c r="E28" s="201" t="s">
        <v>688</v>
      </c>
      <c r="F28" s="164"/>
      <c r="G28" s="164">
        <f>+'S8.8 '!G53</f>
        <v>137</v>
      </c>
      <c r="H28" s="164"/>
      <c r="I28" s="164">
        <f>+'S8.8 '!I53</f>
        <v>259</v>
      </c>
      <c r="J28" s="164"/>
      <c r="K28" s="164">
        <f>+'S8.8 '!K53</f>
        <v>358</v>
      </c>
      <c r="L28" s="164"/>
      <c r="M28" s="164">
        <f>S9.1!L30</f>
        <v>491</v>
      </c>
      <c r="N28" s="164"/>
      <c r="O28" s="164">
        <f>S9.1!N30</f>
        <v>688</v>
      </c>
      <c r="P28" s="164"/>
      <c r="Q28" s="164">
        <f>S9.1!P30</f>
        <v>650</v>
      </c>
      <c r="R28" s="164"/>
      <c r="S28" s="164">
        <v>0</v>
      </c>
      <c r="T28" s="164"/>
      <c r="U28" s="164">
        <v>0</v>
      </c>
      <c r="V28" s="164"/>
      <c r="W28" s="165">
        <f>+'S8.8 '!W53</f>
        <v>150</v>
      </c>
      <c r="X28" s="164"/>
      <c r="Y28" s="165">
        <f>+'S8.8 '!Y53</f>
        <v>0</v>
      </c>
      <c r="Z28" s="164"/>
    </row>
    <row r="29" spans="1:26" x14ac:dyDescent="0.2">
      <c r="A29" s="576">
        <f t="shared" si="0"/>
        <v>19</v>
      </c>
      <c r="C29" s="240" t="s">
        <v>440</v>
      </c>
      <c r="E29" s="496" t="s">
        <v>704</v>
      </c>
      <c r="F29" s="164"/>
      <c r="G29" s="165">
        <f>-'S8.4 '!G23-'S8.4 '!G31</f>
        <v>668</v>
      </c>
      <c r="H29" s="164"/>
      <c r="I29" s="165">
        <f>-'S8.4 '!I23-'S8.4 '!I31</f>
        <v>688</v>
      </c>
      <c r="J29" s="164"/>
      <c r="K29" s="165">
        <f>-'S8.4 '!K23-'S8.4 '!K31</f>
        <v>821</v>
      </c>
      <c r="L29" s="164"/>
      <c r="M29" s="164">
        <f>-'S8.4 '!M31-'S8.4 '!M23</f>
        <v>865</v>
      </c>
      <c r="N29" s="164"/>
      <c r="O29" s="164">
        <f>-'S8.4 '!O31-'S8.4 '!O23</f>
        <v>1317</v>
      </c>
      <c r="P29" s="164"/>
      <c r="Q29" s="164">
        <f>-'S8.4 '!Q31-'S8.4 '!Q23</f>
        <v>727.755</v>
      </c>
      <c r="R29" s="164"/>
      <c r="S29" s="164">
        <f>-'S8.4 '!S31-'S8.4 '!S23</f>
        <v>643</v>
      </c>
      <c r="T29" s="164"/>
      <c r="U29" s="164">
        <f>-'S8.4 '!U31-'S8.4 '!U23</f>
        <v>643</v>
      </c>
      <c r="V29" s="164"/>
      <c r="W29" s="165">
        <f>-'S8.4 '!W23-'S8.4 '!W31</f>
        <v>647.76368785157433</v>
      </c>
      <c r="X29" s="164"/>
      <c r="Y29" s="165">
        <f>-'S8.4 '!Y23-'S8.4 '!Y31</f>
        <v>683.02950912266886</v>
      </c>
      <c r="Z29" s="164"/>
    </row>
    <row r="30" spans="1:26" x14ac:dyDescent="0.2">
      <c r="A30" s="576">
        <f t="shared" si="0"/>
        <v>20</v>
      </c>
      <c r="C30" s="240" t="s">
        <v>423</v>
      </c>
      <c r="F30" s="164"/>
      <c r="G30" s="164">
        <v>214.6</v>
      </c>
      <c r="H30" s="164"/>
      <c r="I30" s="164">
        <v>243</v>
      </c>
      <c r="J30" s="164"/>
      <c r="K30" s="164">
        <v>238</v>
      </c>
      <c r="L30" s="164"/>
      <c r="M30" s="164">
        <v>193</v>
      </c>
      <c r="N30" s="164"/>
      <c r="O30" s="164">
        <v>277</v>
      </c>
      <c r="P30" s="164"/>
      <c r="Q30" s="164">
        <v>286.58875145400003</v>
      </c>
      <c r="R30" s="164"/>
      <c r="S30" s="164">
        <v>296.61935775489002</v>
      </c>
      <c r="T30" s="164"/>
      <c r="U30" s="164">
        <v>289.8</v>
      </c>
      <c r="V30" s="164"/>
      <c r="W30" s="165">
        <v>358.37550000000005</v>
      </c>
      <c r="X30" s="164"/>
      <c r="Y30" s="165">
        <v>376.29427500000008</v>
      </c>
      <c r="Z30" s="164"/>
    </row>
    <row r="31" spans="1:26" x14ac:dyDescent="0.2">
      <c r="A31" s="576">
        <f t="shared" si="0"/>
        <v>21</v>
      </c>
      <c r="C31" s="423" t="s">
        <v>495</v>
      </c>
      <c r="F31" s="164"/>
      <c r="G31" s="164">
        <f>15+23</f>
        <v>38</v>
      </c>
      <c r="H31" s="164"/>
      <c r="I31" s="164">
        <f>58</f>
        <v>58</v>
      </c>
      <c r="J31" s="164"/>
      <c r="K31" s="164">
        <v>0</v>
      </c>
      <c r="L31" s="164"/>
      <c r="M31" s="164">
        <v>0</v>
      </c>
      <c r="N31" s="164"/>
      <c r="O31" s="164">
        <f>170-142</f>
        <v>28</v>
      </c>
      <c r="P31" s="164"/>
      <c r="Q31" s="164">
        <v>0</v>
      </c>
      <c r="R31" s="164"/>
      <c r="S31" s="164">
        <v>0</v>
      </c>
      <c r="T31" s="164"/>
      <c r="U31" s="164">
        <v>0</v>
      </c>
      <c r="V31" s="164"/>
      <c r="W31" s="165">
        <v>0</v>
      </c>
      <c r="X31" s="164"/>
      <c r="Y31" s="165">
        <v>0</v>
      </c>
      <c r="Z31" s="164"/>
    </row>
    <row r="32" spans="1:26" x14ac:dyDescent="0.2">
      <c r="A32" s="576">
        <f t="shared" si="0"/>
        <v>22</v>
      </c>
      <c r="C32" s="240" t="s">
        <v>490</v>
      </c>
      <c r="F32" s="164"/>
      <c r="G32" s="164">
        <v>0</v>
      </c>
      <c r="H32" s="164"/>
      <c r="I32" s="164">
        <v>0</v>
      </c>
      <c r="J32" s="164"/>
      <c r="K32" s="164">
        <v>185</v>
      </c>
      <c r="L32" s="164"/>
      <c r="M32" s="164">
        <v>100</v>
      </c>
      <c r="N32" s="164"/>
      <c r="O32" s="164">
        <v>64</v>
      </c>
      <c r="P32" s="164"/>
      <c r="Q32" s="164">
        <v>70</v>
      </c>
      <c r="R32" s="164"/>
      <c r="S32" s="164">
        <v>70</v>
      </c>
      <c r="T32" s="164"/>
      <c r="U32" s="164">
        <v>70</v>
      </c>
      <c r="V32" s="164"/>
      <c r="W32" s="165">
        <v>0</v>
      </c>
      <c r="X32" s="164"/>
      <c r="Y32" s="165">
        <v>0</v>
      </c>
      <c r="Z32" s="164"/>
    </row>
    <row r="33" spans="1:26" x14ac:dyDescent="0.2">
      <c r="A33" s="576">
        <f>A32+1</f>
        <v>23</v>
      </c>
      <c r="C33" s="240" t="s">
        <v>398</v>
      </c>
      <c r="F33" s="164"/>
      <c r="G33" s="164">
        <v>10.555999999999999</v>
      </c>
      <c r="H33" s="164"/>
      <c r="I33" s="164">
        <v>10.555999999999999</v>
      </c>
      <c r="J33" s="164"/>
      <c r="K33" s="164">
        <v>11.202999999999999</v>
      </c>
      <c r="L33" s="164"/>
      <c r="M33" s="164">
        <v>10</v>
      </c>
      <c r="N33" s="164"/>
      <c r="O33" s="164">
        <v>10</v>
      </c>
      <c r="P33" s="164"/>
      <c r="Q33" s="164">
        <v>10</v>
      </c>
      <c r="R33" s="164"/>
      <c r="S33" s="164">
        <f>+Q33</f>
        <v>10</v>
      </c>
      <c r="T33" s="164"/>
      <c r="U33" s="164">
        <f>+Q33</f>
        <v>10</v>
      </c>
      <c r="V33" s="164"/>
      <c r="W33" s="165">
        <v>10</v>
      </c>
      <c r="X33" s="164"/>
      <c r="Y33" s="165">
        <v>9</v>
      </c>
      <c r="Z33" s="164"/>
    </row>
    <row r="34" spans="1:26" x14ac:dyDescent="0.2">
      <c r="A34" s="576">
        <f t="shared" si="0"/>
        <v>24</v>
      </c>
      <c r="C34" s="240" t="s">
        <v>767</v>
      </c>
      <c r="F34" s="164"/>
      <c r="G34" s="164">
        <v>431.4</v>
      </c>
      <c r="H34" s="164"/>
      <c r="I34" s="164">
        <v>325</v>
      </c>
      <c r="J34" s="164"/>
      <c r="K34" s="164">
        <f>386+346</f>
        <v>732</v>
      </c>
      <c r="L34" s="164"/>
      <c r="M34" s="164">
        <v>1054</v>
      </c>
      <c r="N34" s="164"/>
      <c r="O34" s="164">
        <v>1122</v>
      </c>
      <c r="P34" s="164"/>
      <c r="Q34" s="164">
        <v>993</v>
      </c>
      <c r="R34" s="164"/>
      <c r="S34" s="164">
        <v>688.12</v>
      </c>
      <c r="T34" s="164"/>
      <c r="U34" s="164">
        <v>687.77</v>
      </c>
      <c r="V34" s="164"/>
      <c r="W34" s="165">
        <v>350</v>
      </c>
      <c r="X34" s="166"/>
      <c r="Y34" s="165">
        <v>350</v>
      </c>
      <c r="Z34" s="166"/>
    </row>
    <row r="35" spans="1:26" x14ac:dyDescent="0.2">
      <c r="A35" s="576">
        <f t="shared" si="0"/>
        <v>25</v>
      </c>
      <c r="C35" s="240" t="s">
        <v>625</v>
      </c>
      <c r="F35" s="164"/>
      <c r="G35" s="304">
        <f>SUM(G24:G34)</f>
        <v>5352.4610000000002</v>
      </c>
      <c r="H35" s="164"/>
      <c r="I35" s="304">
        <f>SUM(I24:I34)</f>
        <v>5499.5559999999996</v>
      </c>
      <c r="J35" s="164"/>
      <c r="K35" s="304">
        <f>SUM(K24:K34)</f>
        <v>5451.2030000000004</v>
      </c>
      <c r="L35" s="164"/>
      <c r="M35" s="304">
        <f>SUM(M24:M34)</f>
        <v>6058</v>
      </c>
      <c r="N35" s="164"/>
      <c r="O35" s="304">
        <f>SUM(O24:O34)</f>
        <v>7088.5</v>
      </c>
      <c r="P35" s="164"/>
      <c r="Q35" s="304">
        <f>SUM(Q24:Q34)</f>
        <v>7703.9037514540005</v>
      </c>
      <c r="R35" s="164"/>
      <c r="S35" s="304">
        <f>SUM(S24:S34)</f>
        <v>7376.0733577548899</v>
      </c>
      <c r="T35" s="164"/>
      <c r="U35" s="304">
        <f>SUM(U24:U34)</f>
        <v>7670.2710000000006</v>
      </c>
      <c r="V35" s="164"/>
      <c r="W35" s="304">
        <f>SUM(W24:W34)</f>
        <v>5870.9361878515747</v>
      </c>
      <c r="X35" s="164"/>
      <c r="Y35" s="304">
        <f>SUM(Y24:Y34)</f>
        <v>5178.3827841226694</v>
      </c>
      <c r="Z35" s="164"/>
    </row>
    <row r="36" spans="1:26" x14ac:dyDescent="0.2">
      <c r="A36" s="576">
        <f t="shared" si="0"/>
        <v>26</v>
      </c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x14ac:dyDescent="0.2">
      <c r="A37" s="576">
        <f t="shared" si="0"/>
        <v>27</v>
      </c>
      <c r="C37" s="240" t="s">
        <v>626</v>
      </c>
      <c r="F37" s="164"/>
      <c r="G37" s="164">
        <f>+G9+G21-G35</f>
        <v>-518.66100000000006</v>
      </c>
      <c r="H37" s="164"/>
      <c r="I37" s="164">
        <f>+I9+I21-I35</f>
        <v>129.44400000000041</v>
      </c>
      <c r="J37" s="164"/>
      <c r="K37" s="164">
        <f>+K9+K21-K35</f>
        <v>424.49699999999939</v>
      </c>
      <c r="L37" s="164"/>
      <c r="M37" s="164">
        <f>+M9+M21-M35</f>
        <v>29.03099999999904</v>
      </c>
      <c r="N37" s="164"/>
      <c r="O37" s="164">
        <f>+O9+O21-O35</f>
        <v>-955.94000000000051</v>
      </c>
      <c r="P37" s="164"/>
      <c r="Q37" s="164">
        <f>+Q9+Q21-Q35</f>
        <v>-1386.9205665873342</v>
      </c>
      <c r="R37" s="164"/>
      <c r="S37" s="164">
        <f>+S9+S21-S35</f>
        <v>531.93038111177702</v>
      </c>
      <c r="T37" s="164"/>
      <c r="U37" s="164">
        <f>+U9+U21-U35</f>
        <v>1042.8382184666661</v>
      </c>
      <c r="V37" s="164"/>
      <c r="W37" s="164">
        <f>+W9+W21-W35</f>
        <v>-996.15922464899995</v>
      </c>
      <c r="X37" s="166"/>
      <c r="Y37" s="164">
        <f>+Y9+Y21-Y35</f>
        <v>621.56190035099917</v>
      </c>
      <c r="Z37" s="166"/>
    </row>
    <row r="38" spans="1:26" x14ac:dyDescent="0.2">
      <c r="A38" s="576">
        <f t="shared" si="0"/>
        <v>28</v>
      </c>
      <c r="C38" s="240" t="s">
        <v>627</v>
      </c>
      <c r="F38" s="421"/>
      <c r="G38" s="422">
        <v>0.34499999999999997</v>
      </c>
      <c r="H38" s="421"/>
      <c r="I38" s="422">
        <v>0.34</v>
      </c>
      <c r="J38" s="421"/>
      <c r="K38" s="422">
        <v>0.33</v>
      </c>
      <c r="L38" s="421"/>
      <c r="M38" s="422">
        <v>0.315</v>
      </c>
      <c r="N38" s="421"/>
      <c r="O38" s="422">
        <v>0.3</v>
      </c>
      <c r="P38" s="421"/>
      <c r="Q38" s="422">
        <v>0.3</v>
      </c>
      <c r="R38" s="421"/>
      <c r="S38" s="422">
        <v>0.3</v>
      </c>
      <c r="T38" s="421"/>
      <c r="U38" s="422">
        <v>0.3</v>
      </c>
      <c r="V38" s="421"/>
      <c r="W38" s="422">
        <v>0.34499999999999997</v>
      </c>
      <c r="X38" s="421"/>
      <c r="Y38" s="422">
        <v>0.34</v>
      </c>
      <c r="Z38" s="421"/>
    </row>
    <row r="39" spans="1:26" x14ac:dyDescent="0.2">
      <c r="A39" s="576">
        <f t="shared" si="0"/>
        <v>29</v>
      </c>
      <c r="C39" s="240" t="s">
        <v>188</v>
      </c>
      <c r="F39" s="164"/>
      <c r="G39" s="164">
        <f>+G37*G38</f>
        <v>-178.93804500000002</v>
      </c>
      <c r="H39" s="164"/>
      <c r="I39" s="164">
        <f>+I37*I38</f>
        <v>44.010960000000146</v>
      </c>
      <c r="J39" s="164"/>
      <c r="K39" s="164">
        <f>+K37*K38</f>
        <v>140.08400999999981</v>
      </c>
      <c r="L39" s="164"/>
      <c r="M39" s="164">
        <f>+M37*M38</f>
        <v>9.1447649999996976</v>
      </c>
      <c r="N39" s="164"/>
      <c r="O39" s="164">
        <f>+O37*O38</f>
        <v>-286.78200000000015</v>
      </c>
      <c r="P39" s="164"/>
      <c r="Q39" s="164">
        <f>+Q37*Q38</f>
        <v>-416.07616997620022</v>
      </c>
      <c r="R39" s="164"/>
      <c r="S39" s="164">
        <f>+S37*S38</f>
        <v>159.57911433353311</v>
      </c>
      <c r="T39" s="164"/>
      <c r="U39" s="164">
        <f>+U37*U38</f>
        <v>312.85146553999982</v>
      </c>
      <c r="V39" s="164"/>
      <c r="W39" s="164">
        <f>+W37*W38</f>
        <v>-343.67493250390498</v>
      </c>
      <c r="X39" s="164"/>
      <c r="Y39" s="164">
        <f>+Y37*Y38</f>
        <v>211.33104611933973</v>
      </c>
      <c r="Z39" s="164"/>
    </row>
    <row r="40" spans="1:26" x14ac:dyDescent="0.2">
      <c r="A40" s="576">
        <f t="shared" si="0"/>
        <v>30</v>
      </c>
      <c r="C40" s="240" t="s">
        <v>628</v>
      </c>
      <c r="F40" s="164"/>
      <c r="G40" s="166">
        <v>85</v>
      </c>
      <c r="H40" s="164"/>
      <c r="I40" s="166">
        <v>-34</v>
      </c>
      <c r="J40" s="164"/>
      <c r="K40" s="166">
        <v>138</v>
      </c>
      <c r="L40" s="164"/>
      <c r="M40" s="166">
        <v>52</v>
      </c>
      <c r="N40" s="164"/>
      <c r="O40" s="166">
        <v>-20</v>
      </c>
      <c r="P40" s="164"/>
      <c r="Q40" s="166">
        <v>0</v>
      </c>
      <c r="R40" s="164"/>
      <c r="S40" s="166">
        <v>0.4</v>
      </c>
      <c r="T40" s="164"/>
      <c r="U40" s="166">
        <v>0</v>
      </c>
      <c r="V40" s="164"/>
      <c r="W40" s="166">
        <v>0</v>
      </c>
      <c r="X40" s="164"/>
      <c r="Y40" s="166">
        <v>0</v>
      </c>
      <c r="Z40" s="164"/>
    </row>
    <row r="41" spans="1:26" ht="13.5" thickBot="1" x14ac:dyDescent="0.25">
      <c r="A41" s="576">
        <f t="shared" si="0"/>
        <v>31</v>
      </c>
      <c r="C41" s="240" t="s">
        <v>629</v>
      </c>
      <c r="E41" s="201" t="s">
        <v>288</v>
      </c>
      <c r="F41" s="168"/>
      <c r="G41" s="335">
        <f>ROUND(SUM(G39:G40),0)</f>
        <v>-94</v>
      </c>
      <c r="H41" s="168"/>
      <c r="I41" s="335">
        <f>ROUND(SUM(I39:I40),0)</f>
        <v>10</v>
      </c>
      <c r="J41" s="168"/>
      <c r="K41" s="335">
        <f>ROUND(SUM(K39:K40),0)</f>
        <v>278</v>
      </c>
      <c r="L41" s="168"/>
      <c r="M41" s="335">
        <f>ROUND(SUM(M39:M40),0)</f>
        <v>61</v>
      </c>
      <c r="N41" s="168"/>
      <c r="O41" s="335">
        <f>ROUND(SUM(O39:O40),0)</f>
        <v>-307</v>
      </c>
      <c r="P41" s="168"/>
      <c r="Q41" s="335">
        <f>ROUND(SUM(Q39:Q40),0)</f>
        <v>-416</v>
      </c>
      <c r="R41" s="168"/>
      <c r="S41" s="335">
        <f>ROUND(SUM(S39:S40),0)</f>
        <v>160</v>
      </c>
      <c r="T41" s="168"/>
      <c r="U41" s="335">
        <f>ROUND(SUM(U39:U40),0)</f>
        <v>313</v>
      </c>
      <c r="V41" s="168"/>
      <c r="W41" s="335">
        <f>ROUND(SUM(W39:W40),0)</f>
        <v>-344</v>
      </c>
      <c r="X41" s="168"/>
      <c r="Y41" s="335">
        <f>ROUND(SUM(Y39:Y40),0)</f>
        <v>211</v>
      </c>
      <c r="Z41" s="168"/>
    </row>
    <row r="42" spans="1:26" ht="13.5" thickTop="1" x14ac:dyDescent="0.2"/>
  </sheetData>
  <customSheetViews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1"/>
      <headerFooter alignWithMargins="0"/>
    </customSheetView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Q6:U6"/>
  </mergeCells>
  <phoneticPr fontId="10" type="noConversion"/>
  <printOptions horizontalCentered="1"/>
  <pageMargins left="0.5" right="0.5" top="0.75" bottom="0.75" header="0.5" footer="0.5"/>
  <pageSetup scale="65" orientation="landscape" r:id="rId3"/>
  <headerFooter alignWithMargins="0"/>
  <colBreaks count="1" manualBreakCount="1">
    <brk id="2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zoomScale="87" zoomScaleNormal="100" zoomScaleSheetLayoutView="87" workbookViewId="0">
      <selection activeCell="A3" sqref="A3"/>
    </sheetView>
  </sheetViews>
  <sheetFormatPr defaultRowHeight="12.75" x14ac:dyDescent="0.2"/>
  <cols>
    <col min="1" max="1" width="7.85546875" style="743" bestFit="1" customWidth="1"/>
    <col min="2" max="2" width="67.7109375" style="744" customWidth="1"/>
    <col min="3" max="3" width="13.85546875" style="745" customWidth="1"/>
    <col min="4" max="4" width="11.85546875" style="744" bestFit="1" customWidth="1"/>
    <col min="5" max="5" width="1.7109375" style="744" customWidth="1"/>
    <col min="6" max="6" width="37.42578125" style="744" customWidth="1"/>
    <col min="7" max="16384" width="9.140625" style="744"/>
  </cols>
  <sheetData>
    <row r="1" spans="1:6" ht="15" customHeight="1" x14ac:dyDescent="0.2">
      <c r="A1" s="747" t="s">
        <v>539</v>
      </c>
      <c r="B1" s="780"/>
      <c r="C1" s="781"/>
      <c r="D1" s="780"/>
      <c r="E1" s="746" t="s">
        <v>875</v>
      </c>
    </row>
    <row r="2" spans="1:6" ht="15" customHeight="1" x14ac:dyDescent="0.2">
      <c r="A2" s="749" t="s">
        <v>982</v>
      </c>
      <c r="B2" s="780"/>
      <c r="C2" s="781"/>
      <c r="D2" s="782"/>
    </row>
    <row r="3" spans="1:6" ht="15" customHeight="1" x14ac:dyDescent="0.25">
      <c r="A3" s="749" t="s">
        <v>813</v>
      </c>
      <c r="B3" s="780"/>
      <c r="C3" s="781"/>
      <c r="D3" s="748"/>
      <c r="E3" s="748"/>
    </row>
    <row r="4" spans="1:6" ht="15" customHeight="1" x14ac:dyDescent="0.25">
      <c r="A4" s="747" t="s">
        <v>25</v>
      </c>
      <c r="B4" s="780"/>
      <c r="C4" s="781"/>
      <c r="D4" s="750"/>
      <c r="E4" s="750"/>
      <c r="F4" s="751"/>
    </row>
    <row r="5" spans="1:6" ht="15" customHeight="1" x14ac:dyDescent="0.2">
      <c r="A5" s="842" t="s">
        <v>34</v>
      </c>
      <c r="B5" s="751"/>
      <c r="D5" s="751"/>
      <c r="E5" s="751"/>
    </row>
    <row r="6" spans="1:6" ht="15" customHeight="1" x14ac:dyDescent="0.2">
      <c r="A6" s="843" t="s">
        <v>36</v>
      </c>
      <c r="B6" s="743"/>
      <c r="D6" s="753"/>
      <c r="E6" s="753"/>
    </row>
    <row r="7" spans="1:6" ht="15" customHeight="1" x14ac:dyDescent="0.2">
      <c r="A7" s="752">
        <v>1</v>
      </c>
      <c r="B7" s="751" t="s">
        <v>814</v>
      </c>
      <c r="D7" s="838"/>
      <c r="E7" s="751"/>
    </row>
    <row r="8" spans="1:6" ht="15" customHeight="1" x14ac:dyDescent="0.2">
      <c r="A8" s="752">
        <v>2</v>
      </c>
      <c r="B8" s="754" t="s">
        <v>873</v>
      </c>
      <c r="C8" s="745" t="s">
        <v>538</v>
      </c>
      <c r="D8" s="839">
        <f>S2.1!R70</f>
        <v>49811.56</v>
      </c>
      <c r="E8" s="755"/>
      <c r="F8" s="756"/>
    </row>
    <row r="9" spans="1:6" ht="15" customHeight="1" x14ac:dyDescent="0.2">
      <c r="A9" s="752">
        <v>3</v>
      </c>
      <c r="B9" s="754" t="s">
        <v>874</v>
      </c>
      <c r="C9" s="745" t="s">
        <v>538</v>
      </c>
      <c r="D9" s="840">
        <f>S2.1!Q70</f>
        <v>47642.219137876498</v>
      </c>
      <c r="E9" s="755"/>
    </row>
    <row r="10" spans="1:6" ht="15" customHeight="1" x14ac:dyDescent="0.2">
      <c r="A10" s="752">
        <v>4</v>
      </c>
      <c r="B10" s="754" t="s">
        <v>818</v>
      </c>
      <c r="C10" s="745" t="s">
        <v>877</v>
      </c>
      <c r="D10" s="837">
        <f>D8-D9</f>
        <v>2169.3408621234994</v>
      </c>
      <c r="E10" s="758"/>
    </row>
    <row r="11" spans="1:6" ht="15" customHeight="1" x14ac:dyDescent="0.2">
      <c r="A11" s="752"/>
      <c r="B11" s="759"/>
      <c r="D11" s="833"/>
      <c r="E11" s="758"/>
    </row>
    <row r="12" spans="1:6" ht="15" customHeight="1" x14ac:dyDescent="0.2">
      <c r="A12" s="752">
        <v>5</v>
      </c>
      <c r="B12" s="760" t="s">
        <v>815</v>
      </c>
      <c r="D12" s="833"/>
      <c r="E12" s="755"/>
    </row>
    <row r="13" spans="1:6" ht="15" customHeight="1" x14ac:dyDescent="0.2">
      <c r="A13" s="752">
        <v>6</v>
      </c>
      <c r="B13" s="754" t="s">
        <v>917</v>
      </c>
      <c r="D13" s="834">
        <v>1331.6356299999991</v>
      </c>
      <c r="E13" s="758"/>
    </row>
    <row r="14" spans="1:6" ht="15" customHeight="1" x14ac:dyDescent="0.2">
      <c r="A14" s="752">
        <v>7</v>
      </c>
      <c r="B14" s="754" t="s">
        <v>918</v>
      </c>
      <c r="D14" s="835">
        <v>302.11505000000005</v>
      </c>
      <c r="E14" s="758"/>
    </row>
    <row r="15" spans="1:6" ht="15" customHeight="1" x14ac:dyDescent="0.2">
      <c r="A15" s="752">
        <v>8</v>
      </c>
      <c r="B15" s="754" t="s">
        <v>816</v>
      </c>
      <c r="C15" s="745" t="s">
        <v>878</v>
      </c>
      <c r="D15" s="834">
        <f>SUM(D13:D14)</f>
        <v>1633.7506799999992</v>
      </c>
      <c r="E15" s="758"/>
    </row>
    <row r="16" spans="1:6" ht="15" customHeight="1" x14ac:dyDescent="0.2">
      <c r="A16" s="752"/>
      <c r="B16" s="754"/>
      <c r="D16" s="834"/>
      <c r="E16" s="758"/>
    </row>
    <row r="17" spans="1:9" ht="15" customHeight="1" x14ac:dyDescent="0.2">
      <c r="A17" s="752">
        <v>9</v>
      </c>
      <c r="B17" s="760" t="s">
        <v>920</v>
      </c>
      <c r="C17" s="745" t="s">
        <v>916</v>
      </c>
      <c r="D17" s="834">
        <f>-S12.3!H25</f>
        <v>586.41390999999999</v>
      </c>
      <c r="E17" s="761"/>
    </row>
    <row r="18" spans="1:9" ht="15" customHeight="1" x14ac:dyDescent="0.2">
      <c r="A18" s="752"/>
      <c r="B18" s="760"/>
      <c r="D18" s="834"/>
      <c r="E18" s="758"/>
      <c r="I18" s="613"/>
    </row>
    <row r="19" spans="1:9" ht="15" customHeight="1" x14ac:dyDescent="0.2">
      <c r="A19" s="752">
        <v>10</v>
      </c>
      <c r="B19" s="764" t="s">
        <v>921</v>
      </c>
      <c r="C19" s="745" t="s">
        <v>879</v>
      </c>
      <c r="D19" s="836">
        <f>D10-D15-D17</f>
        <v>-50.823727876499788</v>
      </c>
      <c r="E19" s="763"/>
    </row>
    <row r="20" spans="1:9" s="832" customFormat="1" ht="15" customHeight="1" x14ac:dyDescent="0.2">
      <c r="A20" s="828"/>
      <c r="B20" s="829"/>
      <c r="C20" s="830"/>
      <c r="D20" s="837"/>
      <c r="E20" s="831"/>
    </row>
    <row r="21" spans="1:9" ht="15" customHeight="1" x14ac:dyDescent="0.2">
      <c r="A21" s="752">
        <v>11</v>
      </c>
      <c r="B21" s="751" t="s">
        <v>817</v>
      </c>
      <c r="D21" s="833"/>
      <c r="E21" s="763"/>
    </row>
    <row r="22" spans="1:9" ht="15" customHeight="1" x14ac:dyDescent="0.2">
      <c r="A22" s="752">
        <v>12</v>
      </c>
      <c r="B22" s="754" t="s">
        <v>922</v>
      </c>
      <c r="C22" s="745" t="s">
        <v>538</v>
      </c>
      <c r="D22" s="834">
        <f>S2.1!U70</f>
        <v>53472.67</v>
      </c>
      <c r="E22" s="765"/>
    </row>
    <row r="23" spans="1:9" ht="15" customHeight="1" x14ac:dyDescent="0.2">
      <c r="A23" s="752">
        <v>13</v>
      </c>
      <c r="B23" s="754" t="s">
        <v>923</v>
      </c>
      <c r="C23" s="745" t="s">
        <v>538</v>
      </c>
      <c r="D23" s="835">
        <f>S2.1!T70</f>
        <v>49811.042390837858</v>
      </c>
      <c r="E23" s="763"/>
    </row>
    <row r="24" spans="1:9" ht="15" customHeight="1" x14ac:dyDescent="0.2">
      <c r="A24" s="752">
        <v>14</v>
      </c>
      <c r="B24" s="754" t="s">
        <v>924</v>
      </c>
      <c r="C24" s="745" t="s">
        <v>880</v>
      </c>
      <c r="D24" s="837">
        <f>D22-D23</f>
        <v>3661.6276091621403</v>
      </c>
      <c r="E24" s="755"/>
    </row>
    <row r="25" spans="1:9" ht="15" customHeight="1" x14ac:dyDescent="0.2">
      <c r="A25" s="752"/>
      <c r="B25" s="759"/>
      <c r="D25" s="833"/>
      <c r="E25" s="755"/>
      <c r="F25" s="766"/>
    </row>
    <row r="26" spans="1:9" ht="15" customHeight="1" x14ac:dyDescent="0.2">
      <c r="A26" s="752">
        <v>15</v>
      </c>
      <c r="B26" s="760" t="s">
        <v>819</v>
      </c>
      <c r="D26" s="833"/>
      <c r="E26" s="758"/>
      <c r="F26" s="766"/>
    </row>
    <row r="27" spans="1:9" ht="15" customHeight="1" x14ac:dyDescent="0.2">
      <c r="A27" s="752">
        <v>16</v>
      </c>
      <c r="B27" s="754" t="s">
        <v>925</v>
      </c>
      <c r="D27" s="834">
        <v>1204.0887599999994</v>
      </c>
      <c r="E27" s="758"/>
      <c r="F27" s="766"/>
    </row>
    <row r="28" spans="1:9" ht="15" customHeight="1" x14ac:dyDescent="0.2">
      <c r="A28" s="752">
        <v>17</v>
      </c>
      <c r="B28" s="754" t="s">
        <v>926</v>
      </c>
      <c r="D28" s="834">
        <v>220.6259</v>
      </c>
      <c r="E28" s="755"/>
      <c r="F28" s="766"/>
    </row>
    <row r="29" spans="1:9" ht="15" customHeight="1" x14ac:dyDescent="0.2">
      <c r="A29" s="752">
        <v>18</v>
      </c>
      <c r="B29" s="754" t="s">
        <v>927</v>
      </c>
      <c r="D29" s="834">
        <v>486.04123580581273</v>
      </c>
      <c r="E29" s="758"/>
      <c r="F29" s="766"/>
    </row>
    <row r="30" spans="1:9" ht="15" customHeight="1" x14ac:dyDescent="0.2">
      <c r="A30" s="752">
        <v>19</v>
      </c>
      <c r="B30" s="754" t="s">
        <v>928</v>
      </c>
      <c r="D30" s="835">
        <v>95.314346466541778</v>
      </c>
      <c r="E30" s="758"/>
      <c r="F30" s="766"/>
    </row>
    <row r="31" spans="1:9" ht="15" customHeight="1" x14ac:dyDescent="0.2">
      <c r="A31" s="752">
        <v>20</v>
      </c>
      <c r="B31" s="754" t="s">
        <v>820</v>
      </c>
      <c r="C31" s="745" t="s">
        <v>881</v>
      </c>
      <c r="D31" s="834">
        <f>SUM(D27:D30)</f>
        <v>2006.0702422723539</v>
      </c>
      <c r="E31" s="758"/>
      <c r="F31" s="766"/>
    </row>
    <row r="32" spans="1:9" ht="15" customHeight="1" x14ac:dyDescent="0.2">
      <c r="A32" s="752"/>
      <c r="B32" s="754"/>
      <c r="D32" s="834"/>
      <c r="E32" s="758"/>
    </row>
    <row r="33" spans="1:5" ht="15" customHeight="1" x14ac:dyDescent="0.2">
      <c r="A33" s="752">
        <v>21</v>
      </c>
      <c r="B33" s="760" t="s">
        <v>929</v>
      </c>
      <c r="C33" s="745" t="s">
        <v>919</v>
      </c>
      <c r="D33" s="834">
        <f>-S12.3!H33</f>
        <v>277.08359999999999</v>
      </c>
      <c r="E33" s="767"/>
    </row>
    <row r="34" spans="1:5" ht="15" customHeight="1" x14ac:dyDescent="0.2">
      <c r="A34" s="752"/>
      <c r="B34" s="754"/>
      <c r="D34" s="834"/>
      <c r="E34" s="767"/>
    </row>
    <row r="35" spans="1:5" ht="15" customHeight="1" x14ac:dyDescent="0.2">
      <c r="A35" s="752">
        <v>22</v>
      </c>
      <c r="B35" s="764" t="s">
        <v>930</v>
      </c>
      <c r="C35" s="745" t="s">
        <v>882</v>
      </c>
      <c r="D35" s="836">
        <f>D24-D31-D33</f>
        <v>1378.4737668897865</v>
      </c>
      <c r="E35" s="761"/>
    </row>
    <row r="36" spans="1:5" s="832" customFormat="1" ht="15" customHeight="1" x14ac:dyDescent="0.2">
      <c r="A36" s="828"/>
      <c r="B36" s="829"/>
      <c r="C36" s="830"/>
      <c r="D36" s="837"/>
      <c r="E36" s="841"/>
    </row>
    <row r="37" spans="1:5" x14ac:dyDescent="0.2">
      <c r="A37" s="752">
        <v>23</v>
      </c>
      <c r="B37" s="751" t="s">
        <v>936</v>
      </c>
      <c r="C37" s="745" t="s">
        <v>883</v>
      </c>
      <c r="D37" s="836">
        <f>D19+D35</f>
        <v>1327.6500390132867</v>
      </c>
      <c r="E37" s="763"/>
    </row>
    <row r="38" spans="1:5" ht="15" customHeight="1" x14ac:dyDescent="0.2">
      <c r="A38" s="752"/>
      <c r="B38" s="751"/>
      <c r="D38" s="833"/>
      <c r="E38" s="763"/>
    </row>
    <row r="39" spans="1:5" ht="15" customHeight="1" x14ac:dyDescent="0.2">
      <c r="A39" s="752">
        <v>24</v>
      </c>
      <c r="B39" s="751" t="s">
        <v>931</v>
      </c>
      <c r="D39" s="833"/>
      <c r="E39" s="763"/>
    </row>
    <row r="40" spans="1:5" ht="15" customHeight="1" x14ac:dyDescent="0.2">
      <c r="A40" s="752">
        <v>25</v>
      </c>
      <c r="B40" s="754" t="s">
        <v>934</v>
      </c>
      <c r="D40" s="833">
        <v>23136.204741201898</v>
      </c>
      <c r="E40" s="766"/>
    </row>
    <row r="41" spans="1:5" ht="15" customHeight="1" x14ac:dyDescent="0.2">
      <c r="A41" s="752">
        <v>26</v>
      </c>
      <c r="B41" s="754" t="s">
        <v>935</v>
      </c>
      <c r="D41" s="835">
        <v>4686.6461344440886</v>
      </c>
      <c r="E41" s="766"/>
    </row>
    <row r="42" spans="1:5" ht="15" customHeight="1" x14ac:dyDescent="0.2">
      <c r="A42" s="752">
        <v>27</v>
      </c>
      <c r="B42" s="751" t="s">
        <v>932</v>
      </c>
      <c r="C42" s="745" t="s">
        <v>884</v>
      </c>
      <c r="D42" s="833">
        <f>SUM(D40:D41)</f>
        <v>27822.850875645985</v>
      </c>
      <c r="E42" s="766"/>
    </row>
    <row r="43" spans="1:5" ht="15" customHeight="1" x14ac:dyDescent="0.2">
      <c r="A43" s="752"/>
      <c r="B43" s="743"/>
      <c r="D43" s="757"/>
      <c r="E43" s="766"/>
    </row>
    <row r="44" spans="1:5" ht="15" customHeight="1" thickBot="1" x14ac:dyDescent="0.25">
      <c r="A44" s="752">
        <v>28</v>
      </c>
      <c r="B44" s="751" t="s">
        <v>825</v>
      </c>
      <c r="C44" s="745" t="s">
        <v>885</v>
      </c>
      <c r="D44" s="807">
        <f>ROUND(D37/D42,4)</f>
        <v>4.7699999999999999E-2</v>
      </c>
      <c r="E44" s="766"/>
    </row>
    <row r="45" spans="1:5" ht="15" customHeight="1" thickTop="1" x14ac:dyDescent="0.2">
      <c r="A45" s="752"/>
      <c r="B45" s="751"/>
      <c r="D45" s="757"/>
      <c r="E45" s="767"/>
    </row>
    <row r="46" spans="1:5" ht="15" customHeight="1" x14ac:dyDescent="0.2">
      <c r="A46" s="752"/>
      <c r="B46" s="743" t="s">
        <v>821</v>
      </c>
      <c r="C46" s="768"/>
      <c r="D46" s="768"/>
    </row>
    <row r="47" spans="1:5" ht="15" customHeight="1" x14ac:dyDescent="0.2">
      <c r="A47" s="752"/>
    </row>
    <row r="48" spans="1:5" x14ac:dyDescent="0.2">
      <c r="A48" s="752"/>
    </row>
    <row r="49" spans="1:1" x14ac:dyDescent="0.2">
      <c r="A49" s="752"/>
    </row>
    <row r="50" spans="1:1" x14ac:dyDescent="0.2">
      <c r="A50" s="752"/>
    </row>
    <row r="51" spans="1:1" x14ac:dyDescent="0.2">
      <c r="A51" s="752"/>
    </row>
    <row r="52" spans="1:1" x14ac:dyDescent="0.2">
      <c r="A52" s="752"/>
    </row>
    <row r="53" spans="1:1" x14ac:dyDescent="0.2">
      <c r="A53" s="752"/>
    </row>
    <row r="54" spans="1:1" x14ac:dyDescent="0.2">
      <c r="A54" s="752"/>
    </row>
    <row r="55" spans="1:1" x14ac:dyDescent="0.2">
      <c r="A55" s="752"/>
    </row>
    <row r="56" spans="1:1" x14ac:dyDescent="0.2">
      <c r="A56" s="752"/>
    </row>
    <row r="57" spans="1:1" x14ac:dyDescent="0.2">
      <c r="A57" s="752"/>
    </row>
    <row r="58" spans="1:1" x14ac:dyDescent="0.2">
      <c r="A58" s="752"/>
    </row>
    <row r="59" spans="1:1" x14ac:dyDescent="0.2">
      <c r="A59" s="752"/>
    </row>
    <row r="60" spans="1:1" x14ac:dyDescent="0.2">
      <c r="A60" s="752"/>
    </row>
    <row r="61" spans="1:1" x14ac:dyDescent="0.2">
      <c r="A61" s="752"/>
    </row>
    <row r="62" spans="1:1" x14ac:dyDescent="0.2">
      <c r="A62" s="752"/>
    </row>
    <row r="63" spans="1:1" x14ac:dyDescent="0.2">
      <c r="A63" s="752"/>
    </row>
    <row r="64" spans="1:1" x14ac:dyDescent="0.2">
      <c r="A64" s="752"/>
    </row>
    <row r="65" spans="1:1" x14ac:dyDescent="0.2">
      <c r="A65" s="75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AA52"/>
  <sheetViews>
    <sheetView view="pageBreakPreview" zoomScale="90" zoomScaleNormal="85" zoomScaleSheetLayoutView="90" workbookViewId="0">
      <selection activeCell="C46" sqref="C46"/>
    </sheetView>
  </sheetViews>
  <sheetFormatPr defaultColWidth="7.5703125" defaultRowHeight="12.75" x14ac:dyDescent="0.2"/>
  <cols>
    <col min="1" max="1" width="8.5703125" style="441" customWidth="1"/>
    <col min="2" max="2" width="2.28515625" style="441" customWidth="1"/>
    <col min="3" max="3" width="31.28515625" style="441" bestFit="1" customWidth="1"/>
    <col min="4" max="4" width="2.28515625" style="441" customWidth="1"/>
    <col min="5" max="5" width="12" style="441" customWidth="1"/>
    <col min="6" max="6" width="2.28515625" style="441" customWidth="1"/>
    <col min="7" max="7" width="12" style="441" customWidth="1"/>
    <col min="8" max="8" width="2.28515625" style="441" customWidth="1"/>
    <col min="9" max="9" width="12" style="441" customWidth="1"/>
    <col min="10" max="10" width="2.28515625" style="441" customWidth="1"/>
    <col min="11" max="11" width="12" style="441" customWidth="1"/>
    <col min="12" max="12" width="2.28515625" style="441" customWidth="1"/>
    <col min="13" max="13" width="12" style="441" customWidth="1"/>
    <col min="14" max="14" width="2.28515625" style="441" customWidth="1"/>
    <col min="15" max="15" width="12" style="441" customWidth="1"/>
    <col min="16" max="16" width="2.28515625" style="441" customWidth="1"/>
    <col min="17" max="17" width="12" style="441" customWidth="1"/>
    <col min="18" max="18" width="2.28515625" style="441" customWidth="1"/>
    <col min="19" max="19" width="12" style="441" customWidth="1"/>
    <col min="20" max="20" width="2.28515625" style="441" customWidth="1"/>
    <col min="21" max="21" width="12" style="441" customWidth="1"/>
    <col min="22" max="22" width="2.28515625" style="441" customWidth="1"/>
    <col min="23" max="23" width="12" style="441" customWidth="1"/>
    <col min="24" max="24" width="2.28515625" style="441" customWidth="1"/>
    <col min="25" max="25" width="12" style="441" customWidth="1"/>
    <col min="26" max="26" width="2.28515625" style="441" customWidth="1"/>
    <col min="27" max="16384" width="7.5703125" style="441"/>
  </cols>
  <sheetData>
    <row r="1" spans="1:27" ht="15.75" x14ac:dyDescent="0.25">
      <c r="A1" s="370" t="s">
        <v>539</v>
      </c>
      <c r="B1" s="41"/>
      <c r="C1" s="41"/>
      <c r="D1" s="41"/>
      <c r="E1" s="41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66" t="s">
        <v>828</v>
      </c>
    </row>
    <row r="2" spans="1:27" ht="15.75" x14ac:dyDescent="0.25">
      <c r="A2" s="40" t="s">
        <v>489</v>
      </c>
      <c r="B2" s="41"/>
      <c r="C2" s="41"/>
      <c r="D2" s="41"/>
      <c r="E2" s="41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</row>
    <row r="3" spans="1:27" ht="15.75" x14ac:dyDescent="0.25">
      <c r="A3" s="40" t="s">
        <v>50</v>
      </c>
      <c r="B3" s="41"/>
      <c r="C3" s="41"/>
      <c r="D3" s="41"/>
      <c r="E3" s="41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</row>
    <row r="4" spans="1:27" s="429" customFormat="1" ht="3.95" customHeight="1" x14ac:dyDescent="0.25">
      <c r="A4" s="40"/>
      <c r="B4" s="41"/>
      <c r="C4" s="41"/>
      <c r="D4" s="41"/>
      <c r="E4" s="41"/>
    </row>
    <row r="5" spans="1:27" s="429" customFormat="1" ht="15.75" x14ac:dyDescent="0.25">
      <c r="A5" s="504"/>
      <c r="B5" s="504"/>
      <c r="C5" s="504"/>
      <c r="D5" s="504"/>
      <c r="E5" s="504"/>
      <c r="Q5" s="504"/>
      <c r="S5" s="504"/>
      <c r="U5" s="504"/>
      <c r="V5" s="504"/>
      <c r="W5" s="504" t="s">
        <v>461</v>
      </c>
      <c r="Y5" s="504" t="s">
        <v>461</v>
      </c>
    </row>
    <row r="6" spans="1:27" s="429" customFormat="1" ht="15.75" x14ac:dyDescent="0.25">
      <c r="A6" s="504" t="s">
        <v>34</v>
      </c>
      <c r="B6" s="504"/>
      <c r="C6" s="504"/>
      <c r="D6" s="504"/>
      <c r="E6" s="504" t="s">
        <v>35</v>
      </c>
      <c r="F6" s="504"/>
      <c r="G6" s="504" t="s">
        <v>26</v>
      </c>
      <c r="H6" s="504"/>
      <c r="I6" s="504" t="s">
        <v>26</v>
      </c>
      <c r="J6" s="504"/>
      <c r="K6" s="504" t="s">
        <v>26</v>
      </c>
      <c r="L6" s="504"/>
      <c r="M6" s="504" t="s">
        <v>26</v>
      </c>
      <c r="N6" s="504"/>
      <c r="O6" s="504" t="s">
        <v>26</v>
      </c>
      <c r="P6" s="504"/>
      <c r="Q6" s="844" t="s">
        <v>330</v>
      </c>
      <c r="R6" s="844"/>
      <c r="S6" s="844"/>
      <c r="T6" s="844"/>
      <c r="U6" s="844"/>
      <c r="V6" s="504"/>
      <c r="W6" s="504" t="s">
        <v>15</v>
      </c>
      <c r="X6" s="504"/>
      <c r="Y6" s="504" t="s">
        <v>15</v>
      </c>
    </row>
    <row r="7" spans="1:27" s="429" customFormat="1" ht="15.75" x14ac:dyDescent="0.25">
      <c r="A7" s="503" t="s">
        <v>36</v>
      </c>
      <c r="B7" s="504"/>
      <c r="C7" s="503" t="s">
        <v>178</v>
      </c>
      <c r="D7" s="504"/>
      <c r="E7" s="503" t="s">
        <v>37</v>
      </c>
      <c r="F7" s="474"/>
      <c r="G7" s="473">
        <v>2008</v>
      </c>
      <c r="H7" s="474"/>
      <c r="I7" s="473">
        <v>2009</v>
      </c>
      <c r="J7" s="474"/>
      <c r="K7" s="473">
        <v>2010</v>
      </c>
      <c r="L7" s="474"/>
      <c r="M7" s="473">
        <v>2011</v>
      </c>
      <c r="N7" s="476"/>
      <c r="O7" s="473">
        <v>2012</v>
      </c>
      <c r="P7" s="476"/>
      <c r="Q7" s="473">
        <v>2013</v>
      </c>
      <c r="R7" s="474"/>
      <c r="S7" s="473">
        <v>2014</v>
      </c>
      <c r="T7" s="474"/>
      <c r="U7" s="473">
        <v>2015</v>
      </c>
      <c r="V7" s="473"/>
      <c r="W7" s="473">
        <v>2008</v>
      </c>
      <c r="X7" s="474"/>
      <c r="Y7" s="473">
        <v>2009</v>
      </c>
      <c r="Z7" s="1"/>
    </row>
    <row r="8" spans="1:27" s="429" customFormat="1" ht="15" x14ac:dyDescent="0.2">
      <c r="A8" s="481"/>
      <c r="B8" s="481"/>
      <c r="C8" s="481"/>
      <c r="D8" s="481"/>
      <c r="E8" s="481"/>
      <c r="I8" s="427"/>
    </row>
    <row r="9" spans="1:27" s="429" customFormat="1" ht="15" x14ac:dyDescent="0.2">
      <c r="A9" s="472">
        <v>1</v>
      </c>
      <c r="B9" s="419"/>
      <c r="C9" s="419" t="s">
        <v>51</v>
      </c>
      <c r="D9" s="419"/>
      <c r="E9" s="419"/>
      <c r="F9" s="426"/>
      <c r="G9" s="366">
        <v>74</v>
      </c>
      <c r="H9" s="426"/>
      <c r="I9" s="366">
        <v>56</v>
      </c>
      <c r="J9" s="426"/>
      <c r="K9" s="366">
        <v>61</v>
      </c>
      <c r="L9" s="426"/>
      <c r="M9" s="366">
        <v>123</v>
      </c>
      <c r="N9" s="366"/>
      <c r="O9" s="366">
        <v>186.69399999999999</v>
      </c>
      <c r="P9" s="366"/>
      <c r="Q9" s="366">
        <v>190.42787999999999</v>
      </c>
      <c r="R9" s="426"/>
      <c r="S9" s="366">
        <v>194.23643759999999</v>
      </c>
      <c r="T9" s="426"/>
      <c r="U9" s="366">
        <v>198.12116635199999</v>
      </c>
      <c r="V9" s="426"/>
      <c r="W9" s="366">
        <v>80</v>
      </c>
      <c r="X9" s="426"/>
      <c r="Y9" s="366">
        <v>80</v>
      </c>
      <c r="Z9" s="426"/>
      <c r="AA9" s="427"/>
    </row>
    <row r="10" spans="1:27" s="429" customFormat="1" ht="15" x14ac:dyDescent="0.2">
      <c r="A10" s="472">
        <v>2</v>
      </c>
      <c r="B10" s="419"/>
      <c r="C10" s="261" t="s">
        <v>394</v>
      </c>
      <c r="D10" s="419"/>
      <c r="E10" s="419"/>
      <c r="F10" s="426"/>
      <c r="G10" s="366">
        <v>476.58936</v>
      </c>
      <c r="H10" s="426"/>
      <c r="I10" s="366">
        <v>503</v>
      </c>
      <c r="J10" s="426"/>
      <c r="K10" s="366">
        <v>590</v>
      </c>
      <c r="L10" s="426"/>
      <c r="M10" s="366">
        <v>644</v>
      </c>
      <c r="N10" s="366"/>
      <c r="O10" s="366">
        <v>667.38900000000001</v>
      </c>
      <c r="P10" s="366"/>
      <c r="Q10" s="366">
        <v>680.73678000000007</v>
      </c>
      <c r="R10" s="426"/>
      <c r="S10" s="366">
        <v>694.35151560000008</v>
      </c>
      <c r="T10" s="426"/>
      <c r="U10" s="366">
        <v>708.23854591200006</v>
      </c>
      <c r="V10" s="426"/>
      <c r="W10" s="366">
        <v>464</v>
      </c>
      <c r="X10" s="426"/>
      <c r="Y10" s="366">
        <v>480</v>
      </c>
      <c r="Z10" s="426"/>
      <c r="AA10" s="427"/>
    </row>
    <row r="11" spans="1:27" s="429" customFormat="1" ht="15" x14ac:dyDescent="0.2">
      <c r="A11" s="472">
        <v>3</v>
      </c>
      <c r="B11" s="419"/>
      <c r="C11" s="419" t="s">
        <v>152</v>
      </c>
      <c r="D11" s="419"/>
      <c r="E11" s="419"/>
      <c r="F11" s="427"/>
      <c r="G11" s="361">
        <v>94</v>
      </c>
      <c r="H11" s="427"/>
      <c r="I11" s="361">
        <v>86</v>
      </c>
      <c r="J11" s="427"/>
      <c r="K11" s="361">
        <v>85</v>
      </c>
      <c r="L11" s="427"/>
      <c r="M11" s="361">
        <v>90</v>
      </c>
      <c r="N11" s="361"/>
      <c r="O11" s="361">
        <v>107.229</v>
      </c>
      <c r="P11" s="361"/>
      <c r="Q11" s="361">
        <v>109.37358</v>
      </c>
      <c r="R11" s="427"/>
      <c r="S11" s="361">
        <v>111.5610516</v>
      </c>
      <c r="T11" s="427"/>
      <c r="U11" s="361">
        <v>113.79227263200001</v>
      </c>
      <c r="V11" s="427"/>
      <c r="W11" s="361">
        <v>100</v>
      </c>
      <c r="X11" s="427"/>
      <c r="Y11" s="361">
        <v>100</v>
      </c>
      <c r="Z11" s="427"/>
      <c r="AA11" s="427"/>
    </row>
    <row r="12" spans="1:27" s="429" customFormat="1" ht="15" x14ac:dyDescent="0.2">
      <c r="A12" s="472">
        <v>4</v>
      </c>
      <c r="B12" s="419"/>
      <c r="C12" s="419" t="s">
        <v>399</v>
      </c>
      <c r="D12" s="419"/>
      <c r="E12" s="419"/>
      <c r="F12" s="419"/>
      <c r="G12" s="340">
        <v>257.41729999999995</v>
      </c>
      <c r="H12" s="419"/>
      <c r="I12" s="340">
        <v>263.88315</v>
      </c>
      <c r="J12" s="419"/>
      <c r="K12" s="340">
        <v>274.47748999999999</v>
      </c>
      <c r="L12" s="419"/>
      <c r="M12" s="340">
        <v>242.40568999999999</v>
      </c>
      <c r="N12" s="366"/>
      <c r="O12" s="340">
        <v>291.11500000000001</v>
      </c>
      <c r="P12" s="366"/>
      <c r="Q12" s="340">
        <v>296.93729999999999</v>
      </c>
      <c r="R12" s="481"/>
      <c r="S12" s="340">
        <v>249.54098040000002</v>
      </c>
      <c r="T12" s="481"/>
      <c r="U12" s="340">
        <v>254.53180000800003</v>
      </c>
      <c r="V12" s="481"/>
      <c r="W12" s="340">
        <v>166</v>
      </c>
      <c r="X12" s="481"/>
      <c r="Y12" s="273">
        <v>167</v>
      </c>
      <c r="Z12" s="427"/>
      <c r="AA12" s="427"/>
    </row>
    <row r="13" spans="1:27" s="429" customFormat="1" ht="15" x14ac:dyDescent="0.2">
      <c r="A13" s="472">
        <v>5</v>
      </c>
      <c r="B13" s="419"/>
      <c r="K13" s="427"/>
      <c r="L13" s="427"/>
      <c r="M13" s="427"/>
      <c r="N13" s="427"/>
      <c r="O13" s="427"/>
      <c r="P13" s="427"/>
      <c r="Q13" s="427"/>
      <c r="S13" s="427"/>
      <c r="U13" s="427"/>
      <c r="W13" s="427"/>
      <c r="Z13" s="427"/>
      <c r="AA13" s="427"/>
    </row>
    <row r="14" spans="1:27" s="429" customFormat="1" ht="15.75" thickBot="1" x14ac:dyDescent="0.25">
      <c r="A14" s="472">
        <v>6</v>
      </c>
      <c r="B14" s="419"/>
      <c r="C14" s="419" t="s">
        <v>27</v>
      </c>
      <c r="D14" s="419"/>
      <c r="E14" s="117" t="s">
        <v>281</v>
      </c>
      <c r="F14" s="427"/>
      <c r="G14" s="533">
        <f>SUM(G9:G12)</f>
        <v>902.0066599999999</v>
      </c>
      <c r="H14" s="427"/>
      <c r="I14" s="533">
        <f>SUM(I9:I13)</f>
        <v>908.88315</v>
      </c>
      <c r="J14" s="427"/>
      <c r="K14" s="533">
        <f>SUM(K9:K13)</f>
        <v>1010.47749</v>
      </c>
      <c r="L14" s="427"/>
      <c r="M14" s="533">
        <f>SUM(M9:M13)</f>
        <v>1099.40569</v>
      </c>
      <c r="N14" s="366"/>
      <c r="O14" s="533">
        <f>SUM(O9:O13)</f>
        <v>1252.4270000000001</v>
      </c>
      <c r="P14" s="366"/>
      <c r="Q14" s="533">
        <f>SUM(Q9:Q13)</f>
        <v>1277.4755400000001</v>
      </c>
      <c r="R14" s="427"/>
      <c r="S14" s="533">
        <f>SUM(S9:S13)</f>
        <v>1249.6899852000001</v>
      </c>
      <c r="T14" s="427"/>
      <c r="U14" s="533">
        <f>SUM(U9:U13)</f>
        <v>1274.6837849040003</v>
      </c>
      <c r="V14" s="427"/>
      <c r="W14" s="533">
        <f>SUM(W9:W12)</f>
        <v>810</v>
      </c>
      <c r="X14" s="427"/>
      <c r="Y14" s="533">
        <f>SUM(Y9:Y12)</f>
        <v>827</v>
      </c>
      <c r="Z14" s="427"/>
      <c r="AA14" s="427"/>
    </row>
    <row r="15" spans="1:27" s="429" customFormat="1" ht="15.75" thickTop="1" x14ac:dyDescent="0.2">
      <c r="A15" s="472"/>
      <c r="B15" s="419"/>
      <c r="C15" s="419"/>
      <c r="D15" s="419"/>
      <c r="E15" s="419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</row>
    <row r="16" spans="1:27" s="429" customFormat="1" ht="15" x14ac:dyDescent="0.2">
      <c r="A16" s="117"/>
      <c r="B16" s="419"/>
      <c r="C16" s="419"/>
      <c r="D16" s="427"/>
      <c r="E16" s="427"/>
      <c r="F16" s="427"/>
      <c r="G16" s="427"/>
      <c r="H16" s="427"/>
      <c r="I16" s="361"/>
      <c r="J16" s="427"/>
      <c r="K16" s="361"/>
      <c r="L16" s="427"/>
      <c r="M16" s="361"/>
      <c r="N16" s="419"/>
      <c r="O16" s="361"/>
      <c r="P16" s="419"/>
      <c r="Q16" s="361"/>
      <c r="R16" s="427"/>
      <c r="S16" s="361"/>
      <c r="T16" s="427"/>
      <c r="U16" s="361"/>
      <c r="V16" s="427"/>
      <c r="W16" s="427"/>
      <c r="X16" s="427"/>
      <c r="Y16" s="427"/>
      <c r="Z16" s="427"/>
      <c r="AA16" s="427"/>
    </row>
    <row r="17" spans="1:25" s="429" customFormat="1" x14ac:dyDescent="0.2">
      <c r="A17" s="534"/>
      <c r="C17" s="427"/>
      <c r="I17" s="423"/>
      <c r="K17" s="517"/>
      <c r="M17" s="517"/>
      <c r="N17" s="423"/>
      <c r="O17" s="517"/>
      <c r="P17" s="423"/>
      <c r="Q17" s="517"/>
      <c r="S17" s="517"/>
      <c r="U17" s="517"/>
      <c r="W17" s="290"/>
      <c r="Y17" s="56"/>
    </row>
    <row r="18" spans="1:25" s="429" customFormat="1" ht="15" x14ac:dyDescent="0.2">
      <c r="E18" s="47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</row>
    <row r="19" spans="1:25" s="429" customFormat="1" ht="15" x14ac:dyDescent="0.2">
      <c r="E19" s="479"/>
      <c r="F19" s="419"/>
      <c r="G19" s="419"/>
      <c r="H19" s="419"/>
      <c r="I19" s="419"/>
      <c r="J19" s="419"/>
      <c r="K19" s="361"/>
      <c r="L19" s="419"/>
      <c r="M19" s="361"/>
      <c r="N19" s="419"/>
      <c r="O19" s="361"/>
      <c r="P19" s="419"/>
      <c r="Q19" s="361"/>
      <c r="R19" s="419"/>
      <c r="S19" s="419"/>
      <c r="T19" s="419"/>
      <c r="U19" s="419"/>
      <c r="V19" s="419"/>
      <c r="W19" s="419"/>
      <c r="X19" s="419"/>
      <c r="Y19" s="419"/>
    </row>
    <row r="20" spans="1:25" s="429" customFormat="1" ht="15" x14ac:dyDescent="0.2"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</row>
    <row r="21" spans="1:25" s="429" customFormat="1" ht="15" x14ac:dyDescent="0.2"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</row>
    <row r="22" spans="1:25" s="429" customFormat="1" ht="15" x14ac:dyDescent="0.2"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</row>
    <row r="23" spans="1:25" ht="15" x14ac:dyDescent="0.2"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</row>
    <row r="24" spans="1:25" ht="15" x14ac:dyDescent="0.2"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</row>
    <row r="25" spans="1:25" ht="15" x14ac:dyDescent="0.2"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</row>
    <row r="26" spans="1:25" ht="15" x14ac:dyDescent="0.2"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</row>
    <row r="27" spans="1:25" ht="15" x14ac:dyDescent="0.2"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</row>
    <row r="28" spans="1:25" ht="15" x14ac:dyDescent="0.2"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</row>
    <row r="29" spans="1:25" ht="15" x14ac:dyDescent="0.2"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</row>
    <row r="30" spans="1:25" ht="15" x14ac:dyDescent="0.2"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</row>
    <row r="31" spans="1:25" ht="15" x14ac:dyDescent="0.2"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</row>
    <row r="32" spans="1:25" ht="15" x14ac:dyDescent="0.2"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</row>
    <row r="33" spans="5:25" ht="15" x14ac:dyDescent="0.2"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</row>
    <row r="34" spans="5:25" x14ac:dyDescent="0.2">
      <c r="K34" s="423"/>
      <c r="M34" s="423"/>
      <c r="N34" s="423"/>
      <c r="O34" s="423"/>
      <c r="P34" s="423"/>
    </row>
    <row r="35" spans="5:25" x14ac:dyDescent="0.2">
      <c r="K35" s="423"/>
      <c r="M35" s="423"/>
      <c r="N35" s="423"/>
      <c r="O35" s="423"/>
      <c r="P35" s="423"/>
    </row>
    <row r="36" spans="5:25" x14ac:dyDescent="0.2">
      <c r="K36" s="423"/>
      <c r="M36" s="423"/>
      <c r="N36" s="423"/>
      <c r="O36" s="423"/>
      <c r="P36" s="423"/>
    </row>
    <row r="37" spans="5:25" x14ac:dyDescent="0.2">
      <c r="K37" s="423"/>
      <c r="M37" s="423"/>
      <c r="N37" s="423"/>
      <c r="O37" s="423"/>
      <c r="P37" s="423"/>
    </row>
    <row r="38" spans="5:25" x14ac:dyDescent="0.2">
      <c r="K38" s="423"/>
      <c r="M38" s="423"/>
      <c r="N38" s="423"/>
      <c r="O38" s="423"/>
      <c r="P38" s="423"/>
    </row>
    <row r="39" spans="5:25" x14ac:dyDescent="0.2">
      <c r="K39" s="423"/>
      <c r="M39" s="423"/>
      <c r="N39" s="423"/>
      <c r="O39" s="423"/>
      <c r="P39" s="423"/>
    </row>
    <row r="40" spans="5:25" x14ac:dyDescent="0.2">
      <c r="K40" s="423"/>
      <c r="M40" s="423"/>
      <c r="N40" s="423"/>
      <c r="O40" s="423"/>
      <c r="P40" s="423"/>
    </row>
    <row r="41" spans="5:25" x14ac:dyDescent="0.2">
      <c r="K41" s="423"/>
      <c r="M41" s="423"/>
      <c r="N41" s="423"/>
      <c r="O41" s="423"/>
      <c r="P41" s="423"/>
    </row>
    <row r="42" spans="5:25" x14ac:dyDescent="0.2">
      <c r="K42" s="423"/>
      <c r="M42" s="423"/>
      <c r="N42" s="423"/>
      <c r="O42" s="423"/>
      <c r="P42" s="423"/>
    </row>
    <row r="43" spans="5:25" x14ac:dyDescent="0.2">
      <c r="K43" s="423"/>
      <c r="M43" s="423"/>
      <c r="N43" s="423"/>
      <c r="O43" s="423"/>
      <c r="P43" s="423"/>
    </row>
    <row r="44" spans="5:25" x14ac:dyDescent="0.2">
      <c r="K44" s="423"/>
      <c r="M44" s="423"/>
      <c r="N44" s="423"/>
      <c r="O44" s="423"/>
      <c r="P44" s="423"/>
    </row>
    <row r="45" spans="5:25" x14ac:dyDescent="0.2">
      <c r="K45" s="423"/>
      <c r="M45" s="423"/>
      <c r="N45" s="423"/>
      <c r="O45" s="423"/>
      <c r="P45" s="423"/>
    </row>
    <row r="46" spans="5:25" x14ac:dyDescent="0.2">
      <c r="K46" s="423"/>
      <c r="M46" s="423"/>
      <c r="N46" s="423"/>
      <c r="O46" s="423"/>
      <c r="P46" s="423"/>
    </row>
    <row r="47" spans="5:25" x14ac:dyDescent="0.2">
      <c r="K47" s="423"/>
      <c r="M47" s="423"/>
      <c r="N47" s="423"/>
      <c r="O47" s="423"/>
      <c r="P47" s="423"/>
    </row>
    <row r="48" spans="5:25" x14ac:dyDescent="0.2">
      <c r="K48" s="423"/>
      <c r="M48" s="423"/>
      <c r="N48" s="423"/>
      <c r="O48" s="423"/>
      <c r="P48" s="423"/>
    </row>
    <row r="49" spans="11:16" x14ac:dyDescent="0.2">
      <c r="K49" s="423"/>
      <c r="M49" s="423"/>
      <c r="N49" s="423"/>
      <c r="O49" s="423"/>
      <c r="P49" s="423"/>
    </row>
    <row r="50" spans="11:16" x14ac:dyDescent="0.2">
      <c r="K50" s="423"/>
      <c r="M50" s="423"/>
      <c r="N50" s="423"/>
      <c r="O50" s="423"/>
      <c r="P50" s="423"/>
    </row>
    <row r="51" spans="11:16" x14ac:dyDescent="0.2">
      <c r="K51" s="423"/>
      <c r="M51" s="423"/>
      <c r="N51" s="423"/>
      <c r="O51" s="423"/>
      <c r="P51" s="423"/>
    </row>
    <row r="52" spans="11:16" x14ac:dyDescent="0.2">
      <c r="K52" s="423"/>
      <c r="M52" s="423"/>
      <c r="N52" s="423"/>
      <c r="O52" s="423"/>
      <c r="P52" s="423"/>
    </row>
  </sheetData>
  <customSheetViews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5" bottom="0.75" header="0.5" footer="0.5"/>
  <pageSetup scale="64" orientation="landscape" r:id="rId3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41"/>
  <sheetViews>
    <sheetView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9.5703125" style="743" customWidth="1"/>
    <col min="2" max="2" width="60.7109375" style="744" customWidth="1"/>
    <col min="3" max="3" width="18" style="745" customWidth="1"/>
    <col min="4" max="4" width="11.85546875" style="744" bestFit="1" customWidth="1"/>
    <col min="5" max="5" width="2.7109375" style="744" customWidth="1"/>
    <col min="6" max="16384" width="9.140625" style="744"/>
  </cols>
  <sheetData>
    <row r="1" spans="1:5" ht="15" customHeight="1" x14ac:dyDescent="0.2">
      <c r="A1" s="747" t="s">
        <v>539</v>
      </c>
      <c r="B1" s="780"/>
      <c r="C1" s="781"/>
      <c r="D1" s="780"/>
      <c r="E1" s="746" t="s">
        <v>876</v>
      </c>
    </row>
    <row r="2" spans="1:5" ht="15" customHeight="1" x14ac:dyDescent="0.2">
      <c r="A2" s="749" t="s">
        <v>822</v>
      </c>
      <c r="B2" s="780"/>
      <c r="C2" s="781"/>
      <c r="D2" s="782"/>
    </row>
    <row r="3" spans="1:5" ht="15" customHeight="1" x14ac:dyDescent="0.25">
      <c r="A3" s="749" t="s">
        <v>823</v>
      </c>
      <c r="B3" s="780"/>
      <c r="C3" s="781"/>
      <c r="D3" s="748"/>
    </row>
    <row r="4" spans="1:5" ht="15" customHeight="1" x14ac:dyDescent="0.25">
      <c r="A4" s="747" t="s">
        <v>25</v>
      </c>
      <c r="B4" s="780"/>
      <c r="C4" s="781"/>
      <c r="D4" s="750"/>
    </row>
    <row r="5" spans="1:5" ht="15" customHeight="1" x14ac:dyDescent="0.2">
      <c r="A5" s="809" t="s">
        <v>34</v>
      </c>
      <c r="B5" s="751"/>
      <c r="D5" s="751"/>
    </row>
    <row r="6" spans="1:5" ht="15" customHeight="1" x14ac:dyDescent="0.2">
      <c r="A6" s="809" t="s">
        <v>36</v>
      </c>
      <c r="B6" s="743"/>
      <c r="D6" s="753"/>
    </row>
    <row r="7" spans="1:5" ht="15" customHeight="1" x14ac:dyDescent="0.2">
      <c r="A7" s="752">
        <v>1</v>
      </c>
      <c r="B7" s="751" t="s">
        <v>210</v>
      </c>
      <c r="D7" s="751"/>
    </row>
    <row r="8" spans="1:5" ht="15" customHeight="1" x14ac:dyDescent="0.2">
      <c r="A8" s="752">
        <v>2</v>
      </c>
      <c r="B8" s="754" t="s">
        <v>938</v>
      </c>
      <c r="C8" s="745" t="s">
        <v>538</v>
      </c>
      <c r="D8" s="770">
        <f>S2.1!X70</f>
        <v>55183.199999999997</v>
      </c>
      <c r="E8" s="755"/>
    </row>
    <row r="9" spans="1:5" ht="15" customHeight="1" x14ac:dyDescent="0.2">
      <c r="A9" s="752">
        <v>3</v>
      </c>
      <c r="B9" s="754" t="s">
        <v>939</v>
      </c>
      <c r="C9" s="745" t="s">
        <v>538</v>
      </c>
      <c r="D9" s="762">
        <f>S2.1!W70</f>
        <v>50830.019667547705</v>
      </c>
      <c r="E9" s="755"/>
    </row>
    <row r="10" spans="1:5" ht="15" customHeight="1" x14ac:dyDescent="0.2">
      <c r="A10" s="752">
        <v>4</v>
      </c>
      <c r="B10" s="751" t="s">
        <v>940</v>
      </c>
      <c r="C10" s="745" t="s">
        <v>877</v>
      </c>
      <c r="D10" s="757">
        <f>D8-D9</f>
        <v>4353.1803324522916</v>
      </c>
    </row>
    <row r="11" spans="1:5" ht="15" customHeight="1" x14ac:dyDescent="0.2">
      <c r="A11" s="752"/>
      <c r="B11" s="754"/>
      <c r="D11" s="769"/>
    </row>
    <row r="12" spans="1:5" ht="15" customHeight="1" x14ac:dyDescent="0.2">
      <c r="A12" s="752">
        <v>5</v>
      </c>
      <c r="B12" s="751" t="s">
        <v>941</v>
      </c>
      <c r="D12" s="769"/>
      <c r="E12" s="755"/>
    </row>
    <row r="13" spans="1:5" ht="15" customHeight="1" x14ac:dyDescent="0.2">
      <c r="A13" s="752">
        <v>6</v>
      </c>
      <c r="B13" s="754" t="s">
        <v>942</v>
      </c>
      <c r="C13" s="830"/>
      <c r="D13" s="770">
        <v>50802</v>
      </c>
    </row>
    <row r="14" spans="1:5" ht="15" customHeight="1" x14ac:dyDescent="0.2">
      <c r="A14" s="752">
        <v>7</v>
      </c>
      <c r="B14" s="754" t="s">
        <v>943</v>
      </c>
      <c r="C14" s="830"/>
      <c r="D14" s="762">
        <v>9634</v>
      </c>
    </row>
    <row r="15" spans="1:5" ht="15" customHeight="1" x14ac:dyDescent="0.2">
      <c r="A15" s="752">
        <v>8</v>
      </c>
      <c r="B15" s="751" t="s">
        <v>932</v>
      </c>
      <c r="C15" s="745" t="s">
        <v>878</v>
      </c>
      <c r="D15" s="769">
        <f>SUM(D13:D14)</f>
        <v>60436</v>
      </c>
    </row>
    <row r="16" spans="1:5" ht="15" customHeight="1" x14ac:dyDescent="0.2">
      <c r="A16" s="752"/>
      <c r="B16" s="743"/>
      <c r="D16" s="757"/>
    </row>
    <row r="17" spans="1:247" ht="15" customHeight="1" thickBot="1" x14ac:dyDescent="0.25">
      <c r="A17" s="752">
        <v>9</v>
      </c>
      <c r="B17" s="751" t="s">
        <v>824</v>
      </c>
      <c r="C17" s="745" t="s">
        <v>933</v>
      </c>
      <c r="D17" s="807">
        <f>ROUND(D10/D15,4)</f>
        <v>7.1999999999999995E-2</v>
      </c>
    </row>
    <row r="18" spans="1:247" ht="13.5" thickTop="1" x14ac:dyDescent="0.2">
      <c r="A18" s="752"/>
    </row>
    <row r="19" spans="1:247" x14ac:dyDescent="0.2">
      <c r="A19" s="752"/>
    </row>
    <row r="20" spans="1:247" x14ac:dyDescent="0.2">
      <c r="A20" s="752"/>
    </row>
    <row r="21" spans="1:247" ht="6.75" customHeight="1" x14ac:dyDescent="0.2">
      <c r="A21" s="752"/>
    </row>
    <row r="22" spans="1:247" ht="14.25" x14ac:dyDescent="0.2">
      <c r="A22" s="752"/>
      <c r="E22" s="768"/>
      <c r="F22" s="768"/>
      <c r="G22" s="768"/>
      <c r="H22" s="768"/>
      <c r="I22" s="768"/>
      <c r="J22" s="768"/>
      <c r="K22" s="768"/>
      <c r="L22" s="768"/>
      <c r="M22" s="768"/>
      <c r="N22" s="768"/>
      <c r="O22" s="768"/>
      <c r="P22" s="768"/>
      <c r="Q22" s="768"/>
      <c r="R22" s="768"/>
      <c r="S22" s="768"/>
      <c r="T22" s="768"/>
      <c r="U22" s="768"/>
      <c r="V22" s="768"/>
      <c r="W22" s="768"/>
      <c r="X22" s="768"/>
      <c r="Y22" s="768"/>
      <c r="Z22" s="768"/>
      <c r="AA22" s="768"/>
      <c r="AB22" s="768"/>
      <c r="AC22" s="768"/>
      <c r="AD22" s="768"/>
      <c r="AE22" s="768"/>
      <c r="AF22" s="768"/>
      <c r="AG22" s="768"/>
      <c r="AH22" s="768"/>
      <c r="AI22" s="768"/>
      <c r="AJ22" s="768"/>
      <c r="AK22" s="768"/>
      <c r="AL22" s="768"/>
      <c r="AM22" s="768"/>
      <c r="AN22" s="768"/>
      <c r="AO22" s="768"/>
      <c r="AP22" s="768"/>
      <c r="AQ22" s="768"/>
      <c r="AR22" s="768"/>
      <c r="AS22" s="768"/>
      <c r="AT22" s="768"/>
      <c r="AU22" s="768"/>
      <c r="AV22" s="768"/>
      <c r="AW22" s="768"/>
      <c r="AX22" s="768"/>
      <c r="AY22" s="768"/>
      <c r="AZ22" s="768"/>
      <c r="BA22" s="768"/>
      <c r="BB22" s="768"/>
      <c r="BC22" s="768"/>
      <c r="BD22" s="768"/>
      <c r="BE22" s="768"/>
      <c r="BF22" s="768"/>
      <c r="BG22" s="768"/>
      <c r="BH22" s="768"/>
      <c r="BI22" s="768"/>
      <c r="BJ22" s="768"/>
      <c r="BK22" s="768"/>
      <c r="BL22" s="768"/>
      <c r="BM22" s="768"/>
      <c r="BN22" s="768"/>
      <c r="BO22" s="768"/>
      <c r="BP22" s="768"/>
      <c r="BQ22" s="768"/>
      <c r="BR22" s="768"/>
      <c r="BS22" s="768"/>
      <c r="BT22" s="768"/>
      <c r="BU22" s="768"/>
      <c r="BV22" s="768"/>
      <c r="BW22" s="768"/>
      <c r="BX22" s="768"/>
      <c r="BY22" s="768"/>
      <c r="BZ22" s="768"/>
      <c r="CA22" s="768"/>
      <c r="CB22" s="768"/>
      <c r="CC22" s="768"/>
      <c r="CD22" s="768"/>
      <c r="CE22" s="768"/>
      <c r="CF22" s="768"/>
      <c r="CG22" s="768"/>
      <c r="CH22" s="768"/>
      <c r="CI22" s="768"/>
      <c r="CJ22" s="768"/>
      <c r="CK22" s="768"/>
      <c r="CL22" s="768"/>
      <c r="CM22" s="768"/>
      <c r="CN22" s="768"/>
      <c r="CO22" s="768"/>
      <c r="CP22" s="768"/>
      <c r="CQ22" s="768"/>
      <c r="CR22" s="768"/>
      <c r="CS22" s="768"/>
      <c r="CT22" s="768"/>
      <c r="CU22" s="768"/>
      <c r="CV22" s="768"/>
      <c r="CW22" s="768"/>
      <c r="CX22" s="768"/>
      <c r="CY22" s="768"/>
      <c r="CZ22" s="768"/>
      <c r="DA22" s="768"/>
      <c r="DB22" s="768"/>
      <c r="DC22" s="768"/>
      <c r="DD22" s="768"/>
      <c r="DE22" s="768"/>
      <c r="DF22" s="768"/>
      <c r="DG22" s="768"/>
      <c r="DH22" s="768"/>
      <c r="DI22" s="768"/>
      <c r="DJ22" s="768"/>
      <c r="DK22" s="768"/>
      <c r="DL22" s="768"/>
      <c r="DM22" s="768"/>
      <c r="DN22" s="768"/>
      <c r="DO22" s="768"/>
      <c r="DP22" s="768"/>
      <c r="DQ22" s="768"/>
      <c r="DR22" s="768"/>
      <c r="DS22" s="768"/>
      <c r="DT22" s="768"/>
      <c r="DU22" s="768"/>
      <c r="DV22" s="768"/>
      <c r="DW22" s="768"/>
      <c r="DX22" s="768"/>
      <c r="DY22" s="768"/>
      <c r="DZ22" s="768"/>
      <c r="EA22" s="768"/>
      <c r="EB22" s="768"/>
      <c r="EC22" s="768"/>
      <c r="ED22" s="768"/>
      <c r="EE22" s="768"/>
      <c r="EF22" s="768"/>
      <c r="EG22" s="768"/>
      <c r="EH22" s="768"/>
      <c r="EI22" s="768"/>
      <c r="EJ22" s="768"/>
      <c r="EK22" s="768"/>
      <c r="EL22" s="768"/>
      <c r="EM22" s="768"/>
      <c r="EN22" s="768"/>
      <c r="EO22" s="768"/>
      <c r="EP22" s="768"/>
      <c r="EQ22" s="768"/>
      <c r="ER22" s="768"/>
      <c r="ES22" s="768"/>
      <c r="ET22" s="768"/>
      <c r="EU22" s="768"/>
      <c r="EV22" s="768"/>
      <c r="EW22" s="768"/>
      <c r="EX22" s="768"/>
      <c r="EY22" s="768"/>
      <c r="EZ22" s="768"/>
      <c r="FA22" s="768"/>
      <c r="FB22" s="768"/>
      <c r="FC22" s="768"/>
      <c r="FD22" s="768"/>
      <c r="FE22" s="768"/>
      <c r="FF22" s="768"/>
      <c r="FG22" s="768"/>
      <c r="FH22" s="768"/>
      <c r="FI22" s="768"/>
      <c r="FJ22" s="768"/>
      <c r="FK22" s="768"/>
      <c r="FL22" s="768"/>
      <c r="FM22" s="768"/>
      <c r="FN22" s="768"/>
      <c r="FO22" s="768"/>
      <c r="FP22" s="768"/>
      <c r="FQ22" s="768"/>
      <c r="FR22" s="768"/>
      <c r="FS22" s="768"/>
      <c r="FT22" s="768"/>
      <c r="FU22" s="768"/>
      <c r="FV22" s="768"/>
      <c r="FW22" s="768"/>
      <c r="FX22" s="768"/>
      <c r="FY22" s="768"/>
      <c r="FZ22" s="768"/>
      <c r="GA22" s="768"/>
      <c r="GB22" s="768"/>
      <c r="GC22" s="768"/>
      <c r="GD22" s="768"/>
      <c r="GE22" s="768"/>
      <c r="GF22" s="768"/>
      <c r="GG22" s="768"/>
      <c r="GH22" s="768"/>
      <c r="GI22" s="768"/>
      <c r="GJ22" s="768"/>
      <c r="GK22" s="768"/>
      <c r="GL22" s="768"/>
      <c r="GM22" s="768"/>
      <c r="GN22" s="768"/>
      <c r="GO22" s="768"/>
      <c r="GP22" s="768"/>
      <c r="GQ22" s="768"/>
      <c r="GR22" s="768"/>
      <c r="GS22" s="768"/>
      <c r="GT22" s="768"/>
      <c r="GU22" s="768"/>
      <c r="GV22" s="768"/>
      <c r="GW22" s="768"/>
      <c r="GX22" s="768"/>
      <c r="GY22" s="768"/>
      <c r="GZ22" s="768"/>
      <c r="HA22" s="768"/>
      <c r="HB22" s="768"/>
      <c r="HC22" s="768"/>
      <c r="HD22" s="768"/>
      <c r="HE22" s="768"/>
      <c r="HF22" s="768"/>
      <c r="HG22" s="768"/>
      <c r="HH22" s="768"/>
      <c r="HI22" s="768"/>
      <c r="HJ22" s="768"/>
      <c r="HK22" s="768"/>
      <c r="HL22" s="768"/>
      <c r="HM22" s="768"/>
      <c r="HN22" s="768"/>
      <c r="HO22" s="768"/>
      <c r="HP22" s="768"/>
      <c r="HQ22" s="768"/>
      <c r="HR22" s="768"/>
      <c r="HS22" s="768"/>
      <c r="HT22" s="768"/>
      <c r="HU22" s="768"/>
      <c r="HV22" s="768"/>
      <c r="HW22" s="768"/>
      <c r="HX22" s="768"/>
      <c r="HY22" s="768"/>
      <c r="HZ22" s="768"/>
      <c r="IA22" s="768"/>
      <c r="IB22" s="768"/>
      <c r="IC22" s="768"/>
      <c r="ID22" s="768"/>
      <c r="IE22" s="768"/>
      <c r="IF22" s="768"/>
      <c r="IG22" s="768"/>
      <c r="IH22" s="768"/>
      <c r="II22" s="768"/>
      <c r="IJ22" s="768"/>
      <c r="IK22" s="768"/>
      <c r="IL22" s="768"/>
      <c r="IM22" s="768"/>
    </row>
    <row r="23" spans="1:247" x14ac:dyDescent="0.2">
      <c r="A23" s="752"/>
    </row>
    <row r="24" spans="1:247" x14ac:dyDescent="0.2">
      <c r="A24" s="752"/>
    </row>
    <row r="25" spans="1:247" x14ac:dyDescent="0.2">
      <c r="A25" s="752"/>
    </row>
    <row r="26" spans="1:247" x14ac:dyDescent="0.2">
      <c r="A26" s="752"/>
    </row>
    <row r="27" spans="1:247" x14ac:dyDescent="0.2">
      <c r="A27" s="752"/>
    </row>
    <row r="28" spans="1:247" x14ac:dyDescent="0.2">
      <c r="A28" s="752"/>
    </row>
    <row r="29" spans="1:247" x14ac:dyDescent="0.2">
      <c r="A29" s="752"/>
    </row>
    <row r="30" spans="1:247" x14ac:dyDescent="0.2">
      <c r="A30" s="752"/>
    </row>
    <row r="31" spans="1:247" x14ac:dyDescent="0.2">
      <c r="A31" s="752"/>
    </row>
    <row r="32" spans="1:247" x14ac:dyDescent="0.2">
      <c r="A32" s="752"/>
    </row>
    <row r="33" spans="1:1" x14ac:dyDescent="0.2">
      <c r="A33" s="752"/>
    </row>
    <row r="34" spans="1:1" x14ac:dyDescent="0.2">
      <c r="A34" s="752"/>
    </row>
    <row r="35" spans="1:1" x14ac:dyDescent="0.2">
      <c r="A35" s="752"/>
    </row>
    <row r="36" spans="1:1" x14ac:dyDescent="0.2">
      <c r="A36" s="752"/>
    </row>
    <row r="37" spans="1:1" x14ac:dyDescent="0.2">
      <c r="A37" s="752"/>
    </row>
    <row r="38" spans="1:1" x14ac:dyDescent="0.2">
      <c r="A38" s="752"/>
    </row>
    <row r="39" spans="1:1" x14ac:dyDescent="0.2">
      <c r="A39" s="752"/>
    </row>
    <row r="40" spans="1:1" x14ac:dyDescent="0.2">
      <c r="A40" s="752"/>
    </row>
    <row r="41" spans="1:1" x14ac:dyDescent="0.2">
      <c r="A41" s="75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84" zoomScaleNormal="100" zoomScaleSheetLayoutView="84" workbookViewId="0">
      <selection activeCell="S30" sqref="S30"/>
    </sheetView>
  </sheetViews>
  <sheetFormatPr defaultRowHeight="12.75" x14ac:dyDescent="0.2"/>
  <cols>
    <col min="1" max="1" width="6.42578125" style="808" bestFit="1" customWidth="1"/>
    <col min="2" max="9" width="12.7109375" style="808" customWidth="1"/>
    <col min="10" max="10" width="2.7109375" style="808" customWidth="1"/>
    <col min="11" max="256" width="9.140625" style="808"/>
    <col min="257" max="257" width="6.42578125" style="808" bestFit="1" customWidth="1"/>
    <col min="258" max="258" width="12.28515625" style="808" customWidth="1"/>
    <col min="259" max="259" width="11.42578125" style="808" customWidth="1"/>
    <col min="260" max="260" width="11.85546875" style="808" customWidth="1"/>
    <col min="261" max="261" width="10.5703125" style="808" customWidth="1"/>
    <col min="262" max="262" width="9.28515625" style="808" bestFit="1" customWidth="1"/>
    <col min="263" max="263" width="12.140625" style="808" customWidth="1"/>
    <col min="264" max="264" width="11.42578125" style="808" customWidth="1"/>
    <col min="265" max="512" width="9.140625" style="808"/>
    <col min="513" max="513" width="6.42578125" style="808" bestFit="1" customWidth="1"/>
    <col min="514" max="514" width="12.28515625" style="808" customWidth="1"/>
    <col min="515" max="515" width="11.42578125" style="808" customWidth="1"/>
    <col min="516" max="516" width="11.85546875" style="808" customWidth="1"/>
    <col min="517" max="517" width="10.5703125" style="808" customWidth="1"/>
    <col min="518" max="518" width="9.28515625" style="808" bestFit="1" customWidth="1"/>
    <col min="519" max="519" width="12.140625" style="808" customWidth="1"/>
    <col min="520" max="520" width="11.42578125" style="808" customWidth="1"/>
    <col min="521" max="768" width="9.140625" style="808"/>
    <col min="769" max="769" width="6.42578125" style="808" bestFit="1" customWidth="1"/>
    <col min="770" max="770" width="12.28515625" style="808" customWidth="1"/>
    <col min="771" max="771" width="11.42578125" style="808" customWidth="1"/>
    <col min="772" max="772" width="11.85546875" style="808" customWidth="1"/>
    <col min="773" max="773" width="10.5703125" style="808" customWidth="1"/>
    <col min="774" max="774" width="9.28515625" style="808" bestFit="1" customWidth="1"/>
    <col min="775" max="775" width="12.140625" style="808" customWidth="1"/>
    <col min="776" max="776" width="11.42578125" style="808" customWidth="1"/>
    <col min="777" max="1024" width="9.140625" style="808"/>
    <col min="1025" max="1025" width="6.42578125" style="808" bestFit="1" customWidth="1"/>
    <col min="1026" max="1026" width="12.28515625" style="808" customWidth="1"/>
    <col min="1027" max="1027" width="11.42578125" style="808" customWidth="1"/>
    <col min="1028" max="1028" width="11.85546875" style="808" customWidth="1"/>
    <col min="1029" max="1029" width="10.5703125" style="808" customWidth="1"/>
    <col min="1030" max="1030" width="9.28515625" style="808" bestFit="1" customWidth="1"/>
    <col min="1031" max="1031" width="12.140625" style="808" customWidth="1"/>
    <col min="1032" max="1032" width="11.42578125" style="808" customWidth="1"/>
    <col min="1033" max="1280" width="9.140625" style="808"/>
    <col min="1281" max="1281" width="6.42578125" style="808" bestFit="1" customWidth="1"/>
    <col min="1282" max="1282" width="12.28515625" style="808" customWidth="1"/>
    <col min="1283" max="1283" width="11.42578125" style="808" customWidth="1"/>
    <col min="1284" max="1284" width="11.85546875" style="808" customWidth="1"/>
    <col min="1285" max="1285" width="10.5703125" style="808" customWidth="1"/>
    <col min="1286" max="1286" width="9.28515625" style="808" bestFit="1" customWidth="1"/>
    <col min="1287" max="1287" width="12.140625" style="808" customWidth="1"/>
    <col min="1288" max="1288" width="11.42578125" style="808" customWidth="1"/>
    <col min="1289" max="1536" width="9.140625" style="808"/>
    <col min="1537" max="1537" width="6.42578125" style="808" bestFit="1" customWidth="1"/>
    <col min="1538" max="1538" width="12.28515625" style="808" customWidth="1"/>
    <col min="1539" max="1539" width="11.42578125" style="808" customWidth="1"/>
    <col min="1540" max="1540" width="11.85546875" style="808" customWidth="1"/>
    <col min="1541" max="1541" width="10.5703125" style="808" customWidth="1"/>
    <col min="1542" max="1542" width="9.28515625" style="808" bestFit="1" customWidth="1"/>
    <col min="1543" max="1543" width="12.140625" style="808" customWidth="1"/>
    <col min="1544" max="1544" width="11.42578125" style="808" customWidth="1"/>
    <col min="1545" max="1792" width="9.140625" style="808"/>
    <col min="1793" max="1793" width="6.42578125" style="808" bestFit="1" customWidth="1"/>
    <col min="1794" max="1794" width="12.28515625" style="808" customWidth="1"/>
    <col min="1795" max="1795" width="11.42578125" style="808" customWidth="1"/>
    <col min="1796" max="1796" width="11.85546875" style="808" customWidth="1"/>
    <col min="1797" max="1797" width="10.5703125" style="808" customWidth="1"/>
    <col min="1798" max="1798" width="9.28515625" style="808" bestFit="1" customWidth="1"/>
    <col min="1799" max="1799" width="12.140625" style="808" customWidth="1"/>
    <col min="1800" max="1800" width="11.42578125" style="808" customWidth="1"/>
    <col min="1801" max="2048" width="9.140625" style="808"/>
    <col min="2049" max="2049" width="6.42578125" style="808" bestFit="1" customWidth="1"/>
    <col min="2050" max="2050" width="12.28515625" style="808" customWidth="1"/>
    <col min="2051" max="2051" width="11.42578125" style="808" customWidth="1"/>
    <col min="2052" max="2052" width="11.85546875" style="808" customWidth="1"/>
    <col min="2053" max="2053" width="10.5703125" style="808" customWidth="1"/>
    <col min="2054" max="2054" width="9.28515625" style="808" bestFit="1" customWidth="1"/>
    <col min="2055" max="2055" width="12.140625" style="808" customWidth="1"/>
    <col min="2056" max="2056" width="11.42578125" style="808" customWidth="1"/>
    <col min="2057" max="2304" width="9.140625" style="808"/>
    <col min="2305" max="2305" width="6.42578125" style="808" bestFit="1" customWidth="1"/>
    <col min="2306" max="2306" width="12.28515625" style="808" customWidth="1"/>
    <col min="2307" max="2307" width="11.42578125" style="808" customWidth="1"/>
    <col min="2308" max="2308" width="11.85546875" style="808" customWidth="1"/>
    <col min="2309" max="2309" width="10.5703125" style="808" customWidth="1"/>
    <col min="2310" max="2310" width="9.28515625" style="808" bestFit="1" customWidth="1"/>
    <col min="2311" max="2311" width="12.140625" style="808" customWidth="1"/>
    <col min="2312" max="2312" width="11.42578125" style="808" customWidth="1"/>
    <col min="2313" max="2560" width="9.140625" style="808"/>
    <col min="2561" max="2561" width="6.42578125" style="808" bestFit="1" customWidth="1"/>
    <col min="2562" max="2562" width="12.28515625" style="808" customWidth="1"/>
    <col min="2563" max="2563" width="11.42578125" style="808" customWidth="1"/>
    <col min="2564" max="2564" width="11.85546875" style="808" customWidth="1"/>
    <col min="2565" max="2565" width="10.5703125" style="808" customWidth="1"/>
    <col min="2566" max="2566" width="9.28515625" style="808" bestFit="1" customWidth="1"/>
    <col min="2567" max="2567" width="12.140625" style="808" customWidth="1"/>
    <col min="2568" max="2568" width="11.42578125" style="808" customWidth="1"/>
    <col min="2569" max="2816" width="9.140625" style="808"/>
    <col min="2817" max="2817" width="6.42578125" style="808" bestFit="1" customWidth="1"/>
    <col min="2818" max="2818" width="12.28515625" style="808" customWidth="1"/>
    <col min="2819" max="2819" width="11.42578125" style="808" customWidth="1"/>
    <col min="2820" max="2820" width="11.85546875" style="808" customWidth="1"/>
    <col min="2821" max="2821" width="10.5703125" style="808" customWidth="1"/>
    <col min="2822" max="2822" width="9.28515625" style="808" bestFit="1" customWidth="1"/>
    <col min="2823" max="2823" width="12.140625" style="808" customWidth="1"/>
    <col min="2824" max="2824" width="11.42578125" style="808" customWidth="1"/>
    <col min="2825" max="3072" width="9.140625" style="808"/>
    <col min="3073" max="3073" width="6.42578125" style="808" bestFit="1" customWidth="1"/>
    <col min="3074" max="3074" width="12.28515625" style="808" customWidth="1"/>
    <col min="3075" max="3075" width="11.42578125" style="808" customWidth="1"/>
    <col min="3076" max="3076" width="11.85546875" style="808" customWidth="1"/>
    <col min="3077" max="3077" width="10.5703125" style="808" customWidth="1"/>
    <col min="3078" max="3078" width="9.28515625" style="808" bestFit="1" customWidth="1"/>
    <col min="3079" max="3079" width="12.140625" style="808" customWidth="1"/>
    <col min="3080" max="3080" width="11.42578125" style="808" customWidth="1"/>
    <col min="3081" max="3328" width="9.140625" style="808"/>
    <col min="3329" max="3329" width="6.42578125" style="808" bestFit="1" customWidth="1"/>
    <col min="3330" max="3330" width="12.28515625" style="808" customWidth="1"/>
    <col min="3331" max="3331" width="11.42578125" style="808" customWidth="1"/>
    <col min="3332" max="3332" width="11.85546875" style="808" customWidth="1"/>
    <col min="3333" max="3333" width="10.5703125" style="808" customWidth="1"/>
    <col min="3334" max="3334" width="9.28515625" style="808" bestFit="1" customWidth="1"/>
    <col min="3335" max="3335" width="12.140625" style="808" customWidth="1"/>
    <col min="3336" max="3336" width="11.42578125" style="808" customWidth="1"/>
    <col min="3337" max="3584" width="9.140625" style="808"/>
    <col min="3585" max="3585" width="6.42578125" style="808" bestFit="1" customWidth="1"/>
    <col min="3586" max="3586" width="12.28515625" style="808" customWidth="1"/>
    <col min="3587" max="3587" width="11.42578125" style="808" customWidth="1"/>
    <col min="3588" max="3588" width="11.85546875" style="808" customWidth="1"/>
    <col min="3589" max="3589" width="10.5703125" style="808" customWidth="1"/>
    <col min="3590" max="3590" width="9.28515625" style="808" bestFit="1" customWidth="1"/>
    <col min="3591" max="3591" width="12.140625" style="808" customWidth="1"/>
    <col min="3592" max="3592" width="11.42578125" style="808" customWidth="1"/>
    <col min="3593" max="3840" width="9.140625" style="808"/>
    <col min="3841" max="3841" width="6.42578125" style="808" bestFit="1" customWidth="1"/>
    <col min="3842" max="3842" width="12.28515625" style="808" customWidth="1"/>
    <col min="3843" max="3843" width="11.42578125" style="808" customWidth="1"/>
    <col min="3844" max="3844" width="11.85546875" style="808" customWidth="1"/>
    <col min="3845" max="3845" width="10.5703125" style="808" customWidth="1"/>
    <col min="3846" max="3846" width="9.28515625" style="808" bestFit="1" customWidth="1"/>
    <col min="3847" max="3847" width="12.140625" style="808" customWidth="1"/>
    <col min="3848" max="3848" width="11.42578125" style="808" customWidth="1"/>
    <col min="3849" max="4096" width="9.140625" style="808"/>
    <col min="4097" max="4097" width="6.42578125" style="808" bestFit="1" customWidth="1"/>
    <col min="4098" max="4098" width="12.28515625" style="808" customWidth="1"/>
    <col min="4099" max="4099" width="11.42578125" style="808" customWidth="1"/>
    <col min="4100" max="4100" width="11.85546875" style="808" customWidth="1"/>
    <col min="4101" max="4101" width="10.5703125" style="808" customWidth="1"/>
    <col min="4102" max="4102" width="9.28515625" style="808" bestFit="1" customWidth="1"/>
    <col min="4103" max="4103" width="12.140625" style="808" customWidth="1"/>
    <col min="4104" max="4104" width="11.42578125" style="808" customWidth="1"/>
    <col min="4105" max="4352" width="9.140625" style="808"/>
    <col min="4353" max="4353" width="6.42578125" style="808" bestFit="1" customWidth="1"/>
    <col min="4354" max="4354" width="12.28515625" style="808" customWidth="1"/>
    <col min="4355" max="4355" width="11.42578125" style="808" customWidth="1"/>
    <col min="4356" max="4356" width="11.85546875" style="808" customWidth="1"/>
    <col min="4357" max="4357" width="10.5703125" style="808" customWidth="1"/>
    <col min="4358" max="4358" width="9.28515625" style="808" bestFit="1" customWidth="1"/>
    <col min="4359" max="4359" width="12.140625" style="808" customWidth="1"/>
    <col min="4360" max="4360" width="11.42578125" style="808" customWidth="1"/>
    <col min="4361" max="4608" width="9.140625" style="808"/>
    <col min="4609" max="4609" width="6.42578125" style="808" bestFit="1" customWidth="1"/>
    <col min="4610" max="4610" width="12.28515625" style="808" customWidth="1"/>
    <col min="4611" max="4611" width="11.42578125" style="808" customWidth="1"/>
    <col min="4612" max="4612" width="11.85546875" style="808" customWidth="1"/>
    <col min="4613" max="4613" width="10.5703125" style="808" customWidth="1"/>
    <col min="4614" max="4614" width="9.28515625" style="808" bestFit="1" customWidth="1"/>
    <col min="4615" max="4615" width="12.140625" style="808" customWidth="1"/>
    <col min="4616" max="4616" width="11.42578125" style="808" customWidth="1"/>
    <col min="4617" max="4864" width="9.140625" style="808"/>
    <col min="4865" max="4865" width="6.42578125" style="808" bestFit="1" customWidth="1"/>
    <col min="4866" max="4866" width="12.28515625" style="808" customWidth="1"/>
    <col min="4867" max="4867" width="11.42578125" style="808" customWidth="1"/>
    <col min="4868" max="4868" width="11.85546875" style="808" customWidth="1"/>
    <col min="4869" max="4869" width="10.5703125" style="808" customWidth="1"/>
    <col min="4870" max="4870" width="9.28515625" style="808" bestFit="1" customWidth="1"/>
    <col min="4871" max="4871" width="12.140625" style="808" customWidth="1"/>
    <col min="4872" max="4872" width="11.42578125" style="808" customWidth="1"/>
    <col min="4873" max="5120" width="9.140625" style="808"/>
    <col min="5121" max="5121" width="6.42578125" style="808" bestFit="1" customWidth="1"/>
    <col min="5122" max="5122" width="12.28515625" style="808" customWidth="1"/>
    <col min="5123" max="5123" width="11.42578125" style="808" customWidth="1"/>
    <col min="5124" max="5124" width="11.85546875" style="808" customWidth="1"/>
    <col min="5125" max="5125" width="10.5703125" style="808" customWidth="1"/>
    <col min="5126" max="5126" width="9.28515625" style="808" bestFit="1" customWidth="1"/>
    <col min="5127" max="5127" width="12.140625" style="808" customWidth="1"/>
    <col min="5128" max="5128" width="11.42578125" style="808" customWidth="1"/>
    <col min="5129" max="5376" width="9.140625" style="808"/>
    <col min="5377" max="5377" width="6.42578125" style="808" bestFit="1" customWidth="1"/>
    <col min="5378" max="5378" width="12.28515625" style="808" customWidth="1"/>
    <col min="5379" max="5379" width="11.42578125" style="808" customWidth="1"/>
    <col min="5380" max="5380" width="11.85546875" style="808" customWidth="1"/>
    <col min="5381" max="5381" width="10.5703125" style="808" customWidth="1"/>
    <col min="5382" max="5382" width="9.28515625" style="808" bestFit="1" customWidth="1"/>
    <col min="5383" max="5383" width="12.140625" style="808" customWidth="1"/>
    <col min="5384" max="5384" width="11.42578125" style="808" customWidth="1"/>
    <col min="5385" max="5632" width="9.140625" style="808"/>
    <col min="5633" max="5633" width="6.42578125" style="808" bestFit="1" customWidth="1"/>
    <col min="5634" max="5634" width="12.28515625" style="808" customWidth="1"/>
    <col min="5635" max="5635" width="11.42578125" style="808" customWidth="1"/>
    <col min="5636" max="5636" width="11.85546875" style="808" customWidth="1"/>
    <col min="5637" max="5637" width="10.5703125" style="808" customWidth="1"/>
    <col min="5638" max="5638" width="9.28515625" style="808" bestFit="1" customWidth="1"/>
    <col min="5639" max="5639" width="12.140625" style="808" customWidth="1"/>
    <col min="5640" max="5640" width="11.42578125" style="808" customWidth="1"/>
    <col min="5641" max="5888" width="9.140625" style="808"/>
    <col min="5889" max="5889" width="6.42578125" style="808" bestFit="1" customWidth="1"/>
    <col min="5890" max="5890" width="12.28515625" style="808" customWidth="1"/>
    <col min="5891" max="5891" width="11.42578125" style="808" customWidth="1"/>
    <col min="5892" max="5892" width="11.85546875" style="808" customWidth="1"/>
    <col min="5893" max="5893" width="10.5703125" style="808" customWidth="1"/>
    <col min="5894" max="5894" width="9.28515625" style="808" bestFit="1" customWidth="1"/>
    <col min="5895" max="5895" width="12.140625" style="808" customWidth="1"/>
    <col min="5896" max="5896" width="11.42578125" style="808" customWidth="1"/>
    <col min="5897" max="6144" width="9.140625" style="808"/>
    <col min="6145" max="6145" width="6.42578125" style="808" bestFit="1" customWidth="1"/>
    <col min="6146" max="6146" width="12.28515625" style="808" customWidth="1"/>
    <col min="6147" max="6147" width="11.42578125" style="808" customWidth="1"/>
    <col min="6148" max="6148" width="11.85546875" style="808" customWidth="1"/>
    <col min="6149" max="6149" width="10.5703125" style="808" customWidth="1"/>
    <col min="6150" max="6150" width="9.28515625" style="808" bestFit="1" customWidth="1"/>
    <col min="6151" max="6151" width="12.140625" style="808" customWidth="1"/>
    <col min="6152" max="6152" width="11.42578125" style="808" customWidth="1"/>
    <col min="6153" max="6400" width="9.140625" style="808"/>
    <col min="6401" max="6401" width="6.42578125" style="808" bestFit="1" customWidth="1"/>
    <col min="6402" max="6402" width="12.28515625" style="808" customWidth="1"/>
    <col min="6403" max="6403" width="11.42578125" style="808" customWidth="1"/>
    <col min="6404" max="6404" width="11.85546875" style="808" customWidth="1"/>
    <col min="6405" max="6405" width="10.5703125" style="808" customWidth="1"/>
    <col min="6406" max="6406" width="9.28515625" style="808" bestFit="1" customWidth="1"/>
    <col min="6407" max="6407" width="12.140625" style="808" customWidth="1"/>
    <col min="6408" max="6408" width="11.42578125" style="808" customWidth="1"/>
    <col min="6409" max="6656" width="9.140625" style="808"/>
    <col min="6657" max="6657" width="6.42578125" style="808" bestFit="1" customWidth="1"/>
    <col min="6658" max="6658" width="12.28515625" style="808" customWidth="1"/>
    <col min="6659" max="6659" width="11.42578125" style="808" customWidth="1"/>
    <col min="6660" max="6660" width="11.85546875" style="808" customWidth="1"/>
    <col min="6661" max="6661" width="10.5703125" style="808" customWidth="1"/>
    <col min="6662" max="6662" width="9.28515625" style="808" bestFit="1" customWidth="1"/>
    <col min="6663" max="6663" width="12.140625" style="808" customWidth="1"/>
    <col min="6664" max="6664" width="11.42578125" style="808" customWidth="1"/>
    <col min="6665" max="6912" width="9.140625" style="808"/>
    <col min="6913" max="6913" width="6.42578125" style="808" bestFit="1" customWidth="1"/>
    <col min="6914" max="6914" width="12.28515625" style="808" customWidth="1"/>
    <col min="6915" max="6915" width="11.42578125" style="808" customWidth="1"/>
    <col min="6916" max="6916" width="11.85546875" style="808" customWidth="1"/>
    <col min="6917" max="6917" width="10.5703125" style="808" customWidth="1"/>
    <col min="6918" max="6918" width="9.28515625" style="808" bestFit="1" customWidth="1"/>
    <col min="6919" max="6919" width="12.140625" style="808" customWidth="1"/>
    <col min="6920" max="6920" width="11.42578125" style="808" customWidth="1"/>
    <col min="6921" max="7168" width="9.140625" style="808"/>
    <col min="7169" max="7169" width="6.42578125" style="808" bestFit="1" customWidth="1"/>
    <col min="7170" max="7170" width="12.28515625" style="808" customWidth="1"/>
    <col min="7171" max="7171" width="11.42578125" style="808" customWidth="1"/>
    <col min="7172" max="7172" width="11.85546875" style="808" customWidth="1"/>
    <col min="7173" max="7173" width="10.5703125" style="808" customWidth="1"/>
    <col min="7174" max="7174" width="9.28515625" style="808" bestFit="1" customWidth="1"/>
    <col min="7175" max="7175" width="12.140625" style="808" customWidth="1"/>
    <col min="7176" max="7176" width="11.42578125" style="808" customWidth="1"/>
    <col min="7177" max="7424" width="9.140625" style="808"/>
    <col min="7425" max="7425" width="6.42578125" style="808" bestFit="1" customWidth="1"/>
    <col min="7426" max="7426" width="12.28515625" style="808" customWidth="1"/>
    <col min="7427" max="7427" width="11.42578125" style="808" customWidth="1"/>
    <col min="7428" max="7428" width="11.85546875" style="808" customWidth="1"/>
    <col min="7429" max="7429" width="10.5703125" style="808" customWidth="1"/>
    <col min="7430" max="7430" width="9.28515625" style="808" bestFit="1" customWidth="1"/>
    <col min="7431" max="7431" width="12.140625" style="808" customWidth="1"/>
    <col min="7432" max="7432" width="11.42578125" style="808" customWidth="1"/>
    <col min="7433" max="7680" width="9.140625" style="808"/>
    <col min="7681" max="7681" width="6.42578125" style="808" bestFit="1" customWidth="1"/>
    <col min="7682" max="7682" width="12.28515625" style="808" customWidth="1"/>
    <col min="7683" max="7683" width="11.42578125" style="808" customWidth="1"/>
    <col min="7684" max="7684" width="11.85546875" style="808" customWidth="1"/>
    <col min="7685" max="7685" width="10.5703125" style="808" customWidth="1"/>
    <col min="7686" max="7686" width="9.28515625" style="808" bestFit="1" customWidth="1"/>
    <col min="7687" max="7687" width="12.140625" style="808" customWidth="1"/>
    <col min="7688" max="7688" width="11.42578125" style="808" customWidth="1"/>
    <col min="7689" max="7936" width="9.140625" style="808"/>
    <col min="7937" max="7937" width="6.42578125" style="808" bestFit="1" customWidth="1"/>
    <col min="7938" max="7938" width="12.28515625" style="808" customWidth="1"/>
    <col min="7939" max="7939" width="11.42578125" style="808" customWidth="1"/>
    <col min="7940" max="7940" width="11.85546875" style="808" customWidth="1"/>
    <col min="7941" max="7941" width="10.5703125" style="808" customWidth="1"/>
    <col min="7942" max="7942" width="9.28515625" style="808" bestFit="1" customWidth="1"/>
    <col min="7943" max="7943" width="12.140625" style="808" customWidth="1"/>
    <col min="7944" max="7944" width="11.42578125" style="808" customWidth="1"/>
    <col min="7945" max="8192" width="9.140625" style="808"/>
    <col min="8193" max="8193" width="6.42578125" style="808" bestFit="1" customWidth="1"/>
    <col min="8194" max="8194" width="12.28515625" style="808" customWidth="1"/>
    <col min="8195" max="8195" width="11.42578125" style="808" customWidth="1"/>
    <col min="8196" max="8196" width="11.85546875" style="808" customWidth="1"/>
    <col min="8197" max="8197" width="10.5703125" style="808" customWidth="1"/>
    <col min="8198" max="8198" width="9.28515625" style="808" bestFit="1" customWidth="1"/>
    <col min="8199" max="8199" width="12.140625" style="808" customWidth="1"/>
    <col min="8200" max="8200" width="11.42578125" style="808" customWidth="1"/>
    <col min="8201" max="8448" width="9.140625" style="808"/>
    <col min="8449" max="8449" width="6.42578125" style="808" bestFit="1" customWidth="1"/>
    <col min="8450" max="8450" width="12.28515625" style="808" customWidth="1"/>
    <col min="8451" max="8451" width="11.42578125" style="808" customWidth="1"/>
    <col min="8452" max="8452" width="11.85546875" style="808" customWidth="1"/>
    <col min="8453" max="8453" width="10.5703125" style="808" customWidth="1"/>
    <col min="8454" max="8454" width="9.28515625" style="808" bestFit="1" customWidth="1"/>
    <col min="8455" max="8455" width="12.140625" style="808" customWidth="1"/>
    <col min="8456" max="8456" width="11.42578125" style="808" customWidth="1"/>
    <col min="8457" max="8704" width="9.140625" style="808"/>
    <col min="8705" max="8705" width="6.42578125" style="808" bestFit="1" customWidth="1"/>
    <col min="8706" max="8706" width="12.28515625" style="808" customWidth="1"/>
    <col min="8707" max="8707" width="11.42578125" style="808" customWidth="1"/>
    <col min="8708" max="8708" width="11.85546875" style="808" customWidth="1"/>
    <col min="8709" max="8709" width="10.5703125" style="808" customWidth="1"/>
    <col min="8710" max="8710" width="9.28515625" style="808" bestFit="1" customWidth="1"/>
    <col min="8711" max="8711" width="12.140625" style="808" customWidth="1"/>
    <col min="8712" max="8712" width="11.42578125" style="808" customWidth="1"/>
    <col min="8713" max="8960" width="9.140625" style="808"/>
    <col min="8961" max="8961" width="6.42578125" style="808" bestFit="1" customWidth="1"/>
    <col min="8962" max="8962" width="12.28515625" style="808" customWidth="1"/>
    <col min="8963" max="8963" width="11.42578125" style="808" customWidth="1"/>
    <col min="8964" max="8964" width="11.85546875" style="808" customWidth="1"/>
    <col min="8965" max="8965" width="10.5703125" style="808" customWidth="1"/>
    <col min="8966" max="8966" width="9.28515625" style="808" bestFit="1" customWidth="1"/>
    <col min="8967" max="8967" width="12.140625" style="808" customWidth="1"/>
    <col min="8968" max="8968" width="11.42578125" style="808" customWidth="1"/>
    <col min="8969" max="9216" width="9.140625" style="808"/>
    <col min="9217" max="9217" width="6.42578125" style="808" bestFit="1" customWidth="1"/>
    <col min="9218" max="9218" width="12.28515625" style="808" customWidth="1"/>
    <col min="9219" max="9219" width="11.42578125" style="808" customWidth="1"/>
    <col min="9220" max="9220" width="11.85546875" style="808" customWidth="1"/>
    <col min="9221" max="9221" width="10.5703125" style="808" customWidth="1"/>
    <col min="9222" max="9222" width="9.28515625" style="808" bestFit="1" customWidth="1"/>
    <col min="9223" max="9223" width="12.140625" style="808" customWidth="1"/>
    <col min="9224" max="9224" width="11.42578125" style="808" customWidth="1"/>
    <col min="9225" max="9472" width="9.140625" style="808"/>
    <col min="9473" max="9473" width="6.42578125" style="808" bestFit="1" customWidth="1"/>
    <col min="9474" max="9474" width="12.28515625" style="808" customWidth="1"/>
    <col min="9475" max="9475" width="11.42578125" style="808" customWidth="1"/>
    <col min="9476" max="9476" width="11.85546875" style="808" customWidth="1"/>
    <col min="9477" max="9477" width="10.5703125" style="808" customWidth="1"/>
    <col min="9478" max="9478" width="9.28515625" style="808" bestFit="1" customWidth="1"/>
    <col min="9479" max="9479" width="12.140625" style="808" customWidth="1"/>
    <col min="9480" max="9480" width="11.42578125" style="808" customWidth="1"/>
    <col min="9481" max="9728" width="9.140625" style="808"/>
    <col min="9729" max="9729" width="6.42578125" style="808" bestFit="1" customWidth="1"/>
    <col min="9730" max="9730" width="12.28515625" style="808" customWidth="1"/>
    <col min="9731" max="9731" width="11.42578125" style="808" customWidth="1"/>
    <col min="9732" max="9732" width="11.85546875" style="808" customWidth="1"/>
    <col min="9733" max="9733" width="10.5703125" style="808" customWidth="1"/>
    <col min="9734" max="9734" width="9.28515625" style="808" bestFit="1" customWidth="1"/>
    <col min="9735" max="9735" width="12.140625" style="808" customWidth="1"/>
    <col min="9736" max="9736" width="11.42578125" style="808" customWidth="1"/>
    <col min="9737" max="9984" width="9.140625" style="808"/>
    <col min="9985" max="9985" width="6.42578125" style="808" bestFit="1" customWidth="1"/>
    <col min="9986" max="9986" width="12.28515625" style="808" customWidth="1"/>
    <col min="9987" max="9987" width="11.42578125" style="808" customWidth="1"/>
    <col min="9988" max="9988" width="11.85546875" style="808" customWidth="1"/>
    <col min="9989" max="9989" width="10.5703125" style="808" customWidth="1"/>
    <col min="9990" max="9990" width="9.28515625" style="808" bestFit="1" customWidth="1"/>
    <col min="9991" max="9991" width="12.140625" style="808" customWidth="1"/>
    <col min="9992" max="9992" width="11.42578125" style="808" customWidth="1"/>
    <col min="9993" max="10240" width="9.140625" style="808"/>
    <col min="10241" max="10241" width="6.42578125" style="808" bestFit="1" customWidth="1"/>
    <col min="10242" max="10242" width="12.28515625" style="808" customWidth="1"/>
    <col min="10243" max="10243" width="11.42578125" style="808" customWidth="1"/>
    <col min="10244" max="10244" width="11.85546875" style="808" customWidth="1"/>
    <col min="10245" max="10245" width="10.5703125" style="808" customWidth="1"/>
    <col min="10246" max="10246" width="9.28515625" style="808" bestFit="1" customWidth="1"/>
    <col min="10247" max="10247" width="12.140625" style="808" customWidth="1"/>
    <col min="10248" max="10248" width="11.42578125" style="808" customWidth="1"/>
    <col min="10249" max="10496" width="9.140625" style="808"/>
    <col min="10497" max="10497" width="6.42578125" style="808" bestFit="1" customWidth="1"/>
    <col min="10498" max="10498" width="12.28515625" style="808" customWidth="1"/>
    <col min="10499" max="10499" width="11.42578125" style="808" customWidth="1"/>
    <col min="10500" max="10500" width="11.85546875" style="808" customWidth="1"/>
    <col min="10501" max="10501" width="10.5703125" style="808" customWidth="1"/>
    <col min="10502" max="10502" width="9.28515625" style="808" bestFit="1" customWidth="1"/>
    <col min="10503" max="10503" width="12.140625" style="808" customWidth="1"/>
    <col min="10504" max="10504" width="11.42578125" style="808" customWidth="1"/>
    <col min="10505" max="10752" width="9.140625" style="808"/>
    <col min="10753" max="10753" width="6.42578125" style="808" bestFit="1" customWidth="1"/>
    <col min="10754" max="10754" width="12.28515625" style="808" customWidth="1"/>
    <col min="10755" max="10755" width="11.42578125" style="808" customWidth="1"/>
    <col min="10756" max="10756" width="11.85546875" style="808" customWidth="1"/>
    <col min="10757" max="10757" width="10.5703125" style="808" customWidth="1"/>
    <col min="10758" max="10758" width="9.28515625" style="808" bestFit="1" customWidth="1"/>
    <col min="10759" max="10759" width="12.140625" style="808" customWidth="1"/>
    <col min="10760" max="10760" width="11.42578125" style="808" customWidth="1"/>
    <col min="10761" max="11008" width="9.140625" style="808"/>
    <col min="11009" max="11009" width="6.42578125" style="808" bestFit="1" customWidth="1"/>
    <col min="11010" max="11010" width="12.28515625" style="808" customWidth="1"/>
    <col min="11011" max="11011" width="11.42578125" style="808" customWidth="1"/>
    <col min="11012" max="11012" width="11.85546875" style="808" customWidth="1"/>
    <col min="11013" max="11013" width="10.5703125" style="808" customWidth="1"/>
    <col min="11014" max="11014" width="9.28515625" style="808" bestFit="1" customWidth="1"/>
    <col min="11015" max="11015" width="12.140625" style="808" customWidth="1"/>
    <col min="11016" max="11016" width="11.42578125" style="808" customWidth="1"/>
    <col min="11017" max="11264" width="9.140625" style="808"/>
    <col min="11265" max="11265" width="6.42578125" style="808" bestFit="1" customWidth="1"/>
    <col min="11266" max="11266" width="12.28515625" style="808" customWidth="1"/>
    <col min="11267" max="11267" width="11.42578125" style="808" customWidth="1"/>
    <col min="11268" max="11268" width="11.85546875" style="808" customWidth="1"/>
    <col min="11269" max="11269" width="10.5703125" style="808" customWidth="1"/>
    <col min="11270" max="11270" width="9.28515625" style="808" bestFit="1" customWidth="1"/>
    <col min="11271" max="11271" width="12.140625" style="808" customWidth="1"/>
    <col min="11272" max="11272" width="11.42578125" style="808" customWidth="1"/>
    <col min="11273" max="11520" width="9.140625" style="808"/>
    <col min="11521" max="11521" width="6.42578125" style="808" bestFit="1" customWidth="1"/>
    <col min="11522" max="11522" width="12.28515625" style="808" customWidth="1"/>
    <col min="11523" max="11523" width="11.42578125" style="808" customWidth="1"/>
    <col min="11524" max="11524" width="11.85546875" style="808" customWidth="1"/>
    <col min="11525" max="11525" width="10.5703125" style="808" customWidth="1"/>
    <col min="11526" max="11526" width="9.28515625" style="808" bestFit="1" customWidth="1"/>
    <col min="11527" max="11527" width="12.140625" style="808" customWidth="1"/>
    <col min="11528" max="11528" width="11.42578125" style="808" customWidth="1"/>
    <col min="11529" max="11776" width="9.140625" style="808"/>
    <col min="11777" max="11777" width="6.42578125" style="808" bestFit="1" customWidth="1"/>
    <col min="11778" max="11778" width="12.28515625" style="808" customWidth="1"/>
    <col min="11779" max="11779" width="11.42578125" style="808" customWidth="1"/>
    <col min="11780" max="11780" width="11.85546875" style="808" customWidth="1"/>
    <col min="11781" max="11781" width="10.5703125" style="808" customWidth="1"/>
    <col min="11782" max="11782" width="9.28515625" style="808" bestFit="1" customWidth="1"/>
    <col min="11783" max="11783" width="12.140625" style="808" customWidth="1"/>
    <col min="11784" max="11784" width="11.42578125" style="808" customWidth="1"/>
    <col min="11785" max="12032" width="9.140625" style="808"/>
    <col min="12033" max="12033" width="6.42578125" style="808" bestFit="1" customWidth="1"/>
    <col min="12034" max="12034" width="12.28515625" style="808" customWidth="1"/>
    <col min="12035" max="12035" width="11.42578125" style="808" customWidth="1"/>
    <col min="12036" max="12036" width="11.85546875" style="808" customWidth="1"/>
    <col min="12037" max="12037" width="10.5703125" style="808" customWidth="1"/>
    <col min="12038" max="12038" width="9.28515625" style="808" bestFit="1" customWidth="1"/>
    <col min="12039" max="12039" width="12.140625" style="808" customWidth="1"/>
    <col min="12040" max="12040" width="11.42578125" style="808" customWidth="1"/>
    <col min="12041" max="12288" width="9.140625" style="808"/>
    <col min="12289" max="12289" width="6.42578125" style="808" bestFit="1" customWidth="1"/>
    <col min="12290" max="12290" width="12.28515625" style="808" customWidth="1"/>
    <col min="12291" max="12291" width="11.42578125" style="808" customWidth="1"/>
    <col min="12292" max="12292" width="11.85546875" style="808" customWidth="1"/>
    <col min="12293" max="12293" width="10.5703125" style="808" customWidth="1"/>
    <col min="12294" max="12294" width="9.28515625" style="808" bestFit="1" customWidth="1"/>
    <col min="12295" max="12295" width="12.140625" style="808" customWidth="1"/>
    <col min="12296" max="12296" width="11.42578125" style="808" customWidth="1"/>
    <col min="12297" max="12544" width="9.140625" style="808"/>
    <col min="12545" max="12545" width="6.42578125" style="808" bestFit="1" customWidth="1"/>
    <col min="12546" max="12546" width="12.28515625" style="808" customWidth="1"/>
    <col min="12547" max="12547" width="11.42578125" style="808" customWidth="1"/>
    <col min="12548" max="12548" width="11.85546875" style="808" customWidth="1"/>
    <col min="12549" max="12549" width="10.5703125" style="808" customWidth="1"/>
    <col min="12550" max="12550" width="9.28515625" style="808" bestFit="1" customWidth="1"/>
    <col min="12551" max="12551" width="12.140625" style="808" customWidth="1"/>
    <col min="12552" max="12552" width="11.42578125" style="808" customWidth="1"/>
    <col min="12553" max="12800" width="9.140625" style="808"/>
    <col min="12801" max="12801" width="6.42578125" style="808" bestFit="1" customWidth="1"/>
    <col min="12802" max="12802" width="12.28515625" style="808" customWidth="1"/>
    <col min="12803" max="12803" width="11.42578125" style="808" customWidth="1"/>
    <col min="12804" max="12804" width="11.85546875" style="808" customWidth="1"/>
    <col min="12805" max="12805" width="10.5703125" style="808" customWidth="1"/>
    <col min="12806" max="12806" width="9.28515625" style="808" bestFit="1" customWidth="1"/>
    <col min="12807" max="12807" width="12.140625" style="808" customWidth="1"/>
    <col min="12808" max="12808" width="11.42578125" style="808" customWidth="1"/>
    <col min="12809" max="13056" width="9.140625" style="808"/>
    <col min="13057" max="13057" width="6.42578125" style="808" bestFit="1" customWidth="1"/>
    <col min="13058" max="13058" width="12.28515625" style="808" customWidth="1"/>
    <col min="13059" max="13059" width="11.42578125" style="808" customWidth="1"/>
    <col min="13060" max="13060" width="11.85546875" style="808" customWidth="1"/>
    <col min="13061" max="13061" width="10.5703125" style="808" customWidth="1"/>
    <col min="13062" max="13062" width="9.28515625" style="808" bestFit="1" customWidth="1"/>
    <col min="13063" max="13063" width="12.140625" style="808" customWidth="1"/>
    <col min="13064" max="13064" width="11.42578125" style="808" customWidth="1"/>
    <col min="13065" max="13312" width="9.140625" style="808"/>
    <col min="13313" max="13313" width="6.42578125" style="808" bestFit="1" customWidth="1"/>
    <col min="13314" max="13314" width="12.28515625" style="808" customWidth="1"/>
    <col min="13315" max="13315" width="11.42578125" style="808" customWidth="1"/>
    <col min="13316" max="13316" width="11.85546875" style="808" customWidth="1"/>
    <col min="13317" max="13317" width="10.5703125" style="808" customWidth="1"/>
    <col min="13318" max="13318" width="9.28515625" style="808" bestFit="1" customWidth="1"/>
    <col min="13319" max="13319" width="12.140625" style="808" customWidth="1"/>
    <col min="13320" max="13320" width="11.42578125" style="808" customWidth="1"/>
    <col min="13321" max="13568" width="9.140625" style="808"/>
    <col min="13569" max="13569" width="6.42578125" style="808" bestFit="1" customWidth="1"/>
    <col min="13570" max="13570" width="12.28515625" style="808" customWidth="1"/>
    <col min="13571" max="13571" width="11.42578125" style="808" customWidth="1"/>
    <col min="13572" max="13572" width="11.85546875" style="808" customWidth="1"/>
    <col min="13573" max="13573" width="10.5703125" style="808" customWidth="1"/>
    <col min="13574" max="13574" width="9.28515625" style="808" bestFit="1" customWidth="1"/>
    <col min="13575" max="13575" width="12.140625" style="808" customWidth="1"/>
    <col min="13576" max="13576" width="11.42578125" style="808" customWidth="1"/>
    <col min="13577" max="13824" width="9.140625" style="808"/>
    <col min="13825" max="13825" width="6.42578125" style="808" bestFit="1" customWidth="1"/>
    <col min="13826" max="13826" width="12.28515625" style="808" customWidth="1"/>
    <col min="13827" max="13827" width="11.42578125" style="808" customWidth="1"/>
    <col min="13828" max="13828" width="11.85546875" style="808" customWidth="1"/>
    <col min="13829" max="13829" width="10.5703125" style="808" customWidth="1"/>
    <col min="13830" max="13830" width="9.28515625" style="808" bestFit="1" customWidth="1"/>
    <col min="13831" max="13831" width="12.140625" style="808" customWidth="1"/>
    <col min="13832" max="13832" width="11.42578125" style="808" customWidth="1"/>
    <col min="13833" max="14080" width="9.140625" style="808"/>
    <col min="14081" max="14081" width="6.42578125" style="808" bestFit="1" customWidth="1"/>
    <col min="14082" max="14082" width="12.28515625" style="808" customWidth="1"/>
    <col min="14083" max="14083" width="11.42578125" style="808" customWidth="1"/>
    <col min="14084" max="14084" width="11.85546875" style="808" customWidth="1"/>
    <col min="14085" max="14085" width="10.5703125" style="808" customWidth="1"/>
    <col min="14086" max="14086" width="9.28515625" style="808" bestFit="1" customWidth="1"/>
    <col min="14087" max="14087" width="12.140625" style="808" customWidth="1"/>
    <col min="14088" max="14088" width="11.42578125" style="808" customWidth="1"/>
    <col min="14089" max="14336" width="9.140625" style="808"/>
    <col min="14337" max="14337" width="6.42578125" style="808" bestFit="1" customWidth="1"/>
    <col min="14338" max="14338" width="12.28515625" style="808" customWidth="1"/>
    <col min="14339" max="14339" width="11.42578125" style="808" customWidth="1"/>
    <col min="14340" max="14340" width="11.85546875" style="808" customWidth="1"/>
    <col min="14341" max="14341" width="10.5703125" style="808" customWidth="1"/>
    <col min="14342" max="14342" width="9.28515625" style="808" bestFit="1" customWidth="1"/>
    <col min="14343" max="14343" width="12.140625" style="808" customWidth="1"/>
    <col min="14344" max="14344" width="11.42578125" style="808" customWidth="1"/>
    <col min="14345" max="14592" width="9.140625" style="808"/>
    <col min="14593" max="14593" width="6.42578125" style="808" bestFit="1" customWidth="1"/>
    <col min="14594" max="14594" width="12.28515625" style="808" customWidth="1"/>
    <col min="14595" max="14595" width="11.42578125" style="808" customWidth="1"/>
    <col min="14596" max="14596" width="11.85546875" style="808" customWidth="1"/>
    <col min="14597" max="14597" width="10.5703125" style="808" customWidth="1"/>
    <col min="14598" max="14598" width="9.28515625" style="808" bestFit="1" customWidth="1"/>
    <col min="14599" max="14599" width="12.140625" style="808" customWidth="1"/>
    <col min="14600" max="14600" width="11.42578125" style="808" customWidth="1"/>
    <col min="14601" max="14848" width="9.140625" style="808"/>
    <col min="14849" max="14849" width="6.42578125" style="808" bestFit="1" customWidth="1"/>
    <col min="14850" max="14850" width="12.28515625" style="808" customWidth="1"/>
    <col min="14851" max="14851" width="11.42578125" style="808" customWidth="1"/>
    <col min="14852" max="14852" width="11.85546875" style="808" customWidth="1"/>
    <col min="14853" max="14853" width="10.5703125" style="808" customWidth="1"/>
    <col min="14854" max="14854" width="9.28515625" style="808" bestFit="1" customWidth="1"/>
    <col min="14855" max="14855" width="12.140625" style="808" customWidth="1"/>
    <col min="14856" max="14856" width="11.42578125" style="808" customWidth="1"/>
    <col min="14857" max="15104" width="9.140625" style="808"/>
    <col min="15105" max="15105" width="6.42578125" style="808" bestFit="1" customWidth="1"/>
    <col min="15106" max="15106" width="12.28515625" style="808" customWidth="1"/>
    <col min="15107" max="15107" width="11.42578125" style="808" customWidth="1"/>
    <col min="15108" max="15108" width="11.85546875" style="808" customWidth="1"/>
    <col min="15109" max="15109" width="10.5703125" style="808" customWidth="1"/>
    <col min="15110" max="15110" width="9.28515625" style="808" bestFit="1" customWidth="1"/>
    <col min="15111" max="15111" width="12.140625" style="808" customWidth="1"/>
    <col min="15112" max="15112" width="11.42578125" style="808" customWidth="1"/>
    <col min="15113" max="15360" width="9.140625" style="808"/>
    <col min="15361" max="15361" width="6.42578125" style="808" bestFit="1" customWidth="1"/>
    <col min="15362" max="15362" width="12.28515625" style="808" customWidth="1"/>
    <col min="15363" max="15363" width="11.42578125" style="808" customWidth="1"/>
    <col min="15364" max="15364" width="11.85546875" style="808" customWidth="1"/>
    <col min="15365" max="15365" width="10.5703125" style="808" customWidth="1"/>
    <col min="15366" max="15366" width="9.28515625" style="808" bestFit="1" customWidth="1"/>
    <col min="15367" max="15367" width="12.140625" style="808" customWidth="1"/>
    <col min="15368" max="15368" width="11.42578125" style="808" customWidth="1"/>
    <col min="15369" max="15616" width="9.140625" style="808"/>
    <col min="15617" max="15617" width="6.42578125" style="808" bestFit="1" customWidth="1"/>
    <col min="15618" max="15618" width="12.28515625" style="808" customWidth="1"/>
    <col min="15619" max="15619" width="11.42578125" style="808" customWidth="1"/>
    <col min="15620" max="15620" width="11.85546875" style="808" customWidth="1"/>
    <col min="15621" max="15621" width="10.5703125" style="808" customWidth="1"/>
    <col min="15622" max="15622" width="9.28515625" style="808" bestFit="1" customWidth="1"/>
    <col min="15623" max="15623" width="12.140625" style="808" customWidth="1"/>
    <col min="15624" max="15624" width="11.42578125" style="808" customWidth="1"/>
    <col min="15625" max="15872" width="9.140625" style="808"/>
    <col min="15873" max="15873" width="6.42578125" style="808" bestFit="1" customWidth="1"/>
    <col min="15874" max="15874" width="12.28515625" style="808" customWidth="1"/>
    <col min="15875" max="15875" width="11.42578125" style="808" customWidth="1"/>
    <col min="15876" max="15876" width="11.85546875" style="808" customWidth="1"/>
    <col min="15877" max="15877" width="10.5703125" style="808" customWidth="1"/>
    <col min="15878" max="15878" width="9.28515625" style="808" bestFit="1" customWidth="1"/>
    <col min="15879" max="15879" width="12.140625" style="808" customWidth="1"/>
    <col min="15880" max="15880" width="11.42578125" style="808" customWidth="1"/>
    <col min="15881" max="16128" width="9.140625" style="808"/>
    <col min="16129" max="16129" width="6.42578125" style="808" bestFit="1" customWidth="1"/>
    <col min="16130" max="16130" width="12.28515625" style="808" customWidth="1"/>
    <col min="16131" max="16131" width="11.42578125" style="808" customWidth="1"/>
    <col min="16132" max="16132" width="11.85546875" style="808" customWidth="1"/>
    <col min="16133" max="16133" width="10.5703125" style="808" customWidth="1"/>
    <col min="16134" max="16134" width="9.28515625" style="808" bestFit="1" customWidth="1"/>
    <col min="16135" max="16135" width="12.140625" style="808" customWidth="1"/>
    <col min="16136" max="16136" width="11.42578125" style="808" customWidth="1"/>
    <col min="16137" max="16384" width="9.140625" style="808"/>
  </cols>
  <sheetData>
    <row r="1" spans="1:10" x14ac:dyDescent="0.2">
      <c r="A1" s="747" t="s">
        <v>539</v>
      </c>
      <c r="B1" s="825"/>
      <c r="C1" s="825"/>
      <c r="D1" s="825"/>
      <c r="E1" s="825"/>
      <c r="F1" s="825"/>
      <c r="G1" s="825"/>
      <c r="H1" s="825"/>
      <c r="I1" s="825"/>
      <c r="J1" s="827" t="s">
        <v>937</v>
      </c>
    </row>
    <row r="2" spans="1:10" x14ac:dyDescent="0.2">
      <c r="A2" s="749" t="s">
        <v>886</v>
      </c>
      <c r="B2" s="825"/>
      <c r="C2" s="825"/>
      <c r="D2" s="825"/>
      <c r="E2" s="825"/>
      <c r="F2" s="825"/>
      <c r="G2" s="826"/>
      <c r="H2" s="825"/>
      <c r="I2" s="825"/>
    </row>
    <row r="3" spans="1:10" x14ac:dyDescent="0.2">
      <c r="A3" s="749" t="s">
        <v>887</v>
      </c>
      <c r="B3" s="825"/>
      <c r="C3" s="749"/>
      <c r="D3" s="749"/>
      <c r="E3" s="749"/>
      <c r="F3" s="749"/>
      <c r="G3" s="749"/>
      <c r="H3" s="749"/>
      <c r="I3" s="749"/>
    </row>
    <row r="4" spans="1:10" x14ac:dyDescent="0.2">
      <c r="A4" s="747" t="s">
        <v>25</v>
      </c>
      <c r="B4" s="825"/>
      <c r="C4" s="749"/>
      <c r="D4" s="749"/>
      <c r="E4" s="749"/>
      <c r="F4" s="749"/>
      <c r="G4" s="749"/>
      <c r="H4" s="749"/>
      <c r="I4" s="749"/>
    </row>
    <row r="5" spans="1:10" x14ac:dyDescent="0.2">
      <c r="C5" s="809"/>
      <c r="D5" s="809"/>
      <c r="E5" s="809"/>
      <c r="F5" s="809"/>
      <c r="G5" s="809"/>
      <c r="H5" s="809"/>
      <c r="I5" s="809"/>
    </row>
    <row r="6" spans="1:10" x14ac:dyDescent="0.2">
      <c r="B6" s="809"/>
      <c r="C6" s="809"/>
      <c r="D6" s="809"/>
      <c r="E6" s="809"/>
      <c r="F6" s="809"/>
      <c r="G6" s="809"/>
      <c r="H6" s="809"/>
      <c r="I6" s="809"/>
    </row>
    <row r="7" spans="1:10" x14ac:dyDescent="0.2">
      <c r="C7" s="855"/>
      <c r="D7" s="855"/>
      <c r="E7" s="855"/>
      <c r="F7" s="855"/>
      <c r="G7" s="855"/>
      <c r="H7" s="855"/>
    </row>
    <row r="8" spans="1:10" x14ac:dyDescent="0.2">
      <c r="A8" s="809" t="s">
        <v>34</v>
      </c>
      <c r="B8" s="810" t="s">
        <v>888</v>
      </c>
      <c r="C8" s="810" t="s">
        <v>321</v>
      </c>
      <c r="D8" s="810" t="s">
        <v>687</v>
      </c>
      <c r="E8" s="810" t="s">
        <v>687</v>
      </c>
      <c r="F8" s="810" t="s">
        <v>26</v>
      </c>
      <c r="G8" s="810" t="s">
        <v>26</v>
      </c>
      <c r="H8" s="810" t="s">
        <v>889</v>
      </c>
      <c r="I8" s="810" t="s">
        <v>506</v>
      </c>
    </row>
    <row r="9" spans="1:10" ht="14.25" x14ac:dyDescent="0.2">
      <c r="A9" s="810" t="s">
        <v>36</v>
      </c>
      <c r="C9" s="810" t="s">
        <v>41</v>
      </c>
      <c r="D9" s="810" t="s">
        <v>890</v>
      </c>
      <c r="E9" s="810" t="s">
        <v>891</v>
      </c>
      <c r="F9" s="810" t="s">
        <v>892</v>
      </c>
      <c r="G9" s="810" t="s">
        <v>893</v>
      </c>
      <c r="H9" s="810" t="s">
        <v>894</v>
      </c>
      <c r="I9" s="810" t="s">
        <v>41</v>
      </c>
    </row>
    <row r="10" spans="1:10" x14ac:dyDescent="0.2">
      <c r="D10" s="810" t="s">
        <v>895</v>
      </c>
      <c r="E10" s="810" t="s">
        <v>896</v>
      </c>
      <c r="F10" s="810" t="s">
        <v>897</v>
      </c>
      <c r="G10" s="810" t="s">
        <v>898</v>
      </c>
      <c r="H10" s="810" t="s">
        <v>899</v>
      </c>
    </row>
    <row r="11" spans="1:10" x14ac:dyDescent="0.2">
      <c r="A11" s="811"/>
      <c r="B11" s="811"/>
      <c r="C11" s="812" t="s">
        <v>900</v>
      </c>
      <c r="D11" s="812" t="s">
        <v>901</v>
      </c>
      <c r="E11" s="812" t="s">
        <v>902</v>
      </c>
      <c r="F11" s="812" t="s">
        <v>903</v>
      </c>
      <c r="G11" s="812" t="s">
        <v>904</v>
      </c>
      <c r="H11" s="812" t="s">
        <v>905</v>
      </c>
      <c r="I11" s="812" t="s">
        <v>906</v>
      </c>
    </row>
    <row r="12" spans="1:10" x14ac:dyDescent="0.2">
      <c r="A12" s="813">
        <v>1</v>
      </c>
      <c r="B12" s="814">
        <v>41244</v>
      </c>
      <c r="C12" s="814"/>
      <c r="D12" s="815"/>
      <c r="E12" s="815"/>
      <c r="F12" s="815"/>
      <c r="G12" s="815"/>
      <c r="H12" s="815"/>
      <c r="I12" s="816">
        <v>-1.9158101162446302</v>
      </c>
    </row>
    <row r="13" spans="1:10" x14ac:dyDescent="0.2">
      <c r="A13" s="813">
        <v>2</v>
      </c>
      <c r="B13" s="814">
        <v>41275</v>
      </c>
      <c r="C13" s="817">
        <f>I12</f>
        <v>-1.9158101162446302</v>
      </c>
      <c r="D13" s="815">
        <v>-96.124679999999998</v>
      </c>
      <c r="E13" s="815">
        <v>-34.367570000000001</v>
      </c>
      <c r="F13" s="815">
        <v>72.457189999999997</v>
      </c>
      <c r="G13" s="815">
        <v>-0.40917000000000003</v>
      </c>
      <c r="H13" s="815">
        <v>-61.757109999999997</v>
      </c>
      <c r="I13" s="817">
        <f>C13+D13+F13+G13-H13</f>
        <v>35.764639883755365</v>
      </c>
    </row>
    <row r="14" spans="1:10" x14ac:dyDescent="0.2">
      <c r="A14" s="813">
        <v>3</v>
      </c>
      <c r="B14" s="814">
        <v>41306</v>
      </c>
      <c r="C14" s="817">
        <f t="shared" ref="C14:C24" si="0">I13</f>
        <v>35.764639883755365</v>
      </c>
      <c r="D14" s="815">
        <v>-101.01900000000001</v>
      </c>
      <c r="E14" s="815">
        <v>-46.928110000000004</v>
      </c>
      <c r="F14" s="815">
        <v>57.254480000000001</v>
      </c>
      <c r="G14" s="815">
        <v>-1.39137</v>
      </c>
      <c r="H14" s="815">
        <v>-54.090890000000002</v>
      </c>
      <c r="I14" s="817">
        <f t="shared" ref="I14:I32" si="1">C14+D14+F14+G14-H14</f>
        <v>44.69963988375536</v>
      </c>
      <c r="J14" s="817"/>
    </row>
    <row r="15" spans="1:10" x14ac:dyDescent="0.2">
      <c r="A15" s="813">
        <v>4</v>
      </c>
      <c r="B15" s="814">
        <v>41334</v>
      </c>
      <c r="C15" s="817">
        <f t="shared" si="0"/>
        <v>44.69963988375536</v>
      </c>
      <c r="D15" s="815">
        <v>-90.622350000000012</v>
      </c>
      <c r="E15" s="815">
        <v>-30.732970000000002</v>
      </c>
      <c r="F15" s="815">
        <v>55.414089999999995</v>
      </c>
      <c r="G15" s="815">
        <v>42.963000000000001</v>
      </c>
      <c r="H15" s="815">
        <v>-59.88938000000001</v>
      </c>
      <c r="I15" s="817">
        <f t="shared" si="1"/>
        <v>112.34375988375535</v>
      </c>
      <c r="J15" s="817"/>
    </row>
    <row r="16" spans="1:10" x14ac:dyDescent="0.2">
      <c r="A16" s="813">
        <v>5</v>
      </c>
      <c r="B16" s="814">
        <v>41365</v>
      </c>
      <c r="C16" s="817">
        <f t="shared" si="0"/>
        <v>112.34375988375535</v>
      </c>
      <c r="D16" s="815">
        <v>-87.471949999999993</v>
      </c>
      <c r="E16" s="815">
        <v>-45.970309999999998</v>
      </c>
      <c r="F16" s="815">
        <v>56.349760000000003</v>
      </c>
      <c r="G16" s="815">
        <v>13.742186180590382</v>
      </c>
      <c r="H16" s="815">
        <v>-41.501639999999995</v>
      </c>
      <c r="I16" s="817">
        <f t="shared" si="1"/>
        <v>136.46539606434573</v>
      </c>
      <c r="J16" s="817"/>
    </row>
    <row r="17" spans="1:10" x14ac:dyDescent="0.2">
      <c r="A17" s="813">
        <v>6</v>
      </c>
      <c r="B17" s="814">
        <v>41395</v>
      </c>
      <c r="C17" s="817">
        <f t="shared" si="0"/>
        <v>136.46539606434573</v>
      </c>
      <c r="D17" s="815">
        <v>-70.156739999999999</v>
      </c>
      <c r="E17" s="815">
        <v>-26.766220000000001</v>
      </c>
      <c r="F17" s="815">
        <v>45.290099999999995</v>
      </c>
      <c r="G17" s="815">
        <v>11.870721618759903</v>
      </c>
      <c r="H17" s="815">
        <v>-43.390519999999995</v>
      </c>
      <c r="I17" s="817">
        <f t="shared" si="1"/>
        <v>166.85999768310563</v>
      </c>
      <c r="J17" s="817"/>
    </row>
    <row r="18" spans="1:10" x14ac:dyDescent="0.2">
      <c r="A18" s="813">
        <v>7</v>
      </c>
      <c r="B18" s="814">
        <v>41426</v>
      </c>
      <c r="C18" s="817">
        <f t="shared" si="0"/>
        <v>166.85999768310563</v>
      </c>
      <c r="D18" s="815">
        <v>-57.370989999999999</v>
      </c>
      <c r="E18" s="815">
        <v>-26.869049999999998</v>
      </c>
      <c r="F18" s="815">
        <v>43.066220000000001</v>
      </c>
      <c r="G18" s="815">
        <v>10.948151585599604</v>
      </c>
      <c r="H18" s="815">
        <v>-30.501940000000001</v>
      </c>
      <c r="I18" s="817">
        <f t="shared" si="1"/>
        <v>194.00531926870519</v>
      </c>
      <c r="J18" s="817"/>
    </row>
    <row r="19" spans="1:10" x14ac:dyDescent="0.2">
      <c r="A19" s="813">
        <v>8</v>
      </c>
      <c r="B19" s="814">
        <v>41456</v>
      </c>
      <c r="C19" s="817">
        <f t="shared" si="0"/>
        <v>194.00531926870519</v>
      </c>
      <c r="D19" s="815">
        <v>-55.901350000000001</v>
      </c>
      <c r="E19" s="815">
        <v>16.493919999999999</v>
      </c>
      <c r="F19" s="815">
        <v>40.942920000000001</v>
      </c>
      <c r="G19" s="815">
        <v>11.871227227250696</v>
      </c>
      <c r="H19" s="815">
        <v>-72.395269999999996</v>
      </c>
      <c r="I19" s="817">
        <f t="shared" si="1"/>
        <v>263.31338649595585</v>
      </c>
      <c r="J19" s="817"/>
    </row>
    <row r="20" spans="1:10" x14ac:dyDescent="0.2">
      <c r="A20" s="813">
        <v>9</v>
      </c>
      <c r="B20" s="814">
        <v>41487</v>
      </c>
      <c r="C20" s="817">
        <f t="shared" si="0"/>
        <v>263.31338649595585</v>
      </c>
      <c r="D20" s="815">
        <v>-54.221879999999999</v>
      </c>
      <c r="E20" s="815">
        <v>-50.19894</v>
      </c>
      <c r="F20" s="815">
        <v>40.854309999999998</v>
      </c>
      <c r="G20" s="815">
        <v>12.148613823348787</v>
      </c>
      <c r="H20" s="815">
        <v>-4.0229399999999984</v>
      </c>
      <c r="I20" s="817">
        <f t="shared" si="1"/>
        <v>266.11737031930465</v>
      </c>
      <c r="J20" s="817"/>
    </row>
    <row r="21" spans="1:10" x14ac:dyDescent="0.2">
      <c r="A21" s="813">
        <v>10</v>
      </c>
      <c r="B21" s="814">
        <v>41518</v>
      </c>
      <c r="C21" s="817">
        <f t="shared" si="0"/>
        <v>266.11737031930465</v>
      </c>
      <c r="D21" s="815">
        <v>-81.295469999999995</v>
      </c>
      <c r="E21" s="815">
        <v>-15.796799999999999</v>
      </c>
      <c r="F21" s="815">
        <v>38.953420000000001</v>
      </c>
      <c r="G21" s="815">
        <v>11.418283754076008</v>
      </c>
      <c r="H21" s="815">
        <v>-65.49866999999999</v>
      </c>
      <c r="I21" s="817">
        <f t="shared" si="1"/>
        <v>300.69227407338064</v>
      </c>
      <c r="J21" s="817"/>
    </row>
    <row r="22" spans="1:10" x14ac:dyDescent="0.2">
      <c r="A22" s="813">
        <v>11</v>
      </c>
      <c r="B22" s="814">
        <v>41548</v>
      </c>
      <c r="C22" s="817">
        <f t="shared" si="0"/>
        <v>300.69227407338064</v>
      </c>
      <c r="D22" s="815">
        <v>-89.489320000000006</v>
      </c>
      <c r="E22" s="815">
        <v>-51.719000000000001</v>
      </c>
      <c r="F22" s="815">
        <v>43.604610000000001</v>
      </c>
      <c r="G22" s="815">
        <v>10.925531187454332</v>
      </c>
      <c r="H22" s="815">
        <v>-37.770320000000005</v>
      </c>
      <c r="I22" s="817">
        <f t="shared" si="1"/>
        <v>303.50341526083497</v>
      </c>
      <c r="J22" s="817"/>
    </row>
    <row r="23" spans="1:10" x14ac:dyDescent="0.2">
      <c r="A23" s="813">
        <v>12</v>
      </c>
      <c r="B23" s="814">
        <v>41579</v>
      </c>
      <c r="C23" s="817">
        <f t="shared" si="0"/>
        <v>303.50341526083497</v>
      </c>
      <c r="D23" s="815">
        <v>-109.18652</v>
      </c>
      <c r="E23" s="815">
        <v>-50.243099999999998</v>
      </c>
      <c r="F23" s="815">
        <v>49.497790000000002</v>
      </c>
      <c r="G23" s="815">
        <v>9.8747926441503946</v>
      </c>
      <c r="H23" s="815">
        <v>-58.943420000000003</v>
      </c>
      <c r="I23" s="817">
        <f t="shared" si="1"/>
        <v>312.63289790498538</v>
      </c>
      <c r="J23" s="817"/>
    </row>
    <row r="24" spans="1:10" x14ac:dyDescent="0.2">
      <c r="A24" s="813">
        <v>13</v>
      </c>
      <c r="B24" s="814">
        <v>41609</v>
      </c>
      <c r="C24" s="817">
        <f t="shared" si="0"/>
        <v>312.63289790498538</v>
      </c>
      <c r="D24" s="818">
        <v>-161.26457000000002</v>
      </c>
      <c r="E24" s="818">
        <v>-104.61275999999999</v>
      </c>
      <c r="F24" s="818">
        <v>58.057269999999995</v>
      </c>
      <c r="G24" s="818">
        <v>11.779763926766776</v>
      </c>
      <c r="H24" s="818">
        <v>-56.651810000000026</v>
      </c>
      <c r="I24" s="817">
        <f t="shared" si="1"/>
        <v>277.85717183175217</v>
      </c>
      <c r="J24" s="817"/>
    </row>
    <row r="25" spans="1:10" x14ac:dyDescent="0.2">
      <c r="A25" s="813">
        <v>14</v>
      </c>
      <c r="B25" s="814"/>
      <c r="C25" s="814"/>
      <c r="D25" s="815">
        <f>SUM(D13:D24)</f>
        <v>-1054.12482</v>
      </c>
      <c r="E25" s="815">
        <f t="shared" ref="E25:H25" si="2">SUM(E13:E24)</f>
        <v>-467.71091000000001</v>
      </c>
      <c r="F25" s="815">
        <f t="shared" si="2"/>
        <v>601.74216000000001</v>
      </c>
      <c r="G25" s="815">
        <f t="shared" si="2"/>
        <v>145.7417319479969</v>
      </c>
      <c r="H25" s="815">
        <f t="shared" si="2"/>
        <v>-586.41390999999999</v>
      </c>
      <c r="I25" s="817">
        <f t="shared" si="1"/>
        <v>279.77298194799687</v>
      </c>
      <c r="J25" s="817"/>
    </row>
    <row r="26" spans="1:10" x14ac:dyDescent="0.2">
      <c r="A26" s="813">
        <v>15</v>
      </c>
      <c r="B26" s="814"/>
      <c r="C26" s="814"/>
      <c r="D26" s="815"/>
      <c r="E26" s="815"/>
      <c r="F26" s="815"/>
      <c r="G26" s="815"/>
      <c r="H26" s="815"/>
      <c r="I26" s="817"/>
    </row>
    <row r="27" spans="1:10" x14ac:dyDescent="0.2">
      <c r="A27" s="813">
        <v>16</v>
      </c>
      <c r="B27" s="814">
        <v>41640</v>
      </c>
      <c r="C27" s="817">
        <f>I24</f>
        <v>277.85717183175217</v>
      </c>
      <c r="D27" s="815">
        <v>-173.38244</v>
      </c>
      <c r="E27" s="815">
        <v>-110.27603999999999</v>
      </c>
      <c r="F27" s="815">
        <v>41.284510000000004</v>
      </c>
      <c r="G27" s="815">
        <v>10.842335928604808</v>
      </c>
      <c r="H27" s="815">
        <f>D27-E27</f>
        <v>-63.106400000000008</v>
      </c>
      <c r="I27" s="817">
        <f t="shared" si="1"/>
        <v>219.70797776035698</v>
      </c>
    </row>
    <row r="28" spans="1:10" x14ac:dyDescent="0.2">
      <c r="A28" s="813">
        <v>17</v>
      </c>
      <c r="B28" s="814">
        <v>41671</v>
      </c>
      <c r="C28" s="817">
        <f>I27</f>
        <v>219.70797776035698</v>
      </c>
      <c r="D28" s="819">
        <v>-181.21758</v>
      </c>
      <c r="E28" s="815">
        <v>-129.06885</v>
      </c>
      <c r="F28" s="819">
        <v>-4.4670000000000001E-2</v>
      </c>
      <c r="G28" s="819">
        <v>-5.7846463324995092</v>
      </c>
      <c r="H28" s="815">
        <f t="shared" ref="H28:H32" si="3">D28-E28</f>
        <v>-52.14873</v>
      </c>
      <c r="I28" s="817">
        <f t="shared" si="1"/>
        <v>84.809811427857468</v>
      </c>
    </row>
    <row r="29" spans="1:10" x14ac:dyDescent="0.2">
      <c r="A29" s="813">
        <v>18</v>
      </c>
      <c r="B29" s="814">
        <v>41699</v>
      </c>
      <c r="C29" s="817">
        <f t="shared" ref="C29:C30" si="4">I28</f>
        <v>84.809811427857468</v>
      </c>
      <c r="D29" s="820">
        <v>-169.60235999999998</v>
      </c>
      <c r="E29" s="815">
        <v>-109.69410000000001</v>
      </c>
      <c r="F29" s="819">
        <v>-5.7259999999999998E-2</v>
      </c>
      <c r="G29" s="819">
        <v>-6.0322008987945923E-3</v>
      </c>
      <c r="H29" s="815">
        <f t="shared" si="3"/>
        <v>-59.90825999999997</v>
      </c>
      <c r="I29" s="817">
        <f t="shared" si="1"/>
        <v>-24.947580773041338</v>
      </c>
    </row>
    <row r="30" spans="1:10" x14ac:dyDescent="0.2">
      <c r="A30" s="813">
        <v>19</v>
      </c>
      <c r="B30" s="814">
        <v>41730</v>
      </c>
      <c r="C30" s="817">
        <f t="shared" si="4"/>
        <v>-24.947580773041338</v>
      </c>
      <c r="D30" s="820">
        <v>-156.40199999999999</v>
      </c>
      <c r="E30" s="815">
        <v>-114.04178999999999</v>
      </c>
      <c r="F30" s="819">
        <v>1.2999999999999999E-2</v>
      </c>
      <c r="G30" s="819">
        <v>-6.0000000000000001E-3</v>
      </c>
      <c r="H30" s="815">
        <f t="shared" si="3"/>
        <v>-42.360209999999995</v>
      </c>
      <c r="I30" s="817">
        <f t="shared" si="1"/>
        <v>-138.98237077304134</v>
      </c>
    </row>
    <row r="31" spans="1:10" x14ac:dyDescent="0.2">
      <c r="A31" s="813">
        <v>20</v>
      </c>
      <c r="B31" s="821" t="s">
        <v>907</v>
      </c>
      <c r="C31" s="822">
        <f>I30</f>
        <v>-138.98237077304134</v>
      </c>
      <c r="D31" s="820">
        <v>-130.982</v>
      </c>
      <c r="E31" s="820">
        <v>-93.22</v>
      </c>
      <c r="F31" s="819">
        <v>0</v>
      </c>
      <c r="G31" s="819">
        <v>0</v>
      </c>
      <c r="H31" s="819">
        <f t="shared" si="3"/>
        <v>-37.762</v>
      </c>
      <c r="I31" s="817">
        <f t="shared" si="1"/>
        <v>-232.20237077304131</v>
      </c>
    </row>
    <row r="32" spans="1:10" x14ac:dyDescent="0.2">
      <c r="A32" s="813">
        <v>21</v>
      </c>
      <c r="B32" s="821" t="s">
        <v>908</v>
      </c>
      <c r="C32" s="822">
        <f>I31</f>
        <v>-232.20237077304131</v>
      </c>
      <c r="D32" s="823">
        <v>-131.041</v>
      </c>
      <c r="E32" s="823">
        <v>-109.24299999999999</v>
      </c>
      <c r="F32" s="818">
        <v>0</v>
      </c>
      <c r="G32" s="818">
        <v>0</v>
      </c>
      <c r="H32" s="818">
        <f t="shared" si="3"/>
        <v>-21.798000000000002</v>
      </c>
      <c r="I32" s="817">
        <f t="shared" si="1"/>
        <v>-341.4453707730413</v>
      </c>
    </row>
    <row r="33" spans="1:8" x14ac:dyDescent="0.2">
      <c r="A33" s="813">
        <v>22</v>
      </c>
      <c r="D33" s="817">
        <f>SUM(D27:D32)</f>
        <v>-942.6273799999999</v>
      </c>
      <c r="E33" s="817">
        <f t="shared" ref="E33:H33" si="5">SUM(E27:E32)</f>
        <v>-665.54377999999997</v>
      </c>
      <c r="F33" s="817">
        <f t="shared" si="5"/>
        <v>41.19558</v>
      </c>
      <c r="G33" s="817">
        <f t="shared" si="5"/>
        <v>5.0456573952065034</v>
      </c>
      <c r="H33" s="817">
        <f t="shared" si="5"/>
        <v>-277.08359999999999</v>
      </c>
    </row>
    <row r="35" spans="1:8" x14ac:dyDescent="0.2">
      <c r="A35" s="808" t="s">
        <v>909</v>
      </c>
    </row>
    <row r="36" spans="1:8" x14ac:dyDescent="0.2">
      <c r="A36" s="824" t="s">
        <v>910</v>
      </c>
      <c r="B36" s="808" t="s">
        <v>911</v>
      </c>
    </row>
    <row r="37" spans="1:8" x14ac:dyDescent="0.2">
      <c r="A37" s="824" t="s">
        <v>912</v>
      </c>
      <c r="B37" s="808" t="s">
        <v>913</v>
      </c>
    </row>
    <row r="38" spans="1:8" x14ac:dyDescent="0.2">
      <c r="A38" s="824" t="s">
        <v>914</v>
      </c>
      <c r="B38" s="808" t="s">
        <v>915</v>
      </c>
    </row>
  </sheetData>
  <mergeCells count="1">
    <mergeCell ref="C7:H7"/>
  </mergeCells>
  <printOptions horizontalCentered="1"/>
  <pageMargins left="0.5" right="0.5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Z75"/>
  <sheetViews>
    <sheetView view="pageBreakPreview" zoomScaleNormal="100" zoomScaleSheetLayoutView="100" workbookViewId="0">
      <selection activeCell="G32" sqref="G32"/>
    </sheetView>
  </sheetViews>
  <sheetFormatPr defaultColWidth="7.5703125" defaultRowHeight="15" x14ac:dyDescent="0.2"/>
  <cols>
    <col min="1" max="1" width="8.5703125" style="481" customWidth="1"/>
    <col min="2" max="2" width="2.28515625" style="481" customWidth="1"/>
    <col min="3" max="3" width="44.5703125" style="481" customWidth="1"/>
    <col min="4" max="4" width="2.28515625" style="481" customWidth="1"/>
    <col min="5" max="5" width="11.7109375" style="482" bestFit="1" customWidth="1"/>
    <col min="6" max="6" width="2.28515625" style="481" customWidth="1"/>
    <col min="7" max="7" width="13.7109375" style="481" customWidth="1"/>
    <col min="8" max="8" width="2.28515625" style="481" customWidth="1"/>
    <col min="9" max="9" width="13.7109375" style="481" customWidth="1"/>
    <col min="10" max="10" width="2.28515625" style="481" customWidth="1"/>
    <col min="11" max="11" width="13.7109375" style="481" customWidth="1"/>
    <col min="12" max="12" width="2.28515625" style="481" customWidth="1"/>
    <col min="13" max="13" width="13.7109375" style="481" customWidth="1"/>
    <col min="14" max="14" width="2.28515625" style="481" customWidth="1"/>
    <col min="15" max="15" width="13.7109375" style="481" customWidth="1"/>
    <col min="16" max="16" width="2.28515625" style="481" customWidth="1"/>
    <col min="17" max="17" width="13.7109375" style="481" customWidth="1"/>
    <col min="18" max="18" width="2.28515625" style="481" customWidth="1"/>
    <col min="19" max="19" width="13.7109375" style="481" customWidth="1"/>
    <col min="20" max="20" width="2.28515625" style="481" customWidth="1"/>
    <col min="21" max="21" width="13.7109375" style="481" customWidth="1"/>
    <col min="22" max="22" width="2.28515625" style="481" customWidth="1"/>
    <col min="23" max="23" width="13.7109375" style="481" customWidth="1"/>
    <col min="24" max="24" width="2.28515625" style="481" customWidth="1"/>
    <col min="25" max="25" width="13.7109375" style="481" customWidth="1"/>
    <col min="26" max="26" width="2.28515625" style="481" customWidth="1"/>
    <col min="27" max="16384" width="7.5703125" style="481"/>
  </cols>
  <sheetData>
    <row r="1" spans="1:26" ht="15.75" x14ac:dyDescent="0.25">
      <c r="A1" s="40" t="s">
        <v>539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1"/>
      <c r="Z1" s="66" t="s">
        <v>829</v>
      </c>
    </row>
    <row r="2" spans="1:26" ht="15.75" x14ac:dyDescent="0.25">
      <c r="A2" s="40" t="s">
        <v>489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5.75" x14ac:dyDescent="0.25">
      <c r="A3" s="40" t="s">
        <v>307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5.75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.75" x14ac:dyDescent="0.25">
      <c r="A5" s="40"/>
      <c r="B5" s="41"/>
      <c r="C5" s="41"/>
      <c r="D5" s="41"/>
      <c r="F5" s="41"/>
      <c r="W5" s="554" t="s">
        <v>461</v>
      </c>
      <c r="X5" s="429"/>
      <c r="Y5" s="554" t="s">
        <v>461</v>
      </c>
    </row>
    <row r="6" spans="1:26" ht="15.75" x14ac:dyDescent="0.25">
      <c r="A6" s="554" t="s">
        <v>34</v>
      </c>
      <c r="B6" s="554"/>
      <c r="C6" s="554"/>
      <c r="D6" s="554"/>
      <c r="E6" s="554" t="s">
        <v>35</v>
      </c>
      <c r="F6" s="554"/>
      <c r="G6" s="554" t="s">
        <v>26</v>
      </c>
      <c r="H6" s="554"/>
      <c r="I6" s="554" t="s">
        <v>26</v>
      </c>
      <c r="J6" s="554"/>
      <c r="K6" s="554" t="s">
        <v>26</v>
      </c>
      <c r="L6" s="554"/>
      <c r="M6" s="554" t="s">
        <v>26</v>
      </c>
      <c r="N6" s="554"/>
      <c r="O6" s="348" t="s">
        <v>26</v>
      </c>
      <c r="P6" s="554"/>
      <c r="Q6" s="844" t="s">
        <v>330</v>
      </c>
      <c r="R6" s="844"/>
      <c r="S6" s="844"/>
      <c r="T6" s="844"/>
      <c r="U6" s="844"/>
      <c r="V6" s="554"/>
      <c r="W6" s="554" t="s">
        <v>15</v>
      </c>
      <c r="X6" s="554"/>
      <c r="Y6" s="554" t="s">
        <v>15</v>
      </c>
      <c r="Z6" s="554"/>
    </row>
    <row r="7" spans="1:26" ht="15.75" x14ac:dyDescent="0.25">
      <c r="A7" s="553" t="s">
        <v>36</v>
      </c>
      <c r="B7" s="554"/>
      <c r="C7" s="553" t="s">
        <v>178</v>
      </c>
      <c r="D7" s="554"/>
      <c r="E7" s="553" t="s">
        <v>37</v>
      </c>
      <c r="F7" s="554"/>
      <c r="G7" s="473">
        <v>2008</v>
      </c>
      <c r="H7" s="474"/>
      <c r="I7" s="473">
        <v>2009</v>
      </c>
      <c r="J7" s="474"/>
      <c r="K7" s="473">
        <v>2010</v>
      </c>
      <c r="L7" s="476"/>
      <c r="M7" s="473">
        <v>2011</v>
      </c>
      <c r="N7" s="476"/>
      <c r="O7" s="470">
        <v>2012</v>
      </c>
      <c r="P7" s="474"/>
      <c r="Q7" s="470">
        <v>2013</v>
      </c>
      <c r="R7" s="474"/>
      <c r="S7" s="470">
        <v>2014</v>
      </c>
      <c r="T7" s="474"/>
      <c r="U7" s="470">
        <v>2015</v>
      </c>
      <c r="V7" s="474"/>
      <c r="W7" s="473">
        <v>2008</v>
      </c>
      <c r="X7" s="474"/>
      <c r="Y7" s="473">
        <v>2009</v>
      </c>
      <c r="Z7" s="554"/>
    </row>
    <row r="9" spans="1:26" ht="15.75" x14ac:dyDescent="0.25">
      <c r="A9" s="471">
        <v>1</v>
      </c>
      <c r="C9" s="328" t="s">
        <v>21</v>
      </c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W9" s="419"/>
      <c r="X9" s="419"/>
      <c r="Y9" s="419"/>
      <c r="Z9" s="419"/>
    </row>
    <row r="10" spans="1:26" ht="5.25" customHeight="1" x14ac:dyDescent="0.2">
      <c r="A10" s="471"/>
      <c r="C10" s="97"/>
      <c r="I10" s="419"/>
      <c r="J10" s="419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W10" s="419"/>
      <c r="X10" s="419"/>
      <c r="Y10" s="419"/>
      <c r="Z10" s="419"/>
    </row>
    <row r="11" spans="1:26" x14ac:dyDescent="0.2">
      <c r="A11" s="471">
        <f>A9+1</f>
        <v>2</v>
      </c>
      <c r="C11" s="362" t="s">
        <v>236</v>
      </c>
      <c r="D11" s="419"/>
      <c r="E11" s="117"/>
      <c r="F11" s="419"/>
      <c r="G11" s="142">
        <v>263820</v>
      </c>
      <c r="H11" s="142"/>
      <c r="I11" s="142">
        <v>267230</v>
      </c>
      <c r="J11" s="142"/>
      <c r="K11" s="142">
        <v>276345</v>
      </c>
      <c r="L11" s="142"/>
      <c r="M11" s="142">
        <v>290541</v>
      </c>
      <c r="N11" s="142"/>
      <c r="O11" s="142">
        <v>310264</v>
      </c>
      <c r="P11" s="142"/>
      <c r="Q11" s="142">
        <f>+S3.2!U27</f>
        <v>304011.49057894276</v>
      </c>
      <c r="R11" s="142"/>
      <c r="S11" s="142">
        <f>+S3.2!W27</f>
        <v>314124.69263616967</v>
      </c>
      <c r="T11" s="142"/>
      <c r="U11" s="142">
        <f>+S3.2!Y27</f>
        <v>320964.59716328105</v>
      </c>
      <c r="V11" s="142"/>
      <c r="W11" s="142">
        <v>263765.00909211347</v>
      </c>
      <c r="X11" s="142"/>
      <c r="Y11" s="142">
        <v>267746.66214836919</v>
      </c>
      <c r="Z11" s="142"/>
    </row>
    <row r="12" spans="1:26" x14ac:dyDescent="0.2">
      <c r="A12" s="471">
        <f>A11+1</f>
        <v>3</v>
      </c>
      <c r="C12" s="362" t="s">
        <v>356</v>
      </c>
      <c r="D12" s="419"/>
      <c r="E12" s="117"/>
      <c r="F12" s="419"/>
      <c r="G12" s="204">
        <v>18053</v>
      </c>
      <c r="H12" s="407"/>
      <c r="I12" s="204">
        <v>16843</v>
      </c>
      <c r="J12" s="407"/>
      <c r="K12" s="204">
        <v>10153</v>
      </c>
      <c r="L12" s="142"/>
      <c r="M12" s="204">
        <v>552</v>
      </c>
      <c r="N12" s="142"/>
      <c r="O12" s="204">
        <v>1993</v>
      </c>
      <c r="P12" s="142"/>
      <c r="Q12" s="204">
        <v>0</v>
      </c>
      <c r="R12" s="142"/>
      <c r="S12" s="204">
        <v>0</v>
      </c>
      <c r="T12" s="142"/>
      <c r="U12" s="204">
        <v>0</v>
      </c>
      <c r="V12" s="407"/>
      <c r="W12" s="204">
        <v>16852.75</v>
      </c>
      <c r="X12" s="142"/>
      <c r="Y12" s="204">
        <v>6954.05</v>
      </c>
      <c r="Z12" s="407"/>
    </row>
    <row r="13" spans="1:26" x14ac:dyDescent="0.2">
      <c r="A13" s="471">
        <f>A12+1</f>
        <v>4</v>
      </c>
      <c r="C13" s="362"/>
      <c r="D13" s="419"/>
      <c r="E13" s="117" t="s">
        <v>375</v>
      </c>
      <c r="F13" s="419"/>
      <c r="G13" s="374">
        <f>SUM(G11:G12)</f>
        <v>281873</v>
      </c>
      <c r="H13" s="407"/>
      <c r="I13" s="374">
        <f>SUM(I11:I12)</f>
        <v>284073</v>
      </c>
      <c r="J13" s="407"/>
      <c r="K13" s="374">
        <f>SUM(K11:K12)</f>
        <v>286498</v>
      </c>
      <c r="L13" s="374"/>
      <c r="M13" s="374">
        <f>SUM(M11:M12)</f>
        <v>291093</v>
      </c>
      <c r="N13" s="374"/>
      <c r="O13" s="374">
        <f>SUM(O11:O12)</f>
        <v>312257</v>
      </c>
      <c r="P13" s="374"/>
      <c r="Q13" s="374">
        <f>SUM(Q11:Q12)</f>
        <v>304011.49057894276</v>
      </c>
      <c r="R13" s="374"/>
      <c r="S13" s="374">
        <f>SUM(S11:S12)</f>
        <v>314124.69263616967</v>
      </c>
      <c r="T13" s="374"/>
      <c r="U13" s="374">
        <f>SUM(U11:U12)</f>
        <v>320964.59716328105</v>
      </c>
      <c r="V13" s="407"/>
      <c r="W13" s="366">
        <f>SUM(W11:W12)</f>
        <v>280617.75909211347</v>
      </c>
      <c r="X13" s="407"/>
      <c r="Y13" s="366">
        <f>SUM(Y11:Y12)</f>
        <v>274700.71214836917</v>
      </c>
      <c r="Z13" s="407"/>
    </row>
    <row r="14" spans="1:26" ht="15.75" x14ac:dyDescent="0.25">
      <c r="A14" s="471">
        <f>A13+1</f>
        <v>5</v>
      </c>
      <c r="C14" s="247" t="s">
        <v>184</v>
      </c>
      <c r="D14" s="419"/>
      <c r="E14" s="117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112"/>
      <c r="X14" s="419"/>
      <c r="Y14" s="112"/>
      <c r="Z14" s="419"/>
    </row>
    <row r="15" spans="1:26" ht="7.5" customHeight="1" x14ac:dyDescent="0.2">
      <c r="A15" s="471"/>
      <c r="C15" s="362"/>
      <c r="D15" s="419"/>
      <c r="E15" s="117"/>
      <c r="F15" s="41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90"/>
      <c r="X15" s="79"/>
      <c r="Y15" s="90"/>
      <c r="Z15" s="79"/>
    </row>
    <row r="16" spans="1:26" x14ac:dyDescent="0.2">
      <c r="A16" s="471">
        <f>A14+1</f>
        <v>6</v>
      </c>
      <c r="C16" s="362" t="s">
        <v>792</v>
      </c>
      <c r="D16" s="419"/>
      <c r="E16" s="117" t="s">
        <v>460</v>
      </c>
      <c r="F16" s="419"/>
      <c r="G16" s="113">
        <v>6.8400000000000002E-2</v>
      </c>
      <c r="H16" s="108"/>
      <c r="I16" s="113">
        <v>6.8400000000000002E-2</v>
      </c>
      <c r="J16" s="108"/>
      <c r="K16" s="113">
        <v>6.8400000000000002E-2</v>
      </c>
      <c r="L16" s="113"/>
      <c r="M16" s="113">
        <f>+M22/M11</f>
        <v>7.5517741041711842E-2</v>
      </c>
      <c r="N16" s="113"/>
      <c r="O16" s="113">
        <v>8.2979999999999998E-2</v>
      </c>
      <c r="P16" s="113"/>
      <c r="Q16" s="113">
        <v>8.2979999999999998E-2</v>
      </c>
      <c r="R16" s="113"/>
      <c r="S16" s="113">
        <v>8.2979999999999998E-2</v>
      </c>
      <c r="T16" s="113"/>
      <c r="U16" s="113">
        <v>8.2979999999999998E-2</v>
      </c>
      <c r="V16" s="108"/>
      <c r="W16" s="113">
        <v>6.8400000000000002E-2</v>
      </c>
      <c r="X16" s="108"/>
      <c r="Y16" s="113">
        <v>6.8400000000000002E-2</v>
      </c>
      <c r="Z16" s="108"/>
    </row>
    <row r="17" spans="1:26" x14ac:dyDescent="0.2">
      <c r="A17" s="471">
        <f>A16+1</f>
        <v>7</v>
      </c>
      <c r="C17" s="362" t="s">
        <v>793</v>
      </c>
      <c r="D17" s="419"/>
      <c r="F17" s="419"/>
      <c r="G17" s="325">
        <f>+G23/G12</f>
        <v>6.591702210158977E-2</v>
      </c>
      <c r="H17" s="44"/>
      <c r="I17" s="325">
        <f>+I23/I12</f>
        <v>5.3850264204714123E-2</v>
      </c>
      <c r="J17" s="44"/>
      <c r="K17" s="325">
        <f>+K23/K12</f>
        <v>5.4466660100462916E-2</v>
      </c>
      <c r="L17" s="325"/>
      <c r="M17" s="325">
        <f>+M23/M12</f>
        <v>7.2463768115942032E-2</v>
      </c>
      <c r="N17" s="325"/>
      <c r="O17" s="431">
        <f>+O23/O12</f>
        <v>7.1249372804816857E-2</v>
      </c>
      <c r="P17" s="325"/>
      <c r="Q17" s="44">
        <v>0</v>
      </c>
      <c r="R17" s="325"/>
      <c r="S17" s="325">
        <v>0</v>
      </c>
      <c r="T17" s="325"/>
      <c r="U17" s="325">
        <v>0</v>
      </c>
      <c r="V17" s="44"/>
      <c r="W17" s="248">
        <v>6.0999999999999999E-2</v>
      </c>
      <c r="X17" s="44"/>
      <c r="Y17" s="248">
        <v>6.0999999999999999E-2</v>
      </c>
      <c r="Z17" s="44"/>
    </row>
    <row r="18" spans="1:26" s="419" customFormat="1" x14ac:dyDescent="0.2">
      <c r="A18" s="472">
        <v>8</v>
      </c>
      <c r="C18" s="362" t="s">
        <v>19</v>
      </c>
      <c r="E18" s="11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5">
        <v>0.14929999999999999</v>
      </c>
      <c r="X18" s="286"/>
      <c r="Y18" s="285">
        <f>W18</f>
        <v>0.14929999999999999</v>
      </c>
      <c r="Z18" s="44"/>
    </row>
    <row r="19" spans="1:26" ht="7.5" customHeight="1" x14ac:dyDescent="0.2">
      <c r="A19" s="471"/>
      <c r="C19" s="362"/>
      <c r="D19" s="419"/>
      <c r="E19" s="117"/>
      <c r="F19" s="41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245"/>
      <c r="X19" s="44"/>
      <c r="Y19" s="245"/>
      <c r="Z19" s="44"/>
    </row>
    <row r="20" spans="1:26" ht="15.75" x14ac:dyDescent="0.25">
      <c r="A20" s="471">
        <f>A18+1</f>
        <v>9</v>
      </c>
      <c r="C20" s="247" t="s">
        <v>20</v>
      </c>
      <c r="D20" s="419"/>
      <c r="E20" s="117"/>
      <c r="F20" s="419"/>
      <c r="G20" s="419"/>
      <c r="H20" s="419"/>
      <c r="I20" s="419"/>
      <c r="J20" s="419"/>
      <c r="K20" s="419"/>
      <c r="L20" s="419"/>
      <c r="M20" s="432"/>
      <c r="N20" s="419"/>
      <c r="O20" s="419"/>
      <c r="P20" s="419"/>
      <c r="Q20" s="419"/>
      <c r="R20" s="419"/>
      <c r="S20" s="419"/>
      <c r="T20" s="419"/>
      <c r="U20" s="419"/>
      <c r="V20" s="419"/>
      <c r="W20" s="112"/>
      <c r="X20" s="419"/>
      <c r="Y20" s="112"/>
      <c r="Z20" s="419"/>
    </row>
    <row r="21" spans="1:26" ht="7.5" customHeight="1" x14ac:dyDescent="0.2">
      <c r="A21" s="471"/>
      <c r="C21" s="362"/>
      <c r="D21" s="419"/>
      <c r="E21" s="117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246"/>
      <c r="X21" s="419"/>
      <c r="Y21" s="246"/>
      <c r="Z21" s="419"/>
    </row>
    <row r="22" spans="1:26" x14ac:dyDescent="0.2">
      <c r="A22" s="471">
        <f>A20+1</f>
        <v>10</v>
      </c>
      <c r="C22" s="362" t="s">
        <v>237</v>
      </c>
      <c r="D22" s="419"/>
      <c r="E22" s="117" t="s">
        <v>17</v>
      </c>
      <c r="F22" s="419"/>
      <c r="G22" s="90">
        <f>18045+1</f>
        <v>18046</v>
      </c>
      <c r="H22" s="419"/>
      <c r="I22" s="90">
        <v>18278</v>
      </c>
      <c r="J22" s="419"/>
      <c r="K22" s="90">
        <f>18556+346</f>
        <v>18902</v>
      </c>
      <c r="L22" s="90"/>
      <c r="M22" s="90">
        <f>21939+2</f>
        <v>21941</v>
      </c>
      <c r="N22" s="90"/>
      <c r="O22" s="698">
        <f>+O16*O11</f>
        <v>25745.706719999998</v>
      </c>
      <c r="P22" s="90"/>
      <c r="Q22" s="90">
        <f>+Q16*Q13</f>
        <v>25226.873488240668</v>
      </c>
      <c r="R22" s="90"/>
      <c r="S22" s="90">
        <f>+S16*S13</f>
        <v>26066.066994949357</v>
      </c>
      <c r="T22" s="90"/>
      <c r="U22" s="90">
        <f>+U16*U13</f>
        <v>26633.64227260906</v>
      </c>
      <c r="V22" s="419"/>
      <c r="W22" s="90">
        <f>ROUND(W11*W16,0)</f>
        <v>18042</v>
      </c>
      <c r="X22" s="419"/>
      <c r="Y22" s="90">
        <f>ROUND(Y11*Y16,0)</f>
        <v>18314</v>
      </c>
      <c r="Z22" s="419"/>
    </row>
    <row r="23" spans="1:26" x14ac:dyDescent="0.2">
      <c r="A23" s="471">
        <f>A22+1</f>
        <v>11</v>
      </c>
      <c r="C23" s="362" t="s">
        <v>358</v>
      </c>
      <c r="D23" s="419"/>
      <c r="E23" s="117" t="s">
        <v>18</v>
      </c>
      <c r="F23" s="419"/>
      <c r="G23" s="90">
        <v>1190</v>
      </c>
      <c r="H23" s="419"/>
      <c r="I23" s="90">
        <v>907</v>
      </c>
      <c r="J23" s="419"/>
      <c r="K23" s="90">
        <v>553</v>
      </c>
      <c r="L23" s="90"/>
      <c r="M23" s="90">
        <v>40</v>
      </c>
      <c r="N23" s="90"/>
      <c r="O23" s="698">
        <v>142</v>
      </c>
      <c r="P23" s="90"/>
      <c r="Q23" s="90">
        <v>0</v>
      </c>
      <c r="R23" s="90"/>
      <c r="S23" s="90"/>
      <c r="T23" s="90"/>
      <c r="U23" s="90"/>
      <c r="V23" s="419"/>
      <c r="W23" s="90">
        <f>ROUND(W12*W17,0)</f>
        <v>1028</v>
      </c>
      <c r="X23" s="419"/>
      <c r="Y23" s="90">
        <f>ROUND(Y12*Y17,0)</f>
        <v>424</v>
      </c>
      <c r="Z23" s="419"/>
    </row>
    <row r="24" spans="1:26" x14ac:dyDescent="0.2">
      <c r="A24" s="471">
        <f>A23+1</f>
        <v>12</v>
      </c>
      <c r="C24" s="362" t="str">
        <f>C18</f>
        <v xml:space="preserve">Shortfall Rider J </v>
      </c>
      <c r="D24" s="419"/>
      <c r="E24" s="117" t="s">
        <v>686</v>
      </c>
      <c r="F24" s="419"/>
      <c r="G24" s="90">
        <v>4990</v>
      </c>
      <c r="H24" s="419"/>
      <c r="I24" s="90">
        <v>4026</v>
      </c>
      <c r="J24" s="419"/>
      <c r="K24" s="90">
        <v>4353</v>
      </c>
      <c r="L24" s="90"/>
      <c r="M24" s="90">
        <v>2479</v>
      </c>
      <c r="N24" s="90"/>
      <c r="O24" s="698">
        <f>+S2.1!O68</f>
        <v>1437.367</v>
      </c>
      <c r="P24" s="90"/>
      <c r="Q24" s="90">
        <v>0</v>
      </c>
      <c r="R24" s="90"/>
      <c r="S24" s="90">
        <v>0</v>
      </c>
      <c r="T24" s="90"/>
      <c r="U24" s="90">
        <v>0</v>
      </c>
      <c r="V24" s="419"/>
      <c r="W24" s="90">
        <v>5120.3466999636812</v>
      </c>
      <c r="X24" s="419"/>
      <c r="Y24" s="90">
        <v>5171.8250632818917</v>
      </c>
      <c r="Z24" s="419"/>
    </row>
    <row r="25" spans="1:26" x14ac:dyDescent="0.2">
      <c r="A25" s="471">
        <f>+A24+1</f>
        <v>13</v>
      </c>
      <c r="C25" s="362" t="s">
        <v>630</v>
      </c>
      <c r="D25" s="419"/>
      <c r="E25" s="117"/>
      <c r="F25" s="419"/>
      <c r="G25" s="95">
        <v>-69</v>
      </c>
      <c r="H25" s="419"/>
      <c r="I25" s="95">
        <v>0</v>
      </c>
      <c r="J25" s="419"/>
      <c r="K25" s="95">
        <v>-346</v>
      </c>
      <c r="L25" s="90"/>
      <c r="M25" s="95">
        <v>-367</v>
      </c>
      <c r="N25" s="90"/>
      <c r="O25" s="95">
        <v>-402</v>
      </c>
      <c r="P25" s="90"/>
      <c r="Q25" s="95">
        <f>-369</f>
        <v>-369</v>
      </c>
      <c r="R25" s="90"/>
      <c r="S25" s="95">
        <v>0</v>
      </c>
      <c r="T25" s="90"/>
      <c r="U25" s="95">
        <v>0</v>
      </c>
      <c r="V25" s="419"/>
      <c r="W25" s="95">
        <v>-69</v>
      </c>
      <c r="X25" s="419"/>
      <c r="Y25" s="95">
        <v>-69</v>
      </c>
      <c r="Z25" s="419"/>
    </row>
    <row r="26" spans="1:26" ht="7.5" customHeight="1" x14ac:dyDescent="0.2">
      <c r="A26" s="471"/>
      <c r="C26" s="362"/>
      <c r="D26" s="419"/>
      <c r="E26" s="117"/>
      <c r="F26" s="419"/>
      <c r="G26" s="407"/>
      <c r="H26" s="407"/>
      <c r="I26" s="407"/>
      <c r="J26" s="407"/>
      <c r="K26" s="407"/>
      <c r="L26" s="407"/>
      <c r="M26" s="407"/>
      <c r="N26" s="407"/>
      <c r="O26" s="701"/>
      <c r="P26" s="407"/>
      <c r="Q26" s="407"/>
      <c r="R26" s="407"/>
      <c r="S26" s="407"/>
      <c r="T26" s="407"/>
      <c r="U26" s="407"/>
      <c r="V26" s="407"/>
      <c r="W26" s="90"/>
      <c r="X26" s="407"/>
      <c r="Y26" s="90"/>
      <c r="Z26" s="407"/>
    </row>
    <row r="27" spans="1:26" ht="15.75" thickBot="1" x14ac:dyDescent="0.25">
      <c r="A27" s="471">
        <f>+A25+1</f>
        <v>14</v>
      </c>
      <c r="C27" s="362" t="s">
        <v>183</v>
      </c>
      <c r="D27" s="419"/>
      <c r="E27" s="117" t="s">
        <v>279</v>
      </c>
      <c r="F27" s="419"/>
      <c r="G27" s="324">
        <f>SUM(G22:G25)</f>
        <v>24157</v>
      </c>
      <c r="H27" s="419"/>
      <c r="I27" s="324">
        <f>SUM(I22:I25)</f>
        <v>23211</v>
      </c>
      <c r="J27" s="419"/>
      <c r="K27" s="324">
        <f>SUM(K22:K25)</f>
        <v>23462</v>
      </c>
      <c r="L27" s="90"/>
      <c r="M27" s="324">
        <f>SUM(M22:M25)</f>
        <v>24093</v>
      </c>
      <c r="N27" s="90"/>
      <c r="O27" s="726">
        <f>SUM(O22:O25)</f>
        <v>26923.073719999997</v>
      </c>
      <c r="P27" s="90"/>
      <c r="Q27" s="324">
        <f>SUM(Q22:Q25)</f>
        <v>24857.873488240668</v>
      </c>
      <c r="R27" s="90"/>
      <c r="S27" s="324">
        <f>SUM(S22:S25)</f>
        <v>26066.066994949357</v>
      </c>
      <c r="T27" s="90"/>
      <c r="U27" s="726">
        <f>SUM(U22:U25)</f>
        <v>26633.64227260906</v>
      </c>
      <c r="V27" s="419"/>
      <c r="W27" s="324">
        <f>SUM(W22:W26)</f>
        <v>24121.34669996368</v>
      </c>
      <c r="X27" s="419"/>
      <c r="Y27" s="324">
        <f>SUM(Y22:Y26)</f>
        <v>23840.825063281893</v>
      </c>
      <c r="Z27" s="419"/>
    </row>
    <row r="28" spans="1:26" x14ac:dyDescent="0.2">
      <c r="A28" s="471"/>
      <c r="C28" s="362"/>
      <c r="D28" s="419"/>
      <c r="E28" s="117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90"/>
      <c r="X28" s="419"/>
      <c r="Y28" s="90"/>
    </row>
    <row r="29" spans="1:26" x14ac:dyDescent="0.2">
      <c r="A29" s="471"/>
      <c r="C29" s="362"/>
      <c r="D29" s="419"/>
      <c r="E29" s="117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90"/>
      <c r="X29" s="419"/>
      <c r="Y29" s="90"/>
    </row>
    <row r="30" spans="1:26" x14ac:dyDescent="0.2">
      <c r="C30" s="566" t="s">
        <v>520</v>
      </c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361"/>
      <c r="X30" s="419"/>
      <c r="Y30" s="361"/>
    </row>
    <row r="31" spans="1:26" x14ac:dyDescent="0.2">
      <c r="A31" s="482"/>
      <c r="C31" s="423" t="s">
        <v>621</v>
      </c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</row>
    <row r="32" spans="1:26" ht="10.5" customHeight="1" x14ac:dyDescent="0.2">
      <c r="C32" s="419"/>
      <c r="D32" s="419"/>
      <c r="E32" s="117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</row>
    <row r="33" spans="3:25" ht="10.5" customHeight="1" x14ac:dyDescent="0.2">
      <c r="C33" s="419"/>
      <c r="D33" s="419"/>
      <c r="E33" s="117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</row>
    <row r="34" spans="3:25" ht="13.5" customHeight="1" x14ac:dyDescent="0.2">
      <c r="C34" s="419"/>
      <c r="D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361"/>
      <c r="X34" s="419"/>
      <c r="Y34" s="361"/>
    </row>
    <row r="35" spans="3:25" ht="12.75" customHeight="1" x14ac:dyDescent="0.2">
      <c r="C35" s="419"/>
      <c r="D35" s="419"/>
      <c r="E35" s="117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</row>
    <row r="36" spans="3:25" ht="10.5" customHeight="1" x14ac:dyDescent="0.2">
      <c r="C36" s="419"/>
      <c r="D36" s="419"/>
      <c r="E36" s="117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</row>
    <row r="37" spans="3:25" ht="10.5" customHeight="1" x14ac:dyDescent="0.2"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W37" s="419"/>
    </row>
    <row r="38" spans="3:25" x14ac:dyDescent="0.2"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W38" s="419"/>
    </row>
    <row r="39" spans="3:25" ht="10.5" customHeight="1" x14ac:dyDescent="0.2"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W39" s="419"/>
    </row>
    <row r="40" spans="3:25" x14ac:dyDescent="0.2"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W40" s="419"/>
    </row>
    <row r="41" spans="3:25" x14ac:dyDescent="0.2"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</row>
    <row r="42" spans="3:25" ht="10.5" customHeight="1" x14ac:dyDescent="0.2"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</row>
    <row r="43" spans="3:25" ht="10.5" customHeight="1" x14ac:dyDescent="0.2"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</row>
    <row r="44" spans="3:25" ht="10.5" customHeight="1" x14ac:dyDescent="0.2"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</row>
    <row r="45" spans="3:25" x14ac:dyDescent="0.2"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</row>
    <row r="46" spans="3:25" x14ac:dyDescent="0.2"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</row>
    <row r="47" spans="3:25" x14ac:dyDescent="0.2"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</row>
    <row r="48" spans="3:25" x14ac:dyDescent="0.2"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</row>
    <row r="49" spans="11:21" x14ac:dyDescent="0.2"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</row>
    <row r="50" spans="11:21" x14ac:dyDescent="0.2"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</row>
    <row r="51" spans="11:21" x14ac:dyDescent="0.2"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</row>
    <row r="52" spans="11:21" x14ac:dyDescent="0.2"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</row>
    <row r="53" spans="11:21" x14ac:dyDescent="0.2"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</row>
    <row r="54" spans="11:21" x14ac:dyDescent="0.2"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</row>
    <row r="55" spans="11:21" x14ac:dyDescent="0.2"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</row>
    <row r="56" spans="11:21" x14ac:dyDescent="0.2"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</row>
    <row r="57" spans="11:21" x14ac:dyDescent="0.2"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</row>
    <row r="58" spans="11:21" x14ac:dyDescent="0.2"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</row>
    <row r="59" spans="11:21" x14ac:dyDescent="0.2"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</row>
    <row r="60" spans="11:21" x14ac:dyDescent="0.2"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</row>
    <row r="61" spans="11:21" x14ac:dyDescent="0.2">
      <c r="K61" s="419"/>
      <c r="L61" s="419"/>
      <c r="M61" s="419"/>
      <c r="N61" s="419"/>
      <c r="O61" s="419"/>
      <c r="P61" s="419"/>
      <c r="Q61" s="419"/>
      <c r="R61" s="419"/>
      <c r="S61" s="419"/>
      <c r="T61" s="419"/>
      <c r="U61" s="419"/>
    </row>
    <row r="62" spans="11:21" x14ac:dyDescent="0.2">
      <c r="K62" s="419"/>
      <c r="L62" s="419"/>
      <c r="M62" s="419"/>
      <c r="N62" s="419"/>
      <c r="O62" s="419"/>
      <c r="P62" s="419"/>
      <c r="Q62" s="419"/>
      <c r="R62" s="419"/>
      <c r="S62" s="419"/>
      <c r="T62" s="419"/>
      <c r="U62" s="419"/>
    </row>
    <row r="63" spans="11:21" x14ac:dyDescent="0.2">
      <c r="K63" s="419"/>
      <c r="L63" s="419"/>
      <c r="M63" s="419"/>
      <c r="N63" s="419"/>
      <c r="O63" s="419"/>
      <c r="P63" s="419"/>
      <c r="Q63" s="419"/>
      <c r="R63" s="419"/>
      <c r="S63" s="419"/>
      <c r="T63" s="419"/>
      <c r="U63" s="419"/>
    </row>
    <row r="64" spans="11:21" x14ac:dyDescent="0.2">
      <c r="K64" s="419"/>
      <c r="L64" s="419"/>
      <c r="M64" s="419"/>
      <c r="N64" s="419"/>
      <c r="O64" s="419"/>
      <c r="P64" s="419"/>
      <c r="Q64" s="419"/>
      <c r="R64" s="419"/>
      <c r="S64" s="419"/>
      <c r="T64" s="419"/>
      <c r="U64" s="419"/>
    </row>
    <row r="65" spans="11:21" x14ac:dyDescent="0.2"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</row>
    <row r="66" spans="11:21" x14ac:dyDescent="0.2">
      <c r="K66" s="419"/>
      <c r="L66" s="419"/>
      <c r="M66" s="419"/>
      <c r="N66" s="419"/>
      <c r="O66" s="419"/>
      <c r="P66" s="419"/>
      <c r="Q66" s="419"/>
      <c r="R66" s="419"/>
      <c r="S66" s="419"/>
      <c r="T66" s="419"/>
      <c r="U66" s="419"/>
    </row>
    <row r="67" spans="11:21" x14ac:dyDescent="0.2">
      <c r="K67" s="419"/>
      <c r="L67" s="419"/>
      <c r="M67" s="419"/>
      <c r="N67" s="419"/>
      <c r="O67" s="419"/>
      <c r="P67" s="419"/>
      <c r="Q67" s="419"/>
      <c r="R67" s="419"/>
      <c r="S67" s="419"/>
      <c r="T67" s="419"/>
      <c r="U67" s="419"/>
    </row>
    <row r="68" spans="11:21" x14ac:dyDescent="0.2">
      <c r="K68" s="419"/>
      <c r="L68" s="419"/>
      <c r="M68" s="419"/>
      <c r="N68" s="419"/>
      <c r="O68" s="419"/>
      <c r="P68" s="419"/>
      <c r="Q68" s="419"/>
      <c r="R68" s="419"/>
      <c r="S68" s="419"/>
      <c r="T68" s="419"/>
      <c r="U68" s="419"/>
    </row>
    <row r="69" spans="11:21" x14ac:dyDescent="0.2">
      <c r="K69" s="419"/>
      <c r="L69" s="419"/>
      <c r="M69" s="419"/>
      <c r="N69" s="419"/>
      <c r="O69" s="419"/>
      <c r="P69" s="419"/>
      <c r="Q69" s="419"/>
      <c r="R69" s="419"/>
      <c r="S69" s="419"/>
      <c r="T69" s="419"/>
      <c r="U69" s="419"/>
    </row>
    <row r="70" spans="11:21" x14ac:dyDescent="0.2">
      <c r="K70" s="419"/>
      <c r="L70" s="419"/>
      <c r="M70" s="419"/>
      <c r="N70" s="419"/>
      <c r="O70" s="419"/>
      <c r="P70" s="419"/>
      <c r="Q70" s="419"/>
      <c r="R70" s="419"/>
      <c r="S70" s="419"/>
      <c r="T70" s="419"/>
      <c r="U70" s="419"/>
    </row>
    <row r="71" spans="11:21" x14ac:dyDescent="0.2">
      <c r="K71" s="419"/>
      <c r="L71" s="419"/>
      <c r="M71" s="419"/>
      <c r="N71" s="419"/>
      <c r="O71" s="419"/>
      <c r="P71" s="419"/>
      <c r="Q71" s="419"/>
      <c r="R71" s="419"/>
      <c r="S71" s="419"/>
      <c r="T71" s="419"/>
      <c r="U71" s="419"/>
    </row>
    <row r="72" spans="11:21" x14ac:dyDescent="0.2">
      <c r="K72" s="419"/>
      <c r="L72" s="419"/>
      <c r="M72" s="419"/>
      <c r="N72" s="419"/>
      <c r="O72" s="419"/>
      <c r="P72" s="419"/>
      <c r="Q72" s="419"/>
      <c r="R72" s="419"/>
      <c r="S72" s="419"/>
      <c r="T72" s="419"/>
      <c r="U72" s="419"/>
    </row>
    <row r="73" spans="11:21" x14ac:dyDescent="0.2">
      <c r="K73" s="419"/>
      <c r="L73" s="419"/>
      <c r="M73" s="419"/>
      <c r="N73" s="419"/>
      <c r="O73" s="419"/>
      <c r="P73" s="419"/>
      <c r="Q73" s="419"/>
      <c r="R73" s="419"/>
      <c r="S73" s="419"/>
      <c r="T73" s="419"/>
      <c r="U73" s="419"/>
    </row>
    <row r="74" spans="11:21" x14ac:dyDescent="0.2">
      <c r="K74" s="419"/>
      <c r="L74" s="419"/>
      <c r="M74" s="419"/>
      <c r="N74" s="419"/>
      <c r="O74" s="419"/>
      <c r="P74" s="419"/>
      <c r="Q74" s="419"/>
      <c r="R74" s="419"/>
      <c r="S74" s="419"/>
      <c r="T74" s="419"/>
      <c r="U74" s="419"/>
    </row>
    <row r="75" spans="11:21" x14ac:dyDescent="0.2">
      <c r="K75" s="419"/>
      <c r="L75" s="419"/>
      <c r="M75" s="419"/>
      <c r="N75" s="419"/>
      <c r="O75" s="419"/>
      <c r="P75" s="419"/>
      <c r="Q75" s="419"/>
      <c r="R75" s="419"/>
      <c r="S75" s="419"/>
      <c r="T75" s="419"/>
      <c r="U75" s="419"/>
    </row>
  </sheetData>
  <customSheetViews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5" bottom="0.75" header="0.5" footer="0.5"/>
  <pageSetup scale="56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AE39"/>
  <sheetViews>
    <sheetView view="pageBreakPreview" zoomScaleNormal="85" zoomScaleSheetLayoutView="100" workbookViewId="0">
      <selection activeCell="F44" sqref="F44"/>
    </sheetView>
  </sheetViews>
  <sheetFormatPr defaultColWidth="7.5703125" defaultRowHeight="15" x14ac:dyDescent="0.2"/>
  <cols>
    <col min="1" max="1" width="8.5703125" style="32" customWidth="1"/>
    <col min="2" max="2" width="2.28515625" style="32" customWidth="1"/>
    <col min="3" max="3" width="46" style="32" customWidth="1"/>
    <col min="4" max="4" width="2.28515625" style="32" customWidth="1"/>
    <col min="5" max="5" width="12.140625" style="35" bestFit="1" customWidth="1"/>
    <col min="6" max="6" width="2.28515625" style="32" customWidth="1"/>
    <col min="7" max="7" width="15.28515625" style="32" hidden="1" customWidth="1"/>
    <col min="8" max="8" width="2.5703125" style="32" hidden="1" customWidth="1"/>
    <col min="9" max="9" width="12.7109375" style="32" hidden="1" customWidth="1"/>
    <col min="10" max="10" width="2.5703125" style="32" hidden="1" customWidth="1"/>
    <col min="11" max="11" width="13.85546875" style="32" customWidth="1"/>
    <col min="12" max="12" width="2.28515625" style="32" customWidth="1"/>
    <col min="13" max="13" width="13.85546875" style="32" customWidth="1"/>
    <col min="14" max="14" width="2.28515625" style="32" customWidth="1"/>
    <col min="15" max="15" width="13.85546875" style="32" customWidth="1"/>
    <col min="16" max="16" width="2.28515625" style="32" customWidth="1"/>
    <col min="17" max="17" width="13.85546875" style="32" customWidth="1"/>
    <col min="18" max="18" width="2.28515625" style="32" customWidth="1"/>
    <col min="19" max="19" width="13.85546875" style="32" customWidth="1"/>
    <col min="20" max="20" width="2.28515625" style="32" customWidth="1"/>
    <col min="21" max="21" width="13.85546875" style="32" customWidth="1"/>
    <col min="22" max="22" width="2.28515625" style="32" customWidth="1"/>
    <col min="23" max="23" width="13.85546875" style="32" customWidth="1"/>
    <col min="24" max="24" width="2.28515625" style="32" customWidth="1"/>
    <col min="25" max="25" width="13.85546875" style="32" customWidth="1"/>
    <col min="26" max="26" width="2.28515625" style="32" customWidth="1"/>
    <col min="27" max="27" width="13.85546875" style="32" customWidth="1"/>
    <col min="28" max="28" width="2.28515625" style="32" customWidth="1"/>
    <col min="29" max="29" width="13.85546875" style="32" customWidth="1"/>
    <col min="30" max="30" width="2.28515625" style="32" customWidth="1"/>
    <col min="31" max="16384" width="7.5703125" style="32"/>
  </cols>
  <sheetData>
    <row r="1" spans="1:30" ht="15.75" x14ac:dyDescent="0.25">
      <c r="A1" s="370" t="s">
        <v>539</v>
      </c>
      <c r="B1" s="351"/>
      <c r="C1" s="351"/>
      <c r="D1" s="351"/>
      <c r="E1" s="351"/>
      <c r="F1" s="351"/>
      <c r="G1" s="352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66" t="s">
        <v>830</v>
      </c>
    </row>
    <row r="2" spans="1:30" ht="15.75" x14ac:dyDescent="0.25">
      <c r="A2" s="235" t="s">
        <v>489</v>
      </c>
      <c r="B2" s="351"/>
      <c r="C2" s="351"/>
      <c r="D2" s="351"/>
      <c r="E2" s="351"/>
      <c r="F2" s="351"/>
      <c r="G2" s="353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30" ht="15.75" x14ac:dyDescent="0.25">
      <c r="A3" s="352" t="s">
        <v>308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ht="15.75" x14ac:dyDescent="0.25">
      <c r="A4" s="352" t="s">
        <v>340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30" ht="15.75" x14ac:dyDescent="0.25">
      <c r="A5" s="352"/>
      <c r="B5" s="351"/>
      <c r="C5" s="351"/>
      <c r="D5" s="351"/>
      <c r="E5" s="96"/>
      <c r="F5" s="351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AA5" s="9" t="s">
        <v>461</v>
      </c>
      <c r="AB5" s="14"/>
      <c r="AC5" s="9" t="s">
        <v>461</v>
      </c>
    </row>
    <row r="6" spans="1:30" ht="15.75" x14ac:dyDescent="0.25">
      <c r="A6" s="354" t="s">
        <v>34</v>
      </c>
      <c r="B6" s="354"/>
      <c r="C6" s="354"/>
      <c r="D6" s="354"/>
      <c r="E6" s="354" t="s">
        <v>35</v>
      </c>
      <c r="F6" s="354"/>
      <c r="G6" s="225" t="s">
        <v>26</v>
      </c>
      <c r="H6" s="225"/>
      <c r="I6" s="225" t="s">
        <v>26</v>
      </c>
      <c r="J6" s="225"/>
      <c r="K6" s="225" t="s">
        <v>26</v>
      </c>
      <c r="L6" s="225"/>
      <c r="M6" s="225" t="s">
        <v>26</v>
      </c>
      <c r="N6" s="225"/>
      <c r="O6" s="225" t="s">
        <v>26</v>
      </c>
      <c r="P6" s="225"/>
      <c r="Q6" s="225" t="s">
        <v>26</v>
      </c>
      <c r="R6" s="9"/>
      <c r="S6" s="225" t="s">
        <v>26</v>
      </c>
      <c r="T6" s="9"/>
      <c r="U6" s="847" t="s">
        <v>330</v>
      </c>
      <c r="V6" s="847"/>
      <c r="W6" s="847"/>
      <c r="X6" s="847"/>
      <c r="Y6" s="847"/>
      <c r="Z6" s="9"/>
      <c r="AA6" s="9" t="s">
        <v>15</v>
      </c>
      <c r="AB6" s="9"/>
      <c r="AC6" s="9" t="s">
        <v>15</v>
      </c>
    </row>
    <row r="7" spans="1:30" ht="15.75" x14ac:dyDescent="0.25">
      <c r="A7" s="355" t="s">
        <v>36</v>
      </c>
      <c r="B7" s="354"/>
      <c r="C7" s="355" t="s">
        <v>178</v>
      </c>
      <c r="D7" s="354"/>
      <c r="E7" s="355" t="s">
        <v>37</v>
      </c>
      <c r="F7" s="354"/>
      <c r="G7" s="227">
        <v>2006</v>
      </c>
      <c r="H7" s="225"/>
      <c r="I7" s="227">
        <v>2007</v>
      </c>
      <c r="J7" s="225"/>
      <c r="K7" s="464">
        <v>2008</v>
      </c>
      <c r="L7" s="465"/>
      <c r="M7" s="464">
        <v>2009</v>
      </c>
      <c r="N7" s="465"/>
      <c r="O7" s="464">
        <v>2010</v>
      </c>
      <c r="P7" s="466"/>
      <c r="Q7" s="464">
        <v>2011</v>
      </c>
      <c r="R7" s="452"/>
      <c r="S7" s="464">
        <v>2012</v>
      </c>
      <c r="T7" s="452"/>
      <c r="U7" s="464">
        <v>2013</v>
      </c>
      <c r="V7" s="452"/>
      <c r="W7" s="464">
        <v>2014</v>
      </c>
      <c r="X7" s="466"/>
      <c r="Y7" s="477">
        <v>2015</v>
      </c>
      <c r="Z7" s="452"/>
      <c r="AA7" s="451">
        <v>2008</v>
      </c>
      <c r="AB7" s="452"/>
      <c r="AC7" s="451">
        <v>2009</v>
      </c>
      <c r="AD7" s="478"/>
    </row>
    <row r="8" spans="1:30" x14ac:dyDescent="0.2">
      <c r="A8" s="70"/>
      <c r="B8" s="70"/>
      <c r="C8" s="70"/>
      <c r="D8" s="70"/>
      <c r="E8" s="96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S8" s="70"/>
      <c r="U8" s="70"/>
      <c r="W8" s="70"/>
      <c r="X8" s="70"/>
    </row>
    <row r="9" spans="1:30" ht="15.75" x14ac:dyDescent="0.25">
      <c r="A9" s="472">
        <v>1</v>
      </c>
      <c r="B9" s="70"/>
      <c r="C9" s="356" t="s">
        <v>181</v>
      </c>
      <c r="D9" s="70"/>
      <c r="E9" s="96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S9" s="70"/>
    </row>
    <row r="10" spans="1:30" ht="4.5" customHeight="1" x14ac:dyDescent="0.25">
      <c r="A10" s="472"/>
      <c r="B10" s="70"/>
      <c r="C10" s="247"/>
      <c r="D10" s="70"/>
      <c r="E10" s="9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S10" s="70"/>
    </row>
    <row r="11" spans="1:30" x14ac:dyDescent="0.2">
      <c r="A11" s="472">
        <f>A9+1</f>
        <v>2</v>
      </c>
      <c r="B11" s="70"/>
      <c r="C11" s="362" t="s">
        <v>788</v>
      </c>
      <c r="D11" s="70"/>
      <c r="E11" s="117" t="s">
        <v>685</v>
      </c>
      <c r="F11" s="70"/>
      <c r="G11" s="140" t="e">
        <f>S2.1!#REF!</f>
        <v>#REF!</v>
      </c>
      <c r="H11" s="141"/>
      <c r="I11" s="140" t="e">
        <f>S2.1!#REF!</f>
        <v>#REF!</v>
      </c>
      <c r="J11" s="140"/>
      <c r="K11" s="140">
        <f>+S2.1!G62</f>
        <v>292647</v>
      </c>
      <c r="L11" s="140"/>
      <c r="M11" s="140">
        <f>+S2.1!I62</f>
        <v>293917</v>
      </c>
      <c r="N11" s="140"/>
      <c r="O11" s="140">
        <f>+S2.1!K62</f>
        <v>291808</v>
      </c>
      <c r="P11" s="140"/>
      <c r="Q11" s="140">
        <f>+S2.1!M62</f>
        <v>297445</v>
      </c>
      <c r="R11" s="140"/>
      <c r="S11" s="140">
        <f>+S2.1!O62</f>
        <v>316575.09399999992</v>
      </c>
      <c r="T11" s="140"/>
      <c r="U11" s="140">
        <f>+S2.1!Q62</f>
        <v>310232.44636982796</v>
      </c>
      <c r="V11" s="140"/>
      <c r="W11" s="140">
        <f>+S2.1!T62</f>
        <v>324161.59691470407</v>
      </c>
      <c r="X11" s="140"/>
      <c r="Y11" s="140">
        <f>+S2.1!W62</f>
        <v>330612.07250034495</v>
      </c>
      <c r="Z11" s="140"/>
      <c r="AA11" s="140">
        <f>S2.1!Z62</f>
        <v>292565.43267182645</v>
      </c>
      <c r="AB11" s="140"/>
      <c r="AC11" s="140">
        <f>+S2.1!AC62</f>
        <v>285576.0396888142</v>
      </c>
      <c r="AD11" s="70"/>
    </row>
    <row r="12" spans="1:30" ht="4.5" customHeight="1" x14ac:dyDescent="0.2">
      <c r="A12" s="472"/>
      <c r="B12" s="70"/>
      <c r="C12" s="206"/>
      <c r="D12" s="70"/>
      <c r="E12" s="70"/>
      <c r="F12" s="70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70"/>
    </row>
    <row r="13" spans="1:30" x14ac:dyDescent="0.2">
      <c r="A13" s="472">
        <f>A11+1</f>
        <v>3</v>
      </c>
      <c r="B13" s="70"/>
      <c r="C13" s="362" t="s">
        <v>789</v>
      </c>
      <c r="D13" s="70"/>
      <c r="E13" s="96"/>
      <c r="F13" s="70"/>
      <c r="G13" s="142" t="e">
        <f>G17-G11</f>
        <v>#REF!</v>
      </c>
      <c r="H13" s="141"/>
      <c r="I13" s="142" t="e">
        <f>I17-I11</f>
        <v>#REF!</v>
      </c>
      <c r="J13" s="140"/>
      <c r="K13" s="140">
        <v>18001</v>
      </c>
      <c r="L13" s="140"/>
      <c r="M13" s="140">
        <v>18216</v>
      </c>
      <c r="N13" s="140"/>
      <c r="O13" s="140">
        <f>17932-15</f>
        <v>17917</v>
      </c>
      <c r="P13" s="140"/>
      <c r="Q13" s="140">
        <v>18219</v>
      </c>
      <c r="R13" s="140"/>
      <c r="S13" s="140">
        <v>20380</v>
      </c>
      <c r="T13" s="140"/>
      <c r="U13" s="139">
        <f>+U11*U15</f>
        <v>19234.411674929332</v>
      </c>
      <c r="V13" s="140"/>
      <c r="W13" s="139">
        <f>+W11*W15</f>
        <v>20098.019008711653</v>
      </c>
      <c r="X13" s="140"/>
      <c r="Y13" s="139">
        <f>+Y11*Y15</f>
        <v>20497.948495021388</v>
      </c>
      <c r="Z13" s="140"/>
      <c r="AA13" s="142">
        <f>AA17-AA11</f>
        <v>18139.056825653359</v>
      </c>
      <c r="AB13" s="140"/>
      <c r="AC13" s="142">
        <f>AC17-AC11</f>
        <v>17705.714460706455</v>
      </c>
      <c r="AD13" s="70"/>
    </row>
    <row r="14" spans="1:30" ht="4.5" customHeight="1" x14ac:dyDescent="0.2">
      <c r="A14" s="472"/>
      <c r="B14" s="70"/>
      <c r="C14" s="206"/>
      <c r="D14" s="70"/>
      <c r="E14" s="96"/>
      <c r="F14" s="70"/>
      <c r="G14" s="105"/>
      <c r="H14" s="207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</row>
    <row r="15" spans="1:30" x14ac:dyDescent="0.2">
      <c r="A15" s="472">
        <f>A13+1</f>
        <v>4</v>
      </c>
      <c r="B15" s="70"/>
      <c r="C15" s="206" t="s">
        <v>182</v>
      </c>
      <c r="D15" s="70"/>
      <c r="E15" s="96"/>
      <c r="F15" s="70"/>
      <c r="G15" s="112" t="e">
        <f>G13/G11</f>
        <v>#REF!</v>
      </c>
      <c r="H15" s="109"/>
      <c r="I15" s="112" t="e">
        <f>I13/I11</f>
        <v>#REF!</v>
      </c>
      <c r="J15" s="91"/>
      <c r="K15" s="112">
        <f>K13/K11</f>
        <v>6.1510967137882844E-2</v>
      </c>
      <c r="L15" s="91"/>
      <c r="M15" s="112">
        <f>M13/M11</f>
        <v>6.1976680491431256E-2</v>
      </c>
      <c r="N15" s="91"/>
      <c r="O15" s="112">
        <f>O13/O11</f>
        <v>6.1399961618598529E-2</v>
      </c>
      <c r="P15" s="112"/>
      <c r="Q15" s="112">
        <f>Q13/Q11</f>
        <v>6.1251659970750896E-2</v>
      </c>
      <c r="R15" s="91"/>
      <c r="S15" s="112">
        <f>S13/S11</f>
        <v>6.4376510932979469E-2</v>
      </c>
      <c r="T15" s="91"/>
      <c r="U15" s="112">
        <v>6.2E-2</v>
      </c>
      <c r="V15" s="91"/>
      <c r="W15" s="112">
        <v>6.2E-2</v>
      </c>
      <c r="X15" s="91"/>
      <c r="Y15" s="112">
        <v>6.2E-2</v>
      </c>
      <c r="Z15" s="91"/>
      <c r="AA15" s="112">
        <f>AA13/AA11</f>
        <v>6.2000000000000409E-2</v>
      </c>
      <c r="AB15" s="171"/>
      <c r="AC15" s="112">
        <f>AC13/AC11</f>
        <v>6.1999999999999909E-2</v>
      </c>
      <c r="AD15" s="70"/>
    </row>
    <row r="16" spans="1:30" ht="4.5" customHeight="1" x14ac:dyDescent="0.2">
      <c r="A16" s="472"/>
      <c r="B16" s="70"/>
      <c r="C16" s="206"/>
      <c r="D16" s="70"/>
      <c r="E16" s="96"/>
      <c r="F16" s="70"/>
      <c r="G16" s="289"/>
      <c r="H16" s="207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9"/>
      <c r="AC16" s="70"/>
      <c r="AD16" s="70"/>
    </row>
    <row r="17" spans="1:31" ht="15.75" thickBot="1" x14ac:dyDescent="0.25">
      <c r="A17" s="472">
        <f>A15+1</f>
        <v>5</v>
      </c>
      <c r="B17" s="70"/>
      <c r="C17" s="362" t="s">
        <v>790</v>
      </c>
      <c r="D17" s="70"/>
      <c r="E17" s="96"/>
      <c r="F17" s="70"/>
      <c r="G17" s="144" t="e">
        <f>G29</f>
        <v>#REF!</v>
      </c>
      <c r="H17" s="141"/>
      <c r="I17" s="144" t="e">
        <f>I29</f>
        <v>#REF!</v>
      </c>
      <c r="J17" s="140"/>
      <c r="K17" s="144">
        <f>K29</f>
        <v>310647.61041000002</v>
      </c>
      <c r="L17" s="140"/>
      <c r="M17" s="144">
        <f>M29</f>
        <v>312133.44099999999</v>
      </c>
      <c r="N17" s="140"/>
      <c r="O17" s="144">
        <f>O29</f>
        <v>309725</v>
      </c>
      <c r="P17" s="142"/>
      <c r="Q17" s="144">
        <f>Q29</f>
        <v>315664</v>
      </c>
      <c r="R17" s="140"/>
      <c r="S17" s="144">
        <f>S29</f>
        <v>336955</v>
      </c>
      <c r="T17" s="140"/>
      <c r="U17" s="144">
        <f>+U11+U13</f>
        <v>329466.85804475727</v>
      </c>
      <c r="V17" s="140"/>
      <c r="W17" s="144">
        <f>+W11+W13</f>
        <v>344259.61592341575</v>
      </c>
      <c r="X17" s="140"/>
      <c r="Y17" s="144">
        <f>+Y11+Y13</f>
        <v>351110.02099536633</v>
      </c>
      <c r="Z17" s="140"/>
      <c r="AA17" s="144">
        <f>AA29</f>
        <v>310704.48949747981</v>
      </c>
      <c r="AB17" s="140"/>
      <c r="AC17" s="144">
        <f>AC29</f>
        <v>303281.75414952065</v>
      </c>
      <c r="AD17" s="70"/>
    </row>
    <row r="18" spans="1:31" x14ac:dyDescent="0.2">
      <c r="A18" s="472"/>
      <c r="B18" s="70"/>
      <c r="C18" s="70"/>
      <c r="D18" s="70"/>
      <c r="E18" s="96"/>
      <c r="F18" s="70"/>
      <c r="G18" s="105"/>
      <c r="H18" s="207"/>
      <c r="I18" s="70"/>
      <c r="J18" s="70"/>
      <c r="K18" s="70"/>
      <c r="L18" s="70"/>
      <c r="M18" s="70"/>
      <c r="N18" s="70"/>
      <c r="O18" s="70"/>
      <c r="P18" s="70"/>
      <c r="Q18" s="70"/>
      <c r="S18" s="70"/>
      <c r="U18" s="70"/>
      <c r="W18" s="70"/>
      <c r="Y18" s="70"/>
      <c r="AA18" s="334"/>
      <c r="AB18" s="70"/>
      <c r="AC18" s="70"/>
    </row>
    <row r="19" spans="1:31" ht="15.75" x14ac:dyDescent="0.25">
      <c r="A19" s="472">
        <f>A17+1</f>
        <v>6</v>
      </c>
      <c r="B19" s="70"/>
      <c r="C19" s="357" t="s">
        <v>341</v>
      </c>
      <c r="D19" s="70"/>
      <c r="E19" s="96"/>
      <c r="F19" s="70"/>
      <c r="G19" s="105"/>
      <c r="H19" s="207"/>
      <c r="I19" s="70"/>
      <c r="J19" s="70"/>
      <c r="K19" s="70"/>
      <c r="L19" s="70"/>
      <c r="M19" s="70"/>
      <c r="N19" s="70"/>
      <c r="O19" s="70"/>
      <c r="P19" s="70"/>
      <c r="Q19" s="70"/>
      <c r="S19" s="70"/>
      <c r="U19" s="70"/>
      <c r="W19" s="70"/>
      <c r="Y19" s="70"/>
      <c r="AA19" s="70"/>
      <c r="AB19" s="70"/>
      <c r="AC19" s="70"/>
    </row>
    <row r="20" spans="1:31" ht="4.5" customHeight="1" x14ac:dyDescent="0.2">
      <c r="A20" s="472"/>
      <c r="B20" s="70"/>
      <c r="C20" s="70"/>
      <c r="D20" s="70"/>
      <c r="E20" s="96"/>
      <c r="F20" s="70"/>
      <c r="G20" s="105"/>
      <c r="H20" s="207"/>
      <c r="I20" s="70"/>
      <c r="J20" s="70"/>
      <c r="K20" s="70"/>
      <c r="L20" s="70"/>
      <c r="M20" s="70"/>
      <c r="N20" s="70"/>
      <c r="O20" s="70"/>
      <c r="P20" s="70"/>
      <c r="Q20" s="70"/>
      <c r="S20" s="70"/>
      <c r="U20" s="70"/>
      <c r="W20" s="70"/>
      <c r="Y20" s="70"/>
      <c r="AA20" s="70"/>
      <c r="AB20" s="70"/>
      <c r="AC20" s="70"/>
    </row>
    <row r="21" spans="1:31" x14ac:dyDescent="0.2">
      <c r="A21" s="472">
        <v>7</v>
      </c>
      <c r="B21" s="70"/>
      <c r="C21" s="419" t="s">
        <v>786</v>
      </c>
      <c r="D21" s="70"/>
      <c r="E21" s="96"/>
      <c r="F21" s="70"/>
      <c r="G21" s="105">
        <v>8216</v>
      </c>
      <c r="H21" s="207"/>
      <c r="I21" s="105">
        <v>9025</v>
      </c>
      <c r="J21" s="70"/>
      <c r="K21" s="140">
        <v>6551.16</v>
      </c>
      <c r="L21" s="70"/>
      <c r="M21" s="140">
        <v>8094</v>
      </c>
      <c r="N21" s="70"/>
      <c r="O21" s="140">
        <v>3388</v>
      </c>
      <c r="P21" s="140"/>
      <c r="Q21" s="140">
        <v>3638</v>
      </c>
      <c r="S21" s="140">
        <v>3388</v>
      </c>
      <c r="U21" s="725">
        <f>8730*45%+8730*55%/12*1</f>
        <v>4328.625</v>
      </c>
      <c r="W21" s="140">
        <v>8730</v>
      </c>
      <c r="X21" s="419"/>
      <c r="Y21" s="140">
        <f>+W21</f>
        <v>8730</v>
      </c>
      <c r="AA21" s="142">
        <v>7722.6923076923049</v>
      </c>
      <c r="AB21" s="140"/>
      <c r="AC21" s="142">
        <v>7722.6923076923049</v>
      </c>
      <c r="AD21" s="419"/>
      <c r="AE21" s="419"/>
    </row>
    <row r="22" spans="1:31" ht="4.5" customHeight="1" x14ac:dyDescent="0.2">
      <c r="A22" s="472"/>
      <c r="B22" s="70"/>
      <c r="C22" s="70"/>
      <c r="D22" s="70"/>
      <c r="E22" s="96"/>
      <c r="F22" s="70"/>
      <c r="G22" s="105"/>
      <c r="H22" s="207"/>
      <c r="I22" s="105"/>
      <c r="J22" s="70"/>
      <c r="K22" s="70"/>
      <c r="L22" s="70"/>
      <c r="M22" s="70"/>
      <c r="N22" s="70"/>
      <c r="O22" s="70"/>
      <c r="P22" s="70"/>
      <c r="Q22" s="70"/>
      <c r="S22" s="70"/>
      <c r="U22" s="258"/>
      <c r="W22" s="70"/>
      <c r="Y22" s="70"/>
      <c r="AA22" s="105"/>
      <c r="AB22" s="70"/>
      <c r="AC22" s="58"/>
    </row>
    <row r="23" spans="1:31" x14ac:dyDescent="0.2">
      <c r="A23" s="472">
        <v>8</v>
      </c>
      <c r="B23" s="70"/>
      <c r="C23" s="419" t="s">
        <v>791</v>
      </c>
      <c r="D23" s="70"/>
      <c r="E23" s="96" t="s">
        <v>374</v>
      </c>
      <c r="F23" s="70"/>
      <c r="G23" s="142">
        <v>39</v>
      </c>
      <c r="H23" s="141"/>
      <c r="I23" s="142">
        <v>131</v>
      </c>
      <c r="J23" s="140"/>
      <c r="K23" s="140">
        <v>158.77199999999999</v>
      </c>
      <c r="L23" s="140"/>
      <c r="M23" s="140">
        <v>213</v>
      </c>
      <c r="N23" s="140"/>
      <c r="O23" s="140">
        <v>72</v>
      </c>
      <c r="P23" s="140"/>
      <c r="Q23" s="140">
        <v>446</v>
      </c>
      <c r="R23" s="139"/>
      <c r="S23" s="140">
        <v>25</v>
      </c>
      <c r="T23" s="139"/>
      <c r="U23" s="725">
        <v>70</v>
      </c>
      <c r="V23" s="139"/>
      <c r="W23" s="140">
        <v>70</v>
      </c>
      <c r="X23" s="139"/>
      <c r="Y23" s="140">
        <v>70</v>
      </c>
      <c r="Z23" s="139"/>
      <c r="AA23" s="142">
        <v>44</v>
      </c>
      <c r="AB23" s="140"/>
      <c r="AC23" s="145">
        <v>44</v>
      </c>
    </row>
    <row r="24" spans="1:31" ht="4.5" customHeight="1" x14ac:dyDescent="0.2">
      <c r="A24" s="472"/>
      <c r="B24" s="70"/>
      <c r="C24" s="70"/>
      <c r="D24" s="70"/>
      <c r="E24" s="96"/>
      <c r="F24" s="70"/>
      <c r="G24" s="142"/>
      <c r="H24" s="141"/>
      <c r="I24" s="142"/>
      <c r="J24" s="140"/>
      <c r="K24" s="140"/>
      <c r="L24" s="140"/>
      <c r="M24" s="140"/>
      <c r="N24" s="140"/>
      <c r="O24" s="140"/>
      <c r="P24" s="140"/>
      <c r="Q24" s="140"/>
      <c r="R24" s="139"/>
      <c r="S24" s="140"/>
      <c r="T24" s="139"/>
      <c r="U24" s="725"/>
      <c r="V24" s="139"/>
      <c r="W24" s="140"/>
      <c r="X24" s="139"/>
      <c r="Y24" s="140"/>
      <c r="Z24" s="139"/>
      <c r="AA24" s="142"/>
      <c r="AB24" s="140"/>
      <c r="AC24" s="145"/>
    </row>
    <row r="25" spans="1:31" x14ac:dyDescent="0.2">
      <c r="A25" s="472">
        <v>9</v>
      </c>
      <c r="B25" s="70"/>
      <c r="C25" s="419" t="s">
        <v>787</v>
      </c>
      <c r="D25" s="70"/>
      <c r="E25" s="96" t="s">
        <v>374</v>
      </c>
      <c r="F25" s="70"/>
      <c r="G25" s="142">
        <v>22125</v>
      </c>
      <c r="H25" s="141"/>
      <c r="I25" s="142">
        <f>S4.1!I9-I23</f>
        <v>22203</v>
      </c>
      <c r="J25" s="140"/>
      <c r="K25" s="140">
        <f>22223.451-158.77259</f>
        <v>22064.67841</v>
      </c>
      <c r="L25" s="140"/>
      <c r="M25" s="140">
        <f>19966.441-M23</f>
        <v>19753.440999999999</v>
      </c>
      <c r="N25" s="140"/>
      <c r="O25" s="140">
        <f>19839-O23</f>
        <v>19767</v>
      </c>
      <c r="P25" s="140"/>
      <c r="Q25" s="140">
        <f>20933-Q23</f>
        <v>20487</v>
      </c>
      <c r="R25" s="139"/>
      <c r="S25" s="140">
        <f>21310-25</f>
        <v>21285</v>
      </c>
      <c r="T25" s="139"/>
      <c r="U25" s="725">
        <f>+S4.1!U9-U23</f>
        <v>21056.742465814536</v>
      </c>
      <c r="V25" s="139"/>
      <c r="W25" s="140">
        <f>+S4.1!W9-W23</f>
        <v>21334.923287246096</v>
      </c>
      <c r="X25" s="139"/>
      <c r="Y25" s="140">
        <f>+S4.1!Y9-Y23</f>
        <v>21345.423832085256</v>
      </c>
      <c r="Z25" s="139"/>
      <c r="AA25" s="142">
        <f>S4.1!AA9-AA23</f>
        <v>22320.038097674009</v>
      </c>
      <c r="AB25" s="140"/>
      <c r="AC25" s="145">
        <f>S4.1!AC9-AC23</f>
        <v>20814.349693459164</v>
      </c>
    </row>
    <row r="26" spans="1:31" ht="4.5" customHeight="1" x14ac:dyDescent="0.2">
      <c r="A26" s="472"/>
      <c r="B26" s="70"/>
      <c r="C26" s="70"/>
      <c r="D26" s="70"/>
      <c r="E26" s="96"/>
      <c r="F26" s="70"/>
      <c r="G26" s="142"/>
      <c r="H26" s="141"/>
      <c r="I26" s="142"/>
      <c r="J26" s="140"/>
      <c r="K26" s="140"/>
      <c r="L26" s="140"/>
      <c r="M26" s="140"/>
      <c r="N26" s="140"/>
      <c r="O26" s="140"/>
      <c r="P26" s="140"/>
      <c r="Q26" s="140"/>
      <c r="R26" s="139"/>
      <c r="S26" s="140"/>
      <c r="T26" s="139"/>
      <c r="U26" s="725"/>
      <c r="V26" s="139"/>
      <c r="W26" s="140"/>
      <c r="X26" s="139"/>
      <c r="Y26" s="140"/>
      <c r="Z26" s="139"/>
      <c r="AA26" s="142"/>
      <c r="AB26" s="140"/>
      <c r="AC26" s="145"/>
    </row>
    <row r="27" spans="1:31" x14ac:dyDescent="0.2">
      <c r="A27" s="472">
        <v>10</v>
      </c>
      <c r="B27" s="70"/>
      <c r="C27" s="70" t="s">
        <v>235</v>
      </c>
      <c r="D27" s="70"/>
      <c r="E27" s="96" t="s">
        <v>287</v>
      </c>
      <c r="F27" s="70"/>
      <c r="G27" s="204" t="e">
        <f>S3.1!#REF!</f>
        <v>#REF!</v>
      </c>
      <c r="H27" s="141"/>
      <c r="I27" s="204" t="e">
        <f>S3.1!#REF!</f>
        <v>#REF!</v>
      </c>
      <c r="J27" s="140"/>
      <c r="K27" s="140">
        <f>+S3.1!G13</f>
        <v>281873</v>
      </c>
      <c r="L27" s="140"/>
      <c r="M27" s="140">
        <f>+S3.1!I13</f>
        <v>284073</v>
      </c>
      <c r="N27" s="140"/>
      <c r="O27" s="140">
        <f>+S3.1!K13</f>
        <v>286498</v>
      </c>
      <c r="P27" s="140"/>
      <c r="Q27" s="140">
        <f>+S3.1!M13</f>
        <v>291093</v>
      </c>
      <c r="R27" s="139"/>
      <c r="S27" s="140">
        <f>+S3.1!O13</f>
        <v>312257</v>
      </c>
      <c r="T27" s="139"/>
      <c r="U27" s="725">
        <f>+U17-U21-U23-U25</f>
        <v>304011.49057894276</v>
      </c>
      <c r="V27" s="139"/>
      <c r="W27" s="140">
        <f>+W17-W21-W23-W25</f>
        <v>314124.69263616967</v>
      </c>
      <c r="X27" s="139"/>
      <c r="Y27" s="140">
        <f>+Y17-Y21-Y23-Y25</f>
        <v>320964.59716328105</v>
      </c>
      <c r="Z27" s="139"/>
      <c r="AA27" s="142">
        <f>S3.1!W13</f>
        <v>280617.75909211347</v>
      </c>
      <c r="AB27" s="142"/>
      <c r="AC27" s="145">
        <f>S3.1!Y13</f>
        <v>274700.71214836917</v>
      </c>
    </row>
    <row r="28" spans="1:31" s="481" customFormat="1" ht="4.5" customHeight="1" x14ac:dyDescent="0.2">
      <c r="A28" s="472"/>
      <c r="B28" s="419"/>
      <c r="C28" s="419"/>
      <c r="D28" s="419"/>
      <c r="E28" s="117"/>
      <c r="F28" s="419"/>
      <c r="G28" s="142"/>
      <c r="H28" s="141"/>
      <c r="I28" s="142"/>
      <c r="J28" s="140"/>
      <c r="K28" s="140"/>
      <c r="L28" s="140"/>
      <c r="M28" s="140"/>
      <c r="N28" s="140"/>
      <c r="O28" s="140"/>
      <c r="P28" s="140"/>
      <c r="Q28" s="140"/>
      <c r="R28" s="139"/>
      <c r="S28" s="140"/>
      <c r="T28" s="139"/>
      <c r="U28" s="725"/>
      <c r="V28" s="139"/>
      <c r="W28" s="140"/>
      <c r="X28" s="139"/>
      <c r="Y28" s="140"/>
      <c r="Z28" s="139"/>
      <c r="AA28" s="142"/>
      <c r="AB28" s="140"/>
      <c r="AC28" s="145"/>
    </row>
    <row r="29" spans="1:31" ht="15.75" thickBot="1" x14ac:dyDescent="0.25">
      <c r="A29" s="472">
        <v>11</v>
      </c>
      <c r="B29" s="70"/>
      <c r="C29" s="70"/>
      <c r="D29" s="70"/>
      <c r="E29" s="96"/>
      <c r="F29" s="70"/>
      <c r="G29" s="144" t="e">
        <f>SUM(G21:G27)</f>
        <v>#REF!</v>
      </c>
      <c r="H29" s="141"/>
      <c r="I29" s="144" t="e">
        <f>SUM(I21:I27)</f>
        <v>#REF!</v>
      </c>
      <c r="J29" s="140"/>
      <c r="K29" s="144">
        <f>SUM(K21:K27)</f>
        <v>310647.61041000002</v>
      </c>
      <c r="L29" s="140"/>
      <c r="M29" s="144">
        <f>SUM(M21:M27)</f>
        <v>312133.44099999999</v>
      </c>
      <c r="N29" s="140"/>
      <c r="O29" s="144">
        <f>SUM(O21:O27)</f>
        <v>309725</v>
      </c>
      <c r="P29" s="142"/>
      <c r="Q29" s="144">
        <f>SUM(Q21:Q27)</f>
        <v>315664</v>
      </c>
      <c r="R29" s="139"/>
      <c r="S29" s="144">
        <f>SUM(S21:S27)</f>
        <v>336955</v>
      </c>
      <c r="T29" s="139"/>
      <c r="U29" s="727">
        <f>SUM(U21:U27)</f>
        <v>329466.85804475727</v>
      </c>
      <c r="V29" s="139"/>
      <c r="W29" s="144">
        <f>SUM(W21:W27)</f>
        <v>344259.61592341575</v>
      </c>
      <c r="X29" s="139"/>
      <c r="Y29" s="144">
        <f>SUM(Y21:Y27)</f>
        <v>351110.02099536633</v>
      </c>
      <c r="Z29" s="139"/>
      <c r="AA29" s="144">
        <f>SUM(AA21:AA27)</f>
        <v>310704.48949747981</v>
      </c>
      <c r="AB29" s="140"/>
      <c r="AC29" s="143">
        <f>SUM(AC21:AC27)</f>
        <v>303281.75414952065</v>
      </c>
    </row>
    <row r="30" spans="1:31" x14ac:dyDescent="0.2">
      <c r="A30" s="472"/>
      <c r="B30" s="70"/>
      <c r="C30" s="70"/>
      <c r="D30" s="70"/>
      <c r="E30" s="96"/>
      <c r="F30" s="70"/>
      <c r="G30" s="105"/>
      <c r="H30" s="207"/>
      <c r="I30" s="105"/>
      <c r="J30" s="79"/>
      <c r="K30" s="79"/>
      <c r="L30" s="79"/>
      <c r="M30" s="79"/>
      <c r="N30" s="79"/>
      <c r="O30" s="79"/>
      <c r="P30" s="79"/>
      <c r="Q30" s="79"/>
      <c r="R30" s="39"/>
      <c r="S30" s="79"/>
      <c r="T30" s="39"/>
      <c r="U30" s="79"/>
      <c r="V30" s="39"/>
      <c r="W30" s="79"/>
      <c r="X30" s="39"/>
      <c r="Y30" s="79"/>
      <c r="Z30" s="39"/>
      <c r="AA30" s="105"/>
      <c r="AB30" s="79"/>
      <c r="AC30" s="58"/>
    </row>
    <row r="31" spans="1:31" ht="15.75" x14ac:dyDescent="0.25">
      <c r="A31" s="472">
        <v>12</v>
      </c>
      <c r="B31" s="70"/>
      <c r="C31" s="357" t="s">
        <v>269</v>
      </c>
      <c r="D31" s="70"/>
      <c r="E31" s="96"/>
      <c r="F31" s="70"/>
      <c r="G31" s="105"/>
      <c r="H31" s="207"/>
      <c r="I31" s="105"/>
      <c r="J31" s="79"/>
      <c r="K31" s="79"/>
      <c r="L31" s="79"/>
      <c r="M31" s="79"/>
      <c r="N31" s="79"/>
      <c r="O31" s="79"/>
      <c r="P31" s="79"/>
      <c r="Q31" s="79"/>
      <c r="R31" s="39"/>
      <c r="S31" s="79"/>
      <c r="T31" s="39"/>
      <c r="U31" s="79"/>
      <c r="V31" s="39"/>
      <c r="W31" s="79"/>
      <c r="X31" s="39"/>
      <c r="Y31" s="79"/>
      <c r="Z31" s="39"/>
      <c r="AA31" s="105"/>
      <c r="AB31" s="79"/>
      <c r="AC31" s="58"/>
    </row>
    <row r="32" spans="1:31" ht="4.5" customHeight="1" x14ac:dyDescent="0.2">
      <c r="A32" s="472"/>
      <c r="B32" s="70"/>
      <c r="C32" s="70"/>
      <c r="D32" s="70"/>
      <c r="E32" s="96"/>
      <c r="F32" s="70"/>
      <c r="G32" s="105"/>
      <c r="H32" s="207"/>
      <c r="I32" s="105"/>
      <c r="J32" s="79"/>
      <c r="K32" s="79"/>
      <c r="L32" s="79"/>
      <c r="M32" s="79"/>
      <c r="N32" s="79"/>
      <c r="O32" s="79"/>
      <c r="P32" s="79"/>
      <c r="Q32" s="79"/>
      <c r="R32" s="39"/>
      <c r="S32" s="79"/>
      <c r="T32" s="39"/>
      <c r="U32" s="79"/>
      <c r="V32" s="39"/>
      <c r="W32" s="79"/>
      <c r="X32" s="39"/>
      <c r="Y32" s="79"/>
      <c r="Z32" s="39"/>
      <c r="AA32" s="105"/>
      <c r="AB32" s="79"/>
      <c r="AC32" s="58"/>
    </row>
    <row r="33" spans="1:29" x14ac:dyDescent="0.2">
      <c r="A33" s="472">
        <v>13</v>
      </c>
      <c r="B33" s="70"/>
      <c r="C33" s="419" t="s">
        <v>786</v>
      </c>
      <c r="D33" s="70"/>
      <c r="E33" s="96"/>
      <c r="F33" s="70"/>
      <c r="G33" s="338" t="e">
        <f>G21/G29</f>
        <v>#REF!</v>
      </c>
      <c r="H33" s="358"/>
      <c r="I33" s="338" t="e">
        <f>I21/I29</f>
        <v>#REF!</v>
      </c>
      <c r="J33" s="79"/>
      <c r="K33" s="359">
        <v>2.1000000000000001E-2</v>
      </c>
      <c r="L33" s="79"/>
      <c r="M33" s="338">
        <f>M21/M29</f>
        <v>2.5931217027143207E-2</v>
      </c>
      <c r="N33" s="79"/>
      <c r="O33" s="338">
        <f>O21/O29</f>
        <v>1.0938735975462103E-2</v>
      </c>
      <c r="P33" s="338"/>
      <c r="Q33" s="338">
        <f>Q21/Q29</f>
        <v>1.1524912565259263E-2</v>
      </c>
      <c r="R33" s="39"/>
      <c r="S33" s="338">
        <f>S21/S29</f>
        <v>1.0054755085990711E-2</v>
      </c>
      <c r="T33" s="39"/>
      <c r="U33" s="338">
        <f>U21/U29</f>
        <v>1.3138271405168064E-2</v>
      </c>
      <c r="V33" s="39"/>
      <c r="W33" s="338">
        <f>W21/W29</f>
        <v>2.5358768778566472E-2</v>
      </c>
      <c r="X33" s="39"/>
      <c r="Y33" s="338">
        <f>Y21/Y29</f>
        <v>2.4864001247390233E-2</v>
      </c>
      <c r="Z33" s="39"/>
      <c r="AA33" s="338">
        <f>AA21/AA29</f>
        <v>2.485542555301553E-2</v>
      </c>
      <c r="AB33" s="222"/>
      <c r="AC33" s="222">
        <f>AC21/AC29</f>
        <v>2.5463755079327809E-2</v>
      </c>
    </row>
    <row r="34" spans="1:29" ht="4.5" customHeight="1" x14ac:dyDescent="0.2">
      <c r="A34" s="472"/>
      <c r="B34" s="70"/>
      <c r="C34" s="70"/>
      <c r="D34" s="70"/>
      <c r="E34" s="96"/>
      <c r="F34" s="70"/>
      <c r="G34" s="338"/>
      <c r="H34" s="358"/>
      <c r="I34" s="338"/>
      <c r="J34" s="79"/>
      <c r="K34" s="359"/>
      <c r="L34" s="79"/>
      <c r="M34" s="338"/>
      <c r="N34" s="79"/>
      <c r="O34" s="338"/>
      <c r="P34" s="338"/>
      <c r="Q34" s="338"/>
      <c r="R34" s="39"/>
      <c r="S34" s="338"/>
      <c r="T34" s="39"/>
      <c r="U34" s="338"/>
      <c r="V34" s="39"/>
      <c r="W34" s="338"/>
      <c r="X34" s="39"/>
      <c r="Y34" s="338"/>
      <c r="Z34" s="39"/>
      <c r="AA34" s="338"/>
      <c r="AB34" s="222"/>
      <c r="AC34" s="222"/>
    </row>
    <row r="35" spans="1:29" x14ac:dyDescent="0.2">
      <c r="A35" s="472">
        <v>14</v>
      </c>
      <c r="B35" s="70"/>
      <c r="C35" s="419" t="s">
        <v>787</v>
      </c>
      <c r="D35" s="70"/>
      <c r="E35" s="96"/>
      <c r="F35" s="70"/>
      <c r="G35" s="112" t="e">
        <f>(G23+G25)/G29</f>
        <v>#REF!</v>
      </c>
      <c r="H35" s="358"/>
      <c r="I35" s="112" t="e">
        <f>(I23+I25)/I29</f>
        <v>#REF!</v>
      </c>
      <c r="J35" s="79"/>
      <c r="K35" s="359">
        <v>7.3999999999999996E-2</v>
      </c>
      <c r="L35" s="79"/>
      <c r="M35" s="112">
        <f>(M23+M25)/M29</f>
        <v>6.3967644530596765E-2</v>
      </c>
      <c r="N35" s="79"/>
      <c r="O35" s="112">
        <f>(O23+O25)/O29</f>
        <v>6.4053595931875054E-2</v>
      </c>
      <c r="P35" s="112"/>
      <c r="Q35" s="112">
        <f>(Q23+Q25)/Q29</f>
        <v>6.6314182168381572E-2</v>
      </c>
      <c r="R35" s="39"/>
      <c r="S35" s="112">
        <f>(S23+S25)/S29</f>
        <v>6.3242866258105684E-2</v>
      </c>
      <c r="T35" s="39"/>
      <c r="U35" s="112">
        <f>(U23+U25)/U29</f>
        <v>6.4124029321773302E-2</v>
      </c>
      <c r="V35" s="39"/>
      <c r="W35" s="112">
        <f>(W23+W25)/W29</f>
        <v>6.2176689617895381E-2</v>
      </c>
      <c r="X35" s="39"/>
      <c r="Y35" s="112">
        <f>(Y23+Y25)/Y29</f>
        <v>6.0993485094428222E-2</v>
      </c>
      <c r="Z35" s="39"/>
      <c r="AA35" s="338">
        <f>(AA23+AA25)/AA29</f>
        <v>7.1978483908760535E-2</v>
      </c>
      <c r="AB35" s="222"/>
      <c r="AC35" s="222">
        <f>(AC23+AC25)/AC29</f>
        <v>6.8775484868686856E-2</v>
      </c>
    </row>
    <row r="36" spans="1:29" ht="4.5" customHeight="1" x14ac:dyDescent="0.2">
      <c r="A36" s="472"/>
      <c r="B36" s="70"/>
      <c r="C36" s="70"/>
      <c r="D36" s="70"/>
      <c r="E36" s="96"/>
      <c r="F36" s="70"/>
      <c r="G36" s="338"/>
      <c r="H36" s="358"/>
      <c r="I36" s="338"/>
      <c r="J36" s="79"/>
      <c r="K36" s="359"/>
      <c r="L36" s="79"/>
      <c r="M36" s="338"/>
      <c r="N36" s="79"/>
      <c r="O36" s="338"/>
      <c r="P36" s="338"/>
      <c r="Q36" s="338"/>
      <c r="R36" s="39"/>
      <c r="S36" s="338"/>
      <c r="T36" s="39"/>
      <c r="U36" s="338"/>
      <c r="V36" s="39"/>
      <c r="W36" s="338"/>
      <c r="X36" s="39"/>
      <c r="Y36" s="338"/>
      <c r="Z36" s="39"/>
      <c r="AA36" s="338"/>
      <c r="AB36" s="222"/>
      <c r="AC36" s="222"/>
    </row>
    <row r="37" spans="1:29" x14ac:dyDescent="0.2">
      <c r="A37" s="472">
        <v>15</v>
      </c>
      <c r="B37" s="70"/>
      <c r="C37" s="70" t="s">
        <v>235</v>
      </c>
      <c r="D37" s="70"/>
      <c r="E37" s="96"/>
      <c r="F37" s="70"/>
      <c r="G37" s="112" t="e">
        <f>G27/G29</f>
        <v>#REF!</v>
      </c>
      <c r="H37" s="358"/>
      <c r="I37" s="112" t="e">
        <f>I27/I29</f>
        <v>#REF!</v>
      </c>
      <c r="J37" s="79"/>
      <c r="K37" s="359">
        <v>0.90500000000000003</v>
      </c>
      <c r="L37" s="79"/>
      <c r="M37" s="112">
        <f>M27/M29</f>
        <v>0.91010113844226004</v>
      </c>
      <c r="N37" s="79"/>
      <c r="O37" s="112">
        <f>O27/O29</f>
        <v>0.92500766809266288</v>
      </c>
      <c r="P37" s="112"/>
      <c r="Q37" s="112">
        <f>Q27/Q29</f>
        <v>0.92216090526635919</v>
      </c>
      <c r="R37" s="39"/>
      <c r="S37" s="112">
        <f>S27/S29</f>
        <v>0.92670237865590366</v>
      </c>
      <c r="T37" s="39"/>
      <c r="U37" s="112">
        <f>U27/U29</f>
        <v>0.92273769927305871</v>
      </c>
      <c r="V37" s="39"/>
      <c r="W37" s="112">
        <f>W27/W29</f>
        <v>0.91246454160353818</v>
      </c>
      <c r="X37" s="39"/>
      <c r="Y37" s="112">
        <f>Y27/Y29</f>
        <v>0.91414251365818144</v>
      </c>
      <c r="Z37" s="39"/>
      <c r="AA37" s="338">
        <f>AA27/AA29</f>
        <v>0.90316609053822383</v>
      </c>
      <c r="AB37" s="222"/>
      <c r="AC37" s="222">
        <f>AC27/AC29</f>
        <v>0.90576076005198525</v>
      </c>
    </row>
    <row r="38" spans="1:29" ht="4.5" customHeight="1" x14ac:dyDescent="0.2">
      <c r="A38" s="472"/>
      <c r="B38" s="70"/>
      <c r="C38" s="70"/>
      <c r="D38" s="70"/>
      <c r="E38" s="96"/>
      <c r="F38" s="70"/>
      <c r="G38" s="112"/>
      <c r="H38" s="358"/>
      <c r="I38" s="112"/>
      <c r="J38" s="79"/>
      <c r="K38" s="112"/>
      <c r="L38" s="79"/>
      <c r="M38" s="112"/>
      <c r="N38" s="79"/>
      <c r="O38" s="112"/>
      <c r="P38" s="112"/>
      <c r="Q38" s="112"/>
      <c r="R38" s="39"/>
      <c r="S38" s="112"/>
      <c r="T38" s="39"/>
      <c r="U38" s="112"/>
      <c r="V38" s="39"/>
      <c r="W38" s="112"/>
      <c r="X38" s="39"/>
      <c r="Y38" s="112"/>
      <c r="Z38" s="39"/>
      <c r="AA38" s="339"/>
      <c r="AB38" s="222"/>
      <c r="AC38" s="251"/>
    </row>
    <row r="39" spans="1:29" x14ac:dyDescent="0.2">
      <c r="A39" s="472">
        <v>16</v>
      </c>
      <c r="B39" s="70"/>
      <c r="C39" s="70"/>
      <c r="D39" s="70"/>
      <c r="E39" s="96"/>
      <c r="F39" s="70"/>
      <c r="G39" s="344" t="e">
        <f>SUM(G33:G37)</f>
        <v>#REF!</v>
      </c>
      <c r="H39" s="358"/>
      <c r="I39" s="344" t="e">
        <f>SUM(I33:I37)</f>
        <v>#REF!</v>
      </c>
      <c r="J39" s="79"/>
      <c r="K39" s="344">
        <f>SUM(K33:K37)</f>
        <v>1</v>
      </c>
      <c r="L39" s="79"/>
      <c r="M39" s="344">
        <f>SUM(M33:M37)</f>
        <v>1</v>
      </c>
      <c r="N39" s="79"/>
      <c r="O39" s="344">
        <f>SUM(O33:O37)</f>
        <v>1</v>
      </c>
      <c r="P39" s="112"/>
      <c r="Q39" s="344">
        <f>SUM(Q33:Q37)</f>
        <v>1</v>
      </c>
      <c r="R39" s="39"/>
      <c r="S39" s="344">
        <f>SUM(S33:S37)</f>
        <v>1</v>
      </c>
      <c r="T39" s="39"/>
      <c r="U39" s="344">
        <f>SUM(U33:U37)</f>
        <v>1</v>
      </c>
      <c r="V39" s="39"/>
      <c r="W39" s="344">
        <f>SUM(W33:W37)</f>
        <v>1</v>
      </c>
      <c r="X39" s="39"/>
      <c r="Y39" s="344">
        <f>SUM(Y33:Y37)</f>
        <v>0.99999999999999989</v>
      </c>
      <c r="Z39" s="39"/>
      <c r="AA39" s="338">
        <f>SUM(AA33:AA37)</f>
        <v>0.99999999999999989</v>
      </c>
      <c r="AB39" s="222"/>
      <c r="AC39" s="222">
        <f>SUM(AC33:AC37)</f>
        <v>0.99999999999999989</v>
      </c>
    </row>
  </sheetData>
  <customSheetViews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2"/>
      <headerFooter alignWithMargins="0"/>
    </customSheetView>
  </customSheetViews>
  <mergeCells count="1">
    <mergeCell ref="U6:Y6"/>
  </mergeCells>
  <phoneticPr fontId="8" type="noConversion"/>
  <printOptions horizontalCentered="1"/>
  <pageMargins left="0.5" right="0.5" top="0.75" bottom="0.75" header="0.5" footer="0.5"/>
  <pageSetup scale="55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E64"/>
  <sheetViews>
    <sheetView view="pageBreakPreview" zoomScale="75" zoomScaleNormal="85" zoomScaleSheetLayoutView="75" workbookViewId="0">
      <selection activeCell="Q47" sqref="Q47"/>
    </sheetView>
  </sheetViews>
  <sheetFormatPr defaultColWidth="7.5703125" defaultRowHeight="15" x14ac:dyDescent="0.2"/>
  <cols>
    <col min="1" max="1" width="8.5703125" style="32" customWidth="1"/>
    <col min="2" max="2" width="2.5703125" style="32" customWidth="1"/>
    <col min="3" max="3" width="41.85546875" style="32" customWidth="1"/>
    <col min="4" max="4" width="2.5703125" style="32" customWidth="1"/>
    <col min="5" max="5" width="16.5703125" style="35" bestFit="1" customWidth="1"/>
    <col min="6" max="6" width="2.5703125" style="32" customWidth="1"/>
    <col min="7" max="7" width="11" style="32" hidden="1" customWidth="1"/>
    <col min="8" max="8" width="2.5703125" style="32" hidden="1" customWidth="1"/>
    <col min="9" max="9" width="12.7109375" style="32" hidden="1" customWidth="1"/>
    <col min="10" max="10" width="2.5703125" style="32" hidden="1" customWidth="1"/>
    <col min="11" max="11" width="12.140625" style="32" customWidth="1"/>
    <col min="12" max="12" width="2.5703125" style="32" customWidth="1"/>
    <col min="13" max="13" width="12.140625" style="32" customWidth="1"/>
    <col min="14" max="14" width="2.5703125" style="32" customWidth="1"/>
    <col min="15" max="15" width="12.140625" style="32" customWidth="1"/>
    <col min="16" max="16" width="2.7109375" style="70" customWidth="1"/>
    <col min="17" max="17" width="12.140625" style="32" customWidth="1"/>
    <col min="18" max="18" width="2.85546875" style="32" customWidth="1"/>
    <col min="19" max="19" width="12.140625" style="32" customWidth="1"/>
    <col min="20" max="20" width="2.5703125" style="32" customWidth="1"/>
    <col min="21" max="21" width="12.140625" style="32" customWidth="1"/>
    <col min="22" max="22" width="2.5703125" style="32" customWidth="1"/>
    <col min="23" max="23" width="12.140625" style="32" customWidth="1"/>
    <col min="24" max="24" width="2.5703125" style="32" customWidth="1"/>
    <col min="25" max="25" width="12.140625" style="32" customWidth="1"/>
    <col min="26" max="26" width="2.5703125" style="32" customWidth="1"/>
    <col min="27" max="27" width="12.140625" style="32" customWidth="1"/>
    <col min="28" max="28" width="2.5703125" style="32" customWidth="1"/>
    <col min="29" max="29" width="12.140625" style="32" customWidth="1"/>
    <col min="30" max="30" width="2.5703125" style="32" customWidth="1"/>
    <col min="31" max="16384" width="7.5703125" style="32"/>
  </cols>
  <sheetData>
    <row r="1" spans="1:31" ht="15.75" x14ac:dyDescent="0.25">
      <c r="A1" s="40" t="s">
        <v>539</v>
      </c>
      <c r="B1" s="31"/>
      <c r="C1" s="31"/>
      <c r="D1" s="31"/>
      <c r="E1" s="31"/>
      <c r="F1" s="31"/>
      <c r="G1" s="30"/>
      <c r="H1" s="31"/>
      <c r="I1" s="31"/>
      <c r="J1" s="31"/>
      <c r="K1" s="31"/>
      <c r="L1" s="31"/>
      <c r="M1" s="31"/>
      <c r="N1" s="31"/>
      <c r="O1" s="31"/>
      <c r="P1" s="35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66" t="s">
        <v>831</v>
      </c>
    </row>
    <row r="2" spans="1:31" ht="15.75" x14ac:dyDescent="0.25">
      <c r="A2" s="12" t="s">
        <v>489</v>
      </c>
      <c r="B2" s="31"/>
      <c r="C2" s="31"/>
      <c r="D2" s="31"/>
      <c r="E2" s="31"/>
      <c r="F2" s="31"/>
      <c r="G2" s="72"/>
      <c r="H2" s="31"/>
      <c r="I2" s="31"/>
      <c r="J2" s="31"/>
      <c r="K2" s="31"/>
      <c r="L2" s="31"/>
      <c r="M2" s="31"/>
      <c r="N2" s="31"/>
      <c r="O2" s="31"/>
      <c r="P2" s="35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66"/>
    </row>
    <row r="3" spans="1:31" ht="15.75" x14ac:dyDescent="0.25">
      <c r="A3" s="30" t="s">
        <v>242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5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.75" x14ac:dyDescent="0.25">
      <c r="A4" s="30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5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31" ht="15.75" x14ac:dyDescent="0.25">
      <c r="A5" s="30"/>
      <c r="B5" s="31"/>
      <c r="C5" s="31"/>
      <c r="D5" s="31"/>
      <c r="F5" s="31"/>
      <c r="AA5" s="9" t="s">
        <v>461</v>
      </c>
      <c r="AB5" s="14"/>
      <c r="AC5" s="9" t="s">
        <v>461</v>
      </c>
    </row>
    <row r="6" spans="1:31" ht="15.75" x14ac:dyDescent="0.25">
      <c r="A6" s="33" t="s">
        <v>34</v>
      </c>
      <c r="B6" s="33"/>
      <c r="C6" s="33"/>
      <c r="D6" s="33"/>
      <c r="E6" s="33" t="s">
        <v>35</v>
      </c>
      <c r="F6" s="33"/>
      <c r="G6" s="33" t="s">
        <v>26</v>
      </c>
      <c r="H6" s="33"/>
      <c r="I6" s="33" t="s">
        <v>26</v>
      </c>
      <c r="J6" s="33"/>
      <c r="K6" s="33" t="s">
        <v>26</v>
      </c>
      <c r="L6" s="33"/>
      <c r="M6" s="33" t="s">
        <v>26</v>
      </c>
      <c r="N6" s="33"/>
      <c r="O6" s="33" t="s">
        <v>26</v>
      </c>
      <c r="P6" s="354"/>
      <c r="Q6" s="33" t="s">
        <v>26</v>
      </c>
      <c r="R6" s="395"/>
      <c r="S6" s="430" t="s">
        <v>26</v>
      </c>
      <c r="T6" s="33"/>
      <c r="U6" s="847" t="s">
        <v>330</v>
      </c>
      <c r="V6" s="847"/>
      <c r="W6" s="847"/>
      <c r="X6" s="847"/>
      <c r="Y6" s="847"/>
      <c r="Z6" s="9"/>
      <c r="AA6" s="9" t="s">
        <v>15</v>
      </c>
      <c r="AB6" s="9"/>
      <c r="AC6" s="9" t="s">
        <v>15</v>
      </c>
    </row>
    <row r="7" spans="1:31" ht="15.75" x14ac:dyDescent="0.25">
      <c r="A7" s="34" t="s">
        <v>36</v>
      </c>
      <c r="B7" s="33"/>
      <c r="C7" s="34" t="s">
        <v>178</v>
      </c>
      <c r="D7" s="33"/>
      <c r="E7" s="34" t="s">
        <v>37</v>
      </c>
      <c r="F7" s="33"/>
      <c r="G7" s="34">
        <v>2006</v>
      </c>
      <c r="H7" s="33"/>
      <c r="I7" s="34">
        <v>2007</v>
      </c>
      <c r="J7" s="33"/>
      <c r="K7" s="473">
        <v>2008</v>
      </c>
      <c r="L7" s="474"/>
      <c r="M7" s="473">
        <v>2009</v>
      </c>
      <c r="N7" s="474"/>
      <c r="O7" s="473">
        <v>2010</v>
      </c>
      <c r="P7" s="475"/>
      <c r="Q7" s="473">
        <v>2011</v>
      </c>
      <c r="R7" s="476"/>
      <c r="S7" s="464">
        <v>2012</v>
      </c>
      <c r="T7" s="474"/>
      <c r="U7" s="464">
        <v>2013</v>
      </c>
      <c r="V7" s="452"/>
      <c r="W7" s="464">
        <v>2014</v>
      </c>
      <c r="X7" s="466"/>
      <c r="Y7" s="477">
        <v>2015</v>
      </c>
      <c r="Z7" s="452"/>
      <c r="AA7" s="451">
        <v>2008</v>
      </c>
      <c r="AB7" s="452"/>
      <c r="AC7" s="451">
        <v>2009</v>
      </c>
      <c r="AD7" s="478"/>
      <c r="AE7" s="478"/>
    </row>
    <row r="8" spans="1:31" ht="15.75" x14ac:dyDescent="0.25">
      <c r="A8" s="35"/>
      <c r="C8" s="116"/>
      <c r="E8" s="32"/>
      <c r="F8" s="65"/>
      <c r="M8" s="70"/>
      <c r="N8" s="70"/>
      <c r="O8" s="70"/>
      <c r="Q8" s="70"/>
      <c r="R8" s="70"/>
      <c r="S8" s="70"/>
    </row>
    <row r="9" spans="1:31" ht="15.75" thickBot="1" x14ac:dyDescent="0.25">
      <c r="A9" s="471">
        <v>1</v>
      </c>
      <c r="C9" s="100" t="s">
        <v>795</v>
      </c>
      <c r="E9" s="35" t="s">
        <v>373</v>
      </c>
      <c r="F9" s="65"/>
      <c r="G9" s="211">
        <f>S3.2!G25+S3.2!G23</f>
        <v>22164</v>
      </c>
      <c r="H9" s="132"/>
      <c r="I9" s="326">
        <v>22334</v>
      </c>
      <c r="J9" s="133"/>
      <c r="K9" s="326">
        <f>+S3.2!K25+S3.2!K23</f>
        <v>22223.450410000001</v>
      </c>
      <c r="L9" s="133"/>
      <c r="M9" s="326">
        <f>+S3.2!M25+S3.2!M23</f>
        <v>19966.440999999999</v>
      </c>
      <c r="N9" s="133"/>
      <c r="O9" s="326">
        <f>+S3.2!O25+S3.2!O23</f>
        <v>19839</v>
      </c>
      <c r="P9" s="133"/>
      <c r="Q9" s="326">
        <f>+S3.2!Q25+S3.2!Q23</f>
        <v>20933</v>
      </c>
      <c r="R9" s="133"/>
      <c r="S9" s="326">
        <f>+S3.2!S25+S3.2!S23</f>
        <v>21310</v>
      </c>
      <c r="T9" s="133"/>
      <c r="U9" s="326">
        <f>+S4.2!Q26</f>
        <v>21126.742465814536</v>
      </c>
      <c r="V9" s="133"/>
      <c r="W9" s="326">
        <f>+S4.2!S26</f>
        <v>21404.923287246096</v>
      </c>
      <c r="X9" s="133"/>
      <c r="Y9" s="326">
        <f>+S4.2!U26</f>
        <v>21415.423832085256</v>
      </c>
      <c r="Z9" s="133"/>
      <c r="AA9" s="241">
        <v>22364.038097674009</v>
      </c>
      <c r="AB9" s="133"/>
      <c r="AC9" s="241">
        <v>20858.349693459164</v>
      </c>
      <c r="AD9" s="70"/>
    </row>
    <row r="10" spans="1:31" x14ac:dyDescent="0.2">
      <c r="A10" s="471"/>
      <c r="C10" s="128"/>
      <c r="E10" s="32"/>
      <c r="F10" s="65"/>
      <c r="G10" s="99"/>
      <c r="I10" s="134"/>
      <c r="J10" s="70"/>
      <c r="K10" s="70"/>
      <c r="L10" s="70"/>
      <c r="M10" s="70"/>
      <c r="N10" s="70"/>
      <c r="O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134"/>
      <c r="AB10" s="70"/>
      <c r="AC10" s="134"/>
      <c r="AD10" s="70"/>
    </row>
    <row r="11" spans="1:31" ht="15.75" thickBot="1" x14ac:dyDescent="0.25">
      <c r="A11" s="471">
        <v>2</v>
      </c>
      <c r="C11" s="100" t="s">
        <v>796</v>
      </c>
      <c r="E11" s="32"/>
      <c r="F11" s="65"/>
      <c r="G11" s="212">
        <f>G9/G13</f>
        <v>3.689695355418678</v>
      </c>
      <c r="H11" s="131"/>
      <c r="I11" s="242">
        <f>I9/I13</f>
        <v>3.6685282522996059</v>
      </c>
      <c r="J11" s="243"/>
      <c r="K11" s="242">
        <f>K9/K13</f>
        <v>3.6515692425238253</v>
      </c>
      <c r="L11" s="243"/>
      <c r="M11" s="242">
        <f>M9/M13</f>
        <v>3.6913368459974114</v>
      </c>
      <c r="N11" s="243"/>
      <c r="O11" s="242">
        <f>O9/O13</f>
        <v>3.7357360750197715</v>
      </c>
      <c r="P11" s="371"/>
      <c r="Q11" s="242">
        <f>Q9/Q13</f>
        <v>3.6847386023587396</v>
      </c>
      <c r="R11" s="371"/>
      <c r="S11" s="242">
        <f>S9/S13</f>
        <v>3.7013595611008441</v>
      </c>
      <c r="T11" s="243"/>
      <c r="U11" s="242">
        <f>U9/U13</f>
        <v>3.7117331885628704</v>
      </c>
      <c r="V11" s="243"/>
      <c r="W11" s="242">
        <f>W9/W13</f>
        <v>3.7114915619236135</v>
      </c>
      <c r="X11" s="243"/>
      <c r="Y11" s="242">
        <f>Y9/Y13</f>
        <v>3.7114412345657213</v>
      </c>
      <c r="Z11" s="243"/>
      <c r="AA11" s="242">
        <f>AA9/AA13</f>
        <v>3.7075248139488042</v>
      </c>
      <c r="AB11" s="243"/>
      <c r="AC11" s="242">
        <f>AC9/AC13</f>
        <v>3.7128878982267119</v>
      </c>
      <c r="AD11" s="70"/>
    </row>
    <row r="12" spans="1:31" x14ac:dyDescent="0.2">
      <c r="A12" s="471"/>
      <c r="C12" s="59"/>
      <c r="E12" s="32"/>
      <c r="F12" s="65"/>
      <c r="G12" s="139"/>
      <c r="H12" s="139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70"/>
    </row>
    <row r="13" spans="1:31" x14ac:dyDescent="0.2">
      <c r="A13" s="471">
        <v>3</v>
      </c>
      <c r="C13" s="100" t="s">
        <v>563</v>
      </c>
      <c r="E13" s="35" t="s">
        <v>488</v>
      </c>
      <c r="F13" s="65"/>
      <c r="G13" s="146">
        <v>6007</v>
      </c>
      <c r="H13" s="139"/>
      <c r="I13" s="204">
        <v>6088</v>
      </c>
      <c r="J13" s="140"/>
      <c r="K13" s="204">
        <f>+S4.2!G45</f>
        <v>6086</v>
      </c>
      <c r="L13" s="140"/>
      <c r="M13" s="204">
        <f>+S4.2!I45</f>
        <v>5409</v>
      </c>
      <c r="N13" s="140"/>
      <c r="O13" s="204">
        <f>+S4.2!K45</f>
        <v>5310.6</v>
      </c>
      <c r="P13" s="142"/>
      <c r="Q13" s="204">
        <f>+S4.2!M45</f>
        <v>5681</v>
      </c>
      <c r="R13" s="142"/>
      <c r="S13" s="204">
        <f>+S4.2!O45</f>
        <v>5757.3439294998034</v>
      </c>
      <c r="T13" s="140"/>
      <c r="U13" s="204">
        <f>+S4.2!Q45</f>
        <v>5691.8806909163923</v>
      </c>
      <c r="V13" s="140"/>
      <c r="W13" s="204">
        <f>+S4.2!S45</f>
        <v>5767.2024656718413</v>
      </c>
      <c r="X13" s="140"/>
      <c r="Y13" s="204">
        <f>+S4.2!U45</f>
        <v>5770.1099057253678</v>
      </c>
      <c r="Z13" s="140"/>
      <c r="AA13" s="204">
        <v>6032.0670042541287</v>
      </c>
      <c r="AB13" s="140"/>
      <c r="AC13" s="204">
        <v>5617.8237170643324</v>
      </c>
      <c r="AD13" s="70"/>
    </row>
    <row r="14" spans="1:31" x14ac:dyDescent="0.2">
      <c r="A14" s="471"/>
      <c r="C14" s="59"/>
      <c r="E14" s="32"/>
      <c r="F14" s="65"/>
      <c r="G14" s="139"/>
      <c r="H14" s="139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70"/>
    </row>
    <row r="15" spans="1:31" x14ac:dyDescent="0.2">
      <c r="A15" s="471">
        <v>4</v>
      </c>
      <c r="C15" s="100" t="s">
        <v>564</v>
      </c>
      <c r="F15" s="65"/>
      <c r="G15" s="139">
        <v>4886</v>
      </c>
      <c r="H15" s="139"/>
      <c r="I15" s="140">
        <f>5255-29</f>
        <v>5226</v>
      </c>
      <c r="J15" s="140"/>
      <c r="K15" s="140">
        <v>6603.13</v>
      </c>
      <c r="L15" s="140"/>
      <c r="M15" s="140">
        <v>4342</v>
      </c>
      <c r="N15" s="140"/>
      <c r="O15" s="140">
        <v>4657.5730000000003</v>
      </c>
      <c r="P15" s="140"/>
      <c r="Q15" s="140">
        <v>6149</v>
      </c>
      <c r="R15" s="140"/>
      <c r="S15" s="140">
        <v>6490</v>
      </c>
      <c r="T15" s="140"/>
      <c r="U15" s="140">
        <v>6610.9961069884821</v>
      </c>
      <c r="V15" s="140"/>
      <c r="W15" s="140">
        <v>6700.5623420348602</v>
      </c>
      <c r="X15" s="140"/>
      <c r="Y15" s="140">
        <v>6703.6940606104627</v>
      </c>
      <c r="Z15" s="140"/>
      <c r="AA15" s="140">
        <v>5828.7308712466902</v>
      </c>
      <c r="AB15" s="140"/>
      <c r="AC15" s="140">
        <v>5396.8141513462342</v>
      </c>
      <c r="AD15" s="70"/>
    </row>
    <row r="16" spans="1:31" x14ac:dyDescent="0.2">
      <c r="A16" s="471"/>
      <c r="C16" s="100"/>
      <c r="F16" s="65"/>
      <c r="G16" s="139"/>
      <c r="H16" s="139"/>
      <c r="I16" s="140"/>
      <c r="J16" s="140"/>
      <c r="K16" s="140"/>
      <c r="L16" s="140"/>
      <c r="M16" s="153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70"/>
    </row>
    <row r="17" spans="1:30" x14ac:dyDescent="0.2">
      <c r="A17" s="471">
        <v>5</v>
      </c>
      <c r="C17" s="100" t="s">
        <v>387</v>
      </c>
      <c r="E17" s="35" t="s">
        <v>460</v>
      </c>
      <c r="F17" s="65"/>
      <c r="G17" s="153">
        <v>-2860</v>
      </c>
      <c r="H17" s="139"/>
      <c r="I17" s="153">
        <v>-3172</v>
      </c>
      <c r="J17" s="140"/>
      <c r="K17" s="153">
        <v>0</v>
      </c>
      <c r="L17" s="140"/>
      <c r="M17" s="153">
        <v>-584.05200000000002</v>
      </c>
      <c r="N17" s="140"/>
      <c r="O17" s="140">
        <v>488.77800000000002</v>
      </c>
      <c r="P17" s="140"/>
      <c r="Q17" s="153">
        <v>-610</v>
      </c>
      <c r="R17" s="153"/>
      <c r="S17" s="153">
        <v>-853</v>
      </c>
      <c r="T17" s="140"/>
      <c r="U17" s="153">
        <v>0</v>
      </c>
      <c r="V17" s="140"/>
      <c r="W17" s="153">
        <f>+U17*1.005</f>
        <v>0</v>
      </c>
      <c r="X17" s="140"/>
      <c r="Y17" s="153">
        <f>+W17*1.005</f>
        <v>0</v>
      </c>
      <c r="Z17" s="140"/>
      <c r="AA17" s="140">
        <v>0</v>
      </c>
      <c r="AB17" s="140"/>
      <c r="AC17" s="140">
        <v>0</v>
      </c>
      <c r="AD17" s="70"/>
    </row>
    <row r="18" spans="1:30" x14ac:dyDescent="0.2">
      <c r="A18" s="471"/>
      <c r="C18" s="100"/>
      <c r="F18" s="65"/>
      <c r="G18" s="146"/>
      <c r="H18" s="139"/>
      <c r="I18" s="204"/>
      <c r="J18" s="140"/>
      <c r="K18" s="204"/>
      <c r="L18" s="140"/>
      <c r="M18" s="204"/>
      <c r="N18" s="140"/>
      <c r="O18" s="204"/>
      <c r="P18" s="142"/>
      <c r="Q18" s="204"/>
      <c r="R18" s="142"/>
      <c r="S18" s="204"/>
      <c r="T18" s="140"/>
      <c r="U18" s="204"/>
      <c r="V18" s="140"/>
      <c r="W18" s="204"/>
      <c r="X18" s="140"/>
      <c r="Y18" s="204"/>
      <c r="Z18" s="140"/>
      <c r="AA18" s="204"/>
      <c r="AB18" s="140"/>
      <c r="AC18" s="204"/>
      <c r="AD18" s="70"/>
    </row>
    <row r="19" spans="1:30" x14ac:dyDescent="0.2">
      <c r="A19" s="471">
        <v>6</v>
      </c>
      <c r="C19" s="100" t="s">
        <v>388</v>
      </c>
      <c r="E19" s="35" t="s">
        <v>282</v>
      </c>
      <c r="F19" s="65"/>
      <c r="G19" s="139">
        <f>G15+G17</f>
        <v>2026</v>
      </c>
      <c r="H19" s="139"/>
      <c r="I19" s="140">
        <f>I15+I17</f>
        <v>2054</v>
      </c>
      <c r="J19" s="140"/>
      <c r="K19" s="140">
        <f>K15+K17</f>
        <v>6603.13</v>
      </c>
      <c r="L19" s="140"/>
      <c r="M19" s="140">
        <f>M15+M17</f>
        <v>3757.9479999999999</v>
      </c>
      <c r="N19" s="140"/>
      <c r="O19" s="140">
        <f>O15+O17</f>
        <v>5146.3510000000006</v>
      </c>
      <c r="P19" s="140"/>
      <c r="Q19" s="140">
        <f>Q15+Q17</f>
        <v>5539</v>
      </c>
      <c r="R19" s="140"/>
      <c r="S19" s="140">
        <f>S15+S17</f>
        <v>5637</v>
      </c>
      <c r="T19" s="140"/>
      <c r="U19" s="140">
        <f>U15+U17</f>
        <v>6610.9961069884821</v>
      </c>
      <c r="V19" s="140"/>
      <c r="W19" s="140">
        <f>W15+W17</f>
        <v>6700.5623420348602</v>
      </c>
      <c r="X19" s="140"/>
      <c r="Y19" s="140">
        <f>Y15+Y17</f>
        <v>6703.6940606104627</v>
      </c>
      <c r="Z19" s="140"/>
      <c r="AA19" s="140">
        <f>AA15+AA17</f>
        <v>5828.7308712466902</v>
      </c>
      <c r="AB19" s="140"/>
      <c r="AC19" s="140">
        <f>AC15+AC17</f>
        <v>5396.8141513462342</v>
      </c>
      <c r="AD19" s="70"/>
    </row>
    <row r="20" spans="1:30" x14ac:dyDescent="0.2">
      <c r="A20" s="471"/>
      <c r="C20" s="59"/>
      <c r="E20" s="32"/>
      <c r="F20" s="65"/>
      <c r="G20" s="139"/>
      <c r="H20" s="139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70"/>
    </row>
    <row r="21" spans="1:30" x14ac:dyDescent="0.2">
      <c r="A21" s="471">
        <v>7</v>
      </c>
      <c r="C21" s="100" t="s">
        <v>565</v>
      </c>
      <c r="E21" s="35" t="s">
        <v>7</v>
      </c>
      <c r="F21" s="65"/>
      <c r="G21" s="213">
        <f>G15/G13*100</f>
        <v>81.338438488430171</v>
      </c>
      <c r="H21" s="139"/>
      <c r="I21" s="244">
        <f>I15/I13*100</f>
        <v>85.840998685939553</v>
      </c>
      <c r="J21" s="140"/>
      <c r="K21" s="244">
        <f>K15/K13*100</f>
        <v>108.49704239237595</v>
      </c>
      <c r="L21" s="140"/>
      <c r="M21" s="244">
        <f>M15/M13*100</f>
        <v>80.273618044000742</v>
      </c>
      <c r="N21" s="140"/>
      <c r="O21" s="244">
        <f>O15/O13*100</f>
        <v>87.703329190675248</v>
      </c>
      <c r="P21" s="265"/>
      <c r="Q21" s="244">
        <f>Q15/Q13*100</f>
        <v>108.23798627002287</v>
      </c>
      <c r="R21" s="265"/>
      <c r="S21" s="244">
        <f>S15/S13*100</f>
        <v>112.72559151358273</v>
      </c>
      <c r="T21" s="140"/>
      <c r="U21" s="244">
        <f>U19/U13*100</f>
        <v>116.14783348391148</v>
      </c>
      <c r="V21" s="140"/>
      <c r="W21" s="244">
        <f>W15/W13*100</f>
        <v>116.18392768276584</v>
      </c>
      <c r="X21" s="140"/>
      <c r="Y21" s="244">
        <f>Y15/Y13*100</f>
        <v>116.1796598355735</v>
      </c>
      <c r="Z21" s="140"/>
      <c r="AA21" s="244">
        <f>AA15/AA13*100</f>
        <v>96.62908033242941</v>
      </c>
      <c r="AB21" s="140"/>
      <c r="AC21" s="244">
        <f>AC15/AC13*100</f>
        <v>96.065922021604663</v>
      </c>
      <c r="AD21" s="70"/>
    </row>
    <row r="22" spans="1:30" ht="15.75" x14ac:dyDescent="0.25">
      <c r="A22" s="471" t="s">
        <v>28</v>
      </c>
      <c r="C22" s="116"/>
      <c r="E22" s="32"/>
      <c r="F22" s="65"/>
      <c r="G22" s="99"/>
      <c r="I22" s="134"/>
      <c r="J22" s="70"/>
      <c r="K22" s="70"/>
      <c r="L22" s="70"/>
      <c r="M22" s="70"/>
      <c r="N22" s="70"/>
      <c r="O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134"/>
      <c r="AB22" s="70"/>
      <c r="AC22" s="134"/>
      <c r="AD22" s="70"/>
    </row>
    <row r="23" spans="1:30" x14ac:dyDescent="0.2">
      <c r="A23" s="207"/>
      <c r="B23" s="70"/>
      <c r="C23" s="438" t="s">
        <v>460</v>
      </c>
      <c r="M23" s="70"/>
      <c r="N23" s="70"/>
      <c r="O23" s="70"/>
      <c r="Q23" s="70"/>
      <c r="R23" s="70"/>
      <c r="S23" s="70"/>
      <c r="AA23" s="70"/>
    </row>
    <row r="24" spans="1:30" ht="15.75" customHeight="1" x14ac:dyDescent="0.2">
      <c r="A24" s="35"/>
      <c r="C24" s="437" t="s">
        <v>713</v>
      </c>
      <c r="F24" s="65"/>
      <c r="G24" s="110"/>
      <c r="H24" s="109"/>
      <c r="I24" s="110"/>
      <c r="J24" s="65"/>
      <c r="K24" s="65"/>
      <c r="L24" s="65"/>
      <c r="M24" s="111"/>
      <c r="N24" s="111"/>
      <c r="O24" s="111"/>
      <c r="P24" s="111"/>
      <c r="Q24" s="111"/>
      <c r="R24" s="111"/>
      <c r="S24" s="111"/>
      <c r="T24" s="65"/>
      <c r="U24" s="65"/>
      <c r="V24" s="65"/>
      <c r="W24" s="65"/>
      <c r="X24" s="65"/>
      <c r="Y24" s="65"/>
      <c r="Z24" s="65"/>
      <c r="AA24" s="110"/>
      <c r="AB24" s="111"/>
      <c r="AC24" s="110"/>
    </row>
    <row r="25" spans="1:30" x14ac:dyDescent="0.2">
      <c r="A25" s="35"/>
      <c r="O25" s="70"/>
      <c r="Q25" s="70"/>
      <c r="R25" s="70"/>
      <c r="S25" s="70"/>
      <c r="AA25" s="70"/>
    </row>
    <row r="26" spans="1:30" x14ac:dyDescent="0.2">
      <c r="A26" s="35"/>
      <c r="O26" s="70"/>
      <c r="Q26" s="70"/>
      <c r="R26" s="70"/>
      <c r="S26" s="70"/>
      <c r="AA26" s="70"/>
    </row>
    <row r="27" spans="1:30" x14ac:dyDescent="0.2">
      <c r="O27" s="70"/>
      <c r="Q27" s="70"/>
      <c r="R27" s="70"/>
      <c r="S27" s="70"/>
      <c r="AA27" s="70"/>
    </row>
    <row r="28" spans="1:30" x14ac:dyDescent="0.2">
      <c r="O28" s="70"/>
      <c r="Q28" s="70"/>
      <c r="R28" s="70"/>
      <c r="S28" s="70"/>
      <c r="AA28" s="70"/>
    </row>
    <row r="29" spans="1:30" x14ac:dyDescent="0.2">
      <c r="O29" s="70"/>
      <c r="Q29" s="70"/>
      <c r="R29" s="70"/>
      <c r="S29" s="70"/>
      <c r="AA29" s="70"/>
    </row>
    <row r="30" spans="1:30" x14ac:dyDescent="0.2">
      <c r="O30" s="70"/>
      <c r="Q30" s="70"/>
      <c r="R30" s="70"/>
      <c r="S30" s="70"/>
    </row>
    <row r="31" spans="1:30" x14ac:dyDescent="0.2">
      <c r="O31" s="70"/>
      <c r="Q31" s="70"/>
      <c r="R31" s="70"/>
      <c r="S31" s="70"/>
    </row>
    <row r="32" spans="1:30" x14ac:dyDescent="0.2">
      <c r="O32" s="70"/>
      <c r="Q32" s="70"/>
      <c r="R32" s="70"/>
      <c r="S32" s="70"/>
    </row>
    <row r="33" spans="15:19" x14ac:dyDescent="0.2">
      <c r="O33" s="70"/>
      <c r="Q33" s="70"/>
      <c r="R33" s="70"/>
      <c r="S33" s="70"/>
    </row>
    <row r="34" spans="15:19" x14ac:dyDescent="0.2">
      <c r="O34" s="70"/>
      <c r="Q34" s="70"/>
      <c r="R34" s="70"/>
      <c r="S34" s="70"/>
    </row>
    <row r="35" spans="15:19" x14ac:dyDescent="0.2">
      <c r="O35" s="70"/>
      <c r="Q35" s="70"/>
      <c r="R35" s="70"/>
      <c r="S35" s="70"/>
    </row>
    <row r="36" spans="15:19" x14ac:dyDescent="0.2">
      <c r="O36" s="70"/>
      <c r="Q36" s="70"/>
      <c r="R36" s="70"/>
      <c r="S36" s="70"/>
    </row>
    <row r="37" spans="15:19" x14ac:dyDescent="0.2">
      <c r="O37" s="70"/>
      <c r="Q37" s="70"/>
      <c r="R37" s="70"/>
      <c r="S37" s="70"/>
    </row>
    <row r="38" spans="15:19" x14ac:dyDescent="0.2">
      <c r="O38" s="70"/>
      <c r="Q38" s="70"/>
      <c r="R38" s="70"/>
      <c r="S38" s="70"/>
    </row>
    <row r="39" spans="15:19" x14ac:dyDescent="0.2">
      <c r="O39" s="70"/>
      <c r="Q39" s="70"/>
      <c r="R39" s="70"/>
      <c r="S39" s="70"/>
    </row>
    <row r="40" spans="15:19" x14ac:dyDescent="0.2">
      <c r="O40" s="70"/>
      <c r="Q40" s="70"/>
      <c r="R40" s="70"/>
      <c r="S40" s="70"/>
    </row>
    <row r="41" spans="15:19" x14ac:dyDescent="0.2">
      <c r="O41" s="70"/>
      <c r="Q41" s="70"/>
      <c r="R41" s="70"/>
      <c r="S41" s="70"/>
    </row>
    <row r="42" spans="15:19" x14ac:dyDescent="0.2">
      <c r="O42" s="70"/>
      <c r="Q42" s="70"/>
      <c r="R42" s="70"/>
      <c r="S42" s="70"/>
    </row>
    <row r="43" spans="15:19" x14ac:dyDescent="0.2">
      <c r="O43" s="70"/>
      <c r="Q43" s="70"/>
      <c r="R43" s="70"/>
      <c r="S43" s="70"/>
    </row>
    <row r="44" spans="15:19" x14ac:dyDescent="0.2">
      <c r="O44" s="70"/>
      <c r="Q44" s="70"/>
      <c r="R44" s="70"/>
      <c r="S44" s="70"/>
    </row>
    <row r="45" spans="15:19" x14ac:dyDescent="0.2">
      <c r="O45" s="70"/>
      <c r="Q45" s="70"/>
      <c r="R45" s="70"/>
      <c r="S45" s="70"/>
    </row>
    <row r="46" spans="15:19" x14ac:dyDescent="0.2">
      <c r="O46" s="70"/>
      <c r="Q46" s="70"/>
      <c r="R46" s="70"/>
      <c r="S46" s="70"/>
    </row>
    <row r="47" spans="15:19" x14ac:dyDescent="0.2">
      <c r="O47" s="70"/>
      <c r="Q47" s="70"/>
      <c r="R47" s="70"/>
      <c r="S47" s="70"/>
    </row>
    <row r="48" spans="15:19" x14ac:dyDescent="0.2">
      <c r="O48" s="70"/>
      <c r="Q48" s="70"/>
      <c r="R48" s="70"/>
      <c r="S48" s="70"/>
    </row>
    <row r="49" spans="15:19" x14ac:dyDescent="0.2">
      <c r="O49" s="70"/>
      <c r="Q49" s="70"/>
      <c r="R49" s="70"/>
      <c r="S49" s="70"/>
    </row>
    <row r="50" spans="15:19" x14ac:dyDescent="0.2">
      <c r="O50" s="70"/>
      <c r="Q50" s="70"/>
      <c r="R50" s="70"/>
      <c r="S50" s="70"/>
    </row>
    <row r="51" spans="15:19" x14ac:dyDescent="0.2">
      <c r="O51" s="70"/>
      <c r="Q51" s="70"/>
      <c r="R51" s="70"/>
      <c r="S51" s="70"/>
    </row>
    <row r="52" spans="15:19" x14ac:dyDescent="0.2">
      <c r="O52" s="70"/>
      <c r="Q52" s="70"/>
      <c r="R52" s="70"/>
      <c r="S52" s="70"/>
    </row>
    <row r="53" spans="15:19" x14ac:dyDescent="0.2">
      <c r="O53" s="70"/>
      <c r="Q53" s="70"/>
      <c r="R53" s="70"/>
      <c r="S53" s="70"/>
    </row>
    <row r="54" spans="15:19" x14ac:dyDescent="0.2">
      <c r="O54" s="70"/>
      <c r="Q54" s="70"/>
      <c r="R54" s="70"/>
      <c r="S54" s="70"/>
    </row>
    <row r="55" spans="15:19" x14ac:dyDescent="0.2">
      <c r="O55" s="70"/>
      <c r="Q55" s="70"/>
      <c r="R55" s="70"/>
      <c r="S55" s="70"/>
    </row>
    <row r="56" spans="15:19" x14ac:dyDescent="0.2">
      <c r="O56" s="70"/>
      <c r="Q56" s="70"/>
      <c r="R56" s="70"/>
      <c r="S56" s="70"/>
    </row>
    <row r="57" spans="15:19" x14ac:dyDescent="0.2">
      <c r="O57" s="70"/>
      <c r="Q57" s="70"/>
      <c r="R57" s="70"/>
      <c r="S57" s="70"/>
    </row>
    <row r="58" spans="15:19" x14ac:dyDescent="0.2">
      <c r="O58" s="70"/>
      <c r="Q58" s="70"/>
      <c r="R58" s="70"/>
      <c r="S58" s="70"/>
    </row>
    <row r="59" spans="15:19" x14ac:dyDescent="0.2">
      <c r="O59" s="70"/>
      <c r="Q59" s="70"/>
      <c r="R59" s="70"/>
      <c r="S59" s="70"/>
    </row>
    <row r="60" spans="15:19" x14ac:dyDescent="0.2">
      <c r="O60" s="70"/>
      <c r="Q60" s="70"/>
      <c r="R60" s="70"/>
      <c r="S60" s="70"/>
    </row>
    <row r="61" spans="15:19" x14ac:dyDescent="0.2">
      <c r="O61" s="70"/>
      <c r="Q61" s="70"/>
      <c r="R61" s="70"/>
      <c r="S61" s="70"/>
    </row>
    <row r="62" spans="15:19" x14ac:dyDescent="0.2">
      <c r="O62" s="70"/>
      <c r="Q62" s="70"/>
      <c r="R62" s="70"/>
      <c r="S62" s="70"/>
    </row>
    <row r="63" spans="15:19" x14ac:dyDescent="0.2">
      <c r="O63" s="70"/>
      <c r="Q63" s="70"/>
      <c r="R63" s="70"/>
      <c r="S63" s="70"/>
    </row>
    <row r="64" spans="15:19" x14ac:dyDescent="0.2">
      <c r="O64" s="70"/>
      <c r="Q64" s="70"/>
      <c r="R64" s="70"/>
      <c r="S64" s="70"/>
    </row>
  </sheetData>
  <customSheetViews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U6:Y6"/>
  </mergeCells>
  <phoneticPr fontId="8" type="noConversion"/>
  <printOptions horizontalCentered="1"/>
  <pageMargins left="0.5" right="0.5" top="0.75" bottom="0.75" header="0.5" footer="0.5"/>
  <pageSetup scale="51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AG46"/>
  <sheetViews>
    <sheetView view="pageBreakPreview" zoomScale="75" zoomScaleNormal="70" zoomScaleSheetLayoutView="75" workbookViewId="0">
      <selection activeCell="Y49" sqref="Y49"/>
    </sheetView>
  </sheetViews>
  <sheetFormatPr defaultColWidth="7.5703125" defaultRowHeight="15" x14ac:dyDescent="0.2"/>
  <cols>
    <col min="1" max="1" width="8.5703125" style="32" customWidth="1"/>
    <col min="2" max="2" width="2.5703125" style="32" customWidth="1"/>
    <col min="3" max="3" width="39.5703125" style="32" customWidth="1"/>
    <col min="4" max="4" width="2.5703125" style="32" customWidth="1"/>
    <col min="5" max="5" width="14.28515625" style="35" bestFit="1" customWidth="1"/>
    <col min="6" max="6" width="2.5703125" style="32" customWidth="1"/>
    <col min="7" max="7" width="13.42578125" style="32" bestFit="1" customWidth="1"/>
    <col min="8" max="8" width="2.5703125" style="32" customWidth="1"/>
    <col min="9" max="9" width="13.42578125" style="32" bestFit="1" customWidth="1"/>
    <col min="10" max="10" width="2.5703125" style="32" customWidth="1"/>
    <col min="11" max="11" width="13.42578125" style="32" bestFit="1" customWidth="1"/>
    <col min="12" max="12" width="3.140625" style="70" customWidth="1"/>
    <col min="13" max="13" width="15.7109375" style="32" customWidth="1"/>
    <col min="14" max="14" width="3.140625" style="32" customWidth="1"/>
    <col min="15" max="15" width="14.5703125" style="32" bestFit="1" customWidth="1"/>
    <col min="16" max="16" width="3.140625" style="32" customWidth="1"/>
    <col min="17" max="17" width="12.7109375" style="32" customWidth="1"/>
    <col min="18" max="18" width="2.85546875" style="32" customWidth="1"/>
    <col min="19" max="19" width="12.7109375" style="32" customWidth="1"/>
    <col min="20" max="20" width="3.7109375" style="32" customWidth="1"/>
    <col min="21" max="21" width="12.7109375" style="32" customWidth="1"/>
    <col min="22" max="22" width="2.5703125" style="32" customWidth="1"/>
    <col min="23" max="23" width="14.5703125" style="32" bestFit="1" customWidth="1"/>
    <col min="24" max="24" width="2.5703125" style="32" customWidth="1"/>
    <col min="25" max="25" width="14.5703125" style="32" bestFit="1" customWidth="1"/>
    <col min="26" max="26" width="2.5703125" style="32" customWidth="1"/>
    <col min="27" max="27" width="7.5703125" style="32"/>
    <col min="28" max="28" width="8.7109375" style="32" bestFit="1" customWidth="1"/>
    <col min="29" max="29" width="17.7109375" style="32" bestFit="1" customWidth="1"/>
    <col min="30" max="30" width="7.5703125" style="32"/>
    <col min="31" max="31" width="10.5703125" style="32" customWidth="1"/>
    <col min="32" max="32" width="7.5703125" style="32"/>
    <col min="33" max="33" width="10.85546875" style="32" customWidth="1"/>
    <col min="34" max="16384" width="7.5703125" style="32"/>
  </cols>
  <sheetData>
    <row r="1" spans="1:33" ht="15.75" x14ac:dyDescent="0.25">
      <c r="A1" s="40" t="s">
        <v>539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5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66" t="s">
        <v>832</v>
      </c>
    </row>
    <row r="2" spans="1:33" ht="15.75" x14ac:dyDescent="0.25">
      <c r="A2" s="12" t="s">
        <v>489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5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66"/>
    </row>
    <row r="3" spans="1:33" ht="15.75" x14ac:dyDescent="0.25">
      <c r="A3" s="40" t="s">
        <v>547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5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33" ht="15.75" x14ac:dyDescent="0.25">
      <c r="A4" s="848"/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848"/>
      <c r="X4" s="848"/>
      <c r="Y4" s="848"/>
    </row>
    <row r="5" spans="1:33" ht="15.75" x14ac:dyDescent="0.25">
      <c r="A5" s="30"/>
      <c r="B5" s="31"/>
      <c r="C5" s="31"/>
      <c r="D5" s="31"/>
      <c r="W5" s="9" t="s">
        <v>461</v>
      </c>
      <c r="X5" s="14"/>
      <c r="Y5" s="9" t="s">
        <v>461</v>
      </c>
      <c r="AC5" s="483"/>
      <c r="AD5" s="483"/>
      <c r="AE5" s="483"/>
      <c r="AF5" s="483"/>
      <c r="AG5" s="483"/>
    </row>
    <row r="6" spans="1:33" ht="15.75" x14ac:dyDescent="0.25">
      <c r="A6" s="33" t="s">
        <v>34</v>
      </c>
      <c r="B6" s="33"/>
      <c r="C6" s="33"/>
      <c r="D6" s="33"/>
      <c r="E6" s="33" t="s">
        <v>35</v>
      </c>
      <c r="F6" s="33"/>
      <c r="G6" s="33" t="s">
        <v>26</v>
      </c>
      <c r="H6" s="33"/>
      <c r="I6" s="33" t="s">
        <v>26</v>
      </c>
      <c r="J6" s="33"/>
      <c r="K6" s="33" t="s">
        <v>26</v>
      </c>
      <c r="L6" s="354"/>
      <c r="M6" s="33" t="s">
        <v>26</v>
      </c>
      <c r="N6" s="384"/>
      <c r="O6" s="433" t="s">
        <v>26</v>
      </c>
      <c r="P6" s="420"/>
      <c r="Q6" s="847" t="s">
        <v>330</v>
      </c>
      <c r="R6" s="847"/>
      <c r="S6" s="847"/>
      <c r="T6" s="847"/>
      <c r="U6" s="847"/>
      <c r="V6" s="9"/>
      <c r="W6" s="9" t="s">
        <v>15</v>
      </c>
      <c r="X6" s="9"/>
      <c r="Y6" s="9" t="s">
        <v>15</v>
      </c>
      <c r="AC6" s="483"/>
      <c r="AD6" s="483"/>
      <c r="AE6" s="483"/>
      <c r="AF6" s="483"/>
      <c r="AG6" s="483"/>
    </row>
    <row r="7" spans="1:33" ht="15.75" x14ac:dyDescent="0.25">
      <c r="A7" s="34" t="s">
        <v>36</v>
      </c>
      <c r="B7" s="33"/>
      <c r="C7" s="34" t="s">
        <v>178</v>
      </c>
      <c r="D7" s="33"/>
      <c r="E7" s="34" t="s">
        <v>37</v>
      </c>
      <c r="F7" s="33"/>
      <c r="G7" s="473">
        <v>2008</v>
      </c>
      <c r="H7" s="474"/>
      <c r="I7" s="473">
        <v>2009</v>
      </c>
      <c r="J7" s="474"/>
      <c r="K7" s="473">
        <v>2010</v>
      </c>
      <c r="L7" s="475"/>
      <c r="M7" s="473">
        <v>2011</v>
      </c>
      <c r="N7" s="476"/>
      <c r="O7" s="473">
        <v>2012</v>
      </c>
      <c r="P7" s="476"/>
      <c r="Q7" s="464">
        <v>2013</v>
      </c>
      <c r="R7" s="452"/>
      <c r="S7" s="464">
        <v>2014</v>
      </c>
      <c r="T7" s="466"/>
      <c r="U7" s="477">
        <v>2015</v>
      </c>
      <c r="V7" s="452"/>
      <c r="W7" s="451">
        <v>2008</v>
      </c>
      <c r="X7" s="452"/>
      <c r="Y7" s="451">
        <v>2009</v>
      </c>
      <c r="Z7" s="478"/>
      <c r="AA7" s="478"/>
      <c r="AC7" s="483"/>
      <c r="AD7" s="483"/>
      <c r="AE7" s="483"/>
      <c r="AF7" s="483"/>
      <c r="AG7" s="483"/>
    </row>
    <row r="8" spans="1:33" ht="15.75" x14ac:dyDescent="0.25">
      <c r="A8" s="35"/>
      <c r="C8" s="116"/>
      <c r="E8" s="32"/>
    </row>
    <row r="9" spans="1:33" x14ac:dyDescent="0.2">
      <c r="A9" s="471"/>
      <c r="C9" s="128" t="s">
        <v>435</v>
      </c>
      <c r="E9" s="32"/>
      <c r="I9" s="70"/>
      <c r="J9" s="70"/>
      <c r="K9" s="70"/>
      <c r="M9" s="70"/>
      <c r="N9" s="70"/>
      <c r="O9" s="70"/>
      <c r="P9" s="70"/>
      <c r="Q9" s="70"/>
      <c r="R9" s="70"/>
      <c r="S9" s="70"/>
      <c r="T9" s="70"/>
      <c r="U9" s="70"/>
    </row>
    <row r="10" spans="1:33" x14ac:dyDescent="0.2">
      <c r="A10" s="471">
        <v>1</v>
      </c>
      <c r="C10" s="100" t="s">
        <v>426</v>
      </c>
      <c r="F10" s="142"/>
      <c r="G10" s="698">
        <v>98.91</v>
      </c>
      <c r="H10" s="698"/>
      <c r="I10" s="698">
        <v>67.52</v>
      </c>
      <c r="J10" s="698"/>
      <c r="K10" s="698">
        <v>75.930000000000007</v>
      </c>
      <c r="L10" s="698"/>
      <c r="M10" s="698">
        <v>95.88</v>
      </c>
      <c r="N10" s="698"/>
      <c r="O10" s="698">
        <v>97.109840205511162</v>
      </c>
      <c r="P10" s="698"/>
      <c r="Q10" s="698">
        <v>101.75553628513588</v>
      </c>
      <c r="R10" s="698"/>
      <c r="S10" s="698">
        <v>101.75553628513588</v>
      </c>
      <c r="T10" s="698"/>
      <c r="U10" s="698">
        <v>101.75553628513588</v>
      </c>
      <c r="V10" s="698"/>
      <c r="W10" s="698">
        <v>87.48</v>
      </c>
      <c r="X10" s="698"/>
      <c r="Y10" s="698">
        <v>87.48</v>
      </c>
      <c r="Z10" s="142"/>
    </row>
    <row r="11" spans="1:33" x14ac:dyDescent="0.2">
      <c r="A11" s="471">
        <v>2</v>
      </c>
      <c r="C11" s="100" t="s">
        <v>427</v>
      </c>
      <c r="F11" s="142"/>
      <c r="G11" s="698">
        <v>101.03</v>
      </c>
      <c r="H11" s="698"/>
      <c r="I11" s="698">
        <v>82.28</v>
      </c>
      <c r="J11" s="698"/>
      <c r="K11" s="698">
        <v>87.68</v>
      </c>
      <c r="L11" s="698"/>
      <c r="M11" s="698">
        <v>109.34</v>
      </c>
      <c r="N11" s="698"/>
      <c r="O11" s="698">
        <v>112.58961958113514</v>
      </c>
      <c r="P11" s="698"/>
      <c r="Q11" s="698">
        <v>116.53031004422832</v>
      </c>
      <c r="R11" s="698"/>
      <c r="S11" s="698">
        <v>116.53031004422832</v>
      </c>
      <c r="T11" s="698"/>
      <c r="U11" s="698">
        <v>116.53031004422832</v>
      </c>
      <c r="V11" s="698"/>
      <c r="W11" s="698">
        <v>81.52</v>
      </c>
      <c r="X11" s="698"/>
      <c r="Y11" s="698">
        <v>81.52</v>
      </c>
      <c r="Z11" s="142"/>
    </row>
    <row r="12" spans="1:33" x14ac:dyDescent="0.2">
      <c r="A12" s="471">
        <v>3</v>
      </c>
      <c r="C12" s="100" t="s">
        <v>428</v>
      </c>
      <c r="F12" s="142"/>
      <c r="G12" s="698">
        <v>101.69</v>
      </c>
      <c r="H12" s="698"/>
      <c r="I12" s="698">
        <v>80.97</v>
      </c>
      <c r="J12" s="698"/>
      <c r="K12" s="698">
        <v>88.14</v>
      </c>
      <c r="L12" s="698"/>
      <c r="M12" s="698">
        <v>108.85</v>
      </c>
      <c r="N12" s="698"/>
      <c r="O12" s="698">
        <v>112.38185418096735</v>
      </c>
      <c r="P12" s="698"/>
      <c r="Q12" s="698">
        <v>115.40947419305922</v>
      </c>
      <c r="R12" s="698"/>
      <c r="S12" s="698">
        <v>115.40947419305922</v>
      </c>
      <c r="T12" s="698"/>
      <c r="U12" s="698">
        <v>115.40947419305922</v>
      </c>
      <c r="V12" s="698"/>
      <c r="W12" s="698">
        <v>83.13</v>
      </c>
      <c r="X12" s="698"/>
      <c r="Y12" s="698">
        <v>83.13</v>
      </c>
      <c r="Z12" s="142"/>
    </row>
    <row r="13" spans="1:33" x14ac:dyDescent="0.2">
      <c r="A13" s="471">
        <v>4</v>
      </c>
      <c r="C13" s="100" t="s">
        <v>429</v>
      </c>
      <c r="F13" s="142"/>
      <c r="G13" s="698">
        <v>200.3</v>
      </c>
      <c r="H13" s="698"/>
      <c r="I13" s="698">
        <v>164.2</v>
      </c>
      <c r="J13" s="698"/>
      <c r="K13" s="698">
        <v>171.7</v>
      </c>
      <c r="L13" s="698"/>
      <c r="M13" s="698">
        <v>189.16</v>
      </c>
      <c r="N13" s="698"/>
      <c r="O13" s="698">
        <v>214.69877071378795</v>
      </c>
      <c r="P13" s="698"/>
      <c r="Q13" s="698">
        <v>218.44352571109127</v>
      </c>
      <c r="R13" s="698"/>
      <c r="S13" s="698">
        <v>218.44352571109127</v>
      </c>
      <c r="T13" s="698"/>
      <c r="U13" s="698">
        <v>218.44352571109127</v>
      </c>
      <c r="V13" s="698"/>
      <c r="W13" s="698">
        <v>193.41</v>
      </c>
      <c r="X13" s="698"/>
      <c r="Y13" s="698">
        <v>193.41</v>
      </c>
      <c r="Z13" s="142"/>
    </row>
    <row r="14" spans="1:33" x14ac:dyDescent="0.2">
      <c r="A14" s="471">
        <v>5</v>
      </c>
      <c r="C14" s="100" t="s">
        <v>519</v>
      </c>
      <c r="F14" s="142"/>
      <c r="G14" s="698">
        <v>106.1</v>
      </c>
      <c r="H14" s="698"/>
      <c r="I14" s="698">
        <v>0</v>
      </c>
      <c r="J14" s="698"/>
      <c r="K14" s="698">
        <v>0</v>
      </c>
      <c r="L14" s="698"/>
      <c r="M14" s="698">
        <v>0</v>
      </c>
      <c r="N14" s="698"/>
      <c r="O14" s="698">
        <v>0</v>
      </c>
      <c r="P14" s="698"/>
      <c r="Q14" s="698">
        <v>0</v>
      </c>
      <c r="R14" s="698"/>
      <c r="S14" s="698">
        <v>0</v>
      </c>
      <c r="T14" s="698"/>
      <c r="U14" s="698">
        <v>0</v>
      </c>
      <c r="V14" s="698"/>
      <c r="W14" s="698">
        <v>89.33</v>
      </c>
      <c r="X14" s="698"/>
      <c r="Y14" s="698">
        <v>89.33</v>
      </c>
      <c r="Z14" s="142"/>
    </row>
    <row r="15" spans="1:33" x14ac:dyDescent="0.2">
      <c r="A15" s="471">
        <v>6</v>
      </c>
      <c r="C15" s="100" t="s">
        <v>431</v>
      </c>
      <c r="F15" s="142"/>
      <c r="G15" s="698">
        <v>105.26</v>
      </c>
      <c r="H15" s="698"/>
      <c r="I15" s="698">
        <v>73.83</v>
      </c>
      <c r="J15" s="698"/>
      <c r="K15" s="698">
        <v>80.66</v>
      </c>
      <c r="L15" s="698"/>
      <c r="M15" s="698">
        <v>97.08</v>
      </c>
      <c r="N15" s="698"/>
      <c r="O15" s="698">
        <v>104.01488226134299</v>
      </c>
      <c r="P15" s="698"/>
      <c r="Q15" s="698">
        <v>105.62833387966741</v>
      </c>
      <c r="R15" s="698"/>
      <c r="S15" s="698">
        <v>105.62833387966741</v>
      </c>
      <c r="T15" s="698"/>
      <c r="U15" s="698">
        <v>105.62833387966741</v>
      </c>
      <c r="V15" s="698"/>
      <c r="W15" s="698">
        <v>92.44</v>
      </c>
      <c r="X15" s="698"/>
      <c r="Y15" s="698">
        <v>92.44</v>
      </c>
      <c r="Z15" s="142"/>
    </row>
    <row r="16" spans="1:33" x14ac:dyDescent="0.2">
      <c r="A16" s="471">
        <v>7</v>
      </c>
      <c r="C16" s="100" t="s">
        <v>508</v>
      </c>
      <c r="F16" s="142"/>
      <c r="G16" s="698">
        <v>62.63</v>
      </c>
      <c r="H16" s="698"/>
      <c r="I16" s="698">
        <v>91.21</v>
      </c>
      <c r="J16" s="698"/>
      <c r="K16" s="698">
        <v>95.93</v>
      </c>
      <c r="L16" s="698"/>
      <c r="M16" s="698">
        <v>105.22</v>
      </c>
      <c r="N16" s="698"/>
      <c r="O16" s="698">
        <v>95.29</v>
      </c>
      <c r="P16" s="698"/>
      <c r="Q16" s="698">
        <v>89.559030503904069</v>
      </c>
      <c r="R16" s="698"/>
      <c r="S16" s="698">
        <v>89.559030503904069</v>
      </c>
      <c r="T16" s="698"/>
      <c r="U16" s="698">
        <v>89.559030503904069</v>
      </c>
      <c r="V16" s="698"/>
      <c r="W16" s="698">
        <v>70</v>
      </c>
      <c r="X16" s="698"/>
      <c r="Y16" s="698">
        <v>70</v>
      </c>
      <c r="Z16" s="142"/>
    </row>
    <row r="17" spans="1:33" x14ac:dyDescent="0.2">
      <c r="A17" s="471"/>
      <c r="C17" s="100"/>
      <c r="E17" s="266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33" x14ac:dyDescent="0.2">
      <c r="A18" s="471"/>
      <c r="C18" s="128" t="s">
        <v>797</v>
      </c>
      <c r="E18" s="266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11"/>
    </row>
    <row r="19" spans="1:33" x14ac:dyDescent="0.2">
      <c r="A19" s="471">
        <v>8</v>
      </c>
      <c r="C19" s="100" t="s">
        <v>426</v>
      </c>
      <c r="F19" s="145"/>
      <c r="G19" s="721">
        <v>14146</v>
      </c>
      <c r="H19" s="721"/>
      <c r="I19" s="158">
        <v>13940</v>
      </c>
      <c r="J19" s="158"/>
      <c r="K19" s="158">
        <v>13992</v>
      </c>
      <c r="L19" s="158"/>
      <c r="M19" s="158">
        <v>14357</v>
      </c>
      <c r="N19" s="158"/>
      <c r="O19" s="158">
        <f>15024</f>
        <v>15024</v>
      </c>
      <c r="P19" s="158"/>
      <c r="Q19" s="158">
        <v>15085.433514888604</v>
      </c>
      <c r="R19" s="158"/>
      <c r="S19" s="158">
        <v>15261.234444247613</v>
      </c>
      <c r="T19" s="158"/>
      <c r="U19" s="158">
        <v>15267.180538835657</v>
      </c>
      <c r="V19" s="721"/>
      <c r="W19" s="158">
        <v>14430.816180063308</v>
      </c>
      <c r="X19" s="705"/>
      <c r="Y19" s="158">
        <v>14592.790869528251</v>
      </c>
      <c r="Z19" s="111"/>
      <c r="AC19" s="65"/>
      <c r="AD19" s="65"/>
      <c r="AE19" s="65"/>
      <c r="AF19" s="65"/>
      <c r="AG19" s="65"/>
    </row>
    <row r="20" spans="1:33" x14ac:dyDescent="0.2">
      <c r="A20" s="471">
        <v>9</v>
      </c>
      <c r="C20" s="100" t="s">
        <v>427</v>
      </c>
      <c r="F20" s="145"/>
      <c r="G20" s="721">
        <v>1856</v>
      </c>
      <c r="H20" s="721"/>
      <c r="I20" s="158">
        <v>1874</v>
      </c>
      <c r="J20" s="158"/>
      <c r="K20" s="158">
        <v>1917</v>
      </c>
      <c r="L20" s="158"/>
      <c r="M20" s="158">
        <v>1981</v>
      </c>
      <c r="N20" s="158"/>
      <c r="O20" s="158">
        <v>1896.6420000000001</v>
      </c>
      <c r="P20" s="158"/>
      <c r="Q20" s="158">
        <v>1799.5384747599458</v>
      </c>
      <c r="R20" s="158"/>
      <c r="S20" s="158">
        <v>1832.3425404808756</v>
      </c>
      <c r="T20" s="158"/>
      <c r="U20" s="158">
        <v>1834.1800071370865</v>
      </c>
      <c r="V20" s="721"/>
      <c r="W20" s="158">
        <v>2020.8991314814928</v>
      </c>
      <c r="X20" s="705"/>
      <c r="Y20" s="158">
        <v>2114.8477576756159</v>
      </c>
      <c r="Z20" s="111"/>
    </row>
    <row r="21" spans="1:33" x14ac:dyDescent="0.2">
      <c r="A21" s="471">
        <v>10</v>
      </c>
      <c r="C21" s="100" t="s">
        <v>428</v>
      </c>
      <c r="F21" s="145"/>
      <c r="G21" s="721">
        <v>1768</v>
      </c>
      <c r="H21" s="721"/>
      <c r="I21" s="158">
        <v>1771</v>
      </c>
      <c r="J21" s="158"/>
      <c r="K21" s="158">
        <v>1766</v>
      </c>
      <c r="L21" s="158"/>
      <c r="M21" s="158">
        <v>1862</v>
      </c>
      <c r="N21" s="158"/>
      <c r="O21" s="158">
        <v>1995.7619999999999</v>
      </c>
      <c r="P21" s="158"/>
      <c r="Q21" s="158">
        <v>1826.2167124935422</v>
      </c>
      <c r="R21" s="158"/>
      <c r="S21" s="158">
        <v>1860.0982949869251</v>
      </c>
      <c r="T21" s="158"/>
      <c r="U21" s="158">
        <v>1861.9597130482116</v>
      </c>
      <c r="V21" s="721"/>
      <c r="W21" s="158">
        <v>1721.9059696114564</v>
      </c>
      <c r="X21" s="705"/>
      <c r="Y21" s="158">
        <v>1740.73066509917</v>
      </c>
      <c r="Z21" s="111"/>
    </row>
    <row r="22" spans="1:33" x14ac:dyDescent="0.2">
      <c r="A22" s="471">
        <v>11</v>
      </c>
      <c r="C22" s="100" t="s">
        <v>429</v>
      </c>
      <c r="F22" s="145"/>
      <c r="G22" s="721">
        <v>1820</v>
      </c>
      <c r="H22" s="721"/>
      <c r="I22" s="158">
        <v>1904</v>
      </c>
      <c r="J22" s="158"/>
      <c r="K22" s="158">
        <v>1903</v>
      </c>
      <c r="L22" s="158"/>
      <c r="M22" s="158">
        <v>2067</v>
      </c>
      <c r="N22" s="158"/>
      <c r="O22" s="158">
        <v>2136</v>
      </c>
      <c r="P22" s="158"/>
      <c r="Q22" s="158">
        <v>2082.8176729352108</v>
      </c>
      <c r="R22" s="158"/>
      <c r="S22" s="158">
        <v>2114.3933810445619</v>
      </c>
      <c r="T22" s="158"/>
      <c r="U22" s="158">
        <v>2114.4405797744739</v>
      </c>
      <c r="V22" s="721"/>
      <c r="W22" s="158">
        <v>2004.6177661552429</v>
      </c>
      <c r="X22" s="705"/>
      <c r="Y22" s="158">
        <v>2029.4090017776653</v>
      </c>
      <c r="Z22" s="111"/>
    </row>
    <row r="23" spans="1:33" ht="15.75" customHeight="1" x14ac:dyDescent="0.2">
      <c r="A23" s="471">
        <v>12</v>
      </c>
      <c r="C23" s="100" t="s">
        <v>509</v>
      </c>
      <c r="F23" s="147"/>
      <c r="G23" s="721">
        <v>2203</v>
      </c>
      <c r="H23" s="722"/>
      <c r="I23" s="158">
        <v>0</v>
      </c>
      <c r="J23" s="722"/>
      <c r="K23" s="158">
        <v>0</v>
      </c>
      <c r="L23" s="158"/>
      <c r="M23" s="158">
        <v>0</v>
      </c>
      <c r="N23" s="158"/>
      <c r="O23" s="158">
        <v>0</v>
      </c>
      <c r="P23" s="158"/>
      <c r="Q23" s="158">
        <v>0</v>
      </c>
      <c r="R23" s="158"/>
      <c r="S23" s="158">
        <v>0</v>
      </c>
      <c r="T23" s="158"/>
      <c r="U23" s="158">
        <v>0</v>
      </c>
      <c r="V23" s="722"/>
      <c r="W23" s="158">
        <v>1863.4152517317234</v>
      </c>
      <c r="X23" s="705"/>
      <c r="Y23" s="158">
        <v>11</v>
      </c>
    </row>
    <row r="24" spans="1:33" x14ac:dyDescent="0.2">
      <c r="A24" s="471">
        <v>13</v>
      </c>
      <c r="C24" s="100" t="s">
        <v>431</v>
      </c>
      <c r="F24" s="270"/>
      <c r="G24" s="721">
        <v>272</v>
      </c>
      <c r="H24" s="723"/>
      <c r="I24" s="158">
        <v>265</v>
      </c>
      <c r="J24" s="722"/>
      <c r="K24" s="158">
        <v>189</v>
      </c>
      <c r="L24" s="158"/>
      <c r="M24" s="158">
        <v>220</v>
      </c>
      <c r="N24" s="158"/>
      <c r="O24" s="158">
        <v>232.73400000000001</v>
      </c>
      <c r="P24" s="158"/>
      <c r="Q24" s="158">
        <v>262.73609073723082</v>
      </c>
      <c r="R24" s="158"/>
      <c r="S24" s="158">
        <v>266.85462648611963</v>
      </c>
      <c r="T24" s="158"/>
      <c r="U24" s="158">
        <v>267.66299328982939</v>
      </c>
      <c r="V24" s="723"/>
      <c r="W24" s="158">
        <v>278.3837986307845</v>
      </c>
      <c r="X24" s="705"/>
      <c r="Y24" s="158">
        <v>325.57139937846523</v>
      </c>
    </row>
    <row r="25" spans="1:33" x14ac:dyDescent="0.2">
      <c r="A25" s="471">
        <v>14</v>
      </c>
      <c r="C25" s="100" t="s">
        <v>508</v>
      </c>
      <c r="F25" s="139"/>
      <c r="G25" s="724">
        <v>158</v>
      </c>
      <c r="H25" s="705"/>
      <c r="I25" s="203">
        <v>213</v>
      </c>
      <c r="J25" s="153"/>
      <c r="K25" s="203">
        <v>72</v>
      </c>
      <c r="L25" s="158"/>
      <c r="M25" s="203">
        <v>446</v>
      </c>
      <c r="N25" s="158"/>
      <c r="O25" s="203">
        <v>24.9</v>
      </c>
      <c r="P25" s="158"/>
      <c r="Q25" s="203">
        <v>70</v>
      </c>
      <c r="R25" s="158"/>
      <c r="S25" s="203">
        <v>70</v>
      </c>
      <c r="T25" s="158"/>
      <c r="U25" s="203">
        <v>70</v>
      </c>
      <c r="V25" s="705"/>
      <c r="W25" s="203">
        <v>44</v>
      </c>
      <c r="X25" s="705"/>
      <c r="Y25" s="203">
        <v>44</v>
      </c>
      <c r="AB25" s="271"/>
    </row>
    <row r="26" spans="1:33" x14ac:dyDescent="0.2">
      <c r="A26" s="471">
        <v>15</v>
      </c>
      <c r="E26" s="35" t="s">
        <v>374</v>
      </c>
      <c r="G26" s="170">
        <f>SUM(G19:G25)</f>
        <v>22223</v>
      </c>
      <c r="H26" s="170"/>
      <c r="I26" s="406">
        <f>SUM(I19:I25)</f>
        <v>19967</v>
      </c>
      <c r="J26" s="406"/>
      <c r="K26" s="406">
        <f>SUM(K19:K25)</f>
        <v>19839</v>
      </c>
      <c r="L26" s="406"/>
      <c r="M26" s="406">
        <f>SUM(M19:M25)</f>
        <v>20933</v>
      </c>
      <c r="N26" s="406"/>
      <c r="O26" s="406">
        <f>SUM(O19:O25)</f>
        <v>21310.038</v>
      </c>
      <c r="P26" s="406"/>
      <c r="Q26" s="406">
        <f>SUM(Q19:Q25)</f>
        <v>21126.742465814536</v>
      </c>
      <c r="R26" s="406"/>
      <c r="S26" s="406">
        <f>SUM(S19:S25)</f>
        <v>21404.923287246096</v>
      </c>
      <c r="T26" s="406"/>
      <c r="U26" s="406">
        <f>SUM(U19:U25)</f>
        <v>21415.423832085256</v>
      </c>
      <c r="V26" s="170"/>
      <c r="W26" s="406">
        <f>SUM(W19:W25)</f>
        <v>22364.038097674009</v>
      </c>
      <c r="X26" s="170"/>
      <c r="Y26" s="170">
        <f>SUM(Y19:Y25)</f>
        <v>20858.349693459168</v>
      </c>
    </row>
    <row r="27" spans="1:33" x14ac:dyDescent="0.2">
      <c r="A27" s="471"/>
      <c r="I27" s="70"/>
      <c r="J27" s="70"/>
      <c r="K27" s="70"/>
      <c r="M27" s="70"/>
      <c r="N27" s="70"/>
      <c r="O27" s="70"/>
      <c r="P27" s="70"/>
      <c r="Q27" s="70"/>
      <c r="R27" s="70"/>
      <c r="S27" s="70"/>
      <c r="T27" s="70"/>
      <c r="U27" s="70"/>
      <c r="W27" s="70"/>
    </row>
    <row r="28" spans="1:33" x14ac:dyDescent="0.2">
      <c r="A28" s="471">
        <v>16</v>
      </c>
      <c r="C28" s="272" t="s">
        <v>798</v>
      </c>
      <c r="I28" s="70"/>
      <c r="J28" s="70"/>
      <c r="K28" s="70"/>
      <c r="M28" s="70" t="s">
        <v>28</v>
      </c>
      <c r="N28" s="70"/>
      <c r="O28" s="70"/>
      <c r="P28" s="70"/>
      <c r="Q28" s="70"/>
      <c r="R28" s="70"/>
      <c r="S28" s="70"/>
      <c r="T28" s="70"/>
      <c r="U28" s="70"/>
      <c r="W28" s="70"/>
    </row>
    <row r="29" spans="1:33" x14ac:dyDescent="0.2">
      <c r="A29" s="471">
        <v>17</v>
      </c>
      <c r="C29" s="100" t="s">
        <v>426</v>
      </c>
      <c r="F29" s="38"/>
      <c r="G29" s="703">
        <v>3.82</v>
      </c>
      <c r="H29" s="703"/>
      <c r="I29" s="704">
        <v>3.81</v>
      </c>
      <c r="J29" s="704"/>
      <c r="K29" s="704">
        <v>3.85</v>
      </c>
      <c r="L29" s="704"/>
      <c r="M29" s="704">
        <v>3.74</v>
      </c>
      <c r="N29" s="704"/>
      <c r="O29" s="704">
        <v>3.7970641258921858</v>
      </c>
      <c r="P29" s="704"/>
      <c r="Q29" s="704">
        <v>3.7831442787155951</v>
      </c>
      <c r="R29" s="704"/>
      <c r="S29" s="704">
        <v>3.7831442787155951</v>
      </c>
      <c r="T29" s="704"/>
      <c r="U29" s="704">
        <v>3.7831442787155951</v>
      </c>
      <c r="V29" s="703"/>
      <c r="W29" s="704">
        <v>3.8201499630997113</v>
      </c>
      <c r="X29" s="445"/>
      <c r="Y29" s="703">
        <v>3.8201499630997113</v>
      </c>
      <c r="AB29" s="445"/>
      <c r="AC29" s="445"/>
    </row>
    <row r="30" spans="1:33" x14ac:dyDescent="0.2">
      <c r="A30" s="471">
        <v>18</v>
      </c>
      <c r="C30" s="100" t="s">
        <v>427</v>
      </c>
      <c r="F30" s="38"/>
      <c r="G30" s="703">
        <v>3.57</v>
      </c>
      <c r="H30" s="703"/>
      <c r="I30" s="704">
        <v>3.62</v>
      </c>
      <c r="J30" s="704"/>
      <c r="K30" s="704">
        <v>3.63</v>
      </c>
      <c r="L30" s="704"/>
      <c r="M30" s="704">
        <v>3.48</v>
      </c>
      <c r="N30" s="704"/>
      <c r="O30" s="704">
        <v>3.5158288504387736</v>
      </c>
      <c r="P30" s="704"/>
      <c r="Q30" s="704">
        <v>3.5858079252266499</v>
      </c>
      <c r="R30" s="704"/>
      <c r="S30" s="704">
        <v>3.5858079252266499</v>
      </c>
      <c r="T30" s="704"/>
      <c r="U30" s="704">
        <v>3.5858079252266499</v>
      </c>
      <c r="V30" s="703"/>
      <c r="W30" s="704">
        <v>3.5621443262172527</v>
      </c>
      <c r="X30" s="445"/>
      <c r="Y30" s="703">
        <v>3.5621443262172532</v>
      </c>
    </row>
    <row r="31" spans="1:33" x14ac:dyDescent="0.2">
      <c r="A31" s="471">
        <v>19</v>
      </c>
      <c r="C31" s="100" t="s">
        <v>428</v>
      </c>
      <c r="F31" s="38"/>
      <c r="G31" s="703">
        <v>3.29</v>
      </c>
      <c r="H31" s="703"/>
      <c r="I31" s="704">
        <v>3.58</v>
      </c>
      <c r="J31" s="704"/>
      <c r="K31" s="704">
        <v>3.44</v>
      </c>
      <c r="L31" s="704"/>
      <c r="M31" s="704">
        <v>3.56</v>
      </c>
      <c r="N31" s="704"/>
      <c r="O31" s="704">
        <v>3.682679745798366</v>
      </c>
      <c r="P31" s="704"/>
      <c r="Q31" s="704">
        <v>3.5788816766843361</v>
      </c>
      <c r="R31" s="704"/>
      <c r="S31" s="704">
        <v>3.5788816766843361</v>
      </c>
      <c r="T31" s="704"/>
      <c r="U31" s="704">
        <v>3.5788816766843361</v>
      </c>
      <c r="V31" s="703"/>
      <c r="W31" s="704">
        <v>3.4104679443927828</v>
      </c>
      <c r="X31" s="445"/>
      <c r="Y31" s="703">
        <v>3.4104679443927828</v>
      </c>
    </row>
    <row r="32" spans="1:33" x14ac:dyDescent="0.2">
      <c r="A32" s="471">
        <v>20</v>
      </c>
      <c r="C32" s="100" t="s">
        <v>429</v>
      </c>
      <c r="F32" s="38"/>
      <c r="G32" s="703">
        <v>3.43</v>
      </c>
      <c r="H32" s="703"/>
      <c r="I32" s="704">
        <v>3.4</v>
      </c>
      <c r="J32" s="704"/>
      <c r="K32" s="704">
        <v>3.62</v>
      </c>
      <c r="L32" s="704"/>
      <c r="M32" s="704">
        <v>3.58</v>
      </c>
      <c r="N32" s="704"/>
      <c r="O32" s="704">
        <v>3.4535779941114555</v>
      </c>
      <c r="P32" s="704"/>
      <c r="Q32" s="704">
        <v>3.6049617942228238</v>
      </c>
      <c r="R32" s="704"/>
      <c r="S32" s="704">
        <v>3.6049617942228238</v>
      </c>
      <c r="T32" s="704"/>
      <c r="U32" s="704">
        <v>3.6049617942228238</v>
      </c>
      <c r="V32" s="703"/>
      <c r="W32" s="704">
        <v>3.5645716878925882</v>
      </c>
      <c r="X32" s="445"/>
      <c r="Y32" s="703">
        <v>3.5645716878925877</v>
      </c>
    </row>
    <row r="33" spans="1:25" x14ac:dyDescent="0.2">
      <c r="A33" s="471">
        <v>21</v>
      </c>
      <c r="C33" s="100" t="s">
        <v>430</v>
      </c>
      <c r="F33" s="38"/>
      <c r="G33" s="703">
        <v>3.05</v>
      </c>
      <c r="H33" s="703"/>
      <c r="I33" s="704">
        <v>0</v>
      </c>
      <c r="J33" s="704"/>
      <c r="K33" s="704">
        <v>0</v>
      </c>
      <c r="L33" s="704"/>
      <c r="M33" s="704">
        <v>0</v>
      </c>
      <c r="N33" s="704"/>
      <c r="O33" s="704">
        <v>0</v>
      </c>
      <c r="P33" s="704"/>
      <c r="Q33" s="704">
        <v>0</v>
      </c>
      <c r="R33" s="704"/>
      <c r="S33" s="704">
        <v>0</v>
      </c>
      <c r="T33" s="704"/>
      <c r="U33" s="704">
        <v>0</v>
      </c>
      <c r="V33" s="703"/>
      <c r="W33" s="704">
        <v>3.6231974013684409</v>
      </c>
      <c r="X33" s="445"/>
      <c r="Y33" s="703">
        <v>3.6231974013684409</v>
      </c>
    </row>
    <row r="34" spans="1:25" x14ac:dyDescent="0.2">
      <c r="A34" s="471">
        <v>22</v>
      </c>
      <c r="C34" s="100" t="s">
        <v>431</v>
      </c>
      <c r="F34" s="38"/>
      <c r="G34" s="703">
        <v>2.96</v>
      </c>
      <c r="H34" s="703"/>
      <c r="I34" s="704">
        <v>2.99</v>
      </c>
      <c r="J34" s="704"/>
      <c r="K34" s="704">
        <v>2.5099999999999998</v>
      </c>
      <c r="L34" s="704"/>
      <c r="M34" s="704">
        <v>2.73</v>
      </c>
      <c r="N34" s="704"/>
      <c r="O34" s="704">
        <v>2.7665672138552426</v>
      </c>
      <c r="P34" s="704"/>
      <c r="Q34" s="704">
        <v>2.7867541674685841</v>
      </c>
      <c r="R34" s="704"/>
      <c r="S34" s="704">
        <v>2.7867541674685841</v>
      </c>
      <c r="T34" s="704"/>
      <c r="U34" s="704">
        <v>2.7867541674685841</v>
      </c>
      <c r="V34" s="703"/>
      <c r="W34" s="704">
        <v>2.9916297255835547</v>
      </c>
      <c r="X34" s="445"/>
      <c r="Y34" s="703">
        <v>2.9916297255835547</v>
      </c>
    </row>
    <row r="35" spans="1:25" x14ac:dyDescent="0.2">
      <c r="A35" s="471">
        <v>23</v>
      </c>
      <c r="C35" s="100" t="s">
        <v>508</v>
      </c>
      <c r="F35" s="38"/>
      <c r="G35" s="703">
        <v>3</v>
      </c>
      <c r="H35" s="703"/>
      <c r="I35" s="704">
        <v>3</v>
      </c>
      <c r="J35" s="704"/>
      <c r="K35" s="704">
        <v>3</v>
      </c>
      <c r="L35" s="704"/>
      <c r="M35" s="704">
        <f>M25/M44</f>
        <v>3.3533834586466167</v>
      </c>
      <c r="N35" s="704"/>
      <c r="O35" s="704">
        <v>1.5</v>
      </c>
      <c r="P35" s="704"/>
      <c r="Q35" s="704">
        <v>3.0209276147550286</v>
      </c>
      <c r="R35" s="704"/>
      <c r="S35" s="704">
        <v>3.0209276147550286</v>
      </c>
      <c r="T35" s="704"/>
      <c r="U35" s="704">
        <v>3.0209276147550286</v>
      </c>
      <c r="V35" s="703"/>
      <c r="W35" s="704">
        <v>3.5</v>
      </c>
      <c r="X35" s="445"/>
      <c r="Y35" s="703">
        <v>3.5</v>
      </c>
    </row>
    <row r="36" spans="1:25" x14ac:dyDescent="0.2">
      <c r="A36" s="471"/>
      <c r="C36" s="100"/>
      <c r="F36" s="38"/>
      <c r="G36" s="38"/>
      <c r="H36" s="38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38"/>
      <c r="W36" s="70"/>
    </row>
    <row r="37" spans="1:25" x14ac:dyDescent="0.2">
      <c r="A37" s="471">
        <v>24</v>
      </c>
      <c r="C37" s="272" t="s">
        <v>799</v>
      </c>
      <c r="I37" s="70"/>
      <c r="J37" s="70"/>
      <c r="K37" s="70"/>
      <c r="M37" s="70"/>
      <c r="N37" s="70"/>
      <c r="O37" s="70"/>
      <c r="P37" s="70"/>
      <c r="Q37" s="70"/>
      <c r="R37" s="70"/>
      <c r="S37" s="70"/>
      <c r="T37" s="70"/>
      <c r="U37" s="70"/>
      <c r="W37" s="70"/>
    </row>
    <row r="38" spans="1:25" x14ac:dyDescent="0.2">
      <c r="A38" s="471">
        <v>25</v>
      </c>
      <c r="C38" s="100" t="s">
        <v>426</v>
      </c>
      <c r="F38" s="139"/>
      <c r="G38" s="705">
        <v>3726</v>
      </c>
      <c r="H38" s="705"/>
      <c r="I38" s="153">
        <v>3695</v>
      </c>
      <c r="J38" s="153"/>
      <c r="K38" s="153">
        <v>3673.3</v>
      </c>
      <c r="L38" s="153"/>
      <c r="M38" s="153">
        <v>3791</v>
      </c>
      <c r="N38" s="153"/>
      <c r="O38" s="153">
        <f>+O19/O29</f>
        <v>3956.7411826287898</v>
      </c>
      <c r="P38" s="153"/>
      <c r="Q38" s="153">
        <f>+Q19/Q29</f>
        <v>3987.5385138655665</v>
      </c>
      <c r="R38" s="153"/>
      <c r="S38" s="153">
        <f>+S19/S29</f>
        <v>4034.0080419636843</v>
      </c>
      <c r="T38" s="153"/>
      <c r="U38" s="153">
        <f>+U19/U29</f>
        <v>4035.5797754610026</v>
      </c>
      <c r="V38" s="705"/>
      <c r="W38" s="153">
        <v>3777.5522739829789</v>
      </c>
      <c r="X38" s="170"/>
      <c r="Y38" s="705">
        <v>3819.9523606365183</v>
      </c>
    </row>
    <row r="39" spans="1:25" x14ac:dyDescent="0.2">
      <c r="A39" s="471">
        <v>26</v>
      </c>
      <c r="C39" s="100" t="s">
        <v>427</v>
      </c>
      <c r="F39" s="139"/>
      <c r="G39" s="705">
        <v>513</v>
      </c>
      <c r="H39" s="705"/>
      <c r="I39" s="153">
        <v>515</v>
      </c>
      <c r="J39" s="153"/>
      <c r="K39" s="153">
        <v>526.29999999999995</v>
      </c>
      <c r="L39" s="153"/>
      <c r="M39" s="153">
        <v>569</v>
      </c>
      <c r="N39" s="153"/>
      <c r="O39" s="153">
        <f t="shared" ref="O39:Q43" si="0">+O20/O30</f>
        <v>539.45800000000008</v>
      </c>
      <c r="P39" s="153"/>
      <c r="Q39" s="153">
        <f t="shared" si="0"/>
        <v>501.85021403403852</v>
      </c>
      <c r="R39" s="153"/>
      <c r="S39" s="153">
        <f>+S20/S30</f>
        <v>510.99851935461879</v>
      </c>
      <c r="T39" s="153"/>
      <c r="U39" s="153">
        <f>+U20/U30</f>
        <v>511.51094687291499</v>
      </c>
      <c r="V39" s="705"/>
      <c r="W39" s="153">
        <v>567.32657253883519</v>
      </c>
      <c r="X39" s="170"/>
      <c r="Y39" s="705">
        <v>593.70074988551505</v>
      </c>
    </row>
    <row r="40" spans="1:25" x14ac:dyDescent="0.2">
      <c r="A40" s="471">
        <v>27</v>
      </c>
      <c r="C40" s="100" t="s">
        <v>428</v>
      </c>
      <c r="F40" s="139"/>
      <c r="G40" s="705">
        <v>521</v>
      </c>
      <c r="H40" s="705"/>
      <c r="I40" s="153">
        <v>483</v>
      </c>
      <c r="J40" s="153"/>
      <c r="K40" s="153">
        <v>498</v>
      </c>
      <c r="L40" s="153"/>
      <c r="M40" s="153">
        <v>523</v>
      </c>
      <c r="N40" s="153"/>
      <c r="O40" s="153">
        <f t="shared" si="0"/>
        <v>541.93200000000002</v>
      </c>
      <c r="P40" s="153"/>
      <c r="Q40" s="153">
        <f>+Q21/Q31</f>
        <v>510.27580050800822</v>
      </c>
      <c r="R40" s="153"/>
      <c r="S40" s="153">
        <f>+S21/S31</f>
        <v>519.74288703230275</v>
      </c>
      <c r="T40" s="153"/>
      <c r="U40" s="153">
        <f>+U21/U31</f>
        <v>520.26299868433455</v>
      </c>
      <c r="V40" s="705"/>
      <c r="W40" s="705">
        <v>504.88847797044269</v>
      </c>
      <c r="X40" s="170"/>
      <c r="Y40" s="705">
        <v>510.40815908008739</v>
      </c>
    </row>
    <row r="41" spans="1:25" x14ac:dyDescent="0.2">
      <c r="A41" s="471">
        <v>28</v>
      </c>
      <c r="C41" s="100" t="s">
        <v>429</v>
      </c>
      <c r="F41" s="139"/>
      <c r="G41" s="705">
        <v>523</v>
      </c>
      <c r="H41" s="705"/>
      <c r="I41" s="153">
        <v>541</v>
      </c>
      <c r="J41" s="153"/>
      <c r="K41" s="153">
        <v>514</v>
      </c>
      <c r="L41" s="153"/>
      <c r="M41" s="153">
        <v>584</v>
      </c>
      <c r="N41" s="153"/>
      <c r="O41" s="153">
        <f t="shared" si="0"/>
        <v>618.48900000000003</v>
      </c>
      <c r="P41" s="153"/>
      <c r="Q41" s="153">
        <f t="shared" si="0"/>
        <v>577.76414614797193</v>
      </c>
      <c r="R41" s="153"/>
      <c r="S41" s="153">
        <f>+S22/S32</f>
        <v>586.52310391555579</v>
      </c>
      <c r="T41" s="153"/>
      <c r="U41" s="153">
        <f>+U22/U32</f>
        <v>586.53619662849042</v>
      </c>
      <c r="V41" s="705"/>
      <c r="W41" s="705">
        <v>562.3726892529952</v>
      </c>
      <c r="X41" s="170"/>
      <c r="Y41" s="705">
        <v>569.32758812811903</v>
      </c>
    </row>
    <row r="42" spans="1:25" x14ac:dyDescent="0.2">
      <c r="A42" s="471">
        <v>29</v>
      </c>
      <c r="C42" s="100" t="s">
        <v>430</v>
      </c>
      <c r="F42" s="139"/>
      <c r="G42" s="705">
        <v>644</v>
      </c>
      <c r="H42" s="705"/>
      <c r="I42" s="153">
        <v>0</v>
      </c>
      <c r="J42" s="153"/>
      <c r="K42" s="153">
        <v>0</v>
      </c>
      <c r="L42" s="153"/>
      <c r="M42" s="153">
        <v>0</v>
      </c>
      <c r="N42" s="153"/>
      <c r="O42" s="153">
        <v>0</v>
      </c>
      <c r="P42" s="153"/>
      <c r="Q42" s="153">
        <v>0</v>
      </c>
      <c r="R42" s="153"/>
      <c r="S42" s="153">
        <v>0</v>
      </c>
      <c r="T42" s="153"/>
      <c r="U42" s="153">
        <v>0</v>
      </c>
      <c r="V42" s="705"/>
      <c r="W42" s="705">
        <v>514.30133258208127</v>
      </c>
      <c r="X42" s="170"/>
      <c r="Y42" s="705">
        <v>3.0359924623056487</v>
      </c>
    </row>
    <row r="43" spans="1:25" x14ac:dyDescent="0.2">
      <c r="A43" s="471">
        <v>30</v>
      </c>
      <c r="C43" s="100" t="s">
        <v>431</v>
      </c>
      <c r="F43" s="139"/>
      <c r="G43" s="705">
        <v>92</v>
      </c>
      <c r="H43" s="705"/>
      <c r="I43" s="153">
        <v>88</v>
      </c>
      <c r="J43" s="153"/>
      <c r="K43" s="153">
        <v>74</v>
      </c>
      <c r="L43" s="153"/>
      <c r="M43" s="153">
        <v>81</v>
      </c>
      <c r="N43" s="153"/>
      <c r="O43" s="153">
        <f t="shared" si="0"/>
        <v>84.12374687101223</v>
      </c>
      <c r="P43" s="153"/>
      <c r="Q43" s="153">
        <f t="shared" si="0"/>
        <v>94.28032576547416</v>
      </c>
      <c r="R43" s="153"/>
      <c r="S43" s="153">
        <f>+S24/S34</f>
        <v>95.758222810346965</v>
      </c>
      <c r="T43" s="153"/>
      <c r="U43" s="153">
        <f>+U24/U34</f>
        <v>96.048297483293112</v>
      </c>
      <c r="V43" s="705"/>
      <c r="W43" s="705">
        <v>93.054229355366587</v>
      </c>
      <c r="X43" s="705"/>
      <c r="Y43" s="705">
        <v>108.82743830035933</v>
      </c>
    </row>
    <row r="44" spans="1:25" x14ac:dyDescent="0.2">
      <c r="A44" s="471">
        <v>31</v>
      </c>
      <c r="C44" s="100" t="s">
        <v>508</v>
      </c>
      <c r="F44" s="139"/>
      <c r="G44" s="724">
        <v>67</v>
      </c>
      <c r="H44" s="705"/>
      <c r="I44" s="203">
        <v>87</v>
      </c>
      <c r="J44" s="153"/>
      <c r="K44" s="203">
        <v>25</v>
      </c>
      <c r="L44" s="158"/>
      <c r="M44" s="203">
        <v>133</v>
      </c>
      <c r="N44" s="158"/>
      <c r="O44" s="203">
        <f>+O25/O35</f>
        <v>16.599999999999998</v>
      </c>
      <c r="P44" s="158"/>
      <c r="Q44" s="203">
        <f>+Q25/Q35-3</f>
        <v>20.17169059533272</v>
      </c>
      <c r="R44" s="158"/>
      <c r="S44" s="203">
        <f>+S25/S35-3</f>
        <v>20.17169059533272</v>
      </c>
      <c r="T44" s="158"/>
      <c r="U44" s="203">
        <f>+U25/U35-3</f>
        <v>20.17169059533272</v>
      </c>
      <c r="V44" s="705"/>
      <c r="W44" s="724">
        <v>12.571428571428571</v>
      </c>
      <c r="X44" s="705"/>
      <c r="Y44" s="724">
        <v>12.571428571428571</v>
      </c>
    </row>
    <row r="45" spans="1:25" x14ac:dyDescent="0.2">
      <c r="A45" s="471">
        <v>32</v>
      </c>
      <c r="E45" s="35" t="s">
        <v>436</v>
      </c>
      <c r="G45" s="170">
        <f>SUM(G38:G44)</f>
        <v>6086</v>
      </c>
      <c r="H45" s="170"/>
      <c r="I45" s="406">
        <f>SUM(I38:I44)</f>
        <v>5409</v>
      </c>
      <c r="J45" s="406"/>
      <c r="K45" s="406">
        <f>SUM(K38:K44)</f>
        <v>5310.6</v>
      </c>
      <c r="L45" s="406"/>
      <c r="M45" s="406">
        <f>SUM(M38:M44)</f>
        <v>5681</v>
      </c>
      <c r="N45" s="406"/>
      <c r="O45" s="406">
        <f>SUM(O38:O44)</f>
        <v>5757.3439294998034</v>
      </c>
      <c r="P45" s="406"/>
      <c r="Q45" s="406">
        <f>SUM(Q38:Q44)</f>
        <v>5691.8806909163923</v>
      </c>
      <c r="R45" s="406"/>
      <c r="S45" s="406">
        <f>SUM(S38:S44)</f>
        <v>5767.2024656718413</v>
      </c>
      <c r="T45" s="406"/>
      <c r="U45" s="406">
        <f>SUM(U38:U44)</f>
        <v>5770.1099057253678</v>
      </c>
      <c r="V45" s="170"/>
      <c r="W45" s="170">
        <f>SUM(W38:W44)</f>
        <v>6032.0670042541278</v>
      </c>
      <c r="X45" s="170"/>
      <c r="Y45" s="170">
        <f>SUM(Y38:Y44)</f>
        <v>5617.8237170643315</v>
      </c>
    </row>
    <row r="46" spans="1:25" x14ac:dyDescent="0.2">
      <c r="A46" s="478"/>
      <c r="F46" s="139"/>
      <c r="G46" s="139"/>
      <c r="H46" s="139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39"/>
      <c r="W46" s="139"/>
      <c r="X46" s="139"/>
      <c r="Y46" s="139"/>
    </row>
  </sheetData>
  <customSheetViews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Y4"/>
    <mergeCell ref="Q6:U6"/>
  </mergeCells>
  <phoneticPr fontId="8" type="noConversion"/>
  <printOptions horizontalCentered="1"/>
  <pageMargins left="0.5" right="0.5" top="0.75" bottom="0.75" header="0.5" footer="0.5"/>
  <pageSetup scale="53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S63"/>
  <sheetViews>
    <sheetView view="pageBreakPreview" topLeftCell="A25" zoomScale="76" zoomScaleNormal="70" zoomScaleSheetLayoutView="76" workbookViewId="0">
      <selection activeCell="O50" sqref="O50"/>
    </sheetView>
  </sheetViews>
  <sheetFormatPr defaultColWidth="7.5703125" defaultRowHeight="12.75" x14ac:dyDescent="0.2"/>
  <cols>
    <col min="1" max="1" width="8.5703125" style="19" customWidth="1"/>
    <col min="2" max="2" width="2" style="19" customWidth="1"/>
    <col min="3" max="3" width="61.85546875" style="19" customWidth="1"/>
    <col min="4" max="4" width="2" style="19" customWidth="1"/>
    <col min="5" max="5" width="12.42578125" style="67" customWidth="1"/>
    <col min="6" max="6" width="2" style="67" customWidth="1"/>
    <col min="7" max="7" width="13.7109375" style="81" customWidth="1"/>
    <col min="8" max="8" width="2" style="81" customWidth="1"/>
    <col min="9" max="9" width="13.7109375" style="81" customWidth="1"/>
    <col min="10" max="10" width="2" style="81" customWidth="1"/>
    <col min="11" max="11" width="13.7109375" style="19" customWidth="1"/>
    <col min="12" max="12" width="2" style="19" customWidth="1"/>
    <col min="13" max="13" width="13.7109375" style="343" customWidth="1"/>
    <col min="14" max="14" width="2" style="343" customWidth="1"/>
    <col min="15" max="15" width="13.7109375" style="343" customWidth="1"/>
    <col min="16" max="16" width="2" style="343" customWidth="1"/>
    <col min="17" max="17" width="13.7109375" style="343" customWidth="1"/>
    <col min="18" max="18" width="2" style="343" customWidth="1"/>
    <col min="19" max="19" width="8.7109375" style="343" bestFit="1" customWidth="1"/>
    <col min="20" max="16384" width="7.5703125" style="19"/>
  </cols>
  <sheetData>
    <row r="1" spans="1:19" ht="15.75" x14ac:dyDescent="0.25">
      <c r="A1" s="370" t="s">
        <v>539</v>
      </c>
      <c r="B1" s="370"/>
      <c r="C1" s="74"/>
      <c r="D1" s="351"/>
      <c r="E1" s="351"/>
      <c r="F1" s="351"/>
      <c r="G1" s="351"/>
      <c r="H1" s="41"/>
      <c r="I1" s="351"/>
      <c r="J1" s="41"/>
      <c r="K1" s="74"/>
      <c r="L1" s="74"/>
      <c r="M1" s="85"/>
      <c r="N1" s="85"/>
      <c r="O1" s="85"/>
      <c r="P1" s="85"/>
      <c r="Q1" s="85"/>
      <c r="R1" s="80" t="s">
        <v>833</v>
      </c>
    </row>
    <row r="2" spans="1:19" ht="15.75" x14ac:dyDescent="0.25">
      <c r="A2" s="370" t="s">
        <v>489</v>
      </c>
      <c r="B2" s="351"/>
      <c r="C2" s="351"/>
      <c r="D2" s="351"/>
      <c r="E2" s="351"/>
      <c r="F2" s="351"/>
      <c r="G2" s="85"/>
      <c r="H2" s="85"/>
      <c r="I2" s="85"/>
      <c r="J2" s="85"/>
      <c r="K2" s="74"/>
      <c r="L2" s="74"/>
      <c r="M2" s="85"/>
      <c r="N2" s="85"/>
      <c r="O2" s="85"/>
      <c r="P2" s="85"/>
      <c r="Q2" s="85"/>
      <c r="R2" s="80"/>
    </row>
    <row r="3" spans="1:19" ht="15.75" x14ac:dyDescent="0.25">
      <c r="A3" s="370" t="s">
        <v>229</v>
      </c>
      <c r="B3" s="351"/>
      <c r="C3" s="351"/>
      <c r="D3" s="351"/>
      <c r="E3" s="351"/>
      <c r="F3" s="351"/>
      <c r="G3" s="85"/>
      <c r="H3" s="85"/>
      <c r="I3" s="85"/>
      <c r="J3" s="85"/>
      <c r="K3" s="74"/>
      <c r="L3" s="74"/>
      <c r="M3" s="85"/>
      <c r="N3" s="85"/>
      <c r="O3" s="85"/>
      <c r="P3" s="85"/>
      <c r="Q3" s="85"/>
    </row>
    <row r="4" spans="1:19" s="14" customFormat="1" ht="15.75" x14ac:dyDescent="0.25">
      <c r="A4" s="370" t="s">
        <v>33</v>
      </c>
      <c r="B4" s="370"/>
      <c r="C4" s="370"/>
      <c r="D4" s="370"/>
      <c r="E4" s="370"/>
      <c r="F4" s="370"/>
      <c r="G4" s="238"/>
      <c r="H4" s="238"/>
      <c r="I4" s="238"/>
      <c r="J4" s="238"/>
      <c r="K4" s="86"/>
      <c r="L4" s="86"/>
      <c r="M4" s="238"/>
      <c r="N4" s="238"/>
      <c r="O4" s="238"/>
      <c r="P4" s="238"/>
      <c r="Q4" s="238"/>
      <c r="R4" s="404"/>
      <c r="S4" s="404"/>
    </row>
    <row r="5" spans="1:19" s="14" customFormat="1" ht="15.75" x14ac:dyDescent="0.25">
      <c r="A5" s="352"/>
      <c r="B5" s="235"/>
      <c r="C5" s="235"/>
      <c r="D5" s="235"/>
      <c r="E5" s="235"/>
      <c r="F5" s="235"/>
      <c r="G5" s="60"/>
      <c r="H5" s="60"/>
      <c r="I5" s="60"/>
      <c r="J5" s="60"/>
      <c r="M5" s="404"/>
      <c r="N5" s="404"/>
      <c r="O5" s="404"/>
      <c r="P5" s="404"/>
      <c r="Q5" s="404"/>
      <c r="R5" s="404"/>
      <c r="S5" s="404"/>
    </row>
    <row r="6" spans="1:19" s="14" customFormat="1" ht="15.75" x14ac:dyDescent="0.25">
      <c r="A6" s="216" t="s">
        <v>34</v>
      </c>
      <c r="B6" s="216"/>
      <c r="C6" s="216"/>
      <c r="D6" s="216"/>
      <c r="E6" s="354" t="s">
        <v>35</v>
      </c>
      <c r="F6" s="216"/>
      <c r="G6" s="225" t="s">
        <v>26</v>
      </c>
      <c r="H6" s="9"/>
      <c r="I6" s="225" t="s">
        <v>26</v>
      </c>
      <c r="J6" s="9"/>
      <c r="K6" s="225" t="s">
        <v>26</v>
      </c>
      <c r="M6" s="847" t="s">
        <v>330</v>
      </c>
      <c r="N6" s="847"/>
      <c r="O6" s="847"/>
      <c r="P6" s="847"/>
      <c r="Q6" s="847"/>
      <c r="R6" s="404"/>
      <c r="S6" s="404"/>
    </row>
    <row r="7" spans="1:19" s="14" customFormat="1" ht="15.75" x14ac:dyDescent="0.25">
      <c r="A7" s="226" t="s">
        <v>36</v>
      </c>
      <c r="B7" s="216"/>
      <c r="C7" s="367" t="s">
        <v>176</v>
      </c>
      <c r="D7" s="368"/>
      <c r="E7" s="355" t="s">
        <v>37</v>
      </c>
      <c r="F7" s="216"/>
      <c r="G7" s="464">
        <v>2010</v>
      </c>
      <c r="H7" s="452"/>
      <c r="I7" s="464">
        <v>2011</v>
      </c>
      <c r="J7" s="452"/>
      <c r="K7" s="464">
        <v>2012</v>
      </c>
      <c r="L7" s="454"/>
      <c r="M7" s="470">
        <v>2013</v>
      </c>
      <c r="N7" s="575"/>
      <c r="O7" s="470">
        <v>2014</v>
      </c>
      <c r="P7" s="575"/>
      <c r="Q7" s="470">
        <v>2015</v>
      </c>
      <c r="R7" s="404"/>
      <c r="S7" s="404"/>
    </row>
    <row r="8" spans="1:19" s="14" customFormat="1" ht="15" x14ac:dyDescent="0.2">
      <c r="A8" s="77"/>
      <c r="B8" s="77"/>
      <c r="C8" s="77"/>
      <c r="D8" s="77"/>
      <c r="E8" s="78"/>
      <c r="F8" s="78"/>
      <c r="G8" s="60"/>
      <c r="H8" s="60"/>
      <c r="I8" s="60"/>
      <c r="J8" s="60"/>
      <c r="M8" s="404"/>
      <c r="N8" s="404"/>
      <c r="O8" s="404"/>
      <c r="P8" s="404"/>
      <c r="Q8" s="404"/>
      <c r="R8" s="404"/>
      <c r="S8" s="404"/>
    </row>
    <row r="9" spans="1:19" s="14" customFormat="1" ht="15.75" x14ac:dyDescent="0.25">
      <c r="A9" s="458">
        <v>1</v>
      </c>
      <c r="B9" s="60"/>
      <c r="C9" s="83" t="s">
        <v>234</v>
      </c>
      <c r="D9" s="216"/>
      <c r="E9" s="78"/>
      <c r="F9" s="63"/>
      <c r="G9" s="157"/>
      <c r="H9" s="156"/>
      <c r="I9" s="157"/>
      <c r="J9" s="156"/>
      <c r="M9" s="404"/>
      <c r="N9" s="404"/>
      <c r="O9" s="404"/>
      <c r="P9" s="404"/>
      <c r="Q9" s="404"/>
      <c r="R9" s="404"/>
      <c r="S9" s="404"/>
    </row>
    <row r="10" spans="1:19" s="14" customFormat="1" ht="15.75" x14ac:dyDescent="0.25">
      <c r="A10" s="458">
        <f>A9+1</f>
        <v>2</v>
      </c>
      <c r="B10" s="60"/>
      <c r="C10" s="82" t="s">
        <v>352</v>
      </c>
      <c r="D10" s="216"/>
      <c r="E10" s="259" t="s">
        <v>753</v>
      </c>
      <c r="F10" s="63"/>
      <c r="G10" s="153">
        <v>111.16775999999999</v>
      </c>
      <c r="H10" s="153"/>
      <c r="I10" s="153">
        <v>108.03092000000001</v>
      </c>
      <c r="J10" s="153"/>
      <c r="K10" s="153">
        <v>153.88925000000003</v>
      </c>
      <c r="L10" s="156"/>
      <c r="M10" s="153">
        <v>309.94334026770946</v>
      </c>
      <c r="N10" s="157"/>
      <c r="O10" s="153">
        <v>342.74362979831221</v>
      </c>
      <c r="P10" s="157"/>
      <c r="Q10" s="153">
        <v>421.63437228686217</v>
      </c>
      <c r="R10" s="404"/>
      <c r="S10" s="404"/>
    </row>
    <row r="11" spans="1:19" s="14" customFormat="1" ht="15" x14ac:dyDescent="0.2">
      <c r="A11" s="472">
        <f t="shared" ref="A11:A57" si="0">A10+1</f>
        <v>3</v>
      </c>
      <c r="B11" s="60"/>
      <c r="C11" s="82" t="s">
        <v>351</v>
      </c>
      <c r="D11" s="78"/>
      <c r="E11" s="261"/>
      <c r="F11" s="63"/>
      <c r="G11" s="153">
        <v>61.716529999999999</v>
      </c>
      <c r="H11" s="153"/>
      <c r="I11" s="153">
        <v>63.056359999999998</v>
      </c>
      <c r="J11" s="153"/>
      <c r="K11" s="153">
        <v>68.964600000000004</v>
      </c>
      <c r="L11" s="156"/>
      <c r="M11" s="153">
        <v>60.09310317810408</v>
      </c>
      <c r="N11" s="157"/>
      <c r="O11" s="153">
        <v>61.89169025179055</v>
      </c>
      <c r="P11" s="157"/>
      <c r="Q11" s="153">
        <v>63.825216273983138</v>
      </c>
      <c r="R11" s="404"/>
      <c r="S11" s="404"/>
    </row>
    <row r="12" spans="1:19" s="14" customFormat="1" ht="15" x14ac:dyDescent="0.2">
      <c r="A12" s="472">
        <f t="shared" si="0"/>
        <v>4</v>
      </c>
      <c r="B12" s="60"/>
      <c r="C12" s="82" t="s">
        <v>353</v>
      </c>
      <c r="D12" s="78"/>
      <c r="E12" s="261" t="s">
        <v>754</v>
      </c>
      <c r="F12" s="79"/>
      <c r="G12" s="153">
        <v>487.07017000000002</v>
      </c>
      <c r="H12" s="153"/>
      <c r="I12" s="153">
        <v>601.33829999999989</v>
      </c>
      <c r="J12" s="153"/>
      <c r="K12" s="153">
        <v>456.55130000000003</v>
      </c>
      <c r="L12" s="156"/>
      <c r="M12" s="153">
        <v>409.585074011193</v>
      </c>
      <c r="N12" s="157"/>
      <c r="O12" s="153">
        <v>419.73032188745458</v>
      </c>
      <c r="P12" s="157"/>
      <c r="Q12" s="153">
        <v>430.72943014448697</v>
      </c>
      <c r="R12" s="404"/>
      <c r="S12" s="404"/>
    </row>
    <row r="13" spans="1:19" s="14" customFormat="1" ht="15" x14ac:dyDescent="0.2">
      <c r="A13" s="472">
        <f t="shared" si="0"/>
        <v>5</v>
      </c>
      <c r="B13" s="60"/>
      <c r="C13" s="82" t="s">
        <v>361</v>
      </c>
      <c r="D13" s="78"/>
      <c r="E13" s="261" t="s">
        <v>951</v>
      </c>
      <c r="F13" s="79"/>
      <c r="G13" s="153">
        <v>19.441240000000001</v>
      </c>
      <c r="H13" s="153"/>
      <c r="I13" s="153">
        <v>62.883769999999998</v>
      </c>
      <c r="J13" s="153"/>
      <c r="K13" s="153">
        <v>104.82658000000001</v>
      </c>
      <c r="L13" s="156"/>
      <c r="M13" s="153">
        <v>47.591853490330799</v>
      </c>
      <c r="N13" s="157"/>
      <c r="O13" s="153">
        <v>48.645277392600462</v>
      </c>
      <c r="P13" s="157"/>
      <c r="Q13" s="153">
        <v>49.722957157003059</v>
      </c>
      <c r="R13" s="404"/>
      <c r="S13" s="404"/>
    </row>
    <row r="14" spans="1:19" s="14" customFormat="1" ht="15" x14ac:dyDescent="0.2">
      <c r="A14" s="472">
        <f t="shared" si="0"/>
        <v>6</v>
      </c>
      <c r="B14" s="60"/>
      <c r="C14" s="82" t="s">
        <v>372</v>
      </c>
      <c r="D14" s="78" t="s">
        <v>28</v>
      </c>
      <c r="E14" s="261" t="s">
        <v>952</v>
      </c>
      <c r="F14" s="79"/>
      <c r="G14" s="153">
        <v>913.27596000000005</v>
      </c>
      <c r="H14" s="153"/>
      <c r="I14" s="153">
        <v>1013.4120100000001</v>
      </c>
      <c r="J14" s="153"/>
      <c r="K14" s="153">
        <v>1193.4398999999999</v>
      </c>
      <c r="L14" s="156"/>
      <c r="M14" s="153">
        <v>1189.4346135716048</v>
      </c>
      <c r="N14" s="157"/>
      <c r="O14" s="153">
        <v>1211.6817146081994</v>
      </c>
      <c r="P14" s="157"/>
      <c r="Q14" s="153">
        <v>1235.4435925408723</v>
      </c>
      <c r="R14" s="404"/>
      <c r="S14" s="404"/>
    </row>
    <row r="15" spans="1:19" s="14" customFormat="1" ht="15" x14ac:dyDescent="0.2">
      <c r="A15" s="472">
        <f t="shared" si="0"/>
        <v>7</v>
      </c>
      <c r="B15" s="60"/>
      <c r="C15" s="77"/>
      <c r="D15" s="78"/>
      <c r="E15" s="261"/>
      <c r="F15" s="94"/>
      <c r="G15" s="159">
        <f>SUM(G10:G14)</f>
        <v>1592.67166</v>
      </c>
      <c r="H15" s="153"/>
      <c r="I15" s="159">
        <f>SUM(I10:I14)</f>
        <v>1848.72136</v>
      </c>
      <c r="J15" s="153"/>
      <c r="K15" s="159">
        <f>SUM(K10:K14)</f>
        <v>1977.6716299999998</v>
      </c>
      <c r="L15" s="156"/>
      <c r="M15" s="159">
        <f>SUM(M10:M14)</f>
        <v>2016.6479845189422</v>
      </c>
      <c r="N15" s="157"/>
      <c r="O15" s="159">
        <f>SUM(O10:O14)</f>
        <v>2084.6926339383572</v>
      </c>
      <c r="P15" s="157"/>
      <c r="Q15" s="159">
        <f>SUM(Q10:Q14)</f>
        <v>2201.3555684032076</v>
      </c>
      <c r="R15" s="404"/>
      <c r="S15" s="404"/>
    </row>
    <row r="16" spans="1:19" s="14" customFormat="1" ht="15.75" x14ac:dyDescent="0.25">
      <c r="A16" s="472">
        <f t="shared" si="0"/>
        <v>8</v>
      </c>
      <c r="B16" s="77"/>
      <c r="C16" s="83" t="s">
        <v>48</v>
      </c>
      <c r="D16" s="83"/>
      <c r="E16" s="261"/>
      <c r="F16" s="78"/>
      <c r="G16" s="157"/>
      <c r="H16" s="153"/>
      <c r="I16" s="157"/>
      <c r="J16" s="153"/>
      <c r="K16" s="157"/>
      <c r="L16" s="156"/>
      <c r="M16" s="157"/>
      <c r="N16" s="157"/>
      <c r="O16" s="157"/>
      <c r="P16" s="157"/>
      <c r="Q16" s="157"/>
      <c r="R16" s="404"/>
      <c r="S16" s="404"/>
    </row>
    <row r="17" spans="1:19" s="14" customFormat="1" ht="15" x14ac:dyDescent="0.2">
      <c r="A17" s="472">
        <f t="shared" si="0"/>
        <v>9</v>
      </c>
      <c r="B17" s="77"/>
      <c r="C17" s="82" t="s">
        <v>88</v>
      </c>
      <c r="D17" s="82"/>
      <c r="E17" s="261" t="s">
        <v>755</v>
      </c>
      <c r="F17" s="94"/>
      <c r="G17" s="153">
        <v>234.09072</v>
      </c>
      <c r="H17" s="153"/>
      <c r="I17" s="153">
        <v>241.76340999999999</v>
      </c>
      <c r="J17" s="153"/>
      <c r="K17" s="153">
        <v>263.27393999999998</v>
      </c>
      <c r="L17" s="156"/>
      <c r="M17" s="153">
        <v>279.1009732506314</v>
      </c>
      <c r="N17" s="157"/>
      <c r="O17" s="153">
        <v>287.75327162672806</v>
      </c>
      <c r="P17" s="157"/>
      <c r="Q17" s="153">
        <v>296.90734191380034</v>
      </c>
      <c r="R17" s="404"/>
      <c r="S17" s="404"/>
    </row>
    <row r="18" spans="1:19" s="14" customFormat="1" ht="15" x14ac:dyDescent="0.2">
      <c r="A18" s="472">
        <f t="shared" si="0"/>
        <v>10</v>
      </c>
      <c r="B18" s="77"/>
      <c r="C18" s="82" t="s">
        <v>246</v>
      </c>
      <c r="D18" s="82"/>
      <c r="E18" s="261" t="s">
        <v>756</v>
      </c>
      <c r="F18" s="94"/>
      <c r="G18" s="153">
        <v>355.21799000000004</v>
      </c>
      <c r="H18" s="153"/>
      <c r="I18" s="153">
        <v>283.10696000000002</v>
      </c>
      <c r="J18" s="153"/>
      <c r="K18" s="153">
        <v>542.56897000000004</v>
      </c>
      <c r="L18" s="156"/>
      <c r="M18" s="153">
        <v>399.26513110565639</v>
      </c>
      <c r="N18" s="157"/>
      <c r="O18" s="153">
        <v>407.64091721080217</v>
      </c>
      <c r="P18" s="157"/>
      <c r="Q18" s="153">
        <v>416.28664386973884</v>
      </c>
      <c r="R18" s="404"/>
      <c r="S18" s="404"/>
    </row>
    <row r="19" spans="1:19" s="14" customFormat="1" ht="15" x14ac:dyDescent="0.2">
      <c r="A19" s="472">
        <f t="shared" si="0"/>
        <v>11</v>
      </c>
      <c r="B19" s="77"/>
      <c r="C19" s="82" t="s">
        <v>104</v>
      </c>
      <c r="D19" s="82"/>
      <c r="E19" s="261"/>
      <c r="F19" s="94"/>
      <c r="G19" s="153">
        <v>-152.00561999999999</v>
      </c>
      <c r="H19" s="153"/>
      <c r="I19" s="153">
        <v>-162.03367000000003</v>
      </c>
      <c r="J19" s="153"/>
      <c r="K19" s="153">
        <v>-170.06670000000003</v>
      </c>
      <c r="L19" s="156"/>
      <c r="M19" s="153">
        <v>-183.6</v>
      </c>
      <c r="N19" s="157"/>
      <c r="O19" s="153">
        <v>-187.27199999999999</v>
      </c>
      <c r="P19" s="157"/>
      <c r="Q19" s="153">
        <v>-191.01743999999999</v>
      </c>
      <c r="R19" s="404"/>
      <c r="S19" s="404"/>
    </row>
    <row r="20" spans="1:19" s="14" customFormat="1" ht="15" x14ac:dyDescent="0.2">
      <c r="A20" s="472">
        <f t="shared" si="0"/>
        <v>12</v>
      </c>
      <c r="B20" s="77"/>
      <c r="C20" s="82" t="s">
        <v>85</v>
      </c>
      <c r="D20" s="82"/>
      <c r="E20" s="261" t="s">
        <v>757</v>
      </c>
      <c r="F20" s="94"/>
      <c r="G20" s="153">
        <v>1769.0829799999995</v>
      </c>
      <c r="H20" s="153"/>
      <c r="I20" s="153">
        <v>1808.2901299999992</v>
      </c>
      <c r="J20" s="153"/>
      <c r="K20" s="153">
        <v>1938.4936600000005</v>
      </c>
      <c r="L20" s="156"/>
      <c r="M20" s="153">
        <v>1872.9068216995718</v>
      </c>
      <c r="N20" s="157"/>
      <c r="O20" s="153">
        <v>1934.81956208726</v>
      </c>
      <c r="P20" s="157"/>
      <c r="Q20" s="153">
        <v>1983.5536448602488</v>
      </c>
      <c r="R20" s="404"/>
      <c r="S20" s="404"/>
    </row>
    <row r="21" spans="1:19" s="14" customFormat="1" ht="15" x14ac:dyDescent="0.2">
      <c r="A21" s="472">
        <f t="shared" si="0"/>
        <v>13</v>
      </c>
      <c r="B21" s="77"/>
      <c r="C21" s="82" t="s">
        <v>391</v>
      </c>
      <c r="D21" s="82"/>
      <c r="E21" s="261"/>
      <c r="F21" s="94"/>
      <c r="G21" s="153">
        <v>64.21302</v>
      </c>
      <c r="H21" s="153"/>
      <c r="I21" s="153">
        <v>90.00703</v>
      </c>
      <c r="J21" s="153"/>
      <c r="K21" s="153">
        <v>101.16785</v>
      </c>
      <c r="L21" s="156"/>
      <c r="M21" s="153">
        <v>103.19120700000001</v>
      </c>
      <c r="N21" s="157"/>
      <c r="O21" s="153">
        <v>105.25503114</v>
      </c>
      <c r="P21" s="157"/>
      <c r="Q21" s="153">
        <v>107.36013176280001</v>
      </c>
      <c r="R21" s="404"/>
      <c r="S21" s="404"/>
    </row>
    <row r="22" spans="1:19" s="14" customFormat="1" ht="15" x14ac:dyDescent="0.2">
      <c r="A22" s="472">
        <f t="shared" si="0"/>
        <v>14</v>
      </c>
      <c r="B22" s="77"/>
      <c r="C22" s="233" t="s">
        <v>316</v>
      </c>
      <c r="D22" s="82"/>
      <c r="E22" s="261" t="s">
        <v>758</v>
      </c>
      <c r="F22" s="94"/>
      <c r="G22" s="153">
        <v>94.68677000000001</v>
      </c>
      <c r="H22" s="153"/>
      <c r="I22" s="153">
        <v>91.000479999999996</v>
      </c>
      <c r="J22" s="153"/>
      <c r="K22" s="153">
        <v>204.81629000000004</v>
      </c>
      <c r="L22" s="156"/>
      <c r="M22" s="153">
        <v>161.92697105336507</v>
      </c>
      <c r="N22" s="157"/>
      <c r="O22" s="153">
        <v>166.93414946700042</v>
      </c>
      <c r="P22" s="157"/>
      <c r="Q22" s="153">
        <v>170.17292033437602</v>
      </c>
      <c r="R22" s="404"/>
      <c r="S22" s="404"/>
    </row>
    <row r="23" spans="1:19" s="14" customFormat="1" ht="15" x14ac:dyDescent="0.2">
      <c r="A23" s="472">
        <f t="shared" si="0"/>
        <v>15</v>
      </c>
      <c r="B23" s="77"/>
      <c r="C23" s="82" t="s">
        <v>86</v>
      </c>
      <c r="D23" s="82"/>
      <c r="E23" s="261"/>
      <c r="F23" s="94"/>
      <c r="G23" s="153">
        <v>94.210639999999984</v>
      </c>
      <c r="H23" s="153"/>
      <c r="I23" s="153">
        <v>100.65515000000001</v>
      </c>
      <c r="J23" s="153"/>
      <c r="K23" s="153">
        <v>108.21812</v>
      </c>
      <c r="L23" s="156"/>
      <c r="M23" s="153">
        <v>86.475583536457151</v>
      </c>
      <c r="N23" s="157"/>
      <c r="O23" s="153">
        <v>89.186335194844332</v>
      </c>
      <c r="P23" s="157"/>
      <c r="Q23" s="153">
        <v>92.020249109634221</v>
      </c>
      <c r="R23" s="404"/>
      <c r="S23" s="404"/>
    </row>
    <row r="24" spans="1:19" s="14" customFormat="1" ht="15" x14ac:dyDescent="0.2">
      <c r="A24" s="472">
        <f t="shared" si="0"/>
        <v>16</v>
      </c>
      <c r="B24" s="77"/>
      <c r="C24" s="82" t="s">
        <v>173</v>
      </c>
      <c r="D24" s="82"/>
      <c r="E24" s="261" t="s">
        <v>759</v>
      </c>
      <c r="F24" s="94"/>
      <c r="G24" s="153">
        <v>35.825679999999998</v>
      </c>
      <c r="H24" s="153"/>
      <c r="I24" s="153">
        <v>46.778860000000002</v>
      </c>
      <c r="J24" s="153"/>
      <c r="K24" s="153">
        <v>111.95943000000001</v>
      </c>
      <c r="L24" s="156"/>
      <c r="M24" s="153">
        <v>74.143553879271323</v>
      </c>
      <c r="N24" s="157"/>
      <c r="O24" s="153">
        <v>77.094013429851898</v>
      </c>
      <c r="P24" s="157"/>
      <c r="Q24" s="153">
        <v>78.81645739363951</v>
      </c>
      <c r="R24" s="404"/>
      <c r="S24" s="404"/>
    </row>
    <row r="25" spans="1:19" s="14" customFormat="1" ht="15" x14ac:dyDescent="0.2">
      <c r="A25" s="472">
        <f t="shared" si="0"/>
        <v>17</v>
      </c>
      <c r="B25" s="77"/>
      <c r="C25" s="82" t="s">
        <v>87</v>
      </c>
      <c r="D25" s="82"/>
      <c r="E25" s="261" t="s">
        <v>760</v>
      </c>
      <c r="F25" s="94"/>
      <c r="G25" s="153">
        <v>167.07905</v>
      </c>
      <c r="H25" s="153"/>
      <c r="I25" s="153">
        <v>159.66085000000004</v>
      </c>
      <c r="J25" s="153"/>
      <c r="K25" s="153">
        <v>180.93938000000003</v>
      </c>
      <c r="L25" s="156"/>
      <c r="M25" s="153">
        <v>184.07056526930126</v>
      </c>
      <c r="N25" s="157"/>
      <c r="O25" s="153">
        <v>190.07281495794371</v>
      </c>
      <c r="P25" s="157"/>
      <c r="Q25" s="153">
        <v>194.21980490298446</v>
      </c>
      <c r="R25" s="404"/>
      <c r="S25" s="404"/>
    </row>
    <row r="26" spans="1:19" s="14" customFormat="1" ht="15" x14ac:dyDescent="0.2">
      <c r="A26" s="472">
        <f t="shared" si="0"/>
        <v>18</v>
      </c>
      <c r="B26" s="77"/>
      <c r="C26" s="77"/>
      <c r="D26" s="77"/>
      <c r="E26" s="261"/>
      <c r="F26" s="94"/>
      <c r="G26" s="159">
        <f>SUM(G17:G25)</f>
        <v>2662.401229999999</v>
      </c>
      <c r="H26" s="153"/>
      <c r="I26" s="159">
        <f>SUM(I17:I25)</f>
        <v>2659.2291999999998</v>
      </c>
      <c r="J26" s="153"/>
      <c r="K26" s="159">
        <f>SUM(K17:K25)</f>
        <v>3281.3709400000007</v>
      </c>
      <c r="L26" s="156"/>
      <c r="M26" s="159">
        <f>SUM(M17:M25)</f>
        <v>2977.480806794254</v>
      </c>
      <c r="N26" s="157"/>
      <c r="O26" s="159">
        <f>SUM(O17:O25)</f>
        <v>3071.4840951144301</v>
      </c>
      <c r="P26" s="157"/>
      <c r="Q26" s="159">
        <f>SUM(Q17:Q25)</f>
        <v>3148.3197541472223</v>
      </c>
      <c r="R26" s="404"/>
      <c r="S26" s="404"/>
    </row>
    <row r="27" spans="1:19" s="14" customFormat="1" ht="15.75" x14ac:dyDescent="0.25">
      <c r="A27" s="472">
        <f t="shared" si="0"/>
        <v>19</v>
      </c>
      <c r="B27" s="77"/>
      <c r="C27" s="83" t="s">
        <v>49</v>
      </c>
      <c r="D27" s="83"/>
      <c r="E27" s="261"/>
      <c r="F27" s="94"/>
      <c r="G27" s="154"/>
      <c r="H27" s="153"/>
      <c r="I27" s="154"/>
      <c r="J27" s="153"/>
      <c r="K27" s="154"/>
      <c r="L27" s="156"/>
      <c r="M27" s="154"/>
      <c r="N27" s="157"/>
      <c r="O27" s="154"/>
      <c r="P27" s="157"/>
      <c r="Q27" s="154"/>
      <c r="R27" s="404"/>
      <c r="S27" s="404"/>
    </row>
    <row r="28" spans="1:19" s="14" customFormat="1" ht="15" x14ac:dyDescent="0.2">
      <c r="A28" s="472">
        <f t="shared" si="0"/>
        <v>20</v>
      </c>
      <c r="B28" s="77"/>
      <c r="C28" s="82" t="s">
        <v>89</v>
      </c>
      <c r="D28" s="82"/>
      <c r="E28" s="261"/>
      <c r="F28" s="94"/>
      <c r="G28" s="153">
        <v>9.6174099999999996</v>
      </c>
      <c r="H28" s="153"/>
      <c r="I28" s="153">
        <v>10.1096</v>
      </c>
      <c r="J28" s="153"/>
      <c r="K28" s="153">
        <v>15.437160000000002</v>
      </c>
      <c r="L28" s="156"/>
      <c r="M28" s="153">
        <v>12.579615277756167</v>
      </c>
      <c r="N28" s="157"/>
      <c r="O28" s="153">
        <v>12.837301844223283</v>
      </c>
      <c r="P28" s="157"/>
      <c r="Q28" s="153">
        <v>13.105615936374633</v>
      </c>
      <c r="R28" s="404"/>
      <c r="S28" s="404"/>
    </row>
    <row r="29" spans="1:19" s="14" customFormat="1" ht="15" x14ac:dyDescent="0.2">
      <c r="A29" s="472">
        <f t="shared" si="0"/>
        <v>21</v>
      </c>
      <c r="B29" s="77"/>
      <c r="C29" s="233" t="s">
        <v>580</v>
      </c>
      <c r="D29" s="82"/>
      <c r="E29" s="261"/>
      <c r="F29" s="94"/>
      <c r="G29" s="153">
        <v>17.889299999999999</v>
      </c>
      <c r="H29" s="153"/>
      <c r="I29" s="153">
        <v>15.748779999999998</v>
      </c>
      <c r="J29" s="153"/>
      <c r="K29" s="153">
        <v>15.661989999999999</v>
      </c>
      <c r="L29" s="156"/>
      <c r="M29" s="153">
        <v>16.890694575040001</v>
      </c>
      <c r="N29" s="157"/>
      <c r="O29" s="153">
        <v>17.228508466540802</v>
      </c>
      <c r="P29" s="157"/>
      <c r="Q29" s="153">
        <v>17.573078635871617</v>
      </c>
      <c r="R29" s="404"/>
      <c r="S29" s="404"/>
    </row>
    <row r="30" spans="1:19" s="14" customFormat="1" ht="15" x14ac:dyDescent="0.2">
      <c r="A30" s="472">
        <f t="shared" si="0"/>
        <v>22</v>
      </c>
      <c r="B30" s="77"/>
      <c r="C30" s="82" t="s">
        <v>90</v>
      </c>
      <c r="D30" s="82"/>
      <c r="E30" s="261"/>
      <c r="F30" s="94"/>
      <c r="G30" s="153">
        <v>122.40032000000001</v>
      </c>
      <c r="H30" s="153"/>
      <c r="I30" s="153">
        <v>115.12314100000002</v>
      </c>
      <c r="J30" s="153"/>
      <c r="K30" s="153">
        <v>147.28755999999998</v>
      </c>
      <c r="L30" s="156"/>
      <c r="M30" s="153">
        <v>129.06593625077366</v>
      </c>
      <c r="N30" s="157"/>
      <c r="O30" s="153">
        <v>131.69381289749032</v>
      </c>
      <c r="P30" s="157"/>
      <c r="Q30" s="153">
        <v>134.37523237027881</v>
      </c>
      <c r="R30" s="404"/>
      <c r="S30" s="404"/>
    </row>
    <row r="31" spans="1:19" s="14" customFormat="1" ht="15" x14ac:dyDescent="0.2">
      <c r="A31" s="472">
        <f t="shared" si="0"/>
        <v>23</v>
      </c>
      <c r="B31" s="77"/>
      <c r="C31" s="77"/>
      <c r="D31" s="77"/>
      <c r="E31" s="261"/>
      <c r="F31" s="94"/>
      <c r="G31" s="159">
        <f>SUM(G28:G30)</f>
        <v>149.90703000000002</v>
      </c>
      <c r="H31" s="153"/>
      <c r="I31" s="159">
        <f>SUM(I28:I30)</f>
        <v>140.98152100000001</v>
      </c>
      <c r="J31" s="153"/>
      <c r="K31" s="159">
        <f>SUM(K28:K30)</f>
        <v>178.38670999999999</v>
      </c>
      <c r="L31" s="156"/>
      <c r="M31" s="159">
        <f>SUM(M28:M30)</f>
        <v>158.53624610356982</v>
      </c>
      <c r="N31" s="157"/>
      <c r="O31" s="159">
        <f>SUM(O28:O30)</f>
        <v>161.7596232082544</v>
      </c>
      <c r="P31" s="157"/>
      <c r="Q31" s="159">
        <f>SUM(Q28:Q30)</f>
        <v>165.05392694252507</v>
      </c>
      <c r="R31" s="404"/>
      <c r="S31" s="404"/>
    </row>
    <row r="32" spans="1:19" s="14" customFormat="1" ht="15.75" x14ac:dyDescent="0.25">
      <c r="A32" s="472">
        <f t="shared" si="0"/>
        <v>24</v>
      </c>
      <c r="B32" s="77"/>
      <c r="C32" s="360" t="s">
        <v>623</v>
      </c>
      <c r="D32" s="83"/>
      <c r="E32" s="261"/>
      <c r="F32" s="94"/>
      <c r="G32" s="154"/>
      <c r="H32" s="153"/>
      <c r="I32" s="154"/>
      <c r="J32" s="153"/>
      <c r="K32" s="154"/>
      <c r="L32" s="156"/>
      <c r="M32" s="154"/>
      <c r="N32" s="157"/>
      <c r="O32" s="154"/>
      <c r="P32" s="157"/>
      <c r="Q32" s="154"/>
      <c r="R32" s="404"/>
      <c r="S32" s="404"/>
    </row>
    <row r="33" spans="1:19" s="14" customFormat="1" ht="15" x14ac:dyDescent="0.2">
      <c r="A33" s="472">
        <f t="shared" si="0"/>
        <v>25</v>
      </c>
      <c r="B33" s="77"/>
      <c r="C33" s="82" t="s">
        <v>212</v>
      </c>
      <c r="D33" s="82"/>
      <c r="E33" s="261"/>
      <c r="F33" s="94"/>
      <c r="G33" s="153">
        <v>45.364359999999998</v>
      </c>
      <c r="H33" s="153"/>
      <c r="I33" s="153">
        <v>34.952620000000003</v>
      </c>
      <c r="J33" s="153"/>
      <c r="K33" s="153">
        <v>27.854209999999995</v>
      </c>
      <c r="L33" s="156"/>
      <c r="M33" s="153">
        <v>25.848814851479414</v>
      </c>
      <c r="N33" s="157"/>
      <c r="O33" s="153">
        <v>26.508270444080349</v>
      </c>
      <c r="P33" s="157"/>
      <c r="Q33" s="153">
        <v>27.072071477516154</v>
      </c>
      <c r="R33" s="404"/>
      <c r="S33" s="404"/>
    </row>
    <row r="34" spans="1:19" s="14" customFormat="1" ht="15" x14ac:dyDescent="0.2">
      <c r="A34" s="472">
        <f t="shared" si="0"/>
        <v>26</v>
      </c>
      <c r="B34" s="77"/>
      <c r="C34" s="82" t="s">
        <v>91</v>
      </c>
      <c r="D34" s="82"/>
      <c r="E34" s="261" t="s">
        <v>761</v>
      </c>
      <c r="F34" s="94"/>
      <c r="G34" s="153">
        <v>58.22549999999999</v>
      </c>
      <c r="H34" s="153"/>
      <c r="I34" s="153">
        <v>76.15537999999998</v>
      </c>
      <c r="J34" s="153"/>
      <c r="K34" s="153">
        <v>109.18634000000002</v>
      </c>
      <c r="L34" s="156"/>
      <c r="M34" s="153">
        <v>117.25452379931144</v>
      </c>
      <c r="N34" s="157"/>
      <c r="O34" s="153">
        <v>120.32605070296422</v>
      </c>
      <c r="P34" s="157"/>
      <c r="Q34" s="153">
        <v>123.64643400189522</v>
      </c>
      <c r="R34" s="404"/>
      <c r="S34" s="404"/>
    </row>
    <row r="35" spans="1:19" s="14" customFormat="1" ht="15" x14ac:dyDescent="0.2">
      <c r="A35" s="472">
        <f t="shared" si="0"/>
        <v>27</v>
      </c>
      <c r="B35" s="77"/>
      <c r="C35" s="77"/>
      <c r="D35" s="77"/>
      <c r="E35" s="261"/>
      <c r="F35" s="78"/>
      <c r="G35" s="160">
        <f>SUM(G33:G34)</f>
        <v>103.58985999999999</v>
      </c>
      <c r="H35" s="153"/>
      <c r="I35" s="160">
        <f>SUM(I33:I34)</f>
        <v>111.10799999999998</v>
      </c>
      <c r="J35" s="153"/>
      <c r="K35" s="160">
        <f>SUM(K33:K34)</f>
        <v>137.04055</v>
      </c>
      <c r="L35" s="156"/>
      <c r="M35" s="160">
        <f>SUM(M33:M34)</f>
        <v>143.10333865079085</v>
      </c>
      <c r="N35" s="157"/>
      <c r="O35" s="160">
        <f>SUM(O33:O34)</f>
        <v>146.83432114704456</v>
      </c>
      <c r="P35" s="157"/>
      <c r="Q35" s="160">
        <f>SUM(Q33:Q34)</f>
        <v>150.71850547941136</v>
      </c>
      <c r="R35" s="404"/>
      <c r="S35" s="404"/>
    </row>
    <row r="36" spans="1:19" s="14" customFormat="1" ht="15.75" x14ac:dyDescent="0.25">
      <c r="A36" s="472">
        <f t="shared" si="0"/>
        <v>28</v>
      </c>
      <c r="B36" s="77"/>
      <c r="C36" s="247" t="s">
        <v>624</v>
      </c>
      <c r="D36" s="83"/>
      <c r="E36" s="261"/>
      <c r="F36" s="78"/>
      <c r="G36" s="157"/>
      <c r="H36" s="153"/>
      <c r="I36" s="157"/>
      <c r="J36" s="153"/>
      <c r="K36" s="157"/>
      <c r="L36" s="156"/>
      <c r="M36" s="157"/>
      <c r="N36" s="157"/>
      <c r="O36" s="157"/>
      <c r="P36" s="157"/>
      <c r="Q36" s="157"/>
      <c r="R36" s="404"/>
      <c r="S36" s="404"/>
    </row>
    <row r="37" spans="1:19" s="14" customFormat="1" ht="15" x14ac:dyDescent="0.2">
      <c r="A37" s="472">
        <f t="shared" si="0"/>
        <v>29</v>
      </c>
      <c r="B37" s="77"/>
      <c r="C37" s="82" t="s">
        <v>92</v>
      </c>
      <c r="D37" s="82"/>
      <c r="E37" s="261"/>
      <c r="F37" s="78"/>
      <c r="G37" s="153">
        <v>41.375550000000004</v>
      </c>
      <c r="H37" s="153"/>
      <c r="I37" s="153">
        <v>34.01718000000001</v>
      </c>
      <c r="J37" s="153"/>
      <c r="K37" s="153">
        <v>52.365029999999997</v>
      </c>
      <c r="L37" s="156"/>
      <c r="M37" s="153">
        <v>49.353908920098633</v>
      </c>
      <c r="N37" s="157"/>
      <c r="O37" s="153">
        <v>50.817459097844846</v>
      </c>
      <c r="P37" s="157"/>
      <c r="Q37" s="153">
        <v>52.377136486383577</v>
      </c>
      <c r="R37" s="404"/>
      <c r="S37" s="404"/>
    </row>
    <row r="38" spans="1:19" s="14" customFormat="1" ht="15" x14ac:dyDescent="0.2">
      <c r="A38" s="472">
        <f t="shared" si="0"/>
        <v>30</v>
      </c>
      <c r="B38" s="77"/>
      <c r="C38" s="82" t="s">
        <v>93</v>
      </c>
      <c r="D38" s="82"/>
      <c r="E38" s="261" t="s">
        <v>762</v>
      </c>
      <c r="F38" s="78"/>
      <c r="G38" s="153">
        <v>409.78839999999997</v>
      </c>
      <c r="H38" s="153"/>
      <c r="I38" s="153">
        <v>409.54194000000007</v>
      </c>
      <c r="J38" s="153"/>
      <c r="K38" s="153">
        <v>443.61270000000007</v>
      </c>
      <c r="L38" s="156"/>
      <c r="M38" s="153">
        <v>437.19939161132766</v>
      </c>
      <c r="N38" s="157"/>
      <c r="O38" s="153">
        <v>455.5187456302512</v>
      </c>
      <c r="P38" s="157"/>
      <c r="Q38" s="153">
        <v>467.37184675015158</v>
      </c>
      <c r="R38" s="404"/>
      <c r="S38" s="404"/>
    </row>
    <row r="39" spans="1:19" s="14" customFormat="1" ht="15" x14ac:dyDescent="0.2">
      <c r="A39" s="472">
        <f t="shared" si="0"/>
        <v>31</v>
      </c>
      <c r="B39" s="77"/>
      <c r="C39" s="82" t="s">
        <v>94</v>
      </c>
      <c r="D39" s="82"/>
      <c r="E39" s="261" t="s">
        <v>763</v>
      </c>
      <c r="F39" s="78"/>
      <c r="G39" s="153">
        <v>532.44666000000018</v>
      </c>
      <c r="H39" s="153"/>
      <c r="I39" s="153">
        <v>462.38002</v>
      </c>
      <c r="J39" s="153"/>
      <c r="K39" s="153">
        <v>483.60667000000007</v>
      </c>
      <c r="L39" s="156"/>
      <c r="M39" s="153">
        <v>526.34428589767253</v>
      </c>
      <c r="N39" s="157"/>
      <c r="O39" s="153">
        <v>544.02767752702937</v>
      </c>
      <c r="P39" s="157"/>
      <c r="Q39" s="153">
        <v>565.06260659114218</v>
      </c>
      <c r="R39" s="404"/>
      <c r="S39" s="404"/>
    </row>
    <row r="40" spans="1:19" s="14" customFormat="1" ht="15" x14ac:dyDescent="0.2">
      <c r="A40" s="472">
        <f t="shared" si="0"/>
        <v>32</v>
      </c>
      <c r="B40" s="77"/>
      <c r="C40" s="82" t="s">
        <v>95</v>
      </c>
      <c r="D40" s="82"/>
      <c r="E40" s="261" t="s">
        <v>968</v>
      </c>
      <c r="F40" s="78"/>
      <c r="G40" s="153">
        <v>695.73518999999999</v>
      </c>
      <c r="H40" s="153"/>
      <c r="I40" s="153">
        <v>702.77555999999993</v>
      </c>
      <c r="J40" s="153"/>
      <c r="K40" s="153">
        <v>695.22829999999988</v>
      </c>
      <c r="L40" s="156"/>
      <c r="M40" s="153">
        <v>723.82858204356114</v>
      </c>
      <c r="N40" s="157"/>
      <c r="O40" s="153">
        <v>750.40951354764559</v>
      </c>
      <c r="P40" s="157"/>
      <c r="Q40" s="153">
        <v>774.91741750630183</v>
      </c>
      <c r="R40" s="404"/>
      <c r="S40" s="404"/>
    </row>
    <row r="41" spans="1:19" s="14" customFormat="1" ht="15" x14ac:dyDescent="0.2">
      <c r="A41" s="472">
        <f t="shared" si="0"/>
        <v>33</v>
      </c>
      <c r="B41" s="77"/>
      <c r="C41" s="82" t="s">
        <v>96</v>
      </c>
      <c r="D41" s="82"/>
      <c r="E41" s="261" t="s">
        <v>970</v>
      </c>
      <c r="F41" s="78"/>
      <c r="G41" s="153">
        <v>164.80347</v>
      </c>
      <c r="H41" s="153"/>
      <c r="I41" s="153">
        <v>167.82192000000003</v>
      </c>
      <c r="J41" s="153"/>
      <c r="K41" s="153">
        <v>181.69431000000003</v>
      </c>
      <c r="L41" s="156"/>
      <c r="M41" s="153">
        <v>190.75545110328815</v>
      </c>
      <c r="N41" s="157"/>
      <c r="O41" s="153">
        <v>216.09080430516369</v>
      </c>
      <c r="P41" s="157"/>
      <c r="Q41" s="153">
        <v>222.47538018360493</v>
      </c>
      <c r="R41" s="404"/>
      <c r="S41" s="404"/>
    </row>
    <row r="42" spans="1:19" s="14" customFormat="1" ht="15" x14ac:dyDescent="0.2">
      <c r="A42" s="472">
        <f t="shared" si="0"/>
        <v>34</v>
      </c>
      <c r="B42" s="77"/>
      <c r="C42" s="82" t="s">
        <v>344</v>
      </c>
      <c r="D42" s="82"/>
      <c r="E42" s="261" t="s">
        <v>974</v>
      </c>
      <c r="F42" s="78"/>
      <c r="G42" s="153">
        <v>118.62984000000003</v>
      </c>
      <c r="H42" s="153"/>
      <c r="I42" s="153">
        <v>109.76342000000001</v>
      </c>
      <c r="J42" s="153"/>
      <c r="K42" s="153">
        <v>123.40278999999998</v>
      </c>
      <c r="L42" s="156"/>
      <c r="M42" s="153">
        <v>121.84301400283266</v>
      </c>
      <c r="N42" s="157"/>
      <c r="O42" s="153">
        <v>133.16818282186145</v>
      </c>
      <c r="P42" s="157"/>
      <c r="Q42" s="153">
        <v>137.08407254572728</v>
      </c>
      <c r="R42" s="404"/>
      <c r="S42" s="404"/>
    </row>
    <row r="43" spans="1:19" s="14" customFormat="1" ht="15" x14ac:dyDescent="0.2">
      <c r="A43" s="472">
        <f t="shared" si="0"/>
        <v>35</v>
      </c>
      <c r="B43" s="77"/>
      <c r="C43" s="82" t="s">
        <v>6</v>
      </c>
      <c r="D43" s="82"/>
      <c r="E43" s="261"/>
      <c r="F43" s="78"/>
      <c r="G43" s="153">
        <v>43.03237</v>
      </c>
      <c r="H43" s="153"/>
      <c r="I43" s="153">
        <v>35.90699</v>
      </c>
      <c r="J43" s="153"/>
      <c r="K43" s="153">
        <v>36.283610000000003</v>
      </c>
      <c r="L43" s="156"/>
      <c r="M43" s="153">
        <v>36</v>
      </c>
      <c r="N43" s="157"/>
      <c r="O43" s="153">
        <v>36</v>
      </c>
      <c r="P43" s="157"/>
      <c r="Q43" s="153">
        <v>36</v>
      </c>
      <c r="R43" s="404"/>
      <c r="S43" s="404"/>
    </row>
    <row r="44" spans="1:19" s="14" customFormat="1" ht="15" x14ac:dyDescent="0.2">
      <c r="A44" s="472">
        <f t="shared" si="0"/>
        <v>36</v>
      </c>
      <c r="B44" s="77"/>
      <c r="C44" s="77"/>
      <c r="D44" s="77"/>
      <c r="E44" s="261"/>
      <c r="F44" s="78"/>
      <c r="G44" s="160">
        <f>SUM(G37:G43)</f>
        <v>2005.8114800000001</v>
      </c>
      <c r="H44" s="153"/>
      <c r="I44" s="160">
        <f>SUM(I37:I43)</f>
        <v>1922.20703</v>
      </c>
      <c r="J44" s="153"/>
      <c r="K44" s="160">
        <f>SUM(K37:K43)</f>
        <v>2016.1934099999999</v>
      </c>
      <c r="L44" s="156"/>
      <c r="M44" s="160">
        <f>SUM(M37:M43)</f>
        <v>2085.3246335787808</v>
      </c>
      <c r="N44" s="157"/>
      <c r="O44" s="160">
        <f>SUM(O37:O43)</f>
        <v>2186.0323829297963</v>
      </c>
      <c r="P44" s="157"/>
      <c r="Q44" s="160">
        <f>SUM(Q37:Q43)</f>
        <v>2255.2884600633115</v>
      </c>
      <c r="R44" s="404"/>
      <c r="S44" s="404"/>
    </row>
    <row r="45" spans="1:19" s="14" customFormat="1" ht="15.75" x14ac:dyDescent="0.25">
      <c r="A45" s="472">
        <f t="shared" si="0"/>
        <v>37</v>
      </c>
      <c r="B45" s="77"/>
      <c r="C45" s="360" t="s">
        <v>622</v>
      </c>
      <c r="D45" s="83"/>
      <c r="E45" s="261"/>
      <c r="F45" s="78"/>
      <c r="G45" s="157"/>
      <c r="H45" s="153"/>
      <c r="I45" s="157"/>
      <c r="J45" s="153"/>
      <c r="K45" s="157"/>
      <c r="L45" s="156"/>
      <c r="M45" s="157"/>
      <c r="N45" s="157"/>
      <c r="O45" s="157"/>
      <c r="P45" s="157"/>
      <c r="Q45" s="157"/>
      <c r="R45" s="404"/>
      <c r="S45" s="404"/>
    </row>
    <row r="46" spans="1:19" s="14" customFormat="1" ht="15" x14ac:dyDescent="0.2">
      <c r="A46" s="472">
        <f t="shared" si="0"/>
        <v>38</v>
      </c>
      <c r="B46" s="77"/>
      <c r="C46" s="82" t="s">
        <v>312</v>
      </c>
      <c r="D46" s="82"/>
      <c r="E46" s="261" t="s">
        <v>975</v>
      </c>
      <c r="F46" s="78"/>
      <c r="G46" s="153">
        <v>1644.6685200000004</v>
      </c>
      <c r="H46" s="153"/>
      <c r="I46" s="153">
        <v>1792.1056800000008</v>
      </c>
      <c r="J46" s="153"/>
      <c r="K46" s="153">
        <v>2028.02097</v>
      </c>
      <c r="L46" s="156"/>
      <c r="M46" s="153">
        <v>2209.7421525113887</v>
      </c>
      <c r="N46" s="157"/>
      <c r="O46" s="153">
        <v>2230.389425179264</v>
      </c>
      <c r="P46" s="157"/>
      <c r="Q46" s="153">
        <v>2078.2328501010688</v>
      </c>
      <c r="R46" s="404"/>
      <c r="S46" s="404"/>
    </row>
    <row r="47" spans="1:19" s="14" customFormat="1" ht="15" x14ac:dyDescent="0.2">
      <c r="A47" s="472">
        <f t="shared" si="0"/>
        <v>39</v>
      </c>
      <c r="B47" s="77"/>
      <c r="C47" s="82" t="s">
        <v>417</v>
      </c>
      <c r="D47" s="82"/>
      <c r="E47" s="261" t="s">
        <v>777</v>
      </c>
      <c r="F47" s="78"/>
      <c r="G47" s="153">
        <v>183.68548999999999</v>
      </c>
      <c r="H47" s="153"/>
      <c r="I47" s="153">
        <v>70.675169999999994</v>
      </c>
      <c r="J47" s="153"/>
      <c r="K47" s="153">
        <v>195.56289999999998</v>
      </c>
      <c r="L47" s="156"/>
      <c r="M47" s="153">
        <v>134.57715399999998</v>
      </c>
      <c r="N47" s="157"/>
      <c r="O47" s="153">
        <v>137.26869708000001</v>
      </c>
      <c r="P47" s="157"/>
      <c r="Q47" s="153">
        <v>140.01407102159999</v>
      </c>
      <c r="R47" s="404"/>
      <c r="S47" s="404"/>
    </row>
    <row r="48" spans="1:19" s="14" customFormat="1" ht="15" x14ac:dyDescent="0.2">
      <c r="A48" s="472">
        <f t="shared" si="0"/>
        <v>40</v>
      </c>
      <c r="B48" s="77"/>
      <c r="C48" s="82" t="s">
        <v>98</v>
      </c>
      <c r="D48" s="82"/>
      <c r="E48" s="261" t="s">
        <v>778</v>
      </c>
      <c r="F48" s="78"/>
      <c r="G48" s="153">
        <v>214.96708000000001</v>
      </c>
      <c r="H48" s="153"/>
      <c r="I48" s="153">
        <v>243.68517999999997</v>
      </c>
      <c r="J48" s="153"/>
      <c r="K48" s="153">
        <v>245.40821</v>
      </c>
      <c r="L48" s="156"/>
      <c r="M48" s="153">
        <v>262.30068737496725</v>
      </c>
      <c r="N48" s="157"/>
      <c r="O48" s="153">
        <v>201.90373258892527</v>
      </c>
      <c r="P48" s="157"/>
      <c r="Q48" s="153">
        <v>137.93895502161774</v>
      </c>
      <c r="R48" s="404"/>
      <c r="S48" s="404"/>
    </row>
    <row r="49" spans="1:19" s="14" customFormat="1" ht="15" x14ac:dyDescent="0.2">
      <c r="A49" s="472">
        <f t="shared" si="0"/>
        <v>41</v>
      </c>
      <c r="B49" s="77"/>
      <c r="C49" s="82" t="s">
        <v>354</v>
      </c>
      <c r="D49" s="82"/>
      <c r="E49" s="261" t="s">
        <v>764</v>
      </c>
      <c r="F49" s="78"/>
      <c r="G49" s="153">
        <v>86.000039999999998</v>
      </c>
      <c r="H49" s="153"/>
      <c r="I49" s="153">
        <v>86.000039999999998</v>
      </c>
      <c r="J49" s="153"/>
      <c r="K49" s="153">
        <v>86.000040000000013</v>
      </c>
      <c r="L49" s="156"/>
      <c r="M49" s="153">
        <v>617.66666666666663</v>
      </c>
      <c r="N49" s="157"/>
      <c r="O49" s="153">
        <v>617.66666666666663</v>
      </c>
      <c r="P49" s="157"/>
      <c r="Q49" s="153">
        <v>617.66666666666663</v>
      </c>
      <c r="R49" s="404"/>
      <c r="S49" s="404"/>
    </row>
    <row r="50" spans="1:19" s="14" customFormat="1" ht="15" x14ac:dyDescent="0.2">
      <c r="A50" s="472">
        <f t="shared" si="0"/>
        <v>42</v>
      </c>
      <c r="B50" s="77"/>
      <c r="C50" s="82" t="s">
        <v>99</v>
      </c>
      <c r="D50" s="82"/>
      <c r="E50" s="261" t="s">
        <v>779</v>
      </c>
      <c r="F50" s="78"/>
      <c r="G50" s="153">
        <v>253.23703999999995</v>
      </c>
      <c r="H50" s="153"/>
      <c r="I50" s="153">
        <v>254.32885000000002</v>
      </c>
      <c r="J50" s="153"/>
      <c r="K50" s="153">
        <v>247.77565000000001</v>
      </c>
      <c r="L50" s="156"/>
      <c r="M50" s="153">
        <v>270.2965911640967</v>
      </c>
      <c r="N50" s="157"/>
      <c r="O50" s="153">
        <v>275.8176872056726</v>
      </c>
      <c r="P50" s="157"/>
      <c r="Q50" s="153">
        <v>282.32626464092795</v>
      </c>
      <c r="R50" s="404"/>
      <c r="S50" s="404"/>
    </row>
    <row r="51" spans="1:19" s="14" customFormat="1" ht="15" x14ac:dyDescent="0.2">
      <c r="A51" s="472">
        <f t="shared" si="0"/>
        <v>43</v>
      </c>
      <c r="B51" s="77"/>
      <c r="C51" s="82" t="s">
        <v>343</v>
      </c>
      <c r="D51" s="82"/>
      <c r="E51" s="261" t="s">
        <v>780</v>
      </c>
      <c r="F51" s="78"/>
      <c r="G51" s="153">
        <v>404.06233000000009</v>
      </c>
      <c r="H51" s="153"/>
      <c r="I51" s="153">
        <v>386.73844000000008</v>
      </c>
      <c r="J51" s="153"/>
      <c r="K51" s="153">
        <v>456.04681999999997</v>
      </c>
      <c r="L51" s="156"/>
      <c r="M51" s="153">
        <v>437.52393735262132</v>
      </c>
      <c r="N51" s="157"/>
      <c r="O51" s="153">
        <v>451.06121883473799</v>
      </c>
      <c r="P51" s="157"/>
      <c r="Q51" s="153">
        <v>464.08357831501911</v>
      </c>
      <c r="R51" s="404"/>
      <c r="S51" s="404"/>
    </row>
    <row r="52" spans="1:19" s="14" customFormat="1" ht="15" x14ac:dyDescent="0.2">
      <c r="A52" s="472">
        <f t="shared" si="0"/>
        <v>44</v>
      </c>
      <c r="B52" s="77"/>
      <c r="C52" s="82" t="s">
        <v>313</v>
      </c>
      <c r="D52" s="82"/>
      <c r="E52" s="261" t="s">
        <v>781</v>
      </c>
      <c r="F52" s="78"/>
      <c r="G52" s="153">
        <v>213.47958</v>
      </c>
      <c r="H52" s="153"/>
      <c r="I52" s="153">
        <v>206.71964999999997</v>
      </c>
      <c r="J52" s="153"/>
      <c r="K52" s="153">
        <v>65.999629999999996</v>
      </c>
      <c r="L52" s="156"/>
      <c r="M52" s="153">
        <v>158.7635473032218</v>
      </c>
      <c r="N52" s="157"/>
      <c r="O52" s="153">
        <v>162.02744771998201</v>
      </c>
      <c r="P52" s="157"/>
      <c r="Q52" s="153">
        <v>165.0839999954143</v>
      </c>
      <c r="R52" s="404"/>
      <c r="S52" s="404"/>
    </row>
    <row r="53" spans="1:19" s="14" customFormat="1" ht="15" x14ac:dyDescent="0.2">
      <c r="A53" s="472">
        <f t="shared" si="0"/>
        <v>45</v>
      </c>
      <c r="B53" s="77"/>
      <c r="C53" s="82" t="s">
        <v>355</v>
      </c>
      <c r="D53" s="82"/>
      <c r="E53" s="261"/>
      <c r="F53" s="78"/>
      <c r="G53" s="153">
        <v>0</v>
      </c>
      <c r="H53" s="153"/>
      <c r="I53" s="153">
        <v>0</v>
      </c>
      <c r="J53" s="153"/>
      <c r="K53" s="153">
        <v>0.25</v>
      </c>
      <c r="L53" s="156"/>
      <c r="M53" s="153">
        <v>0.30599999999999999</v>
      </c>
      <c r="N53" s="157"/>
      <c r="O53" s="153">
        <v>0.31212000000000001</v>
      </c>
      <c r="P53" s="157"/>
      <c r="Q53" s="153">
        <v>0.31836240000000005</v>
      </c>
      <c r="R53" s="404"/>
      <c r="S53" s="404"/>
    </row>
    <row r="54" spans="1:19" s="14" customFormat="1" ht="15" x14ac:dyDescent="0.2">
      <c r="A54" s="472">
        <f t="shared" si="0"/>
        <v>46</v>
      </c>
      <c r="B54" s="77"/>
      <c r="C54" s="82" t="s">
        <v>315</v>
      </c>
      <c r="D54" s="82"/>
      <c r="E54" s="261" t="s">
        <v>782</v>
      </c>
      <c r="F54" s="78"/>
      <c r="G54" s="153">
        <v>110.35896000000001</v>
      </c>
      <c r="H54" s="153"/>
      <c r="I54" s="153">
        <v>76.485089999999985</v>
      </c>
      <c r="J54" s="153"/>
      <c r="K54" s="153">
        <v>143.15400000000002</v>
      </c>
      <c r="L54" s="156"/>
      <c r="M54" s="153">
        <v>132.02697273489503</v>
      </c>
      <c r="N54" s="157"/>
      <c r="O54" s="153">
        <v>154.75976774573382</v>
      </c>
      <c r="P54" s="157"/>
      <c r="Q54" s="153">
        <v>137.56924136367465</v>
      </c>
      <c r="R54" s="404"/>
      <c r="S54" s="404"/>
    </row>
    <row r="55" spans="1:19" s="14" customFormat="1" ht="15" x14ac:dyDescent="0.2">
      <c r="A55" s="472">
        <f t="shared" si="0"/>
        <v>47</v>
      </c>
      <c r="B55" s="77"/>
      <c r="C55" s="77"/>
      <c r="D55" s="77"/>
      <c r="E55" s="78"/>
      <c r="F55" s="78"/>
      <c r="G55" s="160">
        <f>SUM(G46:G54)</f>
        <v>3110.4590400000006</v>
      </c>
      <c r="H55" s="153"/>
      <c r="I55" s="160">
        <f>SUM(I46:I54)</f>
        <v>3116.7381000000009</v>
      </c>
      <c r="J55" s="153"/>
      <c r="K55" s="160">
        <f>SUM(K46:K54)</f>
        <v>3468.2182199999997</v>
      </c>
      <c r="L55" s="156"/>
      <c r="M55" s="160">
        <f>SUM(M46:M54)</f>
        <v>4223.2037091078582</v>
      </c>
      <c r="N55" s="157"/>
      <c r="O55" s="160">
        <f>SUM(O46:O54)</f>
        <v>4231.2067630209822</v>
      </c>
      <c r="P55" s="157"/>
      <c r="Q55" s="160">
        <f>SUM(Q46:Q54)</f>
        <v>4023.2339895259893</v>
      </c>
      <c r="R55" s="404" t="s">
        <v>28</v>
      </c>
      <c r="S55" s="404"/>
    </row>
    <row r="56" spans="1:19" s="14" customFormat="1" ht="15" x14ac:dyDescent="0.2">
      <c r="A56" s="472">
        <f t="shared" si="0"/>
        <v>48</v>
      </c>
      <c r="B56" s="77"/>
      <c r="C56" s="215"/>
      <c r="D56" s="77"/>
      <c r="E56" s="78"/>
      <c r="F56" s="78"/>
      <c r="G56" s="161"/>
      <c r="H56" s="157"/>
      <c r="I56" s="161"/>
      <c r="J56" s="157"/>
      <c r="K56" s="161"/>
      <c r="L56" s="156"/>
      <c r="M56" s="161"/>
      <c r="N56" s="157"/>
      <c r="O56" s="161"/>
      <c r="P56" s="157"/>
      <c r="Q56" s="161"/>
      <c r="R56" s="404"/>
      <c r="S56" s="404"/>
    </row>
    <row r="57" spans="1:19" s="14" customFormat="1" ht="16.5" thickBot="1" x14ac:dyDescent="0.3">
      <c r="A57" s="472">
        <f t="shared" si="0"/>
        <v>49</v>
      </c>
      <c r="B57" s="77"/>
      <c r="C57" s="360" t="s">
        <v>581</v>
      </c>
      <c r="D57" s="77"/>
      <c r="E57" s="78" t="s">
        <v>286</v>
      </c>
      <c r="F57" s="78"/>
      <c r="G57" s="162">
        <f>G55+G44+G35+G31+G26+G15</f>
        <v>9624.8402999999998</v>
      </c>
      <c r="H57" s="157"/>
      <c r="I57" s="162">
        <f>I55+I44+I35+I31+I26+I15</f>
        <v>9798.9852110000011</v>
      </c>
      <c r="J57" s="157"/>
      <c r="K57" s="162">
        <f>K55+K44+K35+K31+K26+K15</f>
        <v>11058.881460000001</v>
      </c>
      <c r="L57" s="156"/>
      <c r="M57" s="162">
        <f>M55+M44+M35+M31+M26+M15</f>
        <v>11604.296718754196</v>
      </c>
      <c r="N57" s="157"/>
      <c r="O57" s="162">
        <f>O55+O44+O35+O31+O26+O15</f>
        <v>11882.009819358864</v>
      </c>
      <c r="P57" s="157"/>
      <c r="Q57" s="162">
        <f>Q55+Q44+Q35+Q31+Q26+Q15</f>
        <v>11943.970204561667</v>
      </c>
      <c r="R57" s="404"/>
      <c r="S57" s="404"/>
    </row>
    <row r="58" spans="1:19" s="14" customFormat="1" ht="15.75" x14ac:dyDescent="0.25">
      <c r="A58" s="455"/>
      <c r="B58" s="13"/>
      <c r="C58" s="13"/>
      <c r="D58" s="13"/>
      <c r="E58" s="17"/>
      <c r="F58" s="17"/>
      <c r="G58" s="60"/>
      <c r="H58" s="60"/>
      <c r="I58" s="60"/>
      <c r="J58" s="60"/>
      <c r="K58" s="217"/>
      <c r="M58" s="404"/>
      <c r="N58" s="404"/>
      <c r="O58" s="404"/>
      <c r="P58" s="404"/>
      <c r="Q58" s="404"/>
      <c r="R58" s="404"/>
      <c r="S58" s="404"/>
    </row>
    <row r="59" spans="1:19" x14ac:dyDescent="0.2">
      <c r="A59" s="460"/>
      <c r="G59" s="378"/>
      <c r="J59" s="695"/>
      <c r="O59" s="240"/>
      <c r="P59" s="240"/>
    </row>
    <row r="60" spans="1:19" x14ac:dyDescent="0.2">
      <c r="A60" s="460"/>
      <c r="O60" s="240"/>
      <c r="Q60" s="240"/>
      <c r="S60" s="240"/>
    </row>
    <row r="62" spans="1:19" x14ac:dyDescent="0.2">
      <c r="M62" s="806"/>
      <c r="O62" s="806"/>
      <c r="Q62" s="806"/>
    </row>
    <row r="63" spans="1:19" x14ac:dyDescent="0.2">
      <c r="M63" s="806"/>
      <c r="O63" s="806"/>
      <c r="Q63" s="806"/>
    </row>
  </sheetData>
  <customSheetViews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1">
    <mergeCell ref="M6:Q6"/>
  </mergeCells>
  <phoneticPr fontId="8" type="noConversion"/>
  <printOptions horizontalCentered="1"/>
  <pageMargins left="0.5" right="0.5" top="0.75" bottom="0.5" header="0.5" footer="0.5"/>
  <pageSetup scale="61" orientation="landscape" horizontalDpi="1200" verticalDpi="12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297"/>
  <sheetViews>
    <sheetView view="pageBreakPreview" zoomScale="70" zoomScaleNormal="70" zoomScaleSheetLayoutView="70" zoomScalePageLayoutView="55" workbookViewId="0">
      <pane ySplit="7" topLeftCell="A176" activePane="bottomLeft" state="frozen"/>
      <selection pane="bottomLeft" activeCell="K197" sqref="K197"/>
    </sheetView>
  </sheetViews>
  <sheetFormatPr defaultColWidth="7.5703125" defaultRowHeight="12.75" x14ac:dyDescent="0.2"/>
  <cols>
    <col min="1" max="1" width="7.42578125" style="19" customWidth="1"/>
    <col min="2" max="2" width="4.42578125" style="19" customWidth="1"/>
    <col min="3" max="3" width="92.140625" style="19" bestFit="1" customWidth="1"/>
    <col min="4" max="4" width="11.140625" style="19" customWidth="1"/>
    <col min="5" max="5" width="2.5703125" style="19" customWidth="1"/>
    <col min="6" max="6" width="12.7109375" style="19" customWidth="1"/>
    <col min="7" max="7" width="2.7109375" style="19" customWidth="1"/>
    <col min="8" max="8" width="12.7109375" style="19" customWidth="1"/>
    <col min="9" max="9" width="2.7109375" style="19" customWidth="1"/>
    <col min="10" max="10" width="12.7109375" style="19" customWidth="1"/>
    <col min="11" max="11" width="2.7109375" style="19" customWidth="1"/>
    <col min="12" max="12" width="12.7109375" style="19" customWidth="1"/>
    <col min="13" max="13" width="2.7109375" style="19" customWidth="1"/>
    <col min="14" max="14" width="12.7109375" style="19" customWidth="1"/>
    <col min="15" max="15" width="3" style="19" customWidth="1"/>
    <col min="16" max="16" width="12.7109375" style="19" customWidth="1"/>
    <col min="17" max="17" width="3" style="19" customWidth="1"/>
    <col min="18" max="22" width="7.5703125" style="19"/>
    <col min="23" max="23" width="27.42578125" style="19" bestFit="1" customWidth="1"/>
    <col min="24" max="16384" width="7.5703125" style="19"/>
  </cols>
  <sheetData>
    <row r="1" spans="1:18" ht="15.75" x14ac:dyDescent="0.25">
      <c r="A1" s="40" t="s">
        <v>539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74"/>
      <c r="P1" s="74"/>
      <c r="Q1" s="8" t="s">
        <v>834</v>
      </c>
    </row>
    <row r="2" spans="1:18" ht="15.75" x14ac:dyDescent="0.25">
      <c r="A2" s="40" t="s">
        <v>489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4"/>
      <c r="P2" s="74"/>
      <c r="Q2" s="80" t="s">
        <v>1</v>
      </c>
    </row>
    <row r="3" spans="1:18" ht="15.75" x14ac:dyDescent="0.25">
      <c r="A3" s="40" t="s">
        <v>229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74"/>
      <c r="P3" s="41"/>
    </row>
    <row r="4" spans="1:18" s="87" customFormat="1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74"/>
      <c r="P4" s="41"/>
    </row>
    <row r="5" spans="1:18" s="87" customFormat="1" ht="15.75" x14ac:dyDescent="0.25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P5" s="481"/>
    </row>
    <row r="6" spans="1:18" s="14" customFormat="1" ht="15.75" x14ac:dyDescent="0.25">
      <c r="A6" s="376" t="s">
        <v>34</v>
      </c>
      <c r="B6" s="376"/>
      <c r="C6" s="376"/>
      <c r="D6" s="376"/>
      <c r="E6" s="376"/>
      <c r="F6" s="9" t="s">
        <v>26</v>
      </c>
      <c r="G6" s="9"/>
      <c r="H6" s="9" t="s">
        <v>26</v>
      </c>
      <c r="I6" s="9"/>
      <c r="J6" s="9" t="s">
        <v>26</v>
      </c>
      <c r="K6" s="9"/>
      <c r="L6" s="9" t="s">
        <v>330</v>
      </c>
      <c r="M6" s="13"/>
      <c r="N6" s="9" t="s">
        <v>330</v>
      </c>
      <c r="P6" s="9" t="s">
        <v>330</v>
      </c>
    </row>
    <row r="7" spans="1:18" s="14" customFormat="1" ht="15.75" x14ac:dyDescent="0.25">
      <c r="A7" s="16" t="s">
        <v>36</v>
      </c>
      <c r="B7" s="376"/>
      <c r="C7" s="16" t="s">
        <v>178</v>
      </c>
      <c r="D7" s="16"/>
      <c r="E7" s="376"/>
      <c r="F7" s="451">
        <v>2010</v>
      </c>
      <c r="G7" s="452"/>
      <c r="H7" s="451">
        <v>2011</v>
      </c>
      <c r="I7" s="452"/>
      <c r="J7" s="451">
        <v>2012</v>
      </c>
      <c r="K7" s="452"/>
      <c r="L7" s="451">
        <v>2013</v>
      </c>
      <c r="M7" s="453"/>
      <c r="N7" s="451">
        <v>2014</v>
      </c>
      <c r="O7" s="454"/>
      <c r="P7" s="451">
        <v>2015</v>
      </c>
    </row>
    <row r="8" spans="1:18" s="42" customFormat="1" ht="15.75" x14ac:dyDescent="0.25">
      <c r="A8" s="230"/>
      <c r="B8" s="696"/>
      <c r="C8" s="230"/>
      <c r="D8" s="230"/>
      <c r="E8" s="696"/>
      <c r="F8" s="476"/>
      <c r="G8" s="474"/>
      <c r="H8" s="476"/>
      <c r="I8" s="474"/>
      <c r="J8" s="476"/>
      <c r="K8" s="474"/>
      <c r="L8" s="476"/>
      <c r="M8" s="478"/>
      <c r="N8" s="476"/>
      <c r="O8" s="454"/>
      <c r="P8" s="476"/>
    </row>
    <row r="9" spans="1:18" s="14" customFormat="1" ht="15.75" x14ac:dyDescent="0.25">
      <c r="A9" s="455">
        <v>1</v>
      </c>
      <c r="B9" s="13"/>
      <c r="C9" s="18" t="s">
        <v>234</v>
      </c>
      <c r="D9" s="13"/>
      <c r="E9" s="13"/>
      <c r="F9" s="13"/>
      <c r="G9" s="13"/>
      <c r="H9" s="13"/>
      <c r="I9" s="13"/>
      <c r="J9" s="13"/>
      <c r="K9" s="13"/>
      <c r="L9" s="13"/>
      <c r="M9" s="13"/>
      <c r="P9" s="13"/>
    </row>
    <row r="10" spans="1:18" s="14" customFormat="1" ht="15.75" x14ac:dyDescent="0.25">
      <c r="A10" s="455">
        <f>+A9+1</f>
        <v>2</v>
      </c>
      <c r="B10" s="13"/>
      <c r="C10" s="18"/>
      <c r="D10" s="13"/>
      <c r="E10" s="13"/>
      <c r="F10" s="13"/>
      <c r="G10" s="13"/>
      <c r="H10" s="13"/>
      <c r="I10" s="13"/>
      <c r="J10" s="13"/>
      <c r="K10" s="13"/>
      <c r="L10" s="13"/>
      <c r="M10" s="13"/>
      <c r="P10" s="13"/>
    </row>
    <row r="11" spans="1:18" s="14" customFormat="1" ht="15" x14ac:dyDescent="0.2">
      <c r="A11" s="455">
        <f t="shared" ref="A11:A60" si="0">+A10+1</f>
        <v>3</v>
      </c>
      <c r="B11" s="13"/>
      <c r="C11" s="98" t="s">
        <v>352</v>
      </c>
      <c r="D11" s="13" t="s">
        <v>28</v>
      </c>
      <c r="E11" s="13"/>
      <c r="F11" s="79">
        <f>'S5.1 '!$G$10</f>
        <v>111.16775999999999</v>
      </c>
      <c r="G11" s="77"/>
      <c r="H11" s="79">
        <f>'S5.1 '!$I$10</f>
        <v>108.03092000000001</v>
      </c>
      <c r="I11" s="77"/>
      <c r="J11" s="79">
        <f>'S5.1 '!$K$10</f>
        <v>153.88925000000003</v>
      </c>
      <c r="K11" s="13"/>
      <c r="L11" s="39">
        <f>'S5.1 '!$M$10</f>
        <v>309.94334026770946</v>
      </c>
      <c r="M11" s="13"/>
      <c r="N11" s="39">
        <f>'S5.1 '!$O$10</f>
        <v>342.74362979831221</v>
      </c>
      <c r="P11" s="39">
        <f>'S5.1 '!$Q$10</f>
        <v>421.63437228686217</v>
      </c>
    </row>
    <row r="12" spans="1:18" s="14" customFormat="1" ht="15.75" x14ac:dyDescent="0.25">
      <c r="A12" s="455">
        <f t="shared" si="0"/>
        <v>4</v>
      </c>
      <c r="B12" s="13"/>
      <c r="C12" s="233"/>
      <c r="D12" s="13"/>
      <c r="E12" s="13"/>
      <c r="F12" s="13"/>
      <c r="G12" s="13"/>
      <c r="H12" s="539"/>
      <c r="I12" s="540"/>
      <c r="J12" s="539"/>
      <c r="K12" s="540"/>
      <c r="L12" s="539"/>
      <c r="M12" s="541"/>
      <c r="N12" s="539"/>
      <c r="O12" s="542"/>
      <c r="P12" s="539"/>
    </row>
    <row r="13" spans="1:18" s="14" customFormat="1" ht="15.75" x14ac:dyDescent="0.25">
      <c r="A13" s="455">
        <f>+A12+1</f>
        <v>5</v>
      </c>
      <c r="B13" s="202"/>
      <c r="C13" s="233" t="s">
        <v>691</v>
      </c>
      <c r="D13" s="13"/>
      <c r="E13" s="13"/>
      <c r="F13" s="13"/>
      <c r="G13" s="13"/>
      <c r="H13" s="543"/>
      <c r="I13" s="540"/>
      <c r="J13" s="543"/>
      <c r="K13" s="540"/>
      <c r="L13" s="543"/>
      <c r="M13" s="541"/>
      <c r="N13" s="543"/>
      <c r="O13" s="542"/>
      <c r="P13" s="543"/>
      <c r="R13" s="60"/>
    </row>
    <row r="14" spans="1:18" s="14" customFormat="1" ht="15" x14ac:dyDescent="0.2">
      <c r="A14" s="455">
        <f t="shared" si="0"/>
        <v>6</v>
      </c>
      <c r="B14" s="13"/>
      <c r="C14" s="233" t="s">
        <v>716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P14" s="63"/>
      <c r="R14" s="60"/>
    </row>
    <row r="15" spans="1:18" s="14" customFormat="1" ht="15" x14ac:dyDescent="0.2">
      <c r="A15" s="455">
        <f t="shared" si="0"/>
        <v>7</v>
      </c>
      <c r="B15" s="13"/>
      <c r="C15" s="233"/>
      <c r="D15" s="13"/>
      <c r="E15" s="13"/>
      <c r="F15" s="13"/>
      <c r="G15" s="13"/>
      <c r="H15" s="13" t="s">
        <v>28</v>
      </c>
      <c r="I15" s="13"/>
      <c r="J15" s="13"/>
      <c r="K15" s="13"/>
      <c r="L15" s="13"/>
      <c r="M15" s="13"/>
      <c r="P15" s="77"/>
      <c r="R15" s="60"/>
    </row>
    <row r="16" spans="1:18" s="14" customFormat="1" ht="14.25" customHeight="1" x14ac:dyDescent="0.2">
      <c r="A16" s="455">
        <f t="shared" si="0"/>
        <v>8</v>
      </c>
      <c r="B16" s="13"/>
      <c r="C16" s="233" t="s">
        <v>607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P16" s="77"/>
      <c r="R16" s="60"/>
    </row>
    <row r="17" spans="1:18" s="14" customFormat="1" ht="14.25" customHeight="1" x14ac:dyDescent="0.2">
      <c r="A17" s="471">
        <f t="shared" si="0"/>
        <v>9</v>
      </c>
      <c r="B17" s="231"/>
      <c r="C17" s="233" t="s">
        <v>944</v>
      </c>
      <c r="D17" s="77"/>
      <c r="E17" s="77"/>
      <c r="F17" s="77"/>
      <c r="G17" s="77"/>
      <c r="H17" s="231"/>
      <c r="I17" s="77"/>
      <c r="J17" s="77"/>
      <c r="K17" s="77"/>
      <c r="L17" s="77"/>
      <c r="M17" s="13"/>
      <c r="P17" s="77"/>
      <c r="R17" s="60"/>
    </row>
    <row r="18" spans="1:18" s="42" customFormat="1" ht="14.25" customHeight="1" x14ac:dyDescent="0.2">
      <c r="A18" s="471">
        <f t="shared" si="0"/>
        <v>10</v>
      </c>
      <c r="B18" s="394"/>
      <c r="C18" s="233" t="s">
        <v>961</v>
      </c>
      <c r="D18" s="419"/>
      <c r="E18" s="419"/>
      <c r="F18" s="419"/>
      <c r="G18" s="419"/>
      <c r="H18" s="394"/>
      <c r="I18" s="419"/>
      <c r="J18" s="419"/>
      <c r="K18" s="419"/>
      <c r="L18" s="419"/>
      <c r="M18" s="481"/>
      <c r="P18" s="419"/>
      <c r="R18" s="404"/>
    </row>
    <row r="19" spans="1:18" s="14" customFormat="1" ht="14.25" customHeight="1" x14ac:dyDescent="0.2">
      <c r="A19" s="471">
        <f t="shared" si="0"/>
        <v>11</v>
      </c>
      <c r="B19" s="231"/>
      <c r="C19" s="233"/>
      <c r="D19" s="77"/>
      <c r="E19" s="77"/>
      <c r="F19" s="77"/>
      <c r="G19" s="77"/>
      <c r="H19" s="231"/>
      <c r="I19" s="77"/>
      <c r="J19" s="77"/>
      <c r="K19" s="77"/>
      <c r="L19" s="77"/>
      <c r="M19" s="13"/>
      <c r="P19" s="77"/>
      <c r="R19" s="60"/>
    </row>
    <row r="20" spans="1:18" s="14" customFormat="1" ht="14.25" customHeight="1" x14ac:dyDescent="0.2">
      <c r="A20" s="471">
        <f t="shared" si="0"/>
        <v>12</v>
      </c>
      <c r="B20" s="231"/>
      <c r="C20" s="233" t="s">
        <v>510</v>
      </c>
      <c r="D20" s="77"/>
      <c r="E20" s="77"/>
      <c r="F20" s="77"/>
      <c r="G20" s="77"/>
      <c r="H20" s="231"/>
      <c r="I20" s="77"/>
      <c r="J20" s="77"/>
      <c r="K20" s="77"/>
      <c r="L20" s="77"/>
      <c r="M20" s="13"/>
      <c r="P20" s="77"/>
      <c r="R20" s="60"/>
    </row>
    <row r="21" spans="1:18" s="14" customFormat="1" ht="14.25" customHeight="1" x14ac:dyDescent="0.2">
      <c r="A21" s="471">
        <f t="shared" si="0"/>
        <v>13</v>
      </c>
      <c r="B21" s="231"/>
      <c r="C21" s="233" t="s">
        <v>945</v>
      </c>
      <c r="D21" s="77"/>
      <c r="E21" s="77"/>
      <c r="F21" s="77"/>
      <c r="G21" s="77"/>
      <c r="H21" s="231"/>
      <c r="I21" s="77"/>
      <c r="J21" s="77"/>
      <c r="K21" s="77"/>
      <c r="L21" s="77"/>
      <c r="M21" s="13"/>
      <c r="P21" s="77"/>
      <c r="R21" s="60"/>
    </row>
    <row r="22" spans="1:18" s="42" customFormat="1" ht="14.25" customHeight="1" x14ac:dyDescent="0.2">
      <c r="A22" s="471">
        <f t="shared" si="0"/>
        <v>14</v>
      </c>
      <c r="B22" s="394"/>
      <c r="C22" s="233" t="s">
        <v>954</v>
      </c>
      <c r="D22" s="419"/>
      <c r="E22" s="419"/>
      <c r="F22" s="419"/>
      <c r="G22" s="419"/>
      <c r="H22" s="394"/>
      <c r="I22" s="419"/>
      <c r="J22" s="419"/>
      <c r="K22" s="419"/>
      <c r="L22" s="419"/>
      <c r="M22" s="481"/>
      <c r="P22" s="419"/>
      <c r="R22" s="404"/>
    </row>
    <row r="23" spans="1:18" s="14" customFormat="1" ht="14.25" customHeight="1" x14ac:dyDescent="0.2">
      <c r="A23" s="471">
        <f t="shared" si="0"/>
        <v>15</v>
      </c>
      <c r="B23" s="231"/>
      <c r="C23" s="233"/>
      <c r="D23" s="77"/>
      <c r="E23" s="77"/>
      <c r="F23" s="77"/>
      <c r="G23" s="77"/>
      <c r="H23" s="231"/>
      <c r="I23" s="77"/>
      <c r="J23" s="77"/>
      <c r="K23" s="77"/>
      <c r="L23" s="77"/>
      <c r="M23" s="13"/>
      <c r="P23" s="77"/>
      <c r="R23" s="60"/>
    </row>
    <row r="24" spans="1:18" s="14" customFormat="1" ht="14.25" customHeight="1" x14ac:dyDescent="0.2">
      <c r="A24" s="471">
        <f t="shared" si="0"/>
        <v>16</v>
      </c>
      <c r="B24" s="231"/>
      <c r="C24" s="233" t="s">
        <v>946</v>
      </c>
      <c r="D24" s="77"/>
      <c r="E24" s="77"/>
      <c r="F24" s="77"/>
      <c r="G24" s="77"/>
      <c r="H24" s="231"/>
      <c r="I24" s="77"/>
      <c r="J24" s="77"/>
      <c r="K24" s="77"/>
      <c r="L24" s="77"/>
      <c r="M24" s="13"/>
      <c r="P24" s="77"/>
      <c r="R24" s="60"/>
    </row>
    <row r="25" spans="1:18" s="14" customFormat="1" ht="14.25" customHeight="1" x14ac:dyDescent="0.2">
      <c r="A25" s="471">
        <f t="shared" si="0"/>
        <v>17</v>
      </c>
      <c r="B25" s="231"/>
      <c r="C25" s="233" t="s">
        <v>947</v>
      </c>
      <c r="D25" s="77"/>
      <c r="E25" s="77"/>
      <c r="F25" s="77"/>
      <c r="G25" s="77"/>
      <c r="H25" s="231"/>
      <c r="I25" s="77"/>
      <c r="J25" s="77"/>
      <c r="K25" s="77"/>
      <c r="L25" s="77"/>
      <c r="M25" s="13"/>
      <c r="P25" s="77"/>
      <c r="R25" s="60"/>
    </row>
    <row r="26" spans="1:18" s="14" customFormat="1" ht="14.25" customHeight="1" x14ac:dyDescent="0.2">
      <c r="A26" s="471">
        <f t="shared" si="0"/>
        <v>18</v>
      </c>
      <c r="B26" s="77"/>
      <c r="C26" s="233" t="s">
        <v>955</v>
      </c>
      <c r="D26" s="77"/>
      <c r="E26" s="77"/>
      <c r="F26" s="77"/>
      <c r="G26" s="77"/>
      <c r="H26" s="231"/>
      <c r="I26" s="77"/>
      <c r="J26" s="77"/>
      <c r="K26" s="77"/>
      <c r="L26" s="77"/>
      <c r="M26" s="13"/>
      <c r="N26" s="39"/>
      <c r="P26" s="77"/>
      <c r="R26" s="60"/>
    </row>
    <row r="27" spans="1:18" s="42" customFormat="1" ht="14.25" customHeight="1" x14ac:dyDescent="0.2">
      <c r="A27" s="471">
        <f t="shared" si="0"/>
        <v>19</v>
      </c>
      <c r="B27" s="419"/>
      <c r="C27" s="233"/>
      <c r="D27" s="419"/>
      <c r="E27" s="419"/>
      <c r="F27" s="419"/>
      <c r="G27" s="419"/>
      <c r="H27" s="394"/>
      <c r="I27" s="419"/>
      <c r="J27" s="419"/>
      <c r="K27" s="419"/>
      <c r="L27" s="419"/>
      <c r="M27" s="481"/>
      <c r="N27" s="39"/>
      <c r="P27" s="419"/>
      <c r="R27" s="404"/>
    </row>
    <row r="28" spans="1:18" s="42" customFormat="1" ht="14.25" customHeight="1" x14ac:dyDescent="0.2">
      <c r="A28" s="471">
        <f t="shared" si="0"/>
        <v>20</v>
      </c>
      <c r="B28" s="419"/>
      <c r="C28" s="233"/>
      <c r="D28" s="419"/>
      <c r="E28" s="419"/>
      <c r="F28" s="419"/>
      <c r="G28" s="419"/>
      <c r="H28" s="394"/>
      <c r="I28" s="419"/>
      <c r="J28" s="419"/>
      <c r="K28" s="419"/>
      <c r="L28" s="419"/>
      <c r="M28" s="481"/>
      <c r="N28" s="39"/>
      <c r="P28" s="419"/>
      <c r="R28" s="404"/>
    </row>
    <row r="29" spans="1:18" s="14" customFormat="1" ht="15" x14ac:dyDescent="0.2">
      <c r="A29" s="471">
        <f t="shared" si="0"/>
        <v>21</v>
      </c>
      <c r="B29" s="77"/>
      <c r="C29" s="232" t="s">
        <v>353</v>
      </c>
      <c r="D29" s="77" t="s">
        <v>28</v>
      </c>
      <c r="E29" s="77"/>
      <c r="F29" s="79">
        <f>'S5.1 '!$G$12</f>
        <v>487.07017000000002</v>
      </c>
      <c r="G29" s="77"/>
      <c r="H29" s="79">
        <f>'S5.1 '!$I$12</f>
        <v>601.33829999999989</v>
      </c>
      <c r="I29" s="77"/>
      <c r="J29" s="79">
        <f>'S5.1 '!$K$12</f>
        <v>456.55130000000003</v>
      </c>
      <c r="K29" s="77"/>
      <c r="L29" s="79">
        <f>'S5.1 '!$M$12</f>
        <v>409.585074011193</v>
      </c>
      <c r="M29" s="13"/>
      <c r="N29" s="39">
        <f>'S5.1 '!$O$12</f>
        <v>419.73032188745458</v>
      </c>
      <c r="P29" s="39">
        <f>'S5.1 '!$Q$12</f>
        <v>430.72943014448697</v>
      </c>
      <c r="R29" s="60"/>
    </row>
    <row r="30" spans="1:18" s="14" customFormat="1" ht="15.75" x14ac:dyDescent="0.25">
      <c r="A30" s="471">
        <f t="shared" si="0"/>
        <v>22</v>
      </c>
      <c r="B30" s="77"/>
      <c r="C30" s="82"/>
      <c r="D30" s="77"/>
      <c r="E30" s="77"/>
      <c r="F30" s="77"/>
      <c r="G30" s="77"/>
      <c r="H30" s="539"/>
      <c r="I30" s="540"/>
      <c r="J30" s="539"/>
      <c r="K30" s="540"/>
      <c r="L30" s="539"/>
      <c r="M30" s="541"/>
      <c r="N30" s="539"/>
      <c r="O30" s="542"/>
      <c r="P30" s="539"/>
      <c r="R30" s="60"/>
    </row>
    <row r="31" spans="1:18" s="14" customFormat="1" ht="15.75" x14ac:dyDescent="0.25">
      <c r="A31" s="471">
        <f t="shared" si="0"/>
        <v>23</v>
      </c>
      <c r="B31" s="231"/>
      <c r="C31" s="252" t="s">
        <v>588</v>
      </c>
      <c r="D31" s="77"/>
      <c r="E31" s="77"/>
      <c r="F31" s="231" t="s">
        <v>28</v>
      </c>
      <c r="G31" s="77"/>
      <c r="H31" s="543"/>
      <c r="I31" s="540"/>
      <c r="J31" s="543"/>
      <c r="K31" s="540"/>
      <c r="L31" s="543"/>
      <c r="M31" s="541"/>
      <c r="N31" s="543"/>
      <c r="O31" s="542"/>
      <c r="P31" s="543"/>
      <c r="R31" s="60"/>
    </row>
    <row r="32" spans="1:18" s="14" customFormat="1" ht="15" x14ac:dyDescent="0.2">
      <c r="A32" s="471">
        <f t="shared" si="0"/>
        <v>24</v>
      </c>
      <c r="B32" s="77"/>
      <c r="C32" s="252" t="s">
        <v>589</v>
      </c>
      <c r="D32" s="77"/>
      <c r="E32" s="77"/>
      <c r="F32" s="77"/>
      <c r="G32" s="77"/>
      <c r="H32" s="231"/>
      <c r="I32" s="77"/>
      <c r="J32" s="231"/>
      <c r="K32" s="77"/>
      <c r="L32" s="77"/>
      <c r="M32" s="13"/>
      <c r="P32" s="77"/>
      <c r="R32" s="60"/>
    </row>
    <row r="33" spans="1:18" s="14" customFormat="1" ht="15" x14ac:dyDescent="0.2">
      <c r="A33" s="471">
        <f t="shared" si="0"/>
        <v>25</v>
      </c>
      <c r="B33" s="77"/>
      <c r="C33" s="252" t="s">
        <v>740</v>
      </c>
      <c r="D33" s="77"/>
      <c r="E33" s="77"/>
      <c r="F33" s="77" t="s">
        <v>28</v>
      </c>
      <c r="G33" s="77"/>
      <c r="H33" s="231"/>
      <c r="I33" s="77"/>
      <c r="J33" s="231"/>
      <c r="K33" s="77"/>
      <c r="L33" s="77"/>
      <c r="M33" s="13"/>
      <c r="P33" s="77"/>
      <c r="R33" s="60"/>
    </row>
    <row r="34" spans="1:18" s="14" customFormat="1" ht="15" x14ac:dyDescent="0.2">
      <c r="A34" s="471">
        <f t="shared" si="0"/>
        <v>26</v>
      </c>
      <c r="B34" s="231"/>
      <c r="C34" s="252"/>
      <c r="D34" s="77"/>
      <c r="E34" s="77"/>
      <c r="F34" s="77"/>
      <c r="G34" s="77"/>
      <c r="H34" s="231" t="s">
        <v>28</v>
      </c>
      <c r="I34" s="77"/>
      <c r="J34" s="77"/>
      <c r="K34" s="77"/>
      <c r="L34" s="77"/>
      <c r="M34" s="13"/>
      <c r="P34" s="77"/>
      <c r="R34" s="60"/>
    </row>
    <row r="35" spans="1:18" s="14" customFormat="1" ht="15" x14ac:dyDescent="0.2">
      <c r="A35" s="471">
        <f t="shared" si="0"/>
        <v>27</v>
      </c>
      <c r="B35" s="231"/>
      <c r="C35" s="252" t="s">
        <v>948</v>
      </c>
      <c r="D35" s="77"/>
      <c r="E35" s="77"/>
      <c r="F35" s="77"/>
      <c r="G35" s="77"/>
      <c r="H35" s="231"/>
      <c r="I35" s="77"/>
      <c r="J35" s="77"/>
      <c r="K35" s="77"/>
      <c r="L35" s="77"/>
      <c r="M35" s="13"/>
      <c r="P35" s="77"/>
      <c r="R35" s="60"/>
    </row>
    <row r="36" spans="1:18" s="14" customFormat="1" ht="15" x14ac:dyDescent="0.2">
      <c r="A36" s="471">
        <f t="shared" si="0"/>
        <v>28</v>
      </c>
      <c r="B36" s="77"/>
      <c r="C36" s="252" t="s">
        <v>950</v>
      </c>
      <c r="D36" s="77"/>
      <c r="E36" s="77"/>
      <c r="F36" s="77"/>
      <c r="G36" s="77"/>
      <c r="H36" s="77"/>
      <c r="I36" s="77"/>
      <c r="J36" s="77"/>
      <c r="K36" s="77"/>
      <c r="L36" s="77"/>
      <c r="M36" s="13"/>
      <c r="P36" s="77"/>
      <c r="R36" s="60"/>
    </row>
    <row r="37" spans="1:18" s="14" customFormat="1" ht="15" x14ac:dyDescent="0.2">
      <c r="A37" s="471">
        <f t="shared" si="0"/>
        <v>29</v>
      </c>
      <c r="B37" s="77"/>
      <c r="D37" s="77"/>
      <c r="E37" s="77"/>
      <c r="F37" s="77"/>
      <c r="G37" s="77"/>
      <c r="H37" s="77"/>
      <c r="I37" s="77"/>
      <c r="J37" s="77"/>
      <c r="K37" s="77"/>
      <c r="L37" s="77"/>
      <c r="M37" s="13"/>
      <c r="P37" s="77"/>
      <c r="R37" s="60"/>
    </row>
    <row r="38" spans="1:18" s="14" customFormat="1" ht="15" x14ac:dyDescent="0.2">
      <c r="A38" s="471">
        <f t="shared" si="0"/>
        <v>30</v>
      </c>
      <c r="B38" s="77"/>
      <c r="C38" s="252" t="s">
        <v>949</v>
      </c>
      <c r="D38" s="77"/>
      <c r="E38" s="77"/>
      <c r="F38" s="77"/>
      <c r="G38" s="77"/>
      <c r="H38" s="77"/>
      <c r="I38" s="77"/>
      <c r="J38" s="77"/>
      <c r="K38" s="77"/>
      <c r="L38" s="77"/>
      <c r="M38" s="13"/>
      <c r="P38" s="77"/>
      <c r="R38" s="60"/>
    </row>
    <row r="39" spans="1:18" s="14" customFormat="1" ht="15" x14ac:dyDescent="0.2">
      <c r="A39" s="471">
        <f t="shared" si="0"/>
        <v>31</v>
      </c>
      <c r="B39" s="77"/>
      <c r="D39" s="77"/>
      <c r="E39" s="77"/>
      <c r="F39" s="77"/>
      <c r="G39" s="77"/>
      <c r="H39" s="77"/>
      <c r="I39" s="77"/>
      <c r="J39" s="77"/>
      <c r="K39" s="77"/>
      <c r="L39" s="77"/>
      <c r="M39" s="13"/>
      <c r="P39" s="77"/>
      <c r="R39" s="60"/>
    </row>
    <row r="40" spans="1:18" s="14" customFormat="1" ht="15" x14ac:dyDescent="0.2">
      <c r="A40" s="471">
        <f t="shared" si="0"/>
        <v>32</v>
      </c>
      <c r="B40" s="77"/>
      <c r="C40" s="232" t="s">
        <v>361</v>
      </c>
      <c r="D40" s="77"/>
      <c r="E40" s="77"/>
      <c r="F40" s="155">
        <f>'S5.1 '!$G$13</f>
        <v>19.441240000000001</v>
      </c>
      <c r="G40" s="155" t="s">
        <v>28</v>
      </c>
      <c r="H40" s="155">
        <f>'S5.1 '!$I$13</f>
        <v>62.883769999999998</v>
      </c>
      <c r="I40" s="155" t="s">
        <v>285</v>
      </c>
      <c r="J40" s="155">
        <f>'S5.1 '!$K$13</f>
        <v>104.82658000000001</v>
      </c>
      <c r="K40" s="155"/>
      <c r="L40" s="155">
        <f>'S5.1 '!$M$13</f>
        <v>47.591853490330799</v>
      </c>
      <c r="M40" s="13"/>
      <c r="N40" s="155">
        <f>'S5.1 '!$O$13</f>
        <v>48.645277392600462</v>
      </c>
      <c r="O40" s="155"/>
      <c r="P40" s="155">
        <f>'S5.1 '!$Q$13</f>
        <v>49.722957157003059</v>
      </c>
      <c r="R40" s="60"/>
    </row>
    <row r="41" spans="1:18" s="14" customFormat="1" ht="15.75" x14ac:dyDescent="0.25">
      <c r="A41" s="471">
        <f t="shared" si="0"/>
        <v>33</v>
      </c>
      <c r="B41" s="77"/>
      <c r="C41" s="60"/>
      <c r="D41" s="77"/>
      <c r="E41" s="77"/>
      <c r="F41" s="60"/>
      <c r="G41" s="60"/>
      <c r="H41" s="539"/>
      <c r="I41" s="540"/>
      <c r="J41" s="539"/>
      <c r="K41" s="540"/>
      <c r="L41" s="539"/>
      <c r="M41" s="541"/>
      <c r="N41" s="539"/>
      <c r="O41" s="542"/>
      <c r="P41" s="539"/>
      <c r="R41" s="60"/>
    </row>
    <row r="42" spans="1:18" s="42" customFormat="1" ht="15.75" x14ac:dyDescent="0.25">
      <c r="A42" s="471">
        <f t="shared" si="0"/>
        <v>34</v>
      </c>
      <c r="B42" s="419"/>
      <c r="C42" s="252" t="s">
        <v>511</v>
      </c>
      <c r="D42" s="77"/>
      <c r="E42" s="77"/>
      <c r="F42" s="60"/>
      <c r="G42" s="60"/>
      <c r="H42" s="543"/>
      <c r="I42" s="540"/>
      <c r="J42" s="543"/>
      <c r="K42" s="540"/>
      <c r="L42" s="543"/>
      <c r="M42" s="541"/>
      <c r="N42" s="543"/>
      <c r="O42" s="542"/>
      <c r="P42" s="543"/>
      <c r="R42" s="404"/>
    </row>
    <row r="43" spans="1:18" s="14" customFormat="1" ht="15" x14ac:dyDescent="0.2">
      <c r="A43" s="471">
        <f t="shared" si="0"/>
        <v>35</v>
      </c>
      <c r="B43" s="77"/>
      <c r="C43" s="252" t="s">
        <v>741</v>
      </c>
      <c r="D43" s="77"/>
      <c r="E43" s="77"/>
      <c r="F43" s="60"/>
      <c r="G43" s="60"/>
      <c r="H43" s="234"/>
      <c r="I43" s="60"/>
      <c r="J43" s="234"/>
      <c r="K43" s="60"/>
      <c r="L43" s="60"/>
      <c r="M43" s="13"/>
      <c r="N43" s="155"/>
      <c r="O43" s="155"/>
      <c r="P43" s="155"/>
    </row>
    <row r="44" spans="1:18" s="14" customFormat="1" ht="15" x14ac:dyDescent="0.2">
      <c r="A44" s="471">
        <f t="shared" si="0"/>
        <v>36</v>
      </c>
      <c r="B44" s="77"/>
      <c r="C44" s="233" t="s">
        <v>590</v>
      </c>
      <c r="D44" s="77"/>
      <c r="E44" s="77"/>
      <c r="F44" s="60"/>
      <c r="G44" s="60"/>
      <c r="H44" s="234"/>
      <c r="I44" s="60"/>
      <c r="J44" s="234"/>
      <c r="K44" s="60"/>
      <c r="L44" s="60"/>
      <c r="M44" s="13"/>
      <c r="N44" s="155"/>
      <c r="O44" s="155"/>
      <c r="P44" s="155"/>
    </row>
    <row r="45" spans="1:18" s="14" customFormat="1" ht="15" x14ac:dyDescent="0.2">
      <c r="A45" s="471">
        <f t="shared" si="0"/>
        <v>37</v>
      </c>
      <c r="B45" s="155"/>
      <c r="C45" s="82"/>
      <c r="D45" s="77"/>
      <c r="E45" s="77"/>
      <c r="F45" s="60"/>
      <c r="G45" s="60"/>
      <c r="H45" s="234"/>
      <c r="I45" s="60"/>
      <c r="J45" s="234"/>
      <c r="K45" s="60"/>
      <c r="L45" s="60"/>
      <c r="M45" s="13"/>
      <c r="N45" s="155"/>
      <c r="O45" s="155"/>
      <c r="P45" s="155"/>
    </row>
    <row r="46" spans="1:18" s="14" customFormat="1" ht="15" x14ac:dyDescent="0.2">
      <c r="A46" s="471">
        <f t="shared" si="0"/>
        <v>38</v>
      </c>
      <c r="B46" s="77"/>
      <c r="C46" s="233" t="s">
        <v>591</v>
      </c>
      <c r="D46" s="77"/>
      <c r="E46" s="77"/>
      <c r="F46" s="60"/>
      <c r="G46" s="60"/>
      <c r="H46" s="234"/>
      <c r="I46" s="60"/>
      <c r="J46" s="234"/>
      <c r="K46" s="60"/>
      <c r="L46" s="60"/>
      <c r="M46" s="13"/>
      <c r="N46" s="155"/>
      <c r="O46" s="155"/>
      <c r="P46" s="155"/>
    </row>
    <row r="47" spans="1:18" s="14" customFormat="1" ht="15" x14ac:dyDescent="0.2">
      <c r="A47" s="471">
        <f t="shared" si="0"/>
        <v>39</v>
      </c>
      <c r="B47" s="155"/>
      <c r="C47" s="233" t="s">
        <v>592</v>
      </c>
      <c r="D47" s="77"/>
      <c r="E47" s="77"/>
      <c r="F47" s="60"/>
      <c r="G47" s="60"/>
      <c r="H47" s="234"/>
      <c r="I47" s="60"/>
      <c r="J47" s="234"/>
      <c r="K47" s="60"/>
      <c r="L47" s="60"/>
      <c r="M47" s="13"/>
      <c r="N47" s="155"/>
      <c r="O47" s="155"/>
      <c r="P47" s="155"/>
    </row>
    <row r="48" spans="1:18" s="14" customFormat="1" ht="15" x14ac:dyDescent="0.2">
      <c r="A48" s="471">
        <f t="shared" si="0"/>
        <v>40</v>
      </c>
      <c r="B48" s="155"/>
      <c r="C48" s="233" t="s">
        <v>593</v>
      </c>
      <c r="D48" s="77"/>
      <c r="E48" s="77"/>
      <c r="F48" s="60"/>
      <c r="G48" s="60"/>
      <c r="H48" s="234"/>
      <c r="I48" s="60"/>
      <c r="J48" s="234"/>
      <c r="K48" s="404"/>
      <c r="L48" s="404"/>
      <c r="M48" s="419"/>
      <c r="N48" s="406"/>
      <c r="O48" s="406"/>
      <c r="P48" s="406"/>
    </row>
    <row r="49" spans="1:17" s="14" customFormat="1" ht="15" x14ac:dyDescent="0.2">
      <c r="A49" s="471">
        <f t="shared" si="0"/>
        <v>41</v>
      </c>
      <c r="B49" s="155"/>
      <c r="C49" s="233"/>
      <c r="D49" s="77"/>
      <c r="E49" s="77"/>
      <c r="F49" s="60"/>
      <c r="G49" s="60"/>
      <c r="H49" s="234"/>
      <c r="I49" s="60"/>
      <c r="J49" s="234"/>
      <c r="K49" s="404"/>
      <c r="L49" s="157"/>
      <c r="M49" s="419"/>
      <c r="N49" s="479"/>
      <c r="O49" s="406"/>
      <c r="P49" s="406"/>
    </row>
    <row r="50" spans="1:17" s="14" customFormat="1" ht="15" x14ac:dyDescent="0.2">
      <c r="A50" s="471">
        <f t="shared" si="0"/>
        <v>42</v>
      </c>
      <c r="B50" s="155"/>
      <c r="C50" s="232" t="s">
        <v>372</v>
      </c>
      <c r="D50" s="77"/>
      <c r="E50" s="77"/>
      <c r="F50" s="106">
        <f>'S5.1 '!$G$14</f>
        <v>913.27596000000005</v>
      </c>
      <c r="G50" s="106"/>
      <c r="H50" s="155">
        <f>'S5.1 '!$I$14</f>
        <v>1013.4120100000001</v>
      </c>
      <c r="I50" s="106"/>
      <c r="J50" s="406">
        <f>'S5.1 '!$K$14</f>
        <v>1193.4398999999999</v>
      </c>
      <c r="K50" s="406"/>
      <c r="L50" s="406">
        <f>'S5.1 '!$M$14</f>
        <v>1189.4346135716048</v>
      </c>
      <c r="M50" s="419"/>
      <c r="N50" s="406">
        <f>'S5.1 '!$O$14</f>
        <v>1211.6817146081994</v>
      </c>
      <c r="O50" s="406"/>
      <c r="P50" s="406">
        <f>'S5.1 '!$Q$14</f>
        <v>1235.4435925408723</v>
      </c>
    </row>
    <row r="51" spans="1:17" s="14" customFormat="1" ht="15.75" x14ac:dyDescent="0.25">
      <c r="A51" s="471">
        <f t="shared" si="0"/>
        <v>43</v>
      </c>
      <c r="B51" s="155"/>
      <c r="C51" s="60"/>
      <c r="D51" s="77"/>
      <c r="E51" s="77"/>
      <c r="F51" s="60"/>
      <c r="G51" s="60"/>
      <c r="H51" s="539"/>
      <c r="I51" s="540"/>
      <c r="J51" s="539"/>
      <c r="K51" s="540"/>
      <c r="L51" s="539"/>
      <c r="M51" s="541"/>
      <c r="N51" s="539"/>
      <c r="O51" s="542"/>
      <c r="P51" s="539"/>
    </row>
    <row r="52" spans="1:17" s="14" customFormat="1" ht="15.75" x14ac:dyDescent="0.25">
      <c r="A52" s="471">
        <f t="shared" si="0"/>
        <v>44</v>
      </c>
      <c r="B52" s="77"/>
      <c r="C52" s="233" t="s">
        <v>717</v>
      </c>
      <c r="D52" s="419"/>
      <c r="E52" s="419"/>
      <c r="F52" s="404"/>
      <c r="G52" s="404"/>
      <c r="H52" s="543"/>
      <c r="I52" s="540"/>
      <c r="J52" s="543"/>
      <c r="K52" s="540"/>
      <c r="L52" s="543"/>
      <c r="M52" s="541"/>
      <c r="N52" s="543"/>
      <c r="O52" s="542"/>
      <c r="P52" s="543"/>
    </row>
    <row r="53" spans="1:17" s="14" customFormat="1" ht="15" x14ac:dyDescent="0.2">
      <c r="A53" s="471">
        <f t="shared" si="0"/>
        <v>45</v>
      </c>
      <c r="B53" s="155"/>
      <c r="C53" s="233" t="s">
        <v>742</v>
      </c>
      <c r="D53" s="419"/>
      <c r="E53" s="419"/>
      <c r="F53" s="404"/>
      <c r="G53" s="404"/>
      <c r="H53" s="394"/>
      <c r="I53" s="419"/>
      <c r="J53" s="394"/>
      <c r="K53" s="419"/>
      <c r="L53" s="394"/>
      <c r="M53" s="481"/>
      <c r="N53" s="394"/>
      <c r="O53" s="42"/>
      <c r="P53" s="394"/>
    </row>
    <row r="54" spans="1:17" s="14" customFormat="1" ht="15" x14ac:dyDescent="0.2">
      <c r="A54" s="471">
        <f t="shared" si="0"/>
        <v>46</v>
      </c>
      <c r="B54" s="77"/>
      <c r="C54" s="233"/>
      <c r="D54" s="419"/>
      <c r="E54" s="419"/>
      <c r="F54" s="404"/>
      <c r="G54" s="404"/>
      <c r="H54" s="394"/>
      <c r="I54" s="419"/>
      <c r="J54" s="394"/>
      <c r="K54" s="419"/>
      <c r="L54" s="394"/>
      <c r="M54" s="481"/>
      <c r="N54" s="394"/>
      <c r="O54" s="42"/>
      <c r="P54" s="394"/>
    </row>
    <row r="55" spans="1:17" s="14" customFormat="1" ht="15" x14ac:dyDescent="0.2">
      <c r="A55" s="471">
        <f t="shared" si="0"/>
        <v>47</v>
      </c>
      <c r="B55" s="77"/>
      <c r="C55" s="82" t="s">
        <v>718</v>
      </c>
      <c r="D55" s="77"/>
      <c r="E55" s="77"/>
      <c r="F55" s="60"/>
      <c r="G55" s="60"/>
      <c r="H55" s="250"/>
      <c r="I55" s="77"/>
      <c r="J55" s="250"/>
      <c r="K55" s="77"/>
      <c r="L55" s="250"/>
      <c r="M55" s="13"/>
      <c r="N55" s="250"/>
      <c r="P55" s="250"/>
    </row>
    <row r="56" spans="1:17" s="42" customFormat="1" ht="15" x14ac:dyDescent="0.2">
      <c r="A56" s="471">
        <f t="shared" si="0"/>
        <v>48</v>
      </c>
      <c r="B56" s="419"/>
      <c r="C56" s="233" t="s">
        <v>743</v>
      </c>
      <c r="D56" s="77"/>
      <c r="E56" s="77"/>
      <c r="F56" s="60"/>
      <c r="G56" s="60"/>
      <c r="H56" s="234" t="s">
        <v>28</v>
      </c>
      <c r="I56" s="60"/>
      <c r="J56" s="234" t="s">
        <v>28</v>
      </c>
      <c r="K56" s="60"/>
      <c r="L56" s="60"/>
      <c r="M56" s="13"/>
      <c r="N56" s="155"/>
      <c r="O56" s="155"/>
      <c r="P56" s="155"/>
    </row>
    <row r="57" spans="1:17" s="42" customFormat="1" ht="15" x14ac:dyDescent="0.2">
      <c r="A57" s="471">
        <f t="shared" si="0"/>
        <v>49</v>
      </c>
      <c r="B57" s="419"/>
    </row>
    <row r="58" spans="1:17" s="42" customFormat="1" ht="15" x14ac:dyDescent="0.2">
      <c r="A58" s="471">
        <f t="shared" si="0"/>
        <v>50</v>
      </c>
      <c r="B58" s="419"/>
      <c r="C58" s="233" t="s">
        <v>953</v>
      </c>
    </row>
    <row r="59" spans="1:17" s="14" customFormat="1" ht="15" x14ac:dyDescent="0.2">
      <c r="A59" s="471">
        <f t="shared" si="0"/>
        <v>51</v>
      </c>
      <c r="B59" s="106"/>
      <c r="C59" s="233" t="s">
        <v>962</v>
      </c>
    </row>
    <row r="60" spans="1:17" s="14" customFormat="1" ht="15" x14ac:dyDescent="0.2">
      <c r="A60" s="471">
        <f t="shared" si="0"/>
        <v>52</v>
      </c>
      <c r="B60" s="77"/>
    </row>
    <row r="61" spans="1:17" s="14" customFormat="1" ht="15" x14ac:dyDescent="0.2">
      <c r="A61" s="455"/>
      <c r="B61" s="106"/>
      <c r="C61" s="82"/>
      <c r="D61" s="77"/>
      <c r="E61" s="77"/>
      <c r="F61" s="60"/>
      <c r="G61" s="60"/>
      <c r="H61" s="234"/>
      <c r="I61" s="60"/>
      <c r="J61" s="60"/>
      <c r="K61" s="60"/>
      <c r="L61" s="60"/>
      <c r="M61" s="13"/>
      <c r="N61" s="155"/>
      <c r="O61" s="155"/>
      <c r="P61" s="155"/>
    </row>
    <row r="62" spans="1:17" s="14" customFormat="1" ht="15.75" x14ac:dyDescent="0.25">
      <c r="A62" s="40" t="s">
        <v>539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688"/>
      <c r="P62" s="688"/>
      <c r="Q62" s="66" t="s">
        <v>834</v>
      </c>
    </row>
    <row r="63" spans="1:17" s="14" customFormat="1" ht="15.75" x14ac:dyDescent="0.25">
      <c r="A63" s="40" t="s">
        <v>489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688"/>
      <c r="P63" s="688"/>
      <c r="Q63" s="80" t="s">
        <v>2</v>
      </c>
    </row>
    <row r="64" spans="1:17" s="14" customFormat="1" ht="15.75" x14ac:dyDescent="0.25">
      <c r="A64" s="40" t="s">
        <v>229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688"/>
      <c r="P64" s="688"/>
    </row>
    <row r="65" spans="1:16" s="87" customFormat="1" ht="15.75" x14ac:dyDescent="0.25">
      <c r="A65" s="40" t="s">
        <v>33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74"/>
      <c r="P65" s="41"/>
    </row>
    <row r="66" spans="1:16" s="42" customFormat="1" ht="15.75" x14ac:dyDescent="0.25">
      <c r="A66" s="574"/>
      <c r="B66" s="574"/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406"/>
      <c r="P66" s="406"/>
    </row>
    <row r="67" spans="1:16" s="14" customFormat="1" ht="15.75" x14ac:dyDescent="0.25">
      <c r="A67" s="377" t="s">
        <v>34</v>
      </c>
      <c r="B67" s="377"/>
      <c r="C67" s="377"/>
      <c r="D67" s="377"/>
      <c r="E67" s="377"/>
      <c r="F67" s="9" t="s">
        <v>26</v>
      </c>
      <c r="G67" s="9"/>
      <c r="H67" s="9" t="s">
        <v>26</v>
      </c>
      <c r="I67" s="9"/>
      <c r="J67" s="9" t="s">
        <v>26</v>
      </c>
      <c r="K67" s="9"/>
      <c r="L67" s="9" t="s">
        <v>330</v>
      </c>
      <c r="M67" s="13"/>
      <c r="N67" s="9" t="s">
        <v>330</v>
      </c>
      <c r="P67" s="9" t="s">
        <v>330</v>
      </c>
    </row>
    <row r="68" spans="1:16" s="14" customFormat="1" ht="15.75" x14ac:dyDescent="0.25">
      <c r="A68" s="226" t="s">
        <v>36</v>
      </c>
      <c r="B68" s="377"/>
      <c r="C68" s="226" t="s">
        <v>178</v>
      </c>
      <c r="D68" s="226"/>
      <c r="E68" s="377"/>
      <c r="F68" s="451">
        <v>2010</v>
      </c>
      <c r="G68" s="452"/>
      <c r="H68" s="451">
        <v>2011</v>
      </c>
      <c r="I68" s="452"/>
      <c r="J68" s="451">
        <v>2012</v>
      </c>
      <c r="K68" s="452"/>
      <c r="L68" s="451">
        <v>2013</v>
      </c>
      <c r="M68" s="453"/>
      <c r="N68" s="451">
        <v>2014</v>
      </c>
      <c r="O68" s="454"/>
      <c r="P68" s="451">
        <v>2015</v>
      </c>
    </row>
    <row r="69" spans="1:16" s="42" customFormat="1" ht="15.75" x14ac:dyDescent="0.25">
      <c r="A69" s="346"/>
      <c r="B69" s="697"/>
      <c r="C69" s="346"/>
      <c r="D69" s="346"/>
      <c r="E69" s="697"/>
      <c r="F69" s="476"/>
      <c r="G69" s="474"/>
      <c r="H69" s="476"/>
      <c r="I69" s="474"/>
      <c r="J69" s="476"/>
      <c r="K69" s="474"/>
      <c r="L69" s="476"/>
      <c r="M69" s="478"/>
      <c r="N69" s="476"/>
      <c r="O69" s="454"/>
      <c r="P69" s="476"/>
    </row>
    <row r="70" spans="1:16" s="14" customFormat="1" ht="15.75" x14ac:dyDescent="0.25">
      <c r="A70" s="455">
        <f>A60+1</f>
        <v>53</v>
      </c>
      <c r="B70" s="77"/>
      <c r="C70" s="83" t="s">
        <v>48</v>
      </c>
      <c r="D70" s="77"/>
      <c r="E70" s="77"/>
      <c r="F70" s="106"/>
      <c r="G70" s="106"/>
      <c r="H70" s="106"/>
      <c r="I70" s="106"/>
      <c r="J70" s="106"/>
      <c r="K70" s="106"/>
      <c r="L70" s="106"/>
      <c r="M70" s="13"/>
      <c r="N70" s="155"/>
      <c r="O70" s="155"/>
      <c r="P70" s="155"/>
    </row>
    <row r="71" spans="1:16" s="14" customFormat="1" ht="15.75" x14ac:dyDescent="0.25">
      <c r="A71" s="455">
        <f>+A70+1</f>
        <v>54</v>
      </c>
      <c r="B71" s="77"/>
      <c r="C71" s="83"/>
      <c r="D71" s="77"/>
      <c r="E71" s="77"/>
      <c r="F71" s="106"/>
      <c r="G71" s="106"/>
      <c r="H71" s="106"/>
      <c r="I71" s="106"/>
      <c r="J71" s="106"/>
      <c r="K71" s="106"/>
      <c r="L71" s="106"/>
      <c r="M71" s="13"/>
      <c r="N71" s="155"/>
      <c r="O71" s="155"/>
      <c r="P71" s="155"/>
    </row>
    <row r="72" spans="1:16" s="14" customFormat="1" ht="15" x14ac:dyDescent="0.2">
      <c r="A72" s="455">
        <f t="shared" ref="A72:A120" si="1">+A71+1</f>
        <v>55</v>
      </c>
      <c r="B72" s="77"/>
      <c r="C72" s="232" t="s">
        <v>88</v>
      </c>
      <c r="D72" s="77"/>
      <c r="E72" s="77"/>
      <c r="F72" s="155">
        <f>'S5.1 '!$G$17</f>
        <v>234.09072</v>
      </c>
      <c r="G72" s="155"/>
      <c r="H72" s="155">
        <f>'S5.1 '!$I$17</f>
        <v>241.76340999999999</v>
      </c>
      <c r="I72" s="155"/>
      <c r="J72" s="155">
        <f>'S5.1 '!$K$17</f>
        <v>263.27393999999998</v>
      </c>
      <c r="K72" s="155"/>
      <c r="L72" s="155">
        <f>'S5.1 '!$M$17</f>
        <v>279.1009732506314</v>
      </c>
      <c r="M72" s="155"/>
      <c r="N72" s="155">
        <f>'S5.1 '!$O$17</f>
        <v>287.75327162672806</v>
      </c>
      <c r="O72" s="155"/>
      <c r="P72" s="155">
        <f>'S5.1 '!$Q$17</f>
        <v>296.90734191380034</v>
      </c>
    </row>
    <row r="73" spans="1:16" s="14" customFormat="1" ht="15.75" x14ac:dyDescent="0.25">
      <c r="A73" s="455">
        <f t="shared" si="1"/>
        <v>56</v>
      </c>
      <c r="B73" s="77"/>
      <c r="C73" s="232"/>
      <c r="D73" s="77"/>
      <c r="E73" s="77"/>
      <c r="F73" s="155"/>
      <c r="G73" s="155"/>
      <c r="H73" s="539"/>
      <c r="I73" s="540"/>
      <c r="J73" s="539"/>
      <c r="K73" s="540"/>
      <c r="L73" s="539"/>
      <c r="M73" s="541"/>
      <c r="N73" s="539"/>
      <c r="O73" s="542"/>
      <c r="P73" s="539"/>
    </row>
    <row r="74" spans="1:16" s="42" customFormat="1" ht="15.75" x14ac:dyDescent="0.25">
      <c r="A74" s="471">
        <f t="shared" si="1"/>
        <v>57</v>
      </c>
      <c r="B74" s="419"/>
      <c r="C74" s="233" t="s">
        <v>594</v>
      </c>
      <c r="D74" s="419"/>
      <c r="E74" s="419"/>
      <c r="F74" s="406"/>
      <c r="G74" s="406"/>
      <c r="H74" s="543"/>
      <c r="I74" s="540"/>
      <c r="J74" s="543"/>
      <c r="K74" s="540"/>
      <c r="L74" s="543"/>
      <c r="M74" s="541"/>
      <c r="N74" s="543"/>
      <c r="O74" s="542"/>
      <c r="P74" s="543"/>
    </row>
    <row r="75" spans="1:16" s="42" customFormat="1" ht="15" x14ac:dyDescent="0.2">
      <c r="A75" s="471">
        <f t="shared" si="1"/>
        <v>58</v>
      </c>
      <c r="B75" s="419"/>
      <c r="C75" s="233" t="s">
        <v>604</v>
      </c>
      <c r="D75" s="419"/>
      <c r="E75" s="419"/>
      <c r="F75" s="406"/>
      <c r="G75" s="406"/>
      <c r="H75" s="394"/>
      <c r="I75" s="419"/>
      <c r="J75" s="394"/>
      <c r="K75" s="419"/>
      <c r="L75" s="394"/>
      <c r="M75" s="481"/>
      <c r="N75" s="250"/>
      <c r="P75" s="394"/>
    </row>
    <row r="76" spans="1:16" s="42" customFormat="1" ht="15" x14ac:dyDescent="0.2">
      <c r="A76" s="471">
        <f t="shared" si="1"/>
        <v>59</v>
      </c>
      <c r="B76" s="419"/>
      <c r="C76" s="233" t="s">
        <v>707</v>
      </c>
      <c r="D76" s="419"/>
      <c r="E76" s="419"/>
      <c r="F76" s="406"/>
      <c r="G76" s="406"/>
      <c r="H76" s="394"/>
      <c r="I76" s="419"/>
      <c r="J76" s="394"/>
      <c r="K76" s="419"/>
      <c r="L76" s="394"/>
      <c r="M76" s="481"/>
      <c r="N76" s="394"/>
      <c r="P76" s="394"/>
    </row>
    <row r="77" spans="1:16" s="42" customFormat="1" ht="15" x14ac:dyDescent="0.2">
      <c r="A77" s="471">
        <f t="shared" si="1"/>
        <v>60</v>
      </c>
      <c r="B77" s="419"/>
      <c r="C77" s="232"/>
      <c r="D77" s="419"/>
      <c r="E77" s="419"/>
      <c r="F77" s="406"/>
      <c r="G77" s="406"/>
      <c r="H77" s="394"/>
      <c r="I77" s="419"/>
      <c r="J77" s="394"/>
      <c r="K77" s="419"/>
      <c r="L77" s="394"/>
      <c r="M77" s="481"/>
      <c r="N77" s="394"/>
      <c r="P77" s="394"/>
    </row>
    <row r="78" spans="1:16" s="14" customFormat="1" ht="15" x14ac:dyDescent="0.2">
      <c r="A78" s="471">
        <f t="shared" si="1"/>
        <v>61</v>
      </c>
      <c r="B78" s="63"/>
      <c r="C78" s="82" t="s">
        <v>512</v>
      </c>
      <c r="D78" s="77"/>
      <c r="E78" s="77"/>
      <c r="F78" s="155"/>
      <c r="G78" s="155"/>
      <c r="H78" s="250"/>
      <c r="I78" s="77"/>
      <c r="J78" s="250"/>
      <c r="K78" s="77"/>
      <c r="L78" s="250"/>
      <c r="M78" s="13"/>
      <c r="N78" s="250"/>
      <c r="P78" s="250"/>
    </row>
    <row r="79" spans="1:16" s="14" customFormat="1" ht="15" x14ac:dyDescent="0.2">
      <c r="A79" s="455">
        <f t="shared" si="1"/>
        <v>62</v>
      </c>
      <c r="B79" s="77"/>
      <c r="C79" s="233" t="s">
        <v>956</v>
      </c>
      <c r="D79" s="77"/>
      <c r="E79" s="7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</row>
    <row r="80" spans="1:16" s="14" customFormat="1" ht="15" x14ac:dyDescent="0.2">
      <c r="A80" s="455">
        <f t="shared" si="1"/>
        <v>63</v>
      </c>
      <c r="B80" s="77"/>
      <c r="C80" s="233" t="s">
        <v>963</v>
      </c>
      <c r="D80" s="77"/>
      <c r="E80" s="77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</row>
    <row r="81" spans="1:16" s="14" customFormat="1" ht="15" x14ac:dyDescent="0.2">
      <c r="A81" s="455">
        <f t="shared" si="1"/>
        <v>64</v>
      </c>
      <c r="B81" s="77"/>
      <c r="C81" s="82"/>
      <c r="D81" s="77"/>
      <c r="E81" s="77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</row>
    <row r="82" spans="1:16" s="81" customFormat="1" ht="15.75" customHeight="1" x14ac:dyDescent="0.2">
      <c r="A82" s="455">
        <f>+A81+1</f>
        <v>65</v>
      </c>
      <c r="B82" s="77"/>
      <c r="C82" s="82"/>
      <c r="D82" s="77"/>
      <c r="E82" s="77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</row>
    <row r="83" spans="1:16" s="81" customFormat="1" ht="15.75" customHeight="1" x14ac:dyDescent="0.25">
      <c r="A83" s="455">
        <f t="shared" si="1"/>
        <v>66</v>
      </c>
      <c r="B83" s="77"/>
      <c r="C83" s="232" t="s">
        <v>246</v>
      </c>
      <c r="D83" s="228"/>
      <c r="E83" s="377"/>
      <c r="F83" s="155">
        <f>'S5.1 '!$G$18</f>
        <v>355.21799000000004</v>
      </c>
      <c r="G83" s="155"/>
      <c r="H83" s="155">
        <f>'S5.1 '!$I$18</f>
        <v>283.10696000000002</v>
      </c>
      <c r="I83" s="155"/>
      <c r="J83" s="155">
        <f>'S5.1 '!$K$18</f>
        <v>542.56897000000004</v>
      </c>
      <c r="K83" s="155"/>
      <c r="L83" s="155">
        <f>'S5.1 '!$M$18</f>
        <v>399.26513110565639</v>
      </c>
      <c r="M83" s="155"/>
      <c r="N83" s="155">
        <f>'S5.1 '!$O$18</f>
        <v>407.64091721080217</v>
      </c>
      <c r="O83" s="155"/>
      <c r="P83" s="155">
        <f>'S5.1 '!$Q$18</f>
        <v>416.28664386973884</v>
      </c>
    </row>
    <row r="84" spans="1:16" s="81" customFormat="1" ht="15.75" customHeight="1" x14ac:dyDescent="0.25">
      <c r="A84" s="455">
        <f t="shared" si="1"/>
        <v>67</v>
      </c>
      <c r="B84" s="77"/>
      <c r="C84" s="228"/>
      <c r="D84" s="228"/>
      <c r="E84" s="377"/>
      <c r="F84" s="155"/>
      <c r="G84" s="155"/>
      <c r="H84" s="539"/>
      <c r="I84" s="540"/>
      <c r="J84" s="539"/>
      <c r="K84" s="540"/>
      <c r="L84" s="539"/>
      <c r="M84" s="541"/>
      <c r="N84" s="539"/>
      <c r="O84" s="542"/>
      <c r="P84" s="539"/>
    </row>
    <row r="85" spans="1:16" s="81" customFormat="1" ht="15.75" customHeight="1" x14ac:dyDescent="0.25">
      <c r="A85" s="471">
        <f t="shared" si="1"/>
        <v>68</v>
      </c>
      <c r="B85" s="77"/>
      <c r="C85" s="233" t="s">
        <v>720</v>
      </c>
      <c r="D85" s="228"/>
      <c r="E85" s="377"/>
      <c r="F85" s="155"/>
      <c r="G85" s="155"/>
      <c r="H85" s="543"/>
      <c r="I85" s="540"/>
      <c r="J85" s="539"/>
      <c r="K85" s="540"/>
      <c r="L85" s="543"/>
      <c r="M85" s="541"/>
      <c r="N85" s="543"/>
      <c r="O85" s="542"/>
      <c r="P85" s="543"/>
    </row>
    <row r="86" spans="1:16" s="343" customFormat="1" ht="15.75" customHeight="1" x14ac:dyDescent="0.25">
      <c r="A86" s="471">
        <f t="shared" si="1"/>
        <v>69</v>
      </c>
      <c r="B86" s="419"/>
      <c r="C86" s="233" t="s">
        <v>719</v>
      </c>
      <c r="D86" s="346"/>
      <c r="E86" s="692"/>
      <c r="F86" s="406"/>
      <c r="G86" s="406"/>
      <c r="H86" s="543"/>
      <c r="I86" s="540"/>
      <c r="J86" s="539"/>
      <c r="K86" s="540"/>
      <c r="L86" s="543"/>
      <c r="M86" s="541"/>
      <c r="N86" s="543"/>
      <c r="O86" s="542"/>
      <c r="P86" s="543"/>
    </row>
    <row r="87" spans="1:16" s="343" customFormat="1" ht="15.75" customHeight="1" x14ac:dyDescent="0.25">
      <c r="A87" s="471">
        <f t="shared" si="1"/>
        <v>70</v>
      </c>
      <c r="B87" s="419"/>
      <c r="C87" s="544"/>
      <c r="D87" s="346"/>
      <c r="E87" s="484"/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</row>
    <row r="88" spans="1:16" s="81" customFormat="1" ht="15.75" customHeight="1" x14ac:dyDescent="0.25">
      <c r="A88" s="471">
        <f t="shared" si="1"/>
        <v>71</v>
      </c>
      <c r="B88" s="77"/>
      <c r="C88" s="233" t="s">
        <v>721</v>
      </c>
      <c r="D88" s="228"/>
      <c r="E88" s="377"/>
      <c r="F88" s="155"/>
      <c r="G88" s="155"/>
      <c r="H88" s="446"/>
      <c r="I88" s="155"/>
      <c r="J88" s="155"/>
      <c r="K88" s="155"/>
      <c r="L88" s="155"/>
      <c r="M88" s="155"/>
      <c r="N88" s="155"/>
      <c r="O88" s="155"/>
      <c r="P88" s="155"/>
    </row>
    <row r="89" spans="1:16" s="81" customFormat="1" ht="15.75" customHeight="1" x14ac:dyDescent="0.25">
      <c r="A89" s="471">
        <f t="shared" si="1"/>
        <v>72</v>
      </c>
      <c r="B89" s="77"/>
      <c r="C89" s="233" t="s">
        <v>722</v>
      </c>
      <c r="D89" s="228"/>
      <c r="E89" s="377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</row>
    <row r="90" spans="1:16" s="343" customFormat="1" ht="15.75" customHeight="1" x14ac:dyDescent="0.25">
      <c r="A90" s="471">
        <f t="shared" si="1"/>
        <v>73</v>
      </c>
      <c r="B90" s="419"/>
      <c r="D90" s="346"/>
      <c r="E90" s="690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</row>
    <row r="91" spans="1:16" s="81" customFormat="1" ht="15.75" customHeight="1" x14ac:dyDescent="0.25">
      <c r="A91" s="471">
        <f t="shared" si="1"/>
        <v>74</v>
      </c>
      <c r="B91" s="77"/>
      <c r="C91" s="82"/>
      <c r="D91" s="228"/>
      <c r="E91" s="377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</row>
    <row r="92" spans="1:16" s="81" customFormat="1" ht="15.75" customHeight="1" x14ac:dyDescent="0.2">
      <c r="A92" s="471">
        <f t="shared" si="1"/>
        <v>75</v>
      </c>
      <c r="B92" s="77"/>
      <c r="C92" s="232" t="s">
        <v>85</v>
      </c>
      <c r="D92" s="77"/>
      <c r="E92" s="77"/>
      <c r="F92" s="155">
        <f>'S5.1 '!$G$20</f>
        <v>1769.0829799999995</v>
      </c>
      <c r="G92" s="155"/>
      <c r="H92" s="155">
        <f>'S5.1 '!$I$20</f>
        <v>1808.2901299999992</v>
      </c>
      <c r="I92" s="155"/>
      <c r="J92" s="155">
        <f>'S5.1 '!$K$20</f>
        <v>1938.4936600000005</v>
      </c>
      <c r="K92" s="155"/>
      <c r="L92" s="155">
        <f>'S5.1 '!$M$20</f>
        <v>1872.9068216995718</v>
      </c>
      <c r="M92" s="155"/>
      <c r="N92" s="155">
        <f>'S5.1 '!$O$20</f>
        <v>1934.81956208726</v>
      </c>
      <c r="O92" s="155"/>
      <c r="P92" s="155">
        <f>'S5.1 '!$Q$20</f>
        <v>1983.5536448602488</v>
      </c>
    </row>
    <row r="93" spans="1:16" s="81" customFormat="1" ht="15.75" customHeight="1" x14ac:dyDescent="0.25">
      <c r="A93" s="471">
        <f t="shared" si="1"/>
        <v>76</v>
      </c>
      <c r="B93" s="77"/>
      <c r="C93" s="232"/>
      <c r="D93" s="77"/>
      <c r="E93" s="77"/>
      <c r="F93" s="155"/>
      <c r="G93" s="155"/>
      <c r="H93" s="539"/>
      <c r="I93" s="540"/>
      <c r="J93" s="539"/>
      <c r="K93" s="540"/>
      <c r="L93" s="539"/>
      <c r="M93" s="541"/>
      <c r="N93" s="539"/>
      <c r="O93" s="542"/>
      <c r="P93" s="539"/>
    </row>
    <row r="94" spans="1:16" s="81" customFormat="1" ht="15.75" customHeight="1" x14ac:dyDescent="0.25">
      <c r="A94" s="471">
        <f t="shared" si="1"/>
        <v>77</v>
      </c>
      <c r="B94" s="77"/>
      <c r="C94" s="233" t="s">
        <v>606</v>
      </c>
      <c r="D94" s="77"/>
      <c r="E94" s="77"/>
      <c r="F94" s="155"/>
      <c r="G94" s="155"/>
      <c r="H94" s="543"/>
      <c r="I94" s="540"/>
      <c r="J94" s="543"/>
      <c r="K94" s="540"/>
      <c r="L94" s="543"/>
      <c r="M94" s="541"/>
      <c r="N94" s="543"/>
      <c r="O94" s="542"/>
      <c r="P94" s="543"/>
    </row>
    <row r="95" spans="1:16" s="81" customFormat="1" ht="15.75" customHeight="1" x14ac:dyDescent="0.2">
      <c r="A95" s="471">
        <f t="shared" si="1"/>
        <v>78</v>
      </c>
      <c r="B95" s="77"/>
      <c r="C95" s="233" t="s">
        <v>706</v>
      </c>
      <c r="D95" s="77"/>
      <c r="E95" s="77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</row>
    <row r="96" spans="1:16" s="81" customFormat="1" ht="15.75" customHeight="1" x14ac:dyDescent="0.2">
      <c r="A96" s="471">
        <f t="shared" si="1"/>
        <v>79</v>
      </c>
      <c r="B96" s="77"/>
      <c r="C96" s="233" t="s">
        <v>605</v>
      </c>
      <c r="D96" s="77"/>
      <c r="E96" s="7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</row>
    <row r="97" spans="1:16" s="81" customFormat="1" ht="15.75" customHeight="1" x14ac:dyDescent="0.2">
      <c r="A97" s="471">
        <f t="shared" si="1"/>
        <v>80</v>
      </c>
      <c r="B97" s="77"/>
      <c r="C97" s="37"/>
      <c r="D97" s="77"/>
      <c r="E97" s="77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</row>
    <row r="98" spans="1:16" s="343" customFormat="1" ht="15.75" customHeight="1" x14ac:dyDescent="0.2">
      <c r="A98" s="471">
        <f t="shared" si="1"/>
        <v>81</v>
      </c>
      <c r="B98" s="419"/>
      <c r="C98" s="252" t="s">
        <v>958</v>
      </c>
      <c r="D98" s="419"/>
      <c r="E98" s="419"/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</row>
    <row r="99" spans="1:16" s="343" customFormat="1" ht="15.75" customHeight="1" x14ac:dyDescent="0.2">
      <c r="A99" s="471">
        <f t="shared" si="1"/>
        <v>82</v>
      </c>
      <c r="B99" s="419"/>
      <c r="C99" s="252"/>
      <c r="D99" s="419"/>
      <c r="E99" s="419"/>
      <c r="F99" s="406"/>
      <c r="G99" s="406"/>
      <c r="H99" s="406"/>
      <c r="I99" s="406"/>
      <c r="J99" s="406"/>
      <c r="K99" s="406"/>
      <c r="L99" s="406"/>
      <c r="M99" s="406"/>
      <c r="N99" s="406"/>
      <c r="O99" s="406"/>
      <c r="P99" s="406"/>
    </row>
    <row r="100" spans="1:16" s="81" customFormat="1" ht="15.75" customHeight="1" x14ac:dyDescent="0.2">
      <c r="A100" s="471">
        <f t="shared" si="1"/>
        <v>83</v>
      </c>
      <c r="B100" s="77"/>
      <c r="C100" s="252" t="s">
        <v>957</v>
      </c>
      <c r="D100" s="77"/>
      <c r="E100" s="77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</row>
    <row r="101" spans="1:16" s="81" customFormat="1" ht="15.75" customHeight="1" x14ac:dyDescent="0.2">
      <c r="A101" s="471">
        <f t="shared" si="1"/>
        <v>84</v>
      </c>
      <c r="B101" s="77"/>
      <c r="C101" s="252"/>
      <c r="D101" s="77"/>
      <c r="E101" s="77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</row>
    <row r="102" spans="1:16" s="81" customFormat="1" ht="15.75" customHeight="1" x14ac:dyDescent="0.2">
      <c r="A102" s="471">
        <f t="shared" si="1"/>
        <v>85</v>
      </c>
      <c r="B102" s="77"/>
      <c r="C102" s="252"/>
      <c r="D102" s="77"/>
      <c r="E102" s="77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</row>
    <row r="103" spans="1:16" s="343" customFormat="1" ht="15.75" customHeight="1" x14ac:dyDescent="0.2">
      <c r="A103" s="471">
        <f t="shared" si="1"/>
        <v>86</v>
      </c>
      <c r="B103" s="419"/>
      <c r="C103" s="252"/>
      <c r="D103" s="419"/>
      <c r="E103" s="419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</row>
    <row r="104" spans="1:16" s="343" customFormat="1" ht="15.75" customHeight="1" x14ac:dyDescent="0.2">
      <c r="A104" s="471">
        <f t="shared" si="1"/>
        <v>87</v>
      </c>
      <c r="B104" s="419"/>
      <c r="C104" s="252"/>
      <c r="D104" s="419"/>
      <c r="E104" s="419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</row>
    <row r="105" spans="1:16" s="81" customFormat="1" ht="15.75" customHeight="1" x14ac:dyDescent="0.2">
      <c r="A105" s="471">
        <f t="shared" si="1"/>
        <v>88</v>
      </c>
      <c r="B105" s="77"/>
      <c r="C105" s="232" t="s">
        <v>316</v>
      </c>
      <c r="D105" s="77"/>
      <c r="E105" s="77"/>
      <c r="F105" s="155">
        <f>'S5.1 '!$G$22</f>
        <v>94.68677000000001</v>
      </c>
      <c r="G105" s="155"/>
      <c r="H105" s="155">
        <f>'S5.1 '!$I$22</f>
        <v>91.000479999999996</v>
      </c>
      <c r="I105" s="155"/>
      <c r="J105" s="155">
        <f>'S5.1 '!$K$22</f>
        <v>204.81629000000004</v>
      </c>
      <c r="K105" s="155"/>
      <c r="L105" s="155">
        <f>'S5.1 '!$M$22</f>
        <v>161.92697105336507</v>
      </c>
      <c r="M105" s="155"/>
      <c r="N105" s="155">
        <f>'S5.1 '!$O$22</f>
        <v>166.93414946700042</v>
      </c>
      <c r="O105" s="155"/>
      <c r="P105" s="155">
        <f>'S5.1 '!$Q$22</f>
        <v>170.17292033437602</v>
      </c>
    </row>
    <row r="106" spans="1:16" s="81" customFormat="1" ht="15.75" customHeight="1" x14ac:dyDescent="0.25">
      <c r="A106" s="471">
        <f t="shared" si="1"/>
        <v>89</v>
      </c>
      <c r="B106" s="77"/>
      <c r="C106" s="60"/>
      <c r="D106" s="77"/>
      <c r="E106" s="77"/>
      <c r="F106" s="155"/>
      <c r="G106" s="155"/>
      <c r="H106" s="539"/>
      <c r="I106" s="540"/>
      <c r="J106" s="539"/>
      <c r="K106" s="540"/>
      <c r="L106" s="539"/>
      <c r="M106" s="541"/>
      <c r="N106" s="539"/>
      <c r="O106" s="542"/>
      <c r="P106" s="539"/>
    </row>
    <row r="107" spans="1:16" s="81" customFormat="1" ht="15.75" customHeight="1" x14ac:dyDescent="0.25">
      <c r="A107" s="471">
        <f t="shared" si="1"/>
        <v>90</v>
      </c>
      <c r="B107" s="77"/>
      <c r="C107" s="233" t="s">
        <v>708</v>
      </c>
      <c r="D107" s="77"/>
      <c r="E107" s="77"/>
      <c r="F107" s="155"/>
      <c r="G107" s="155"/>
      <c r="H107" s="543"/>
      <c r="I107" s="540"/>
      <c r="J107" s="543"/>
      <c r="K107" s="540"/>
      <c r="L107" s="543"/>
      <c r="M107" s="541"/>
      <c r="N107" s="543"/>
      <c r="O107" s="542"/>
      <c r="P107" s="543"/>
    </row>
    <row r="108" spans="1:16" s="343" customFormat="1" ht="15.75" customHeight="1" x14ac:dyDescent="0.2">
      <c r="A108" s="471">
        <f t="shared" si="1"/>
        <v>91</v>
      </c>
      <c r="B108" s="419"/>
      <c r="C108" s="233" t="s">
        <v>709</v>
      </c>
      <c r="D108" s="419"/>
      <c r="E108" s="419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</row>
    <row r="109" spans="1:16" s="81" customFormat="1" ht="15.75" customHeight="1" x14ac:dyDescent="0.2">
      <c r="A109" s="471">
        <f t="shared" si="1"/>
        <v>92</v>
      </c>
      <c r="B109" s="77"/>
      <c r="D109" s="77"/>
      <c r="E109" s="77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</row>
    <row r="110" spans="1:16" s="343" customFormat="1" ht="15.75" customHeight="1" x14ac:dyDescent="0.2">
      <c r="A110" s="471">
        <f t="shared" si="1"/>
        <v>93</v>
      </c>
      <c r="B110" s="419"/>
      <c r="C110" s="233" t="s">
        <v>723</v>
      </c>
      <c r="D110" s="419"/>
      <c r="E110" s="419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</row>
    <row r="111" spans="1:16" s="343" customFormat="1" ht="15.75" customHeight="1" x14ac:dyDescent="0.2">
      <c r="A111" s="471">
        <f t="shared" si="1"/>
        <v>94</v>
      </c>
      <c r="B111" s="419"/>
      <c r="C111" s="233" t="s">
        <v>959</v>
      </c>
      <c r="D111" s="419"/>
      <c r="E111" s="419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</row>
    <row r="112" spans="1:16" s="343" customFormat="1" ht="15.75" customHeight="1" x14ac:dyDescent="0.2">
      <c r="A112" s="471">
        <f t="shared" si="1"/>
        <v>95</v>
      </c>
      <c r="B112" s="419"/>
      <c r="C112" s="233"/>
      <c r="D112" s="419"/>
      <c r="E112" s="419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</row>
    <row r="113" spans="1:17" s="343" customFormat="1" ht="15.75" customHeight="1" x14ac:dyDescent="0.2">
      <c r="A113" s="471">
        <f t="shared" si="1"/>
        <v>96</v>
      </c>
      <c r="B113" s="419"/>
      <c r="C113" s="252" t="s">
        <v>957</v>
      </c>
      <c r="D113" s="419"/>
      <c r="E113" s="419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</row>
    <row r="114" spans="1:17" s="343" customFormat="1" ht="15.75" customHeight="1" x14ac:dyDescent="0.2">
      <c r="A114" s="471">
        <f t="shared" si="1"/>
        <v>97</v>
      </c>
      <c r="B114" s="419"/>
      <c r="C114" s="233"/>
      <c r="D114" s="419"/>
      <c r="E114" s="419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</row>
    <row r="115" spans="1:17" s="343" customFormat="1" ht="15.75" customHeight="1" x14ac:dyDescent="0.2">
      <c r="A115" s="471">
        <f t="shared" si="1"/>
        <v>98</v>
      </c>
      <c r="B115" s="419"/>
      <c r="C115" s="233"/>
      <c r="D115" s="419"/>
      <c r="E115" s="419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</row>
    <row r="116" spans="1:17" s="343" customFormat="1" ht="15.75" customHeight="1" x14ac:dyDescent="0.2">
      <c r="A116" s="471">
        <f t="shared" si="1"/>
        <v>99</v>
      </c>
      <c r="B116" s="419"/>
      <c r="D116" s="419"/>
      <c r="E116" s="419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</row>
    <row r="117" spans="1:17" s="14" customFormat="1" ht="15" x14ac:dyDescent="0.2">
      <c r="A117" s="471">
        <f t="shared" si="1"/>
        <v>100</v>
      </c>
      <c r="B117" s="77"/>
      <c r="C117" s="232" t="s">
        <v>173</v>
      </c>
      <c r="D117" s="77"/>
      <c r="E117" s="77"/>
      <c r="F117" s="155">
        <f>'S5.1 '!$G$24</f>
        <v>35.825679999999998</v>
      </c>
      <c r="G117" s="155"/>
      <c r="H117" s="155">
        <f>'S5.1 '!$I$24</f>
        <v>46.778860000000002</v>
      </c>
      <c r="I117" s="155"/>
      <c r="J117" s="155">
        <f>'S5.1 '!$K$24</f>
        <v>111.95943000000001</v>
      </c>
      <c r="K117" s="155"/>
      <c r="L117" s="155">
        <f>'S5.1 '!$M$24</f>
        <v>74.143553879271323</v>
      </c>
      <c r="M117" s="13"/>
      <c r="N117" s="155">
        <f>'S5.1 '!$O$24</f>
        <v>77.094013429851898</v>
      </c>
      <c r="O117" s="155"/>
      <c r="P117" s="155">
        <f>'S5.1 '!$Q$24</f>
        <v>78.81645739363951</v>
      </c>
    </row>
    <row r="118" spans="1:17" s="14" customFormat="1" ht="15.75" x14ac:dyDescent="0.25">
      <c r="A118" s="471">
        <f t="shared" si="1"/>
        <v>101</v>
      </c>
      <c r="B118" s="77"/>
      <c r="C118" s="60"/>
      <c r="D118" s="77"/>
      <c r="E118" s="77"/>
      <c r="F118" s="155"/>
      <c r="G118" s="155"/>
      <c r="H118" s="539"/>
      <c r="I118" s="540"/>
      <c r="J118" s="539"/>
      <c r="K118" s="540"/>
      <c r="L118" s="539"/>
      <c r="M118" s="541"/>
      <c r="N118" s="539"/>
      <c r="O118" s="542"/>
      <c r="P118" s="539"/>
    </row>
    <row r="119" spans="1:17" s="14" customFormat="1" ht="15.75" x14ac:dyDescent="0.25">
      <c r="A119" s="471">
        <f t="shared" si="1"/>
        <v>102</v>
      </c>
      <c r="B119" s="155"/>
      <c r="C119" s="82" t="s">
        <v>513</v>
      </c>
      <c r="D119" s="77"/>
      <c r="E119" s="77"/>
      <c r="F119" s="155"/>
      <c r="G119" s="155"/>
      <c r="H119" s="543"/>
      <c r="I119" s="540"/>
      <c r="J119" s="543"/>
      <c r="K119" s="540"/>
      <c r="L119" s="543"/>
      <c r="M119" s="541"/>
      <c r="N119" s="543"/>
      <c r="O119" s="542"/>
      <c r="P119" s="543"/>
    </row>
    <row r="120" spans="1:17" s="14" customFormat="1" ht="15" x14ac:dyDescent="0.2">
      <c r="A120" s="471">
        <f t="shared" si="1"/>
        <v>103</v>
      </c>
      <c r="B120" s="155"/>
      <c r="C120" s="37" t="s">
        <v>514</v>
      </c>
      <c r="D120" s="77"/>
      <c r="E120" s="77"/>
      <c r="F120" s="155"/>
      <c r="G120" s="155"/>
      <c r="H120" s="155"/>
      <c r="I120" s="155"/>
      <c r="J120" s="155"/>
      <c r="K120" s="155"/>
      <c r="L120" s="155"/>
      <c r="M120" s="13"/>
      <c r="N120" s="155"/>
      <c r="O120" s="155"/>
      <c r="P120" s="155"/>
    </row>
    <row r="121" spans="1:17" s="14" customFormat="1" ht="15" x14ac:dyDescent="0.2">
      <c r="A121" s="471"/>
      <c r="B121" s="77"/>
      <c r="C121" s="82"/>
      <c r="D121" s="77"/>
      <c r="E121" s="77"/>
      <c r="F121" s="155"/>
      <c r="G121" s="155"/>
      <c r="H121" s="155"/>
      <c r="I121" s="155"/>
      <c r="J121" s="155"/>
      <c r="K121" s="155"/>
      <c r="L121" s="155"/>
      <c r="M121" s="13"/>
      <c r="N121" s="155"/>
      <c r="O121" s="155"/>
      <c r="P121" s="155"/>
    </row>
    <row r="122" spans="1:17" s="60" customFormat="1" ht="15.75" x14ac:dyDescent="0.25">
      <c r="A122" s="40" t="s">
        <v>539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688"/>
      <c r="P122" s="688"/>
      <c r="Q122" s="66" t="s">
        <v>834</v>
      </c>
    </row>
    <row r="123" spans="1:17" s="60" customFormat="1" ht="15.75" x14ac:dyDescent="0.25">
      <c r="A123" s="40" t="s">
        <v>489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688"/>
      <c r="P123" s="688"/>
      <c r="Q123" s="80" t="s">
        <v>3</v>
      </c>
    </row>
    <row r="124" spans="1:17" s="14" customFormat="1" ht="15.75" x14ac:dyDescent="0.25">
      <c r="A124" s="40" t="s">
        <v>229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688"/>
      <c r="P124" s="688"/>
    </row>
    <row r="125" spans="1:17" s="87" customFormat="1" ht="15.75" x14ac:dyDescent="0.25">
      <c r="A125" s="40" t="s">
        <v>33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74"/>
      <c r="P125" s="41"/>
    </row>
    <row r="126" spans="1:17" s="42" customFormat="1" ht="15.75" x14ac:dyDescent="0.25">
      <c r="A126" s="574"/>
      <c r="B126" s="574"/>
      <c r="C126" s="574"/>
      <c r="D126" s="574"/>
      <c r="E126" s="574"/>
      <c r="F126" s="574"/>
      <c r="G126" s="574"/>
      <c r="H126" s="574"/>
      <c r="I126" s="574"/>
      <c r="J126" s="574"/>
      <c r="K126" s="574"/>
      <c r="L126" s="574"/>
      <c r="M126" s="574"/>
      <c r="N126" s="574"/>
      <c r="O126" s="406"/>
      <c r="P126" s="406"/>
    </row>
    <row r="127" spans="1:17" s="14" customFormat="1" ht="15.75" x14ac:dyDescent="0.25">
      <c r="A127" s="456" t="s">
        <v>34</v>
      </c>
      <c r="B127" s="377"/>
      <c r="C127" s="377"/>
      <c r="D127" s="377"/>
      <c r="E127" s="377"/>
      <c r="F127" s="9" t="s">
        <v>26</v>
      </c>
      <c r="G127" s="9"/>
      <c r="H127" s="9" t="s">
        <v>26</v>
      </c>
      <c r="I127" s="9"/>
      <c r="J127" s="9" t="s">
        <v>26</v>
      </c>
      <c r="K127" s="9"/>
      <c r="L127" s="9" t="s">
        <v>330</v>
      </c>
      <c r="M127" s="13"/>
      <c r="N127" s="9" t="s">
        <v>330</v>
      </c>
      <c r="P127" s="9" t="s">
        <v>330</v>
      </c>
    </row>
    <row r="128" spans="1:17" s="14" customFormat="1" ht="15.75" x14ac:dyDescent="0.25">
      <c r="A128" s="457" t="s">
        <v>36</v>
      </c>
      <c r="B128" s="377"/>
      <c r="C128" s="226" t="s">
        <v>178</v>
      </c>
      <c r="D128" s="226"/>
      <c r="E128" s="377"/>
      <c r="F128" s="451">
        <v>2010</v>
      </c>
      <c r="G128" s="452"/>
      <c r="H128" s="451">
        <v>2011</v>
      </c>
      <c r="I128" s="452"/>
      <c r="J128" s="451">
        <v>2012</v>
      </c>
      <c r="K128" s="452"/>
      <c r="L128" s="451">
        <v>2013</v>
      </c>
      <c r="M128" s="453"/>
      <c r="N128" s="451">
        <v>2014</v>
      </c>
      <c r="O128" s="454"/>
      <c r="P128" s="451">
        <v>2015</v>
      </c>
    </row>
    <row r="129" spans="1:16" s="42" customFormat="1" ht="15.75" x14ac:dyDescent="0.25">
      <c r="A129" s="475"/>
      <c r="B129" s="697"/>
      <c r="C129" s="346"/>
      <c r="D129" s="346"/>
      <c r="E129" s="697"/>
      <c r="F129" s="476"/>
      <c r="G129" s="474"/>
      <c r="H129" s="476"/>
      <c r="I129" s="474"/>
      <c r="J129" s="476"/>
      <c r="K129" s="474"/>
      <c r="L129" s="476"/>
      <c r="M129" s="478"/>
      <c r="N129" s="476"/>
      <c r="O129" s="454"/>
      <c r="P129" s="476"/>
    </row>
    <row r="130" spans="1:16" s="42" customFormat="1" ht="15.75" x14ac:dyDescent="0.25">
      <c r="A130" s="459">
        <f>+A120+1</f>
        <v>104</v>
      </c>
      <c r="B130" s="484"/>
      <c r="C130" s="360" t="s">
        <v>715</v>
      </c>
      <c r="D130" s="346"/>
      <c r="E130" s="484"/>
      <c r="F130" s="476"/>
      <c r="G130" s="474"/>
      <c r="H130" s="476"/>
      <c r="I130" s="474"/>
      <c r="J130" s="476"/>
      <c r="K130" s="474"/>
      <c r="L130" s="476"/>
      <c r="M130" s="478"/>
      <c r="N130" s="476"/>
      <c r="O130" s="454"/>
      <c r="P130" s="476"/>
    </row>
    <row r="131" spans="1:16" s="42" customFormat="1" ht="15.75" x14ac:dyDescent="0.25">
      <c r="A131" s="459">
        <f>+A130+1</f>
        <v>105</v>
      </c>
      <c r="B131" s="484"/>
      <c r="C131" s="346"/>
      <c r="D131" s="346"/>
      <c r="E131" s="484"/>
      <c r="F131" s="476"/>
      <c r="G131" s="474"/>
      <c r="H131" s="476"/>
      <c r="I131" s="474"/>
      <c r="J131" s="476"/>
      <c r="K131" s="474"/>
      <c r="L131" s="476"/>
      <c r="M131" s="478"/>
      <c r="N131" s="476"/>
      <c r="O131" s="454"/>
      <c r="P131" s="476"/>
    </row>
    <row r="132" spans="1:16" s="14" customFormat="1" ht="15" x14ac:dyDescent="0.2">
      <c r="A132" s="459">
        <f>+A131+1</f>
        <v>106</v>
      </c>
      <c r="B132" s="77"/>
      <c r="C132" s="232" t="s">
        <v>87</v>
      </c>
      <c r="D132" s="77"/>
      <c r="E132" s="77"/>
      <c r="F132" s="155">
        <f>'S5.1 '!$G$25</f>
        <v>167.07905</v>
      </c>
      <c r="G132" s="155"/>
      <c r="H132" s="155">
        <f>'S5.1 '!$I$25</f>
        <v>159.66085000000004</v>
      </c>
      <c r="I132" s="155"/>
      <c r="J132" s="155">
        <f>'S5.1 '!$K$25</f>
        <v>180.93938000000003</v>
      </c>
      <c r="K132" s="155"/>
      <c r="L132" s="155">
        <f>'S5.1 '!$M$25</f>
        <v>184.07056526930126</v>
      </c>
      <c r="M132" s="13"/>
      <c r="N132" s="155">
        <f>'S5.1 '!$O$25</f>
        <v>190.07281495794371</v>
      </c>
      <c r="O132" s="155"/>
      <c r="P132" s="155">
        <f>'S5.1 '!$Q$25</f>
        <v>194.21980490298446</v>
      </c>
    </row>
    <row r="133" spans="1:16" s="14" customFormat="1" ht="15.75" x14ac:dyDescent="0.25">
      <c r="A133" s="459">
        <f t="shared" ref="A133:A138" si="2">+A132+1</f>
        <v>107</v>
      </c>
      <c r="B133" s="77"/>
      <c r="C133" s="60"/>
      <c r="D133" s="77"/>
      <c r="E133" s="77"/>
      <c r="F133" s="155"/>
      <c r="G133" s="155"/>
      <c r="H133" s="539"/>
      <c r="I133" s="540"/>
      <c r="J133" s="539"/>
      <c r="K133" s="540"/>
      <c r="L133" s="539"/>
      <c r="M133" s="541"/>
      <c r="N133" s="539"/>
      <c r="O133" s="542"/>
      <c r="P133" s="539"/>
    </row>
    <row r="134" spans="1:16" s="14" customFormat="1" ht="15.75" x14ac:dyDescent="0.25">
      <c r="A134" s="459">
        <f t="shared" si="2"/>
        <v>108</v>
      </c>
      <c r="B134" s="155"/>
      <c r="C134" s="82" t="s">
        <v>516</v>
      </c>
      <c r="D134" s="77"/>
      <c r="E134" s="77"/>
      <c r="F134" s="155"/>
      <c r="G134" s="155"/>
      <c r="H134" s="543"/>
      <c r="I134" s="540"/>
      <c r="J134" s="543"/>
      <c r="K134" s="540"/>
      <c r="L134" s="543"/>
      <c r="M134" s="541"/>
      <c r="N134" s="543"/>
      <c r="O134" s="542"/>
      <c r="P134" s="543"/>
    </row>
    <row r="135" spans="1:16" s="14" customFormat="1" ht="15" x14ac:dyDescent="0.2">
      <c r="A135" s="459">
        <f t="shared" si="2"/>
        <v>109</v>
      </c>
      <c r="B135" s="77"/>
      <c r="C135" s="82" t="s">
        <v>515</v>
      </c>
      <c r="D135" s="77"/>
      <c r="E135" s="77"/>
      <c r="F135" s="155"/>
      <c r="G135" s="155"/>
      <c r="H135" s="155"/>
      <c r="I135" s="155"/>
      <c r="J135" s="155"/>
      <c r="K135" s="155"/>
      <c r="L135" s="155"/>
      <c r="M135" s="13"/>
      <c r="N135" s="155"/>
      <c r="O135" s="155"/>
      <c r="P135" s="155"/>
    </row>
    <row r="136" spans="1:16" s="14" customFormat="1" ht="15" x14ac:dyDescent="0.2">
      <c r="A136" s="459">
        <f t="shared" si="2"/>
        <v>110</v>
      </c>
      <c r="B136" s="155"/>
      <c r="C136" s="37"/>
      <c r="D136" s="77"/>
      <c r="E136" s="77"/>
      <c r="F136" s="155"/>
      <c r="G136" s="155"/>
      <c r="H136" s="155"/>
      <c r="I136" s="155"/>
      <c r="J136" s="155"/>
      <c r="K136" s="155"/>
      <c r="L136" s="155"/>
      <c r="M136" s="13"/>
      <c r="N136" s="155"/>
      <c r="O136" s="155"/>
      <c r="P136" s="155"/>
    </row>
    <row r="137" spans="1:16" s="14" customFormat="1" ht="15" x14ac:dyDescent="0.2">
      <c r="A137" s="459">
        <f t="shared" si="2"/>
        <v>111</v>
      </c>
      <c r="B137" s="77"/>
      <c r="C137" s="37" t="s">
        <v>517</v>
      </c>
      <c r="D137" s="77"/>
      <c r="E137" s="77"/>
      <c r="F137" s="155"/>
      <c r="G137" s="155"/>
      <c r="H137" s="155"/>
      <c r="I137" s="155"/>
      <c r="J137" s="155"/>
      <c r="K137" s="155"/>
      <c r="L137" s="155"/>
      <c r="M137" s="13"/>
      <c r="N137" s="155"/>
      <c r="O137" s="155"/>
      <c r="P137" s="155"/>
    </row>
    <row r="138" spans="1:16" s="14" customFormat="1" ht="15" x14ac:dyDescent="0.2">
      <c r="A138" s="459">
        <f t="shared" si="2"/>
        <v>112</v>
      </c>
      <c r="B138" s="155"/>
      <c r="C138" s="82" t="s">
        <v>960</v>
      </c>
      <c r="D138" s="77"/>
      <c r="E138" s="77"/>
      <c r="F138" s="155"/>
      <c r="G138" s="155"/>
      <c r="H138" s="155"/>
      <c r="I138" s="155"/>
      <c r="J138" s="155"/>
      <c r="K138" s="155"/>
      <c r="L138" s="155"/>
      <c r="M138" s="13"/>
      <c r="N138" s="155"/>
      <c r="O138" s="155"/>
      <c r="P138" s="155"/>
    </row>
    <row r="139" spans="1:16" s="14" customFormat="1" ht="15" x14ac:dyDescent="0.2">
      <c r="A139" s="459">
        <f t="shared" ref="A139:A164" si="3">+A138+1</f>
        <v>113</v>
      </c>
      <c r="B139" s="155"/>
      <c r="C139" s="82"/>
      <c r="D139" s="77"/>
      <c r="E139" s="77"/>
      <c r="F139" s="155"/>
      <c r="G139" s="155"/>
      <c r="H139" s="155"/>
      <c r="I139" s="155"/>
      <c r="J139" s="155"/>
      <c r="K139" s="155"/>
      <c r="L139" s="155"/>
      <c r="M139" s="13"/>
      <c r="N139" s="155"/>
      <c r="O139" s="155"/>
      <c r="P139" s="155"/>
    </row>
    <row r="140" spans="1:16" s="14" customFormat="1" ht="15" x14ac:dyDescent="0.2">
      <c r="A140" s="459">
        <f t="shared" si="3"/>
        <v>114</v>
      </c>
      <c r="B140" s="155"/>
      <c r="C140" s="252" t="s">
        <v>957</v>
      </c>
      <c r="D140" s="77"/>
      <c r="E140" s="77"/>
      <c r="F140" s="155"/>
      <c r="G140" s="155"/>
      <c r="H140" s="155"/>
      <c r="I140" s="155"/>
      <c r="J140" s="155"/>
      <c r="K140" s="155"/>
      <c r="L140" s="155"/>
      <c r="M140" s="13"/>
      <c r="N140" s="155"/>
      <c r="O140" s="155"/>
      <c r="P140" s="155"/>
    </row>
    <row r="141" spans="1:16" s="14" customFormat="1" ht="15" x14ac:dyDescent="0.2">
      <c r="A141" s="459">
        <f t="shared" si="3"/>
        <v>115</v>
      </c>
      <c r="B141" s="155"/>
      <c r="C141" s="82"/>
      <c r="D141" s="77"/>
      <c r="E141" s="77"/>
      <c r="F141" s="155"/>
      <c r="G141" s="155"/>
      <c r="H141" s="155"/>
      <c r="I141" s="155"/>
      <c r="J141" s="155"/>
      <c r="K141" s="155"/>
      <c r="L141" s="155"/>
      <c r="M141" s="13"/>
      <c r="N141" s="155"/>
      <c r="O141" s="155"/>
      <c r="P141" s="155"/>
    </row>
    <row r="142" spans="1:16" s="14" customFormat="1" ht="15" x14ac:dyDescent="0.2">
      <c r="A142" s="459">
        <f t="shared" si="3"/>
        <v>116</v>
      </c>
      <c r="B142" s="77"/>
      <c r="C142" s="82"/>
      <c r="D142" s="77"/>
      <c r="E142" s="77"/>
      <c r="F142" s="155"/>
      <c r="G142" s="155"/>
      <c r="H142" s="155"/>
      <c r="I142" s="155"/>
      <c r="J142" s="155"/>
      <c r="K142" s="155"/>
      <c r="L142" s="155"/>
      <c r="M142" s="13"/>
      <c r="N142" s="155"/>
      <c r="O142" s="155"/>
      <c r="P142" s="155"/>
    </row>
    <row r="143" spans="1:16" s="14" customFormat="1" ht="15.75" x14ac:dyDescent="0.25">
      <c r="A143" s="459">
        <f t="shared" si="3"/>
        <v>117</v>
      </c>
      <c r="B143" s="77"/>
      <c r="C143" s="268"/>
      <c r="D143" s="228"/>
      <c r="E143" s="377"/>
      <c r="F143" s="155"/>
      <c r="G143" s="155"/>
      <c r="H143" s="155"/>
      <c r="I143" s="155"/>
      <c r="J143" s="155"/>
      <c r="K143" s="155"/>
      <c r="L143" s="155"/>
      <c r="M143" s="13"/>
      <c r="N143" s="155"/>
      <c r="O143" s="155"/>
      <c r="P143" s="155"/>
    </row>
    <row r="144" spans="1:16" s="14" customFormat="1" ht="15.75" x14ac:dyDescent="0.25">
      <c r="A144" s="459">
        <f t="shared" si="3"/>
        <v>118</v>
      </c>
      <c r="B144" s="77"/>
      <c r="C144" s="237" t="s">
        <v>392</v>
      </c>
      <c r="F144" s="155"/>
      <c r="G144" s="155"/>
      <c r="H144" s="155"/>
      <c r="I144" s="155"/>
      <c r="J144" s="155"/>
      <c r="K144" s="155"/>
      <c r="L144" s="155"/>
      <c r="M144" s="13"/>
      <c r="N144" s="155"/>
      <c r="O144" s="155"/>
      <c r="P144" s="155"/>
    </row>
    <row r="145" spans="1:16" s="14" customFormat="1" ht="15.75" x14ac:dyDescent="0.25">
      <c r="A145" s="459">
        <f t="shared" si="3"/>
        <v>119</v>
      </c>
      <c r="B145" s="77"/>
      <c r="C145" s="228"/>
      <c r="D145" s="228"/>
      <c r="E145" s="377"/>
      <c r="F145" s="155"/>
      <c r="G145" s="155"/>
      <c r="H145" s="155"/>
      <c r="I145" s="155"/>
      <c r="J145" s="155"/>
      <c r="K145" s="155"/>
      <c r="L145" s="155"/>
      <c r="M145" s="13"/>
      <c r="N145" s="155"/>
      <c r="O145" s="155"/>
      <c r="P145" s="155"/>
    </row>
    <row r="146" spans="1:16" s="14" customFormat="1" ht="15.75" x14ac:dyDescent="0.25">
      <c r="A146" s="459">
        <f t="shared" si="3"/>
        <v>120</v>
      </c>
      <c r="B146" s="77"/>
      <c r="C146" s="232" t="s">
        <v>393</v>
      </c>
      <c r="D146" s="228"/>
      <c r="E146" s="377"/>
      <c r="F146" s="155">
        <f>'S5.1 '!$G$34</f>
        <v>58.22549999999999</v>
      </c>
      <c r="G146" s="155"/>
      <c r="H146" s="155">
        <f>'S5.1 '!$I$34</f>
        <v>76.15537999999998</v>
      </c>
      <c r="I146" s="155"/>
      <c r="J146" s="155">
        <f>'S5.1 '!$K$34</f>
        <v>109.18634000000002</v>
      </c>
      <c r="K146" s="155"/>
      <c r="L146" s="155">
        <f>'S5.1 '!$M$34</f>
        <v>117.25452379931144</v>
      </c>
      <c r="M146" s="13"/>
      <c r="N146" s="155">
        <f>'S5.1 '!$O$34</f>
        <v>120.32605070296422</v>
      </c>
      <c r="O146" s="155"/>
      <c r="P146" s="155">
        <f>'S5.1 '!$Q$34</f>
        <v>123.64643400189522</v>
      </c>
    </row>
    <row r="147" spans="1:16" s="14" customFormat="1" ht="15.75" x14ac:dyDescent="0.25">
      <c r="A147" s="459">
        <f t="shared" si="3"/>
        <v>121</v>
      </c>
      <c r="B147" s="77"/>
      <c r="C147" s="228"/>
      <c r="D147" s="228"/>
      <c r="E147" s="377"/>
      <c r="F147" s="155"/>
      <c r="G147" s="155"/>
      <c r="H147" s="539"/>
      <c r="I147" s="540"/>
      <c r="J147" s="539"/>
      <c r="K147" s="540"/>
      <c r="L147" s="539"/>
      <c r="M147" s="541"/>
      <c r="N147" s="539"/>
      <c r="O147" s="542"/>
      <c r="P147" s="539"/>
    </row>
    <row r="148" spans="1:16" s="14" customFormat="1" ht="15.75" x14ac:dyDescent="0.25">
      <c r="A148" s="459">
        <f t="shared" si="3"/>
        <v>122</v>
      </c>
      <c r="B148" s="77"/>
      <c r="C148" s="268" t="s">
        <v>804</v>
      </c>
      <c r="D148" s="228"/>
      <c r="E148" s="449"/>
      <c r="F148" s="155"/>
      <c r="G148" s="155"/>
      <c r="H148" s="543"/>
      <c r="I148" s="540"/>
      <c r="J148" s="543"/>
      <c r="K148" s="540"/>
      <c r="L148" s="543"/>
      <c r="M148" s="541"/>
      <c r="N148" s="543"/>
      <c r="O148" s="542"/>
      <c r="P148" s="543"/>
    </row>
    <row r="149" spans="1:16" s="14" customFormat="1" ht="15.75" x14ac:dyDescent="0.25">
      <c r="A149" s="459">
        <f t="shared" si="3"/>
        <v>123</v>
      </c>
      <c r="B149" s="77"/>
      <c r="C149" s="268" t="s">
        <v>724</v>
      </c>
      <c r="D149" s="228"/>
      <c r="E149" s="449"/>
      <c r="F149" s="155"/>
      <c r="G149" s="155"/>
      <c r="H149" s="155"/>
      <c r="I149" s="155"/>
      <c r="J149" s="155"/>
      <c r="K149" s="155"/>
      <c r="L149" s="155"/>
      <c r="M149" s="13"/>
      <c r="N149" s="155"/>
      <c r="O149" s="155"/>
      <c r="P149" s="155"/>
    </row>
    <row r="150" spans="1:16" s="42" customFormat="1" ht="15" x14ac:dyDescent="0.2">
      <c r="A150" s="459">
        <f t="shared" si="3"/>
        <v>124</v>
      </c>
      <c r="B150" s="419"/>
      <c r="C150" s="268"/>
      <c r="D150" s="419"/>
      <c r="E150" s="419"/>
      <c r="F150" s="406"/>
      <c r="G150" s="406"/>
      <c r="H150" s="406"/>
      <c r="I150" s="406"/>
      <c r="J150" s="406"/>
      <c r="K150" s="406"/>
      <c r="L150" s="406"/>
      <c r="M150" s="481"/>
      <c r="N150" s="406"/>
      <c r="O150" s="406"/>
      <c r="P150" s="406"/>
    </row>
    <row r="151" spans="1:16" s="42" customFormat="1" ht="15" x14ac:dyDescent="0.2">
      <c r="A151" s="459">
        <f t="shared" si="3"/>
        <v>125</v>
      </c>
      <c r="B151" s="419"/>
      <c r="C151" s="268"/>
      <c r="D151" s="419"/>
      <c r="E151" s="419"/>
      <c r="F151" s="406"/>
      <c r="G151" s="406"/>
      <c r="H151" s="406"/>
      <c r="I151" s="406"/>
      <c r="J151" s="406"/>
      <c r="K151" s="406"/>
      <c r="L151" s="406"/>
      <c r="M151" s="481"/>
      <c r="N151" s="406"/>
      <c r="O151" s="406"/>
      <c r="P151" s="406"/>
    </row>
    <row r="152" spans="1:16" s="14" customFormat="1" ht="15" x14ac:dyDescent="0.2">
      <c r="A152" s="459">
        <f t="shared" si="3"/>
        <v>126</v>
      </c>
      <c r="B152" s="77"/>
      <c r="C152" s="232" t="s">
        <v>93</v>
      </c>
      <c r="D152" s="77"/>
      <c r="E152" s="77"/>
      <c r="F152" s="155">
        <f>'S5.1 '!$G$38</f>
        <v>409.78839999999997</v>
      </c>
      <c r="G152" s="155"/>
      <c r="H152" s="155">
        <f>'S5.1 '!$I$38</f>
        <v>409.54194000000007</v>
      </c>
      <c r="I152" s="155"/>
      <c r="J152" s="155">
        <f>'S5.1 '!$K$38</f>
        <v>443.61270000000007</v>
      </c>
      <c r="K152" s="155"/>
      <c r="L152" s="155">
        <f>'S5.1 '!$M$38</f>
        <v>437.19939161132766</v>
      </c>
      <c r="M152" s="155"/>
      <c r="N152" s="155">
        <f>'S5.1 '!$O$38</f>
        <v>455.5187456302512</v>
      </c>
      <c r="O152" s="155"/>
      <c r="P152" s="155">
        <f>'S5.1 '!$Q$38</f>
        <v>467.37184675015158</v>
      </c>
    </row>
    <row r="153" spans="1:16" s="14" customFormat="1" ht="15.75" x14ac:dyDescent="0.25">
      <c r="A153" s="459">
        <f t="shared" si="3"/>
        <v>127</v>
      </c>
      <c r="B153" s="77"/>
      <c r="C153" s="82"/>
      <c r="D153" s="77"/>
      <c r="E153" s="77"/>
      <c r="F153" s="155"/>
      <c r="G153" s="155"/>
      <c r="H153" s="539"/>
      <c r="I153" s="540"/>
      <c r="J153" s="539"/>
      <c r="K153" s="540"/>
      <c r="L153" s="539"/>
      <c r="M153" s="541"/>
      <c r="N153" s="539"/>
      <c r="O153" s="542"/>
      <c r="P153" s="539"/>
    </row>
    <row r="154" spans="1:16" s="14" customFormat="1" ht="15.75" x14ac:dyDescent="0.25">
      <c r="A154" s="459">
        <f t="shared" si="3"/>
        <v>128</v>
      </c>
      <c r="B154" s="63"/>
      <c r="C154" s="268" t="s">
        <v>725</v>
      </c>
      <c r="D154" s="77"/>
      <c r="E154" s="77"/>
      <c r="F154" s="155"/>
      <c r="G154" s="155"/>
      <c r="H154" s="543"/>
      <c r="I154" s="540"/>
      <c r="J154" s="543"/>
      <c r="K154" s="540"/>
      <c r="L154" s="543"/>
      <c r="M154" s="541"/>
      <c r="N154" s="543"/>
      <c r="O154" s="542"/>
      <c r="P154" s="543"/>
    </row>
    <row r="155" spans="1:16" s="14" customFormat="1" ht="15" x14ac:dyDescent="0.2">
      <c r="A155" s="459">
        <f t="shared" si="3"/>
        <v>129</v>
      </c>
      <c r="B155" s="77"/>
      <c r="C155" s="268" t="s">
        <v>710</v>
      </c>
      <c r="D155" s="77"/>
      <c r="E155" s="77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</row>
    <row r="156" spans="1:16" s="14" customFormat="1" ht="15" x14ac:dyDescent="0.2">
      <c r="A156" s="459">
        <f t="shared" si="3"/>
        <v>130</v>
      </c>
      <c r="B156" s="77"/>
      <c r="C156" s="268"/>
      <c r="D156" s="77"/>
      <c r="E156" s="77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</row>
    <row r="157" spans="1:16" s="14" customFormat="1" ht="15" x14ac:dyDescent="0.2">
      <c r="A157" s="459">
        <f t="shared" si="3"/>
        <v>131</v>
      </c>
      <c r="B157" s="77"/>
      <c r="C157" s="268" t="s">
        <v>726</v>
      </c>
      <c r="D157" s="77"/>
      <c r="E157" s="77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</row>
    <row r="158" spans="1:16" s="14" customFormat="1" ht="15" x14ac:dyDescent="0.2">
      <c r="A158" s="459">
        <f t="shared" si="3"/>
        <v>132</v>
      </c>
      <c r="B158" s="77"/>
      <c r="C158" s="268" t="s">
        <v>727</v>
      </c>
      <c r="D158" s="77"/>
      <c r="E158" s="77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</row>
    <row r="159" spans="1:16" s="42" customFormat="1" ht="15" x14ac:dyDescent="0.2">
      <c r="A159" s="459">
        <f t="shared" si="3"/>
        <v>133</v>
      </c>
      <c r="B159" s="419"/>
      <c r="C159" s="268"/>
      <c r="D159" s="419"/>
      <c r="E159" s="419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  <c r="P159" s="406"/>
    </row>
    <row r="160" spans="1:16" s="42" customFormat="1" ht="15" x14ac:dyDescent="0.2">
      <c r="A160" s="459">
        <f t="shared" si="3"/>
        <v>134</v>
      </c>
      <c r="B160" s="419"/>
      <c r="C160" s="252" t="s">
        <v>957</v>
      </c>
      <c r="D160" s="419"/>
      <c r="E160" s="419"/>
      <c r="F160" s="406"/>
      <c r="G160" s="406"/>
      <c r="H160" s="406"/>
      <c r="I160" s="406"/>
      <c r="J160" s="406"/>
      <c r="K160" s="406"/>
      <c r="L160" s="406"/>
      <c r="M160" s="406"/>
      <c r="N160" s="406"/>
      <c r="O160" s="406"/>
      <c r="P160" s="406"/>
    </row>
    <row r="161" spans="1:17" s="42" customFormat="1" ht="15" x14ac:dyDescent="0.2">
      <c r="A161" s="459">
        <f t="shared" si="3"/>
        <v>135</v>
      </c>
      <c r="B161" s="419"/>
      <c r="C161" s="268"/>
      <c r="D161" s="419"/>
      <c r="E161" s="419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  <c r="P161" s="406"/>
    </row>
    <row r="162" spans="1:17" s="14" customFormat="1" ht="15" x14ac:dyDescent="0.2">
      <c r="A162" s="459">
        <f t="shared" si="3"/>
        <v>136</v>
      </c>
      <c r="B162" s="77"/>
      <c r="C162" s="268"/>
      <c r="D162" s="77"/>
      <c r="E162" s="77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</row>
    <row r="163" spans="1:17" s="14" customFormat="1" ht="15" x14ac:dyDescent="0.2">
      <c r="A163" s="459">
        <f t="shared" si="3"/>
        <v>137</v>
      </c>
      <c r="B163" s="77"/>
      <c r="C163" s="268"/>
      <c r="D163" s="77"/>
      <c r="E163" s="77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</row>
    <row r="164" spans="1:17" s="14" customFormat="1" ht="15" x14ac:dyDescent="0.2">
      <c r="A164" s="459">
        <f t="shared" si="3"/>
        <v>138</v>
      </c>
      <c r="B164" s="77"/>
      <c r="C164" s="268"/>
      <c r="D164" s="77"/>
      <c r="E164" s="77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</row>
    <row r="165" spans="1:17" s="42" customFormat="1" ht="15" x14ac:dyDescent="0.2">
      <c r="A165" s="459"/>
      <c r="B165" s="419"/>
      <c r="C165" s="268"/>
      <c r="D165" s="419"/>
      <c r="E165" s="419"/>
      <c r="F165" s="406"/>
      <c r="G165" s="406"/>
      <c r="H165" s="406"/>
      <c r="I165" s="406"/>
      <c r="J165" s="406"/>
      <c r="K165" s="406"/>
      <c r="L165" s="406"/>
      <c r="M165" s="481"/>
      <c r="N165" s="406"/>
      <c r="O165" s="406"/>
      <c r="P165" s="406"/>
    </row>
    <row r="166" spans="1:17" s="14" customFormat="1" ht="15.75" x14ac:dyDescent="0.25">
      <c r="A166" s="689" t="s">
        <v>539</v>
      </c>
      <c r="B166" s="689"/>
      <c r="C166" s="689"/>
      <c r="D166" s="689"/>
      <c r="E166" s="689"/>
      <c r="F166" s="689"/>
      <c r="G166" s="689"/>
      <c r="H166" s="689"/>
      <c r="I166" s="689"/>
      <c r="J166" s="689"/>
      <c r="K166" s="689"/>
      <c r="L166" s="689"/>
      <c r="M166" s="689"/>
      <c r="N166" s="689"/>
      <c r="O166" s="688"/>
      <c r="P166" s="688"/>
      <c r="Q166" s="66" t="s">
        <v>834</v>
      </c>
    </row>
    <row r="167" spans="1:17" s="14" customFormat="1" ht="15.75" x14ac:dyDescent="0.25">
      <c r="A167" s="689" t="s">
        <v>489</v>
      </c>
      <c r="B167" s="689"/>
      <c r="C167" s="689"/>
      <c r="D167" s="689"/>
      <c r="E167" s="689"/>
      <c r="F167" s="689"/>
      <c r="G167" s="689"/>
      <c r="H167" s="689"/>
      <c r="I167" s="689"/>
      <c r="J167" s="689"/>
      <c r="K167" s="689"/>
      <c r="L167" s="689"/>
      <c r="M167" s="689"/>
      <c r="N167" s="689"/>
      <c r="O167" s="688"/>
      <c r="P167" s="688"/>
      <c r="Q167" s="80" t="s">
        <v>4</v>
      </c>
    </row>
    <row r="168" spans="1:17" s="14" customFormat="1" ht="15.75" x14ac:dyDescent="0.25">
      <c r="A168" s="689" t="s">
        <v>229</v>
      </c>
      <c r="B168" s="689"/>
      <c r="C168" s="689"/>
      <c r="D168" s="689"/>
      <c r="E168" s="689"/>
      <c r="F168" s="689"/>
      <c r="G168" s="689"/>
      <c r="H168" s="689"/>
      <c r="I168" s="689"/>
      <c r="J168" s="689"/>
      <c r="K168" s="689"/>
      <c r="L168" s="689"/>
      <c r="M168" s="689"/>
      <c r="N168" s="689"/>
      <c r="O168" s="688"/>
      <c r="P168" s="688"/>
    </row>
    <row r="169" spans="1:17" s="87" customFormat="1" ht="15.75" x14ac:dyDescent="0.25">
      <c r="A169" s="40" t="s">
        <v>33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74"/>
      <c r="P169" s="41"/>
    </row>
    <row r="170" spans="1:17" s="42" customFormat="1" ht="15.75" x14ac:dyDescent="0.25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406"/>
      <c r="P170" s="406"/>
    </row>
    <row r="171" spans="1:17" s="14" customFormat="1" ht="15.75" x14ac:dyDescent="0.25">
      <c r="A171" s="377" t="s">
        <v>34</v>
      </c>
      <c r="B171" s="377"/>
      <c r="C171" s="377"/>
      <c r="D171" s="377"/>
      <c r="E171" s="377"/>
      <c r="F171" s="9" t="s">
        <v>26</v>
      </c>
      <c r="G171" s="9"/>
      <c r="H171" s="9" t="s">
        <v>26</v>
      </c>
      <c r="I171" s="9"/>
      <c r="J171" s="9" t="s">
        <v>26</v>
      </c>
      <c r="K171" s="9"/>
      <c r="L171" s="9" t="s">
        <v>330</v>
      </c>
      <c r="M171" s="13"/>
      <c r="N171" s="9" t="s">
        <v>330</v>
      </c>
      <c r="P171" s="9" t="s">
        <v>330</v>
      </c>
    </row>
    <row r="172" spans="1:17" s="14" customFormat="1" ht="15.75" x14ac:dyDescent="0.25">
      <c r="A172" s="226" t="s">
        <v>36</v>
      </c>
      <c r="B172" s="377"/>
      <c r="C172" s="226" t="s">
        <v>178</v>
      </c>
      <c r="D172" s="226"/>
      <c r="E172" s="377"/>
      <c r="F172" s="451">
        <v>2010</v>
      </c>
      <c r="G172" s="452"/>
      <c r="H172" s="451">
        <v>2011</v>
      </c>
      <c r="I172" s="452"/>
      <c r="J172" s="451">
        <v>2012</v>
      </c>
      <c r="K172" s="452"/>
      <c r="L172" s="451">
        <v>2013</v>
      </c>
      <c r="M172" s="453"/>
      <c r="N172" s="451">
        <v>2014</v>
      </c>
      <c r="O172" s="454"/>
      <c r="P172" s="451">
        <v>2015</v>
      </c>
    </row>
    <row r="173" spans="1:17" s="42" customFormat="1" ht="15.75" x14ac:dyDescent="0.25">
      <c r="A173" s="346"/>
      <c r="B173" s="697"/>
      <c r="C173" s="346"/>
      <c r="D173" s="346"/>
      <c r="E173" s="697"/>
      <c r="F173" s="476"/>
      <c r="G173" s="474"/>
      <c r="H173" s="476"/>
      <c r="I173" s="474"/>
      <c r="J173" s="476"/>
      <c r="K173" s="474"/>
      <c r="L173" s="476"/>
      <c r="M173" s="478"/>
      <c r="N173" s="476"/>
      <c r="O173" s="454"/>
      <c r="P173" s="476"/>
    </row>
    <row r="174" spans="1:17" s="14" customFormat="1" ht="15.75" x14ac:dyDescent="0.25">
      <c r="A174" s="459">
        <f>+A164+1</f>
        <v>139</v>
      </c>
      <c r="B174" s="77"/>
      <c r="C174" s="247" t="s">
        <v>624</v>
      </c>
      <c r="D174" s="77"/>
      <c r="E174" s="77"/>
      <c r="F174" s="77"/>
      <c r="G174" s="77"/>
      <c r="H174" s="63"/>
      <c r="I174" s="77"/>
      <c r="J174" s="63"/>
      <c r="K174" s="77"/>
      <c r="L174" s="63"/>
      <c r="M174" s="13"/>
      <c r="N174" s="155"/>
      <c r="O174" s="155"/>
      <c r="P174" s="155"/>
    </row>
    <row r="175" spans="1:17" s="42" customFormat="1" ht="15" x14ac:dyDescent="0.2">
      <c r="A175" s="459">
        <f>+A174+1</f>
        <v>140</v>
      </c>
      <c r="B175" s="419"/>
      <c r="C175" s="268"/>
      <c r="D175" s="419"/>
      <c r="E175" s="419"/>
      <c r="F175" s="406"/>
      <c r="G175" s="406"/>
      <c r="H175" s="406"/>
      <c r="I175" s="406"/>
      <c r="J175" s="406"/>
      <c r="K175" s="406"/>
      <c r="L175" s="406"/>
      <c r="M175" s="406"/>
      <c r="N175" s="406"/>
      <c r="O175" s="406"/>
      <c r="P175" s="406"/>
    </row>
    <row r="176" spans="1:17" s="14" customFormat="1" ht="15" x14ac:dyDescent="0.2">
      <c r="A176" s="459">
        <f>+A175+1</f>
        <v>141</v>
      </c>
      <c r="B176" s="77"/>
      <c r="C176" s="232" t="s">
        <v>94</v>
      </c>
      <c r="D176" s="77"/>
      <c r="E176" s="77"/>
      <c r="F176" s="155">
        <f>'S5.1 '!$G$39</f>
        <v>532.44666000000018</v>
      </c>
      <c r="G176" s="155"/>
      <c r="H176" s="155">
        <f>'S5.1 '!$I$39</f>
        <v>462.38002</v>
      </c>
      <c r="I176" s="155"/>
      <c r="J176" s="155">
        <f>'S5.1 '!$K$39</f>
        <v>483.60667000000007</v>
      </c>
      <c r="K176" s="155"/>
      <c r="L176" s="406">
        <f>'S5.1 '!$M$39</f>
        <v>526.34428589767253</v>
      </c>
      <c r="M176" s="155"/>
      <c r="N176" s="155">
        <f>'S5.1 '!$O$39</f>
        <v>544.02767752702937</v>
      </c>
      <c r="O176" s="155"/>
      <c r="P176" s="155">
        <f>'S5.1 '!$Q$39</f>
        <v>565.06260659114218</v>
      </c>
    </row>
    <row r="177" spans="1:24" s="14" customFormat="1" ht="15.75" x14ac:dyDescent="0.25">
      <c r="A177" s="459">
        <f t="shared" ref="A177:A218" si="4">+A176+1</f>
        <v>142</v>
      </c>
      <c r="B177" s="63"/>
      <c r="C177" s="82"/>
      <c r="D177" s="77"/>
      <c r="E177" s="77"/>
      <c r="F177" s="155"/>
      <c r="G177" s="155"/>
      <c r="H177" s="539"/>
      <c r="I177" s="540"/>
      <c r="J177" s="539"/>
      <c r="K177" s="540"/>
      <c r="L177" s="539"/>
      <c r="M177" s="541"/>
      <c r="N177" s="539"/>
      <c r="O177" s="542"/>
      <c r="P177" s="539"/>
    </row>
    <row r="178" spans="1:24" s="14" customFormat="1" ht="15.75" x14ac:dyDescent="0.25">
      <c r="A178" s="459">
        <f t="shared" si="4"/>
        <v>143</v>
      </c>
      <c r="B178" s="77"/>
      <c r="C178" s="82" t="s">
        <v>518</v>
      </c>
      <c r="D178" s="77"/>
      <c r="E178" s="77"/>
      <c r="F178" s="155"/>
      <c r="G178" s="155"/>
      <c r="H178" s="543"/>
      <c r="I178" s="540"/>
      <c r="J178" s="543"/>
      <c r="K178" s="540"/>
      <c r="L178" s="543"/>
      <c r="M178" s="541"/>
      <c r="N178" s="543"/>
      <c r="O178" s="542"/>
      <c r="P178" s="543"/>
    </row>
    <row r="179" spans="1:24" s="14" customFormat="1" ht="15" x14ac:dyDescent="0.2">
      <c r="A179" s="459">
        <f t="shared" si="4"/>
        <v>144</v>
      </c>
      <c r="B179" s="77"/>
      <c r="C179" s="233" t="s">
        <v>587</v>
      </c>
      <c r="D179" s="77"/>
      <c r="E179" s="77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V179" s="736"/>
    </row>
    <row r="180" spans="1:24" s="14" customFormat="1" ht="15" x14ac:dyDescent="0.2">
      <c r="A180" s="459">
        <f t="shared" si="4"/>
        <v>145</v>
      </c>
      <c r="B180" s="77"/>
      <c r="C180" s="252" t="s">
        <v>595</v>
      </c>
      <c r="D180" s="77"/>
      <c r="E180" s="77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V180" s="736"/>
    </row>
    <row r="181" spans="1:24" s="42" customFormat="1" ht="15" x14ac:dyDescent="0.2">
      <c r="A181" s="459">
        <f t="shared" si="4"/>
        <v>146</v>
      </c>
      <c r="B181" s="419"/>
      <c r="C181" s="233"/>
      <c r="D181" s="419"/>
      <c r="E181" s="419"/>
      <c r="F181" s="406"/>
      <c r="G181" s="406"/>
      <c r="H181" s="406"/>
      <c r="I181" s="406"/>
      <c r="J181" s="406"/>
      <c r="K181" s="406"/>
      <c r="L181" s="406"/>
      <c r="M181" s="406"/>
      <c r="N181" s="406"/>
      <c r="O181" s="406"/>
      <c r="P181" s="406"/>
    </row>
    <row r="182" spans="1:24" s="42" customFormat="1" ht="15" x14ac:dyDescent="0.2">
      <c r="A182" s="459">
        <f t="shared" si="4"/>
        <v>147</v>
      </c>
      <c r="B182" s="419"/>
      <c r="C182" s="233" t="s">
        <v>732</v>
      </c>
      <c r="D182" s="419"/>
      <c r="E182" s="419"/>
      <c r="F182" s="406"/>
      <c r="G182" s="406"/>
      <c r="H182" s="406"/>
      <c r="I182" s="406"/>
      <c r="J182" s="406"/>
      <c r="K182" s="406"/>
      <c r="L182" s="406"/>
      <c r="M182" s="406"/>
      <c r="N182" s="406"/>
      <c r="O182" s="406"/>
      <c r="P182" s="406"/>
    </row>
    <row r="183" spans="1:24" s="42" customFormat="1" ht="15" x14ac:dyDescent="0.2">
      <c r="A183" s="459">
        <f t="shared" si="4"/>
        <v>148</v>
      </c>
      <c r="B183" s="419"/>
      <c r="C183" s="233" t="s">
        <v>733</v>
      </c>
      <c r="D183" s="419"/>
      <c r="E183" s="419"/>
      <c r="F183" s="406"/>
      <c r="G183" s="406"/>
      <c r="H183" s="406"/>
      <c r="I183" s="406"/>
      <c r="J183" s="406"/>
      <c r="K183" s="406"/>
      <c r="L183" s="406"/>
      <c r="M183" s="406"/>
      <c r="N183" s="406"/>
      <c r="O183" s="406"/>
      <c r="P183" s="406"/>
    </row>
    <row r="184" spans="1:24" s="42" customFormat="1" ht="15" x14ac:dyDescent="0.2">
      <c r="A184" s="459">
        <f t="shared" si="4"/>
        <v>149</v>
      </c>
      <c r="B184" s="419"/>
      <c r="C184" s="233"/>
      <c r="D184" s="419"/>
      <c r="E184" s="419"/>
      <c r="F184" s="406"/>
      <c r="G184" s="406"/>
      <c r="H184" s="406"/>
      <c r="I184" s="406"/>
      <c r="J184" s="406"/>
      <c r="K184" s="406"/>
      <c r="L184" s="406"/>
      <c r="M184" s="406"/>
      <c r="N184" s="406"/>
      <c r="O184" s="406"/>
      <c r="P184" s="406"/>
    </row>
    <row r="185" spans="1:24" s="14" customFormat="1" ht="15" x14ac:dyDescent="0.2">
      <c r="A185" s="459">
        <f t="shared" si="4"/>
        <v>150</v>
      </c>
      <c r="B185" s="77"/>
      <c r="C185" s="233" t="s">
        <v>734</v>
      </c>
      <c r="D185" s="77"/>
      <c r="E185" s="77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</row>
    <row r="186" spans="1:24" s="42" customFormat="1" ht="15" x14ac:dyDescent="0.2">
      <c r="A186" s="459">
        <f t="shared" si="4"/>
        <v>151</v>
      </c>
      <c r="B186" s="419"/>
      <c r="C186" s="233" t="s">
        <v>735</v>
      </c>
      <c r="D186" s="419"/>
      <c r="E186" s="419"/>
      <c r="F186" s="406"/>
      <c r="G186" s="406"/>
      <c r="H186" s="406"/>
      <c r="I186" s="406"/>
      <c r="J186" s="406"/>
      <c r="K186" s="406"/>
      <c r="L186" s="406"/>
      <c r="M186" s="406"/>
      <c r="N186" s="406"/>
      <c r="O186" s="406"/>
      <c r="P186" s="406"/>
      <c r="X186" s="429"/>
    </row>
    <row r="187" spans="1:24" s="42" customFormat="1" ht="15" x14ac:dyDescent="0.2">
      <c r="A187" s="459">
        <f t="shared" si="4"/>
        <v>152</v>
      </c>
      <c r="B187" s="419"/>
      <c r="C187" s="233" t="s">
        <v>966</v>
      </c>
      <c r="D187" s="419"/>
      <c r="E187" s="419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X187" s="429"/>
    </row>
    <row r="188" spans="1:24" s="14" customFormat="1" ht="15" x14ac:dyDescent="0.2">
      <c r="A188" s="459">
        <f t="shared" si="4"/>
        <v>153</v>
      </c>
      <c r="B188" s="77"/>
      <c r="C188" s="463"/>
      <c r="D188" s="419"/>
      <c r="E188" s="77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X188" s="429"/>
    </row>
    <row r="189" spans="1:24" s="14" customFormat="1" ht="15" x14ac:dyDescent="0.2">
      <c r="A189" s="459">
        <f t="shared" si="4"/>
        <v>154</v>
      </c>
      <c r="B189" s="77"/>
      <c r="C189" s="252" t="s">
        <v>957</v>
      </c>
      <c r="D189" s="419"/>
      <c r="E189" s="77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X189" s="429"/>
    </row>
    <row r="190" spans="1:24" s="14" customFormat="1" ht="15" x14ac:dyDescent="0.2">
      <c r="A190" s="459">
        <f t="shared" si="4"/>
        <v>155</v>
      </c>
      <c r="B190" s="77"/>
      <c r="C190" s="268"/>
      <c r="D190" s="419"/>
      <c r="E190" s="77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X190" s="429"/>
    </row>
    <row r="191" spans="1:24" s="14" customFormat="1" ht="15" x14ac:dyDescent="0.2">
      <c r="A191" s="459">
        <f t="shared" si="4"/>
        <v>156</v>
      </c>
      <c r="B191" s="77"/>
      <c r="C191" s="232" t="s">
        <v>284</v>
      </c>
      <c r="D191" s="77"/>
      <c r="E191" s="77"/>
      <c r="F191" s="155">
        <f>'S5.1 '!$G$40</f>
        <v>695.73518999999999</v>
      </c>
      <c r="G191" s="155"/>
      <c r="H191" s="155">
        <f>'S5.1 '!$I$40</f>
        <v>702.77555999999993</v>
      </c>
      <c r="I191" s="155"/>
      <c r="J191" s="155">
        <f>'S5.1 '!$K$40</f>
        <v>695.22829999999988</v>
      </c>
      <c r="K191" s="155"/>
      <c r="L191" s="155">
        <f>'S5.1 '!$M$40</f>
        <v>723.82858204356114</v>
      </c>
      <c r="M191" s="155"/>
      <c r="N191" s="155">
        <f>'S5.1 '!$O$40</f>
        <v>750.40951354764559</v>
      </c>
      <c r="O191" s="155"/>
      <c r="P191" s="155">
        <f>'S5.1 '!$Q$40</f>
        <v>774.91741750630183</v>
      </c>
      <c r="X191" s="429"/>
    </row>
    <row r="192" spans="1:24" s="42" customFormat="1" ht="15.75" x14ac:dyDescent="0.25">
      <c r="A192" s="459">
        <f t="shared" si="4"/>
        <v>157</v>
      </c>
      <c r="B192" s="419"/>
      <c r="C192" s="232"/>
      <c r="D192" s="77"/>
      <c r="E192" s="77"/>
      <c r="F192" s="155"/>
      <c r="G192" s="155"/>
      <c r="H192" s="539"/>
      <c r="I192" s="540"/>
      <c r="J192" s="539"/>
      <c r="K192" s="540"/>
      <c r="L192" s="539"/>
      <c r="M192" s="541"/>
      <c r="N192" s="539"/>
      <c r="O192" s="542"/>
      <c r="P192" s="539"/>
      <c r="X192" s="429"/>
    </row>
    <row r="193" spans="1:24" s="14" customFormat="1" ht="15.75" x14ac:dyDescent="0.25">
      <c r="A193" s="459">
        <f t="shared" si="4"/>
        <v>158</v>
      </c>
      <c r="B193" s="77"/>
      <c r="C193" s="268" t="s">
        <v>964</v>
      </c>
      <c r="D193" s="77"/>
      <c r="E193" s="77"/>
      <c r="F193" s="155"/>
      <c r="G193" s="155"/>
      <c r="H193" s="543"/>
      <c r="I193" s="540"/>
      <c r="J193" s="543"/>
      <c r="K193" s="540"/>
      <c r="L193" s="543"/>
      <c r="M193" s="541"/>
      <c r="N193" s="543"/>
      <c r="O193" s="542"/>
      <c r="P193" s="543"/>
      <c r="X193" s="429"/>
    </row>
    <row r="194" spans="1:24" s="14" customFormat="1" ht="15" x14ac:dyDescent="0.2">
      <c r="A194" s="459">
        <f t="shared" si="4"/>
        <v>159</v>
      </c>
      <c r="B194" s="77"/>
      <c r="C194" s="268" t="s">
        <v>965</v>
      </c>
      <c r="D194" s="77"/>
      <c r="E194" s="77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X194" s="429"/>
    </row>
    <row r="195" spans="1:24" s="14" customFormat="1" ht="15" x14ac:dyDescent="0.2">
      <c r="A195" s="459">
        <f t="shared" si="4"/>
        <v>160</v>
      </c>
      <c r="B195" s="77"/>
      <c r="C195" s="233" t="s">
        <v>967</v>
      </c>
      <c r="D195" s="419"/>
      <c r="E195" s="419"/>
      <c r="F195" s="406"/>
      <c r="G195" s="406"/>
      <c r="H195" s="406"/>
      <c r="I195" s="406"/>
      <c r="J195" s="406"/>
      <c r="K195" s="406"/>
      <c r="L195" s="406"/>
      <c r="M195" s="406"/>
      <c r="N195" s="406"/>
      <c r="O195" s="406"/>
      <c r="P195" s="406"/>
      <c r="X195" s="429"/>
    </row>
    <row r="196" spans="1:24" s="14" customFormat="1" ht="15" x14ac:dyDescent="0.2">
      <c r="A196" s="459">
        <f t="shared" si="4"/>
        <v>161</v>
      </c>
      <c r="B196" s="77"/>
      <c r="C196" s="233"/>
      <c r="D196" s="419"/>
      <c r="E196" s="419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X196" s="429"/>
    </row>
    <row r="197" spans="1:24" s="42" customFormat="1" ht="15" x14ac:dyDescent="0.2">
      <c r="A197" s="459">
        <f t="shared" si="4"/>
        <v>162</v>
      </c>
      <c r="B197" s="419"/>
      <c r="C197" s="232" t="s">
        <v>96</v>
      </c>
      <c r="D197" s="77"/>
      <c r="E197" s="77"/>
      <c r="F197" s="155">
        <f>'S5.1 '!$G$41</f>
        <v>164.80347</v>
      </c>
      <c r="G197" s="155"/>
      <c r="H197" s="155">
        <f>'S5.1 '!$I$41</f>
        <v>167.82192000000003</v>
      </c>
      <c r="I197" s="155"/>
      <c r="J197" s="155">
        <f>'S5.1 '!$K$41</f>
        <v>181.69431000000003</v>
      </c>
      <c r="K197" s="155"/>
      <c r="L197" s="155">
        <f>'S5.1 '!$M$41</f>
        <v>190.75545110328815</v>
      </c>
      <c r="M197" s="155"/>
      <c r="N197" s="155">
        <f>'S5.1 '!$O$41</f>
        <v>216.09080430516369</v>
      </c>
      <c r="O197" s="155"/>
      <c r="P197" s="155">
        <f>'S5.1 '!$Q$41</f>
        <v>222.47538018360493</v>
      </c>
      <c r="X197" s="429"/>
    </row>
    <row r="198" spans="1:24" s="42" customFormat="1" ht="15.75" x14ac:dyDescent="0.25">
      <c r="A198" s="459">
        <f t="shared" si="4"/>
        <v>163</v>
      </c>
      <c r="B198" s="419"/>
      <c r="C198" s="232"/>
      <c r="D198" s="77"/>
      <c r="E198" s="77"/>
      <c r="F198" s="155"/>
      <c r="G198" s="155"/>
      <c r="H198" s="539"/>
      <c r="I198" s="540"/>
      <c r="J198" s="539"/>
      <c r="K198" s="540"/>
      <c r="L198" s="539"/>
      <c r="M198" s="541"/>
      <c r="N198" s="539"/>
      <c r="O198" s="542"/>
      <c r="P198" s="539"/>
    </row>
    <row r="199" spans="1:24" s="14" customFormat="1" ht="15.75" x14ac:dyDescent="0.25">
      <c r="A199" s="459">
        <f t="shared" si="4"/>
        <v>164</v>
      </c>
      <c r="B199" s="77"/>
      <c r="C199" s="268" t="s">
        <v>969</v>
      </c>
      <c r="D199" s="419"/>
      <c r="E199" s="419"/>
      <c r="F199" s="406"/>
      <c r="G199" s="406"/>
      <c r="H199" s="543"/>
      <c r="I199" s="540"/>
      <c r="J199" s="543"/>
      <c r="K199" s="540"/>
      <c r="L199" s="543"/>
      <c r="M199" s="541"/>
      <c r="N199" s="543"/>
      <c r="O199" s="542"/>
      <c r="P199" s="543"/>
    </row>
    <row r="200" spans="1:24" s="14" customFormat="1" ht="15" x14ac:dyDescent="0.2">
      <c r="A200" s="459">
        <f t="shared" si="4"/>
        <v>165</v>
      </c>
      <c r="B200" s="77"/>
      <c r="C200" s="268"/>
      <c r="D200" s="419"/>
      <c r="E200" s="419"/>
      <c r="F200" s="406"/>
      <c r="G200" s="406"/>
      <c r="H200" s="394"/>
      <c r="I200" s="419"/>
      <c r="J200" s="394"/>
      <c r="K200" s="419"/>
      <c r="L200" s="394"/>
      <c r="M200" s="481"/>
      <c r="N200" s="394"/>
      <c r="O200" s="42"/>
      <c r="P200" s="394"/>
    </row>
    <row r="201" spans="1:24" s="42" customFormat="1" ht="15" x14ac:dyDescent="0.2">
      <c r="A201" s="459">
        <f t="shared" si="4"/>
        <v>166</v>
      </c>
      <c r="B201" s="419"/>
      <c r="C201" s="268" t="s">
        <v>971</v>
      </c>
      <c r="D201" s="419"/>
      <c r="E201" s="419"/>
      <c r="F201" s="406"/>
      <c r="G201" s="406"/>
      <c r="H201" s="394"/>
      <c r="I201" s="419"/>
      <c r="J201" s="394"/>
      <c r="K201" s="419"/>
      <c r="L201" s="394"/>
      <c r="M201" s="481"/>
      <c r="N201" s="394"/>
      <c r="P201" s="394"/>
    </row>
    <row r="202" spans="1:24" s="42" customFormat="1" ht="15" x14ac:dyDescent="0.2">
      <c r="A202" s="459">
        <f t="shared" si="4"/>
        <v>167</v>
      </c>
      <c r="B202" s="419"/>
      <c r="C202" s="233" t="s">
        <v>972</v>
      </c>
      <c r="D202" s="77"/>
      <c r="E202" s="77"/>
      <c r="F202" s="155"/>
      <c r="G202" s="155"/>
      <c r="H202" s="250"/>
      <c r="I202" s="419"/>
      <c r="J202" s="250"/>
      <c r="K202" s="419"/>
      <c r="L202" s="250"/>
      <c r="M202" s="481"/>
      <c r="N202" s="250"/>
      <c r="P202" s="250"/>
    </row>
    <row r="203" spans="1:24" s="42" customFormat="1" ht="15" x14ac:dyDescent="0.2">
      <c r="A203" s="459">
        <f t="shared" si="4"/>
        <v>168</v>
      </c>
      <c r="B203" s="419"/>
      <c r="D203" s="77"/>
      <c r="E203" s="77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</row>
    <row r="204" spans="1:24" s="14" customFormat="1" ht="15" x14ac:dyDescent="0.2">
      <c r="A204" s="459">
        <f t="shared" si="4"/>
        <v>169</v>
      </c>
      <c r="B204" s="77"/>
      <c r="C204" s="268" t="s">
        <v>973</v>
      </c>
    </row>
    <row r="205" spans="1:24" s="14" customFormat="1" ht="15" x14ac:dyDescent="0.2">
      <c r="A205" s="459">
        <f t="shared" si="4"/>
        <v>170</v>
      </c>
      <c r="B205" s="77"/>
    </row>
    <row r="206" spans="1:24" s="42" customFormat="1" ht="15" x14ac:dyDescent="0.2">
      <c r="A206" s="459">
        <f t="shared" si="4"/>
        <v>171</v>
      </c>
      <c r="B206" s="419"/>
      <c r="C206" s="232" t="s">
        <v>344</v>
      </c>
      <c r="D206" s="77"/>
      <c r="E206" s="77"/>
      <c r="F206" s="155">
        <f>'S5.1 '!$G$42</f>
        <v>118.62984000000003</v>
      </c>
      <c r="G206" s="155"/>
      <c r="H206" s="155">
        <f>'S5.1 '!$I$42</f>
        <v>109.76342000000001</v>
      </c>
      <c r="I206" s="155"/>
      <c r="J206" s="155">
        <f>'S5.1 '!$K$42</f>
        <v>123.40278999999998</v>
      </c>
      <c r="K206" s="155"/>
      <c r="L206" s="155">
        <f>'S5.1 '!$M$42</f>
        <v>121.84301400283266</v>
      </c>
      <c r="M206" s="155"/>
      <c r="N206" s="155">
        <f>'S5.1 '!$O$42</f>
        <v>133.16818282186145</v>
      </c>
      <c r="O206" s="155"/>
      <c r="P206" s="155">
        <f>'S5.1 '!$Q$42</f>
        <v>137.08407254572728</v>
      </c>
    </row>
    <row r="207" spans="1:24" s="42" customFormat="1" ht="15.75" x14ac:dyDescent="0.25">
      <c r="A207" s="459">
        <f t="shared" si="4"/>
        <v>172</v>
      </c>
      <c r="B207" s="419"/>
      <c r="C207" s="82"/>
      <c r="D207" s="77"/>
      <c r="E207" s="77"/>
      <c r="F207" s="155"/>
      <c r="G207" s="155"/>
      <c r="H207" s="539"/>
      <c r="I207" s="540"/>
      <c r="J207" s="539"/>
      <c r="K207" s="540"/>
      <c r="L207" s="539"/>
      <c r="M207" s="541"/>
      <c r="N207" s="539"/>
      <c r="O207" s="542"/>
      <c r="P207" s="539"/>
    </row>
    <row r="208" spans="1:24" s="14" customFormat="1" ht="15.75" x14ac:dyDescent="0.25">
      <c r="A208" s="459">
        <f t="shared" si="4"/>
        <v>173</v>
      </c>
      <c r="B208" s="77"/>
      <c r="C208" s="268" t="s">
        <v>969</v>
      </c>
      <c r="D208" s="77"/>
      <c r="E208" s="77"/>
      <c r="F208" s="155"/>
      <c r="G208" s="155"/>
      <c r="H208" s="543"/>
      <c r="I208" s="540"/>
      <c r="J208" s="543"/>
      <c r="K208" s="540"/>
      <c r="L208" s="543"/>
      <c r="M208" s="541"/>
      <c r="N208" s="543"/>
      <c r="O208" s="542"/>
      <c r="P208" s="543"/>
    </row>
    <row r="209" spans="1:27" s="14" customFormat="1" ht="15" x14ac:dyDescent="0.2">
      <c r="A209" s="459">
        <f t="shared" si="4"/>
        <v>174</v>
      </c>
      <c r="B209" s="77"/>
      <c r="C209" s="268"/>
      <c r="D209" s="77"/>
      <c r="E209" s="77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</row>
    <row r="210" spans="1:27" s="14" customFormat="1" ht="15" x14ac:dyDescent="0.2">
      <c r="A210" s="459">
        <f t="shared" si="4"/>
        <v>175</v>
      </c>
      <c r="B210" s="77"/>
      <c r="C210" s="268" t="s">
        <v>971</v>
      </c>
      <c r="D210" s="419"/>
      <c r="E210" s="419"/>
      <c r="F210" s="406"/>
      <c r="G210" s="406"/>
      <c r="H210" s="406"/>
      <c r="I210" s="406"/>
      <c r="J210" s="406"/>
      <c r="K210" s="406"/>
      <c r="L210" s="406"/>
      <c r="M210" s="406"/>
      <c r="N210" s="406"/>
      <c r="O210" s="406"/>
      <c r="P210" s="406"/>
    </row>
    <row r="211" spans="1:27" s="14" customFormat="1" ht="15" x14ac:dyDescent="0.2">
      <c r="A211" s="459">
        <f t="shared" si="4"/>
        <v>176</v>
      </c>
      <c r="B211" s="77"/>
      <c r="C211" s="233" t="s">
        <v>976</v>
      </c>
      <c r="D211" s="419"/>
      <c r="E211" s="419"/>
      <c r="F211" s="406"/>
      <c r="G211" s="406"/>
      <c r="H211" s="406"/>
      <c r="I211" s="406"/>
      <c r="J211" s="406"/>
      <c r="K211" s="406"/>
      <c r="L211" s="406"/>
      <c r="M211" s="406"/>
      <c r="N211" s="406"/>
      <c r="O211" s="406"/>
      <c r="P211" s="406"/>
    </row>
    <row r="212" spans="1:27" s="42" customFormat="1" ht="15" x14ac:dyDescent="0.2">
      <c r="A212" s="459">
        <f t="shared" si="4"/>
        <v>177</v>
      </c>
      <c r="B212" s="419"/>
      <c r="D212" s="77"/>
      <c r="E212" s="77"/>
      <c r="F212" s="77"/>
      <c r="G212" s="77"/>
      <c r="H212" s="63"/>
      <c r="I212" s="77"/>
      <c r="J212" s="63"/>
      <c r="K212" s="77"/>
      <c r="L212" s="63"/>
      <c r="M212" s="13"/>
      <c r="N212" s="155"/>
      <c r="O212" s="155"/>
      <c r="P212" s="155"/>
    </row>
    <row r="213" spans="1:27" s="42" customFormat="1" ht="15" x14ac:dyDescent="0.2">
      <c r="A213" s="459">
        <f t="shared" si="4"/>
        <v>178</v>
      </c>
      <c r="B213" s="419"/>
      <c r="C213" s="268" t="s">
        <v>973</v>
      </c>
      <c r="D213" s="419"/>
      <c r="E213" s="419"/>
      <c r="F213" s="419"/>
      <c r="G213" s="419"/>
      <c r="H213" s="361"/>
      <c r="I213" s="419"/>
      <c r="J213" s="361"/>
      <c r="K213" s="419"/>
      <c r="L213" s="361"/>
      <c r="M213" s="481"/>
      <c r="N213" s="406"/>
      <c r="O213" s="406"/>
      <c r="P213" s="406"/>
    </row>
    <row r="214" spans="1:27" s="14" customFormat="1" ht="15" x14ac:dyDescent="0.2">
      <c r="A214" s="459">
        <f t="shared" si="4"/>
        <v>179</v>
      </c>
      <c r="B214" s="77"/>
      <c r="C214" s="268"/>
      <c r="D214" s="419"/>
      <c r="E214" s="419"/>
      <c r="F214" s="419"/>
      <c r="G214" s="419"/>
      <c r="H214" s="361"/>
      <c r="I214" s="419"/>
      <c r="J214" s="361"/>
      <c r="K214" s="419"/>
      <c r="L214" s="361"/>
      <c r="M214" s="481"/>
      <c r="N214" s="406"/>
      <c r="O214" s="406"/>
      <c r="P214" s="406"/>
    </row>
    <row r="215" spans="1:27" s="42" customFormat="1" ht="15" x14ac:dyDescent="0.2">
      <c r="A215" s="459">
        <f t="shared" si="4"/>
        <v>180</v>
      </c>
      <c r="B215" s="419"/>
      <c r="C215" s="232" t="s">
        <v>314</v>
      </c>
      <c r="D215" s="77"/>
      <c r="E215" s="77"/>
      <c r="F215" s="155">
        <f>'S5.1 '!$G$46</f>
        <v>1644.6685200000004</v>
      </c>
      <c r="G215" s="155"/>
      <c r="H215" s="155">
        <f>'S5.1 '!$I$46</f>
        <v>1792.1056800000008</v>
      </c>
      <c r="I215" s="155"/>
      <c r="J215" s="155">
        <f>'S5.1 '!$K$46</f>
        <v>2028.02097</v>
      </c>
      <c r="K215" s="155"/>
      <c r="L215" s="155">
        <f>'S5.1 '!$M$46</f>
        <v>2209.7421525113887</v>
      </c>
      <c r="M215" s="13"/>
      <c r="N215" s="155">
        <f>'S5.1 '!$O$46</f>
        <v>2230.389425179264</v>
      </c>
      <c r="O215" s="155"/>
      <c r="P215" s="155">
        <f>'S5.1 '!$Q$46</f>
        <v>2078.2328501010688</v>
      </c>
    </row>
    <row r="216" spans="1:27" s="42" customFormat="1" ht="15.75" x14ac:dyDescent="0.25">
      <c r="A216" s="459">
        <f t="shared" si="4"/>
        <v>181</v>
      </c>
      <c r="B216" s="419"/>
      <c r="C216" s="82" t="s">
        <v>28</v>
      </c>
      <c r="D216" s="77"/>
      <c r="E216" s="77"/>
      <c r="F216" s="155" t="s">
        <v>28</v>
      </c>
      <c r="G216" s="155"/>
      <c r="H216" s="539"/>
      <c r="I216" s="540"/>
      <c r="J216" s="539"/>
      <c r="K216" s="540"/>
      <c r="L216" s="539"/>
      <c r="M216" s="541"/>
      <c r="N216" s="539"/>
      <c r="O216" s="542"/>
      <c r="P216" s="539"/>
    </row>
    <row r="217" spans="1:27" s="14" customFormat="1" ht="15.75" x14ac:dyDescent="0.25">
      <c r="A217" s="459">
        <f t="shared" si="4"/>
        <v>182</v>
      </c>
      <c r="B217" s="77"/>
      <c r="C217" s="268" t="s">
        <v>744</v>
      </c>
      <c r="D217" s="77"/>
      <c r="E217" s="77"/>
      <c r="F217" s="155"/>
      <c r="G217" s="155"/>
      <c r="H217" s="543"/>
      <c r="I217" s="540"/>
      <c r="J217" s="543"/>
      <c r="K217" s="540"/>
      <c r="L217" s="543"/>
      <c r="M217" s="541"/>
      <c r="N217" s="543"/>
      <c r="O217" s="542"/>
      <c r="P217" s="543"/>
    </row>
    <row r="218" spans="1:27" s="14" customFormat="1" ht="15" x14ac:dyDescent="0.2">
      <c r="A218" s="459">
        <f t="shared" si="4"/>
        <v>183</v>
      </c>
      <c r="B218" s="77"/>
      <c r="C218" s="268" t="s">
        <v>750</v>
      </c>
      <c r="D218" s="77"/>
      <c r="E218" s="77"/>
      <c r="F218" s="155"/>
      <c r="G218" s="155"/>
      <c r="H218" s="155" t="s">
        <v>28</v>
      </c>
      <c r="I218" s="155"/>
      <c r="J218" s="155"/>
      <c r="K218" s="155"/>
      <c r="L218" s="155" t="s">
        <v>28</v>
      </c>
      <c r="M218" s="13"/>
      <c r="N218" s="155"/>
      <c r="O218" s="155"/>
      <c r="P218" s="155"/>
      <c r="V218" s="43"/>
      <c r="W218" s="43"/>
      <c r="X218" s="43"/>
      <c r="Y218" s="43"/>
    </row>
    <row r="219" spans="1:27" s="14" customFormat="1" ht="15" x14ac:dyDescent="0.2">
      <c r="A219" s="459">
        <f t="shared" ref="A219:A223" si="5">+A218+1</f>
        <v>184</v>
      </c>
      <c r="B219" s="77"/>
      <c r="C219" s="269"/>
      <c r="D219" s="77"/>
      <c r="E219" s="77"/>
      <c r="F219" s="155"/>
      <c r="G219" s="155"/>
      <c r="H219" s="155"/>
      <c r="I219" s="155"/>
      <c r="J219" s="155"/>
      <c r="K219" s="155"/>
      <c r="L219" s="155" t="s">
        <v>28</v>
      </c>
      <c r="M219" s="13"/>
      <c r="N219" s="155"/>
      <c r="O219" s="155"/>
      <c r="P219" s="155"/>
      <c r="V219" s="494"/>
      <c r="W219" s="494"/>
      <c r="X219" s="494"/>
      <c r="Y219" s="494"/>
      <c r="Z219" s="406"/>
      <c r="AA219" s="406"/>
    </row>
    <row r="220" spans="1:27" s="14" customFormat="1" ht="15" x14ac:dyDescent="0.2">
      <c r="A220" s="459">
        <f t="shared" si="5"/>
        <v>185</v>
      </c>
      <c r="B220" s="77"/>
      <c r="C220" s="268" t="s">
        <v>746</v>
      </c>
      <c r="D220" s="77"/>
      <c r="E220" s="77"/>
      <c r="F220" s="155"/>
      <c r="G220" s="155"/>
      <c r="H220" s="155" t="s">
        <v>28</v>
      </c>
      <c r="I220" s="155"/>
      <c r="J220" s="155" t="s">
        <v>28</v>
      </c>
      <c r="K220" s="155"/>
      <c r="L220" s="155"/>
      <c r="M220" s="13"/>
      <c r="N220" s="155"/>
      <c r="O220" s="155"/>
      <c r="P220" s="155"/>
      <c r="V220" s="494"/>
      <c r="W220" s="494"/>
      <c r="X220" s="494"/>
      <c r="Y220" s="494"/>
      <c r="Z220" s="406"/>
      <c r="AA220" s="406"/>
    </row>
    <row r="221" spans="1:27" s="14" customFormat="1" ht="15" x14ac:dyDescent="0.2">
      <c r="A221" s="459">
        <f t="shared" si="5"/>
        <v>186</v>
      </c>
      <c r="B221" s="77"/>
      <c r="C221" s="268" t="s">
        <v>747</v>
      </c>
      <c r="D221" s="104"/>
      <c r="E221" s="104"/>
      <c r="F221" s="406"/>
      <c r="G221" s="406"/>
      <c r="H221" s="406"/>
      <c r="I221" s="406"/>
      <c r="J221" s="406"/>
      <c r="K221" s="406"/>
      <c r="L221" s="406"/>
      <c r="M221" s="481"/>
      <c r="N221" s="406"/>
      <c r="O221" s="406"/>
      <c r="P221" s="406"/>
      <c r="V221" s="494"/>
      <c r="W221" s="494"/>
      <c r="X221" s="494"/>
      <c r="Y221" s="494"/>
      <c r="Z221" s="406"/>
      <c r="AA221" s="406"/>
    </row>
    <row r="222" spans="1:27" s="14" customFormat="1" ht="15" x14ac:dyDescent="0.2">
      <c r="A222" s="459">
        <f t="shared" si="5"/>
        <v>187</v>
      </c>
      <c r="B222" s="77"/>
      <c r="C222" s="268"/>
      <c r="D222" s="419"/>
      <c r="E222" s="419"/>
      <c r="F222" s="406"/>
      <c r="G222" s="406"/>
      <c r="H222" s="406"/>
      <c r="I222" s="406"/>
      <c r="J222" s="406"/>
      <c r="K222" s="406"/>
      <c r="L222" s="406"/>
      <c r="M222" s="481"/>
      <c r="N222" s="406"/>
      <c r="O222" s="406"/>
      <c r="P222" s="406"/>
      <c r="V222" s="494"/>
      <c r="W222" s="494"/>
      <c r="X222" s="494"/>
      <c r="Y222" s="494"/>
      <c r="Z222" s="406"/>
      <c r="AA222" s="406"/>
    </row>
    <row r="223" spans="1:27" s="42" customFormat="1" ht="15" x14ac:dyDescent="0.2">
      <c r="A223" s="459">
        <f t="shared" si="5"/>
        <v>188</v>
      </c>
      <c r="B223" s="104"/>
      <c r="C223" s="268" t="s">
        <v>775</v>
      </c>
      <c r="D223" s="419"/>
      <c r="E223" s="419"/>
      <c r="F223" s="406"/>
      <c r="G223" s="406"/>
      <c r="H223" s="406"/>
      <c r="I223" s="406"/>
      <c r="J223" s="406"/>
      <c r="K223" s="406"/>
      <c r="L223" s="406"/>
      <c r="M223" s="481"/>
      <c r="N223" s="406"/>
      <c r="O223" s="406"/>
      <c r="P223" s="406"/>
      <c r="V223" s="494"/>
      <c r="W223" s="494"/>
      <c r="X223" s="494"/>
      <c r="Y223" s="494"/>
      <c r="Z223" s="406"/>
      <c r="AA223" s="406"/>
    </row>
    <row r="224" spans="1:27" s="42" customFormat="1" ht="15" x14ac:dyDescent="0.2">
      <c r="A224" s="459">
        <f>+A223+1</f>
        <v>189</v>
      </c>
      <c r="B224" s="104"/>
      <c r="C224" s="268" t="s">
        <v>784</v>
      </c>
      <c r="D224" s="419"/>
      <c r="E224" s="419"/>
      <c r="F224" s="406"/>
      <c r="G224" s="406"/>
      <c r="H224" s="406"/>
      <c r="I224" s="406"/>
      <c r="J224" s="406"/>
      <c r="K224" s="406"/>
      <c r="L224" s="406"/>
      <c r="M224" s="481"/>
      <c r="N224" s="406"/>
      <c r="O224" s="406"/>
      <c r="P224" s="406"/>
      <c r="V224" s="494"/>
      <c r="W224" s="494"/>
      <c r="X224" s="494"/>
      <c r="Y224" s="494"/>
      <c r="Z224" s="406"/>
      <c r="AA224" s="406"/>
    </row>
    <row r="225" spans="1:27" s="42" customFormat="1" ht="15" x14ac:dyDescent="0.2">
      <c r="A225" s="459">
        <f t="shared" ref="A225:A229" si="6">+A224+1</f>
        <v>190</v>
      </c>
      <c r="B225" s="419"/>
      <c r="C225" s="268" t="s">
        <v>977</v>
      </c>
      <c r="D225" s="104"/>
      <c r="E225" s="104"/>
      <c r="F225" s="406"/>
      <c r="G225" s="406"/>
      <c r="H225" s="406"/>
      <c r="I225" s="406"/>
      <c r="J225" s="406"/>
      <c r="K225" s="406"/>
      <c r="L225" s="406"/>
      <c r="M225" s="481"/>
      <c r="N225" s="406"/>
      <c r="O225" s="406"/>
      <c r="P225" s="406"/>
      <c r="V225" s="494"/>
      <c r="W225" s="494"/>
      <c r="X225" s="494"/>
      <c r="Y225" s="494"/>
      <c r="Z225" s="406"/>
      <c r="AA225" s="406"/>
    </row>
    <row r="226" spans="1:27" s="42" customFormat="1" ht="15" x14ac:dyDescent="0.2">
      <c r="A226" s="459">
        <f t="shared" si="6"/>
        <v>191</v>
      </c>
      <c r="B226" s="419"/>
      <c r="C226" s="268"/>
      <c r="D226" s="419"/>
      <c r="E226" s="419"/>
      <c r="F226" s="406"/>
      <c r="G226" s="406"/>
      <c r="H226" s="406"/>
      <c r="I226" s="406"/>
      <c r="J226" s="406"/>
      <c r="K226" s="406"/>
      <c r="L226" s="406"/>
      <c r="M226" s="481"/>
      <c r="N226" s="406"/>
      <c r="O226" s="406"/>
      <c r="P226" s="406"/>
      <c r="V226" s="494"/>
      <c r="W226" s="494"/>
      <c r="X226" s="494"/>
      <c r="Y226" s="494"/>
      <c r="Z226" s="406"/>
      <c r="AA226" s="406"/>
    </row>
    <row r="227" spans="1:27" s="42" customFormat="1" ht="15" x14ac:dyDescent="0.2">
      <c r="A227" s="459">
        <f t="shared" si="6"/>
        <v>192</v>
      </c>
      <c r="C227" s="268" t="s">
        <v>783</v>
      </c>
      <c r="D227" s="419"/>
      <c r="E227" s="419"/>
      <c r="F227" s="406"/>
      <c r="G227" s="406"/>
      <c r="H227" s="406"/>
      <c r="I227" s="406"/>
      <c r="J227" s="406"/>
      <c r="K227" s="406"/>
      <c r="L227" s="406"/>
      <c r="M227" s="481"/>
      <c r="N227" s="406"/>
      <c r="O227" s="406"/>
      <c r="P227" s="406"/>
      <c r="V227" s="43"/>
      <c r="W227" s="43"/>
      <c r="X227" s="43"/>
      <c r="Y227" s="494"/>
      <c r="Z227" s="406"/>
      <c r="AA227" s="406"/>
    </row>
    <row r="228" spans="1:27" s="42" customFormat="1" ht="15" x14ac:dyDescent="0.2">
      <c r="A228" s="459">
        <f t="shared" si="6"/>
        <v>193</v>
      </c>
      <c r="C228" s="233" t="s">
        <v>978</v>
      </c>
      <c r="D228" s="419"/>
      <c r="E228" s="419"/>
      <c r="F228" s="406"/>
      <c r="G228" s="406"/>
      <c r="H228" s="406"/>
      <c r="I228" s="406"/>
      <c r="J228" s="406"/>
      <c r="K228" s="406"/>
      <c r="L228" s="406"/>
      <c r="M228" s="481"/>
      <c r="N228" s="406"/>
      <c r="O228" s="406"/>
      <c r="P228" s="406"/>
      <c r="V228" s="43"/>
      <c r="W228" s="43"/>
      <c r="X228" s="43"/>
      <c r="Y228" s="494"/>
      <c r="Z228" s="406"/>
      <c r="AA228" s="406"/>
    </row>
    <row r="229" spans="1:27" s="42" customFormat="1" ht="15" x14ac:dyDescent="0.2">
      <c r="A229" s="459">
        <f t="shared" si="6"/>
        <v>194</v>
      </c>
      <c r="C229" s="233" t="s">
        <v>979</v>
      </c>
      <c r="V229" s="43"/>
      <c r="W229" s="43"/>
      <c r="X229" s="43"/>
      <c r="Y229" s="494"/>
      <c r="Z229" s="406"/>
      <c r="AA229" s="406"/>
    </row>
    <row r="230" spans="1:27" s="42" customFormat="1" ht="15" x14ac:dyDescent="0.2">
      <c r="A230" s="459">
        <f>+A229+1</f>
        <v>195</v>
      </c>
      <c r="B230" s="77"/>
      <c r="V230" s="43"/>
      <c r="W230" s="43"/>
      <c r="X230" s="43"/>
      <c r="Y230" s="494"/>
      <c r="Z230" s="406"/>
      <c r="AA230" s="406"/>
    </row>
    <row r="231" spans="1:27" s="14" customFormat="1" ht="15" x14ac:dyDescent="0.2">
      <c r="D231" s="77"/>
      <c r="E231" s="77"/>
      <c r="F231" s="155"/>
      <c r="G231" s="155"/>
      <c r="H231" s="155" t="s">
        <v>28</v>
      </c>
      <c r="I231" s="155"/>
      <c r="J231" s="155"/>
      <c r="K231" s="155"/>
      <c r="L231" s="155"/>
      <c r="M231" s="13"/>
      <c r="N231" s="155"/>
      <c r="O231" s="155"/>
      <c r="P231" s="155"/>
      <c r="V231" s="42"/>
      <c r="W231" s="42"/>
      <c r="X231" s="42"/>
      <c r="Y231" s="42"/>
    </row>
    <row r="232" spans="1:27" s="14" customFormat="1" ht="15.75" x14ac:dyDescent="0.25">
      <c r="A232" s="689" t="s">
        <v>539</v>
      </c>
      <c r="B232" s="689"/>
      <c r="C232" s="689"/>
      <c r="D232" s="689"/>
      <c r="E232" s="689"/>
      <c r="F232" s="689"/>
      <c r="G232" s="689"/>
      <c r="H232" s="689"/>
      <c r="I232" s="689"/>
      <c r="J232" s="689"/>
      <c r="K232" s="689"/>
      <c r="L232" s="689"/>
      <c r="M232" s="689"/>
      <c r="N232" s="689"/>
      <c r="O232" s="688"/>
      <c r="P232" s="688"/>
      <c r="Q232" s="66" t="s">
        <v>834</v>
      </c>
    </row>
    <row r="233" spans="1:27" s="14" customFormat="1" ht="15.75" x14ac:dyDescent="0.25">
      <c r="A233" s="689" t="s">
        <v>489</v>
      </c>
      <c r="B233" s="689"/>
      <c r="C233" s="689"/>
      <c r="D233" s="689"/>
      <c r="E233" s="689"/>
      <c r="F233" s="689"/>
      <c r="G233" s="689"/>
      <c r="H233" s="689"/>
      <c r="I233" s="689"/>
      <c r="J233" s="689"/>
      <c r="K233" s="689"/>
      <c r="L233" s="689"/>
      <c r="M233" s="689"/>
      <c r="N233" s="689"/>
      <c r="O233" s="688"/>
      <c r="P233" s="688"/>
      <c r="Q233" s="80" t="s">
        <v>5</v>
      </c>
    </row>
    <row r="234" spans="1:27" s="14" customFormat="1" ht="15.75" x14ac:dyDescent="0.25">
      <c r="A234" s="689" t="s">
        <v>229</v>
      </c>
      <c r="B234" s="689"/>
      <c r="C234" s="689"/>
      <c r="D234" s="689"/>
      <c r="E234" s="689"/>
      <c r="F234" s="689"/>
      <c r="G234" s="689"/>
      <c r="H234" s="689"/>
      <c r="I234" s="689"/>
      <c r="J234" s="689"/>
      <c r="K234" s="689"/>
      <c r="L234" s="689"/>
      <c r="M234" s="689"/>
      <c r="N234" s="689"/>
      <c r="O234" s="688"/>
      <c r="P234" s="688"/>
    </row>
    <row r="235" spans="1:27" s="87" customFormat="1" ht="15.75" x14ac:dyDescent="0.25">
      <c r="A235" s="40" t="s">
        <v>33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74"/>
      <c r="P235" s="41"/>
    </row>
    <row r="236" spans="1:27" s="42" customFormat="1" ht="15.75" x14ac:dyDescent="0.25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406"/>
      <c r="P236" s="406"/>
    </row>
    <row r="237" spans="1:27" s="14" customFormat="1" ht="15.75" x14ac:dyDescent="0.25">
      <c r="A237" s="377" t="s">
        <v>34</v>
      </c>
      <c r="B237" s="377"/>
      <c r="C237" s="377"/>
      <c r="D237" s="377"/>
      <c r="E237" s="377"/>
      <c r="F237" s="9" t="s">
        <v>26</v>
      </c>
      <c r="G237" s="9"/>
      <c r="H237" s="9" t="s">
        <v>26</v>
      </c>
      <c r="I237" s="9"/>
      <c r="J237" s="9" t="s">
        <v>26</v>
      </c>
      <c r="K237" s="9"/>
      <c r="L237" s="9" t="s">
        <v>330</v>
      </c>
      <c r="M237" s="13"/>
      <c r="N237" s="9" t="s">
        <v>330</v>
      </c>
      <c r="P237" s="9" t="s">
        <v>330</v>
      </c>
    </row>
    <row r="238" spans="1:27" s="14" customFormat="1" ht="15.75" x14ac:dyDescent="0.25">
      <c r="A238" s="226" t="s">
        <v>36</v>
      </c>
      <c r="B238" s="377"/>
      <c r="C238" s="226" t="s">
        <v>178</v>
      </c>
      <c r="D238" s="226"/>
      <c r="E238" s="377"/>
      <c r="F238" s="451">
        <v>2010</v>
      </c>
      <c r="G238" s="452"/>
      <c r="H238" s="451">
        <v>2011</v>
      </c>
      <c r="I238" s="452"/>
      <c r="J238" s="451">
        <v>2012</v>
      </c>
      <c r="K238" s="452"/>
      <c r="L238" s="451">
        <v>2013</v>
      </c>
      <c r="M238" s="453"/>
      <c r="N238" s="451">
        <v>2014</v>
      </c>
      <c r="O238" s="454"/>
      <c r="P238" s="451">
        <v>2015</v>
      </c>
    </row>
    <row r="239" spans="1:27" s="42" customFormat="1" ht="15.75" x14ac:dyDescent="0.25">
      <c r="A239" s="346"/>
      <c r="B239" s="697"/>
      <c r="C239" s="346"/>
      <c r="D239" s="346"/>
      <c r="E239" s="697"/>
      <c r="F239" s="476"/>
      <c r="G239" s="474"/>
      <c r="H239" s="476"/>
      <c r="I239" s="474"/>
      <c r="J239" s="476"/>
      <c r="K239" s="474"/>
      <c r="L239" s="476"/>
      <c r="M239" s="478"/>
      <c r="N239" s="476"/>
      <c r="O239" s="454"/>
      <c r="P239" s="476"/>
    </row>
    <row r="240" spans="1:27" s="14" customFormat="1" ht="15.75" x14ac:dyDescent="0.25">
      <c r="A240" s="236">
        <f>+A230+1</f>
        <v>196</v>
      </c>
      <c r="B240" s="77"/>
      <c r="C240" s="360" t="s">
        <v>622</v>
      </c>
      <c r="D240" s="77"/>
      <c r="E240" s="77"/>
      <c r="F240" s="77"/>
      <c r="G240" s="77"/>
      <c r="H240" s="63"/>
      <c r="I240" s="77"/>
      <c r="J240" s="63"/>
      <c r="K240" s="77"/>
      <c r="L240" s="63"/>
      <c r="M240" s="13"/>
      <c r="N240" s="155"/>
      <c r="O240" s="155"/>
      <c r="P240" s="155"/>
    </row>
    <row r="241" spans="1:18" s="14" customFormat="1" ht="15.75" x14ac:dyDescent="0.25">
      <c r="A241" s="459">
        <f>+A240+1</f>
        <v>197</v>
      </c>
      <c r="B241" s="77"/>
      <c r="C241" s="83"/>
      <c r="D241" s="77"/>
      <c r="E241" s="77"/>
      <c r="F241" s="77"/>
      <c r="G241" s="77"/>
      <c r="H241" s="63"/>
      <c r="I241" s="77"/>
      <c r="J241" s="63"/>
      <c r="K241" s="77"/>
      <c r="L241" s="63"/>
      <c r="M241" s="13"/>
      <c r="N241" s="155"/>
      <c r="O241" s="155"/>
      <c r="P241" s="155"/>
    </row>
    <row r="242" spans="1:18" s="14" customFormat="1" ht="15" x14ac:dyDescent="0.2">
      <c r="A242" s="459">
        <f>+A241+1</f>
        <v>198</v>
      </c>
      <c r="B242" s="77"/>
      <c r="C242" s="269" t="s">
        <v>23</v>
      </c>
      <c r="D242" s="77"/>
      <c r="E242" s="77"/>
      <c r="F242" s="155">
        <f>'S5.1 '!$G$47</f>
        <v>183.68548999999999</v>
      </c>
      <c r="G242" s="155"/>
      <c r="H242" s="155">
        <f>'S5.1 '!$I$47</f>
        <v>70.675169999999994</v>
      </c>
      <c r="I242" s="155"/>
      <c r="J242" s="155">
        <f>'S5.1 '!$K$47</f>
        <v>195.56289999999998</v>
      </c>
      <c r="K242" s="155"/>
      <c r="L242" s="406">
        <f>'S5.1 '!$M$47</f>
        <v>134.57715399999998</v>
      </c>
      <c r="M242" s="419"/>
      <c r="N242" s="406">
        <f>'S5.1 '!$O$47</f>
        <v>137.26869708000001</v>
      </c>
      <c r="O242" s="406"/>
      <c r="P242" s="406">
        <f>'S5.1 '!$Q$47</f>
        <v>140.01407102159999</v>
      </c>
      <c r="Q242" s="404"/>
      <c r="R242" s="404"/>
    </row>
    <row r="243" spans="1:18" s="14" customFormat="1" ht="15.75" x14ac:dyDescent="0.25">
      <c r="A243" s="459">
        <f>+A242+1</f>
        <v>199</v>
      </c>
      <c r="B243" s="77"/>
      <c r="C243" s="232"/>
      <c r="D243" s="77"/>
      <c r="E243" s="77"/>
      <c r="F243" s="155"/>
      <c r="G243" s="155"/>
      <c r="H243" s="539"/>
      <c r="I243" s="540"/>
      <c r="J243" s="539"/>
      <c r="K243" s="540"/>
      <c r="L243" s="539"/>
      <c r="M243" s="541"/>
      <c r="N243" s="539"/>
      <c r="O243" s="542"/>
      <c r="P243" s="539"/>
    </row>
    <row r="244" spans="1:18" s="14" customFormat="1" ht="15.75" x14ac:dyDescent="0.25">
      <c r="A244" s="459">
        <f t="shared" ref="A244:A295" si="7">+A243+1</f>
        <v>200</v>
      </c>
      <c r="B244" s="77"/>
      <c r="C244" s="268" t="s">
        <v>736</v>
      </c>
      <c r="D244" s="77"/>
      <c r="E244" s="77"/>
      <c r="F244" s="155"/>
      <c r="G244" s="155"/>
      <c r="H244" s="406"/>
      <c r="I244" s="540"/>
      <c r="J244" s="694"/>
      <c r="K244" s="540"/>
      <c r="L244" s="543"/>
      <c r="M244" s="541"/>
      <c r="N244" s="543"/>
      <c r="O244" s="542"/>
      <c r="P244" s="543"/>
    </row>
    <row r="245" spans="1:18" s="42" customFormat="1" ht="15" x14ac:dyDescent="0.2">
      <c r="A245" s="459">
        <f t="shared" si="7"/>
        <v>201</v>
      </c>
      <c r="B245" s="419"/>
      <c r="C245" s="268" t="s">
        <v>745</v>
      </c>
      <c r="D245" s="419"/>
      <c r="E245" s="419"/>
      <c r="F245" s="406"/>
      <c r="G245" s="406"/>
      <c r="H245" s="250"/>
      <c r="I245" s="419"/>
      <c r="J245" s="250"/>
      <c r="K245" s="419"/>
      <c r="L245" s="250"/>
      <c r="M245" s="481"/>
      <c r="N245" s="250"/>
      <c r="P245" s="250"/>
    </row>
    <row r="246" spans="1:18" s="14" customFormat="1" ht="15" x14ac:dyDescent="0.2">
      <c r="A246" s="459">
        <f t="shared" si="7"/>
        <v>202</v>
      </c>
      <c r="B246" s="77"/>
      <c r="C246" s="404"/>
      <c r="D246" s="60"/>
      <c r="E246" s="77"/>
      <c r="F246" s="155"/>
      <c r="G246" s="155"/>
      <c r="H246" s="155"/>
      <c r="I246" s="155"/>
      <c r="J246" s="155"/>
      <c r="K246" s="155"/>
      <c r="L246" s="155"/>
      <c r="M246" s="13"/>
      <c r="N246" s="155"/>
      <c r="O246" s="155"/>
      <c r="P246" s="155"/>
    </row>
    <row r="247" spans="1:18" s="14" customFormat="1" ht="15" x14ac:dyDescent="0.2">
      <c r="A247" s="459">
        <f t="shared" si="7"/>
        <v>203</v>
      </c>
      <c r="B247" s="77"/>
      <c r="C247" s="268" t="s">
        <v>599</v>
      </c>
      <c r="D247" s="60"/>
      <c r="E247" s="77"/>
      <c r="F247" s="155"/>
      <c r="G247" s="155"/>
      <c r="H247" s="155"/>
      <c r="I247" s="155"/>
      <c r="J247" s="155"/>
      <c r="K247" s="155"/>
      <c r="L247" s="155"/>
      <c r="M247" s="13"/>
      <c r="N247" s="155"/>
      <c r="O247" s="155"/>
      <c r="P247" s="155"/>
    </row>
    <row r="248" spans="1:18" s="14" customFormat="1" ht="15" x14ac:dyDescent="0.2">
      <c r="A248" s="459">
        <f t="shared" si="7"/>
        <v>204</v>
      </c>
      <c r="B248" s="77"/>
      <c r="C248" s="268" t="s">
        <v>601</v>
      </c>
      <c r="D248" s="60"/>
      <c r="E248" s="77"/>
      <c r="F248" s="155"/>
      <c r="G248" s="155"/>
      <c r="H248" s="155"/>
      <c r="I248" s="155"/>
      <c r="J248" s="155"/>
      <c r="K248" s="155"/>
      <c r="L248" s="155"/>
      <c r="M248" s="13"/>
      <c r="N248" s="155"/>
      <c r="O248" s="155"/>
      <c r="P248" s="155"/>
    </row>
    <row r="249" spans="1:18" s="42" customFormat="1" ht="15" x14ac:dyDescent="0.2">
      <c r="A249" s="459">
        <f t="shared" si="7"/>
        <v>205</v>
      </c>
      <c r="B249" s="419"/>
      <c r="C249" s="268" t="s">
        <v>522</v>
      </c>
      <c r="D249" s="404"/>
      <c r="E249" s="419"/>
      <c r="F249" s="406"/>
      <c r="G249" s="406"/>
      <c r="H249" s="406"/>
      <c r="I249" s="406"/>
      <c r="J249" s="406"/>
      <c r="K249" s="406"/>
      <c r="L249" s="406"/>
      <c r="M249" s="481"/>
      <c r="N249" s="406"/>
      <c r="O249" s="406"/>
      <c r="P249" s="406"/>
    </row>
    <row r="250" spans="1:18" s="42" customFormat="1" ht="15" x14ac:dyDescent="0.2">
      <c r="A250" s="459">
        <f t="shared" si="7"/>
        <v>206</v>
      </c>
      <c r="B250" s="419"/>
      <c r="C250" s="268"/>
      <c r="D250" s="404"/>
      <c r="E250" s="419"/>
      <c r="F250" s="406"/>
      <c r="G250" s="406"/>
      <c r="H250" s="406"/>
      <c r="I250" s="406"/>
      <c r="J250" s="406"/>
      <c r="K250" s="406"/>
      <c r="L250" s="406"/>
      <c r="M250" s="481"/>
      <c r="N250" s="406"/>
      <c r="O250" s="406"/>
      <c r="P250" s="406"/>
    </row>
    <row r="251" spans="1:18" s="42" customFormat="1" ht="15" x14ac:dyDescent="0.2">
      <c r="A251" s="459">
        <f t="shared" si="7"/>
        <v>207</v>
      </c>
      <c r="B251" s="419"/>
      <c r="C251" s="268" t="s">
        <v>596</v>
      </c>
      <c r="D251" s="404"/>
      <c r="E251" s="419"/>
      <c r="F251" s="406"/>
      <c r="G251" s="406"/>
      <c r="H251" s="406"/>
      <c r="I251" s="406"/>
      <c r="J251" s="406"/>
      <c r="K251" s="406"/>
      <c r="L251" s="406"/>
      <c r="M251" s="481"/>
      <c r="N251" s="406"/>
      <c r="O251" s="406"/>
      <c r="P251" s="406"/>
    </row>
    <row r="252" spans="1:18" s="14" customFormat="1" ht="15" x14ac:dyDescent="0.2">
      <c r="A252" s="459">
        <f t="shared" si="7"/>
        <v>208</v>
      </c>
      <c r="B252" s="77"/>
      <c r="C252" s="233"/>
      <c r="D252" s="77"/>
      <c r="E252" s="77"/>
      <c r="F252" s="155"/>
      <c r="G252" s="155"/>
      <c r="H252" s="155"/>
      <c r="I252" s="155"/>
      <c r="J252" s="155"/>
      <c r="K252" s="155"/>
      <c r="L252" s="406"/>
      <c r="M252" s="419"/>
      <c r="N252" s="406"/>
      <c r="O252" s="406"/>
      <c r="P252" s="406"/>
      <c r="Q252" s="404"/>
      <c r="R252" s="404"/>
    </row>
    <row r="253" spans="1:18" s="42" customFormat="1" ht="15" x14ac:dyDescent="0.2">
      <c r="A253" s="459">
        <f>+A252+1</f>
        <v>209</v>
      </c>
      <c r="B253" s="419"/>
      <c r="C253" s="233"/>
      <c r="D253" s="419"/>
      <c r="E253" s="419"/>
      <c r="F253" s="406"/>
      <c r="G253" s="406"/>
      <c r="H253" s="406"/>
      <c r="I253" s="406"/>
      <c r="J253" s="406"/>
      <c r="K253" s="406"/>
      <c r="L253" s="406"/>
      <c r="M253" s="419"/>
      <c r="N253" s="406"/>
      <c r="O253" s="406"/>
      <c r="P253" s="406"/>
      <c r="Q253" s="404"/>
      <c r="R253" s="404"/>
    </row>
    <row r="254" spans="1:18" s="14" customFormat="1" ht="15" x14ac:dyDescent="0.2">
      <c r="A254" s="459">
        <f t="shared" si="7"/>
        <v>210</v>
      </c>
      <c r="B254" s="77"/>
      <c r="C254" s="232" t="s">
        <v>98</v>
      </c>
      <c r="D254" s="77"/>
      <c r="E254" s="77"/>
      <c r="F254" s="155">
        <f>'S5.1 '!$G$48</f>
        <v>214.96708000000001</v>
      </c>
      <c r="G254" s="155"/>
      <c r="H254" s="155">
        <f>'S5.1 '!$I$48</f>
        <v>243.68517999999997</v>
      </c>
      <c r="I254" s="155"/>
      <c r="J254" s="155">
        <f>'S5.1 '!$K$48</f>
        <v>245.40821</v>
      </c>
      <c r="K254" s="155"/>
      <c r="L254" s="406">
        <f>'S5.1 '!$M$48</f>
        <v>262.30068737496725</v>
      </c>
      <c r="M254" s="419"/>
      <c r="N254" s="406">
        <f>'S5.1 '!$O$48</f>
        <v>201.90373258892527</v>
      </c>
      <c r="O254" s="406"/>
      <c r="P254" s="406">
        <f>'S5.1 '!$Q$48</f>
        <v>137.93895502161774</v>
      </c>
      <c r="Q254" s="404"/>
      <c r="R254" s="404"/>
    </row>
    <row r="255" spans="1:18" s="14" customFormat="1" ht="15.75" x14ac:dyDescent="0.25">
      <c r="A255" s="459">
        <f t="shared" si="7"/>
        <v>211</v>
      </c>
      <c r="B255" s="77"/>
      <c r="C255" s="232"/>
      <c r="D255" s="77"/>
      <c r="E255" s="77"/>
      <c r="F255" s="155"/>
      <c r="G255" s="155"/>
      <c r="H255" s="539"/>
      <c r="I255" s="540"/>
      <c r="J255" s="539"/>
      <c r="K255" s="540"/>
      <c r="L255" s="539"/>
      <c r="M255" s="541"/>
      <c r="N255" s="539"/>
      <c r="O255" s="542"/>
      <c r="P255" s="539"/>
      <c r="Q255" s="404"/>
      <c r="R255" s="404"/>
    </row>
    <row r="256" spans="1:18" s="42" customFormat="1" ht="15.75" x14ac:dyDescent="0.25">
      <c r="A256" s="459">
        <f t="shared" si="7"/>
        <v>212</v>
      </c>
      <c r="B256" s="419"/>
      <c r="C256" s="233" t="s">
        <v>523</v>
      </c>
      <c r="D256" s="419"/>
      <c r="E256" s="419"/>
      <c r="F256" s="406"/>
      <c r="G256" s="406"/>
      <c r="H256" s="543"/>
      <c r="I256" s="540"/>
      <c r="J256" s="543"/>
      <c r="K256" s="540"/>
      <c r="L256" s="543"/>
      <c r="M256" s="540"/>
      <c r="N256" s="543"/>
      <c r="O256" s="687"/>
      <c r="P256" s="543"/>
      <c r="Q256" s="404"/>
      <c r="R256" s="404"/>
    </row>
    <row r="257" spans="1:16" s="42" customFormat="1" ht="15" x14ac:dyDescent="0.2">
      <c r="A257" s="459">
        <f t="shared" si="7"/>
        <v>213</v>
      </c>
      <c r="B257" s="419"/>
      <c r="C257" s="233" t="s">
        <v>597</v>
      </c>
      <c r="D257" s="419"/>
      <c r="E257" s="419"/>
      <c r="F257" s="406"/>
      <c r="G257" s="406"/>
      <c r="H257" s="406"/>
      <c r="I257" s="406"/>
      <c r="J257" s="406"/>
      <c r="K257" s="406"/>
      <c r="L257" s="406"/>
      <c r="M257" s="481"/>
      <c r="N257" s="406"/>
      <c r="O257" s="406"/>
      <c r="P257" s="406"/>
    </row>
    <row r="258" spans="1:16" s="42" customFormat="1" ht="15" x14ac:dyDescent="0.2">
      <c r="A258" s="459">
        <f t="shared" si="7"/>
        <v>214</v>
      </c>
      <c r="B258" s="419"/>
      <c r="C258" s="233"/>
      <c r="D258" s="419"/>
      <c r="E258" s="419"/>
      <c r="F258" s="406"/>
      <c r="G258" s="406"/>
      <c r="H258" s="406"/>
      <c r="I258" s="406"/>
      <c r="J258" s="406"/>
      <c r="K258" s="406"/>
      <c r="L258" s="406"/>
      <c r="M258" s="481"/>
      <c r="N258" s="406"/>
      <c r="O258" s="406"/>
      <c r="P258" s="406"/>
    </row>
    <row r="259" spans="1:16" s="42" customFormat="1" ht="15" x14ac:dyDescent="0.2">
      <c r="A259" s="459">
        <f t="shared" si="7"/>
        <v>215</v>
      </c>
      <c r="B259" s="419"/>
      <c r="C259" s="233" t="s">
        <v>737</v>
      </c>
      <c r="D259" s="419"/>
      <c r="E259" s="419"/>
      <c r="F259" s="406"/>
      <c r="G259" s="406"/>
      <c r="H259" s="406"/>
      <c r="I259" s="406"/>
      <c r="J259" s="406"/>
      <c r="K259" s="406"/>
      <c r="L259" s="406"/>
      <c r="M259" s="481"/>
      <c r="N259" s="406"/>
      <c r="O259" s="406"/>
      <c r="P259" s="406"/>
    </row>
    <row r="260" spans="1:16" s="14" customFormat="1" ht="15" x14ac:dyDescent="0.2">
      <c r="A260" s="459">
        <f t="shared" si="7"/>
        <v>216</v>
      </c>
      <c r="B260" s="77"/>
      <c r="C260" s="268" t="s">
        <v>524</v>
      </c>
      <c r="D260" s="77"/>
      <c r="E260" s="77"/>
      <c r="F260" s="155"/>
      <c r="G260" s="155"/>
      <c r="H260" s="155"/>
      <c r="I260" s="155"/>
      <c r="J260" s="155"/>
      <c r="K260" s="155"/>
      <c r="L260" s="155"/>
      <c r="M260" s="13"/>
      <c r="N260" s="155"/>
      <c r="O260" s="155"/>
      <c r="P260" s="155"/>
    </row>
    <row r="261" spans="1:16" s="42" customFormat="1" ht="15" x14ac:dyDescent="0.2">
      <c r="A261" s="459">
        <f t="shared" si="7"/>
        <v>217</v>
      </c>
      <c r="B261" s="419"/>
      <c r="C261" s="268"/>
      <c r="D261" s="419"/>
      <c r="E261" s="419"/>
      <c r="F261" s="406"/>
      <c r="G261" s="406"/>
      <c r="H261" s="406"/>
      <c r="I261" s="406"/>
      <c r="J261" s="406"/>
      <c r="K261" s="406"/>
      <c r="L261" s="406"/>
      <c r="M261" s="481"/>
      <c r="N261" s="406"/>
      <c r="O261" s="406"/>
      <c r="P261" s="406"/>
    </row>
    <row r="262" spans="1:16" s="42" customFormat="1" ht="15" x14ac:dyDescent="0.2">
      <c r="A262" s="459">
        <f t="shared" si="7"/>
        <v>218</v>
      </c>
      <c r="B262" s="419"/>
      <c r="C262" s="268" t="s">
        <v>738</v>
      </c>
      <c r="D262" s="419"/>
      <c r="E262" s="419"/>
      <c r="F262" s="406"/>
      <c r="G262" s="406"/>
      <c r="H262" s="406"/>
      <c r="I262" s="406"/>
      <c r="J262" s="406"/>
      <c r="K262" s="406"/>
      <c r="L262" s="406"/>
      <c r="M262" s="481"/>
      <c r="N262" s="406"/>
      <c r="O262" s="406"/>
      <c r="P262" s="406"/>
    </row>
    <row r="263" spans="1:16" s="42" customFormat="1" ht="15" x14ac:dyDescent="0.2">
      <c r="A263" s="459">
        <f t="shared" si="7"/>
        <v>219</v>
      </c>
      <c r="B263" s="419"/>
      <c r="C263" s="268" t="s">
        <v>525</v>
      </c>
      <c r="D263" s="419"/>
      <c r="E263" s="419"/>
      <c r="F263" s="406"/>
      <c r="G263" s="406"/>
      <c r="H263" s="406"/>
      <c r="I263" s="406"/>
      <c r="J263" s="406"/>
      <c r="K263" s="406"/>
      <c r="L263" s="406"/>
      <c r="M263" s="481"/>
      <c r="N263" s="406"/>
      <c r="O263" s="406"/>
      <c r="P263" s="406"/>
    </row>
    <row r="264" spans="1:16" s="14" customFormat="1" ht="15" x14ac:dyDescent="0.2">
      <c r="A264" s="459">
        <f t="shared" si="7"/>
        <v>220</v>
      </c>
      <c r="B264" s="77"/>
      <c r="C264" s="82"/>
      <c r="D264" s="77"/>
      <c r="E264" s="77"/>
      <c r="F264" s="155"/>
      <c r="G264" s="155"/>
      <c r="H264" s="155"/>
      <c r="I264" s="155"/>
      <c r="J264" s="155"/>
      <c r="K264" s="155"/>
      <c r="L264" s="155"/>
      <c r="M264" s="13"/>
      <c r="N264" s="155"/>
      <c r="O264" s="155"/>
      <c r="P264" s="155"/>
    </row>
    <row r="265" spans="1:16" s="42" customFormat="1" ht="15" x14ac:dyDescent="0.2">
      <c r="A265" s="459">
        <f t="shared" si="7"/>
        <v>221</v>
      </c>
      <c r="B265" s="419"/>
      <c r="C265" s="233"/>
      <c r="D265" s="419"/>
      <c r="E265" s="419"/>
      <c r="F265" s="406"/>
      <c r="G265" s="406"/>
      <c r="H265" s="406"/>
      <c r="I265" s="406"/>
      <c r="J265" s="406"/>
      <c r="K265" s="406"/>
      <c r="L265" s="406"/>
      <c r="M265" s="481"/>
      <c r="N265" s="406"/>
      <c r="O265" s="406"/>
      <c r="P265" s="406"/>
    </row>
    <row r="266" spans="1:16" s="14" customFormat="1" ht="15" x14ac:dyDescent="0.2">
      <c r="A266" s="459">
        <f t="shared" si="7"/>
        <v>222</v>
      </c>
      <c r="B266" s="77"/>
      <c r="C266" s="232" t="s">
        <v>99</v>
      </c>
      <c r="D266" s="81"/>
      <c r="E266" s="81"/>
      <c r="F266" s="155">
        <f>'S5.1 '!$G$50</f>
        <v>253.23703999999995</v>
      </c>
      <c r="G266" s="155"/>
      <c r="H266" s="155">
        <f>'S5.1 '!$I$50</f>
        <v>254.32885000000002</v>
      </c>
      <c r="I266" s="155"/>
      <c r="J266" s="155">
        <f>'S5.1 '!$K$50</f>
        <v>247.77565000000001</v>
      </c>
      <c r="K266" s="155"/>
      <c r="L266" s="155">
        <f>'S5.1 '!$M$50</f>
        <v>270.2965911640967</v>
      </c>
      <c r="M266" s="13"/>
      <c r="N266" s="155">
        <f>'S5.1 '!$O$50</f>
        <v>275.8176872056726</v>
      </c>
      <c r="O266" s="155"/>
      <c r="P266" s="155">
        <f>'S5.1 '!$Q$50</f>
        <v>282.32626464092795</v>
      </c>
    </row>
    <row r="267" spans="1:16" s="14" customFormat="1" ht="15.75" x14ac:dyDescent="0.25">
      <c r="A267" s="459">
        <f t="shared" si="7"/>
        <v>223</v>
      </c>
      <c r="B267" s="77"/>
      <c r="C267" s="232"/>
      <c r="D267" s="81"/>
      <c r="E267" s="81"/>
      <c r="F267" s="155"/>
      <c r="G267" s="155"/>
      <c r="H267" s="539"/>
      <c r="I267" s="540"/>
      <c r="J267" s="539"/>
      <c r="K267" s="540"/>
      <c r="L267" s="539"/>
      <c r="M267" s="541"/>
      <c r="N267" s="539"/>
      <c r="O267" s="542"/>
      <c r="P267" s="539"/>
    </row>
    <row r="268" spans="1:16" s="14" customFormat="1" ht="15.75" x14ac:dyDescent="0.25">
      <c r="A268" s="459">
        <f t="shared" si="7"/>
        <v>224</v>
      </c>
      <c r="B268" s="77"/>
      <c r="C268" s="268" t="s">
        <v>981</v>
      </c>
      <c r="D268" s="81"/>
      <c r="E268" s="81"/>
      <c r="F268" s="155"/>
      <c r="G268" s="155"/>
      <c r="H268" s="543"/>
      <c r="I268" s="540"/>
      <c r="J268" s="543"/>
      <c r="K268" s="540"/>
      <c r="L268" s="543"/>
      <c r="M268" s="541"/>
      <c r="N268" s="543"/>
      <c r="O268" s="542"/>
      <c r="P268" s="543"/>
    </row>
    <row r="269" spans="1:16" s="14" customFormat="1" ht="15" x14ac:dyDescent="0.2">
      <c r="A269" s="459">
        <f t="shared" si="7"/>
        <v>225</v>
      </c>
      <c r="B269" s="77"/>
      <c r="C269" s="268" t="s">
        <v>980</v>
      </c>
      <c r="D269" s="81"/>
      <c r="E269" s="81"/>
      <c r="F269" s="155"/>
      <c r="G269" s="155"/>
      <c r="H269" s="155"/>
      <c r="I269" s="155"/>
      <c r="J269" s="155"/>
      <c r="K269" s="155"/>
      <c r="L269" s="155"/>
      <c r="M269" s="13"/>
      <c r="N269" s="155"/>
      <c r="O269" s="155"/>
      <c r="P269" s="155"/>
    </row>
    <row r="270" spans="1:16" s="14" customFormat="1" ht="15" x14ac:dyDescent="0.2">
      <c r="A270" s="459">
        <f t="shared" si="7"/>
        <v>226</v>
      </c>
      <c r="B270" s="77"/>
      <c r="C270" s="268"/>
      <c r="D270" s="81"/>
      <c r="E270" s="81"/>
      <c r="F270" s="155"/>
      <c r="G270" s="155"/>
      <c r="H270" s="155"/>
      <c r="I270" s="155"/>
      <c r="J270" s="155"/>
      <c r="K270" s="155"/>
      <c r="L270" s="155"/>
      <c r="M270" s="13"/>
      <c r="N270" s="155"/>
      <c r="O270" s="155"/>
      <c r="P270" s="155"/>
    </row>
    <row r="271" spans="1:16" s="42" customFormat="1" ht="15" x14ac:dyDescent="0.2">
      <c r="A271" s="459">
        <f t="shared" si="7"/>
        <v>227</v>
      </c>
      <c r="B271" s="419"/>
      <c r="C271" s="268"/>
      <c r="D271" s="343"/>
      <c r="E271" s="343"/>
      <c r="F271" s="406"/>
      <c r="G271" s="406"/>
      <c r="H271" s="406"/>
      <c r="I271" s="406"/>
      <c r="J271" s="406"/>
      <c r="K271" s="406"/>
      <c r="L271" s="406"/>
      <c r="M271" s="481"/>
      <c r="N271" s="406"/>
      <c r="O271" s="406"/>
      <c r="P271" s="406"/>
    </row>
    <row r="272" spans="1:16" s="14" customFormat="1" ht="15" x14ac:dyDescent="0.2">
      <c r="A272" s="459">
        <f t="shared" si="7"/>
        <v>228</v>
      </c>
      <c r="B272" s="77"/>
      <c r="C272" s="232" t="s">
        <v>343</v>
      </c>
      <c r="D272" s="81"/>
      <c r="E272" s="81"/>
      <c r="F272" s="155">
        <f>'S5.1 '!$G$51</f>
        <v>404.06233000000009</v>
      </c>
      <c r="G272" s="155"/>
      <c r="H272" s="155">
        <f>'S5.1 '!$I$51</f>
        <v>386.73844000000008</v>
      </c>
      <c r="I272" s="155"/>
      <c r="J272" s="155">
        <f>'S5.1 '!$K$51</f>
        <v>456.04681999999997</v>
      </c>
      <c r="K272" s="155"/>
      <c r="L272" s="155">
        <f>'S5.1 '!$M$51</f>
        <v>437.52393735262132</v>
      </c>
      <c r="M272" s="13"/>
      <c r="N272" s="155">
        <f>'S5.1 '!$O$51</f>
        <v>451.06121883473799</v>
      </c>
      <c r="O272" s="155"/>
      <c r="P272" s="155">
        <f>'S5.1 '!$Q$51</f>
        <v>464.08357831501911</v>
      </c>
    </row>
    <row r="273" spans="1:16" s="14" customFormat="1" ht="15.75" x14ac:dyDescent="0.25">
      <c r="A273" s="459">
        <f t="shared" si="7"/>
        <v>229</v>
      </c>
      <c r="B273" s="77"/>
      <c r="C273" s="82"/>
      <c r="D273" s="81"/>
      <c r="E273" s="81"/>
      <c r="F273" s="155"/>
      <c r="G273" s="155"/>
      <c r="H273" s="539"/>
      <c r="I273" s="540"/>
      <c r="J273" s="539"/>
      <c r="K273" s="540"/>
      <c r="L273" s="539"/>
      <c r="M273" s="541"/>
      <c r="N273" s="539"/>
      <c r="O273" s="542"/>
      <c r="P273" s="539"/>
    </row>
    <row r="274" spans="1:16" s="14" customFormat="1" ht="15.75" x14ac:dyDescent="0.25">
      <c r="A274" s="459">
        <f t="shared" si="7"/>
        <v>230</v>
      </c>
      <c r="B274" s="77"/>
      <c r="C274" s="274" t="s">
        <v>598</v>
      </c>
      <c r="D274" s="81"/>
      <c r="E274" s="81"/>
      <c r="F274" s="155"/>
      <c r="G274" s="155"/>
      <c r="H274" s="543"/>
      <c r="I274" s="540"/>
      <c r="J274" s="543"/>
      <c r="K274" s="540"/>
      <c r="L274" s="543"/>
      <c r="M274" s="541"/>
      <c r="N274" s="543"/>
      <c r="O274" s="542"/>
      <c r="P274" s="543"/>
    </row>
    <row r="275" spans="1:16" s="42" customFormat="1" ht="15" x14ac:dyDescent="0.2">
      <c r="A275" s="459">
        <f t="shared" si="7"/>
        <v>231</v>
      </c>
      <c r="B275" s="419"/>
      <c r="C275" s="274"/>
      <c r="D275" s="343"/>
      <c r="E275" s="343"/>
      <c r="F275" s="406"/>
      <c r="G275" s="406"/>
      <c r="H275" s="250"/>
      <c r="I275" s="419"/>
      <c r="J275" s="250"/>
      <c r="K275" s="419"/>
      <c r="L275" s="250"/>
      <c r="M275" s="481"/>
      <c r="N275" s="250"/>
      <c r="P275" s="250"/>
    </row>
    <row r="276" spans="1:16" s="14" customFormat="1" ht="15" x14ac:dyDescent="0.2">
      <c r="A276" s="459">
        <f t="shared" si="7"/>
        <v>232</v>
      </c>
      <c r="B276" s="77"/>
      <c r="C276" s="268"/>
      <c r="D276" s="81"/>
      <c r="E276" s="81"/>
      <c r="F276" s="155"/>
      <c r="G276" s="155"/>
      <c r="H276" s="155"/>
      <c r="I276" s="155"/>
      <c r="J276" s="155"/>
      <c r="K276" s="155"/>
      <c r="L276" s="155"/>
      <c r="M276" s="13"/>
      <c r="N276" s="155"/>
      <c r="O276" s="155"/>
      <c r="P276" s="155"/>
    </row>
    <row r="277" spans="1:16" s="14" customFormat="1" ht="15" x14ac:dyDescent="0.2">
      <c r="A277" s="459">
        <f t="shared" si="7"/>
        <v>233</v>
      </c>
      <c r="B277" s="77"/>
      <c r="C277" s="232" t="s">
        <v>313</v>
      </c>
      <c r="D277" s="81"/>
      <c r="E277" s="81"/>
      <c r="F277" s="155">
        <f>'S5.1 '!$G$52</f>
        <v>213.47958</v>
      </c>
      <c r="G277" s="155"/>
      <c r="H277" s="155">
        <f>'S5.1 '!$I$52</f>
        <v>206.71964999999997</v>
      </c>
      <c r="I277" s="155"/>
      <c r="J277" s="155">
        <f>'S5.1 '!$K$52</f>
        <v>65.999629999999996</v>
      </c>
      <c r="K277" s="155"/>
      <c r="L277" s="155">
        <f>'S5.1 '!$M$52</f>
        <v>158.7635473032218</v>
      </c>
      <c r="M277" s="13"/>
      <c r="N277" s="155">
        <f>'S5.1 '!$O$52</f>
        <v>162.02744771998201</v>
      </c>
      <c r="O277" s="155"/>
      <c r="P277" s="155">
        <f>'S5.1 '!$Q$52</f>
        <v>165.0839999954143</v>
      </c>
    </row>
    <row r="278" spans="1:16" s="14" customFormat="1" ht="15.75" x14ac:dyDescent="0.25">
      <c r="A278" s="459">
        <f t="shared" si="7"/>
        <v>234</v>
      </c>
      <c r="B278" s="77"/>
      <c r="C278" s="82"/>
      <c r="D278" s="81"/>
      <c r="E278" s="81"/>
      <c r="F278" s="155"/>
      <c r="G278" s="155"/>
      <c r="H278" s="539"/>
      <c r="I278" s="540"/>
      <c r="J278" s="539"/>
      <c r="K278" s="540"/>
      <c r="L278" s="539"/>
      <c r="M278" s="541"/>
      <c r="N278" s="539"/>
      <c r="O278" s="542"/>
      <c r="P278" s="539"/>
    </row>
    <row r="279" spans="1:16" s="14" customFormat="1" ht="15.75" x14ac:dyDescent="0.25">
      <c r="A279" s="459">
        <f t="shared" si="7"/>
        <v>235</v>
      </c>
      <c r="B279" s="77"/>
      <c r="C279" s="268" t="s">
        <v>711</v>
      </c>
      <c r="D279" s="81"/>
      <c r="E279" s="81"/>
      <c r="F279" s="155"/>
      <c r="G279" s="155"/>
      <c r="H279" s="543"/>
      <c r="I279" s="540"/>
      <c r="J279" s="543"/>
      <c r="K279" s="540"/>
      <c r="L279" s="543"/>
      <c r="M279" s="541"/>
      <c r="N279" s="543"/>
      <c r="O279" s="542"/>
      <c r="P279" s="543"/>
    </row>
    <row r="280" spans="1:16" s="42" customFormat="1" ht="15" x14ac:dyDescent="0.2">
      <c r="A280" s="459">
        <f t="shared" si="7"/>
        <v>236</v>
      </c>
      <c r="B280" s="419"/>
      <c r="C280" s="268"/>
      <c r="D280" s="343"/>
      <c r="E280" s="343"/>
      <c r="F280" s="406"/>
      <c r="G280" s="406"/>
      <c r="H280" s="406"/>
      <c r="I280" s="406"/>
      <c r="J280" s="406"/>
      <c r="K280" s="406"/>
      <c r="L280" s="406"/>
      <c r="M280" s="481"/>
      <c r="N280" s="406"/>
      <c r="O280" s="406"/>
      <c r="P280" s="406"/>
    </row>
    <row r="281" spans="1:16" s="42" customFormat="1" ht="15" x14ac:dyDescent="0.2">
      <c r="A281" s="459">
        <f t="shared" si="7"/>
        <v>237</v>
      </c>
      <c r="B281" s="419"/>
      <c r="C281" s="268" t="s">
        <v>526</v>
      </c>
      <c r="D281" s="343"/>
      <c r="E281" s="343"/>
      <c r="F281" s="406"/>
      <c r="G281" s="406"/>
      <c r="H281" s="406"/>
      <c r="I281" s="406"/>
      <c r="J281" s="406"/>
      <c r="K281" s="406"/>
      <c r="L281" s="406"/>
      <c r="M281" s="481"/>
      <c r="N281" s="406"/>
      <c r="O281" s="406"/>
      <c r="P281" s="406"/>
    </row>
    <row r="282" spans="1:16" s="42" customFormat="1" ht="15" x14ac:dyDescent="0.2">
      <c r="A282" s="459">
        <f t="shared" si="7"/>
        <v>238</v>
      </c>
      <c r="B282" s="419"/>
      <c r="C282" s="268" t="s">
        <v>527</v>
      </c>
      <c r="D282" s="343"/>
      <c r="E282" s="343"/>
      <c r="F282" s="406"/>
      <c r="G282" s="406"/>
      <c r="H282" s="406"/>
      <c r="I282" s="406"/>
      <c r="J282" s="406"/>
      <c r="K282" s="406"/>
      <c r="L282" s="406"/>
      <c r="M282" s="481"/>
      <c r="N282" s="406"/>
      <c r="O282" s="406"/>
      <c r="P282" s="406"/>
    </row>
    <row r="283" spans="1:16" s="42" customFormat="1" ht="15" x14ac:dyDescent="0.2">
      <c r="A283" s="459">
        <f t="shared" si="7"/>
        <v>239</v>
      </c>
      <c r="B283" s="419"/>
      <c r="C283" s="268"/>
      <c r="D283" s="343"/>
      <c r="E283" s="343"/>
      <c r="F283" s="406"/>
      <c r="G283" s="406"/>
      <c r="H283" s="406"/>
      <c r="I283" s="406"/>
      <c r="J283" s="406"/>
      <c r="K283" s="406"/>
      <c r="L283" s="406"/>
      <c r="M283" s="481"/>
      <c r="N283" s="406"/>
      <c r="O283" s="406"/>
      <c r="P283" s="406"/>
    </row>
    <row r="284" spans="1:16" s="42" customFormat="1" ht="15" x14ac:dyDescent="0.2">
      <c r="A284" s="459">
        <f t="shared" si="7"/>
        <v>240</v>
      </c>
      <c r="B284" s="419"/>
      <c r="C284" s="268"/>
      <c r="D284" s="343"/>
      <c r="E284" s="343"/>
      <c r="F284" s="406"/>
      <c r="G284" s="406"/>
      <c r="H284" s="406"/>
      <c r="I284" s="406"/>
      <c r="J284" s="406"/>
      <c r="K284" s="406"/>
      <c r="L284" s="406"/>
      <c r="M284" s="481"/>
      <c r="N284" s="406"/>
      <c r="O284" s="406"/>
      <c r="P284" s="406"/>
    </row>
    <row r="285" spans="1:16" s="14" customFormat="1" ht="15" x14ac:dyDescent="0.2">
      <c r="A285" s="459">
        <f t="shared" si="7"/>
        <v>241</v>
      </c>
      <c r="B285" s="77"/>
      <c r="C285" s="232" t="s">
        <v>315</v>
      </c>
      <c r="D285" s="81"/>
      <c r="E285" s="81"/>
      <c r="F285" s="155">
        <f>'S5.1 '!$G$54</f>
        <v>110.35896000000001</v>
      </c>
      <c r="G285" s="155"/>
      <c r="H285" s="155">
        <f>'S5.1 '!$I$54</f>
        <v>76.485089999999985</v>
      </c>
      <c r="I285" s="155"/>
      <c r="J285" s="155">
        <f>'S5.1 '!$K$54</f>
        <v>143.15400000000002</v>
      </c>
      <c r="K285" s="155"/>
      <c r="L285" s="155">
        <f>'S5.1 '!$M$54</f>
        <v>132.02697273489503</v>
      </c>
      <c r="M285" s="13"/>
      <c r="N285" s="406">
        <f>'S5.1 '!$O$54</f>
        <v>154.75976774573382</v>
      </c>
      <c r="O285" s="155"/>
      <c r="P285" s="155">
        <f>'S5.1 '!$Q$54</f>
        <v>137.56924136367465</v>
      </c>
    </row>
    <row r="286" spans="1:16" s="14" customFormat="1" ht="15.75" x14ac:dyDescent="0.25">
      <c r="A286" s="459">
        <f t="shared" si="7"/>
        <v>242</v>
      </c>
      <c r="B286" s="77"/>
      <c r="C286" s="82"/>
      <c r="D286" s="81"/>
      <c r="E286" s="81"/>
      <c r="F286" s="155"/>
      <c r="G286" s="155"/>
      <c r="H286" s="539"/>
      <c r="I286" s="540"/>
      <c r="J286" s="539"/>
      <c r="K286" s="540"/>
      <c r="L286" s="539"/>
      <c r="M286" s="541"/>
      <c r="N286" s="539"/>
      <c r="O286" s="542"/>
      <c r="P286" s="539"/>
    </row>
    <row r="287" spans="1:16" s="14" customFormat="1" ht="15.75" x14ac:dyDescent="0.25">
      <c r="A287" s="459">
        <f t="shared" si="7"/>
        <v>243</v>
      </c>
      <c r="B287" s="77"/>
      <c r="C287" s="233" t="s">
        <v>600</v>
      </c>
      <c r="D287" s="81"/>
      <c r="E287" s="81"/>
      <c r="F287" s="155"/>
      <c r="G287" s="155"/>
      <c r="H287" s="543"/>
      <c r="I287" s="540"/>
      <c r="J287" s="543"/>
      <c r="K287" s="540"/>
      <c r="L287" s="543"/>
      <c r="M287" s="541"/>
      <c r="N287" s="543"/>
      <c r="O287" s="542"/>
      <c r="P287" s="543"/>
    </row>
    <row r="288" spans="1:16" s="42" customFormat="1" ht="15" x14ac:dyDescent="0.2">
      <c r="A288" s="459">
        <f t="shared" si="7"/>
        <v>244</v>
      </c>
      <c r="B288" s="419"/>
      <c r="C288" s="233" t="s">
        <v>712</v>
      </c>
      <c r="D288" s="343"/>
      <c r="E288" s="343"/>
      <c r="F288" s="406"/>
      <c r="G288" s="406"/>
      <c r="H288" s="406"/>
      <c r="I288" s="406"/>
      <c r="J288" s="406"/>
      <c r="K288" s="406"/>
      <c r="L288" s="406"/>
      <c r="M288" s="481"/>
      <c r="P288" s="481"/>
    </row>
    <row r="289" spans="1:16" s="42" customFormat="1" ht="15" x14ac:dyDescent="0.2">
      <c r="A289" s="459">
        <f t="shared" si="7"/>
        <v>245</v>
      </c>
      <c r="B289" s="419"/>
      <c r="C289" s="233"/>
      <c r="D289" s="343"/>
      <c r="E289" s="343"/>
      <c r="F289" s="406"/>
      <c r="G289" s="406"/>
      <c r="H289" s="406"/>
      <c r="I289" s="406"/>
      <c r="J289" s="406"/>
      <c r="K289" s="406"/>
      <c r="L289" s="406"/>
      <c r="M289" s="481"/>
      <c r="P289" s="481"/>
    </row>
    <row r="290" spans="1:16" s="14" customFormat="1" ht="15" x14ac:dyDescent="0.2">
      <c r="A290" s="459">
        <f t="shared" si="7"/>
        <v>246</v>
      </c>
      <c r="B290" s="77"/>
      <c r="C290" s="233" t="s">
        <v>602</v>
      </c>
      <c r="D290" s="81"/>
      <c r="E290" s="81"/>
      <c r="F290" s="155"/>
      <c r="G290" s="155"/>
      <c r="H290" s="155"/>
      <c r="I290" s="155"/>
      <c r="J290" s="155"/>
      <c r="K290" s="155"/>
      <c r="L290" s="155"/>
      <c r="M290" s="13"/>
      <c r="P290" s="13"/>
    </row>
    <row r="291" spans="1:16" s="14" customFormat="1" ht="15" x14ac:dyDescent="0.2">
      <c r="A291" s="459">
        <f t="shared" si="7"/>
        <v>247</v>
      </c>
      <c r="B291" s="77"/>
      <c r="C291" s="233" t="s">
        <v>603</v>
      </c>
      <c r="D291" s="81"/>
      <c r="E291" s="81"/>
      <c r="F291" s="77"/>
      <c r="G291" s="77"/>
      <c r="H291" s="77"/>
      <c r="I291" s="77"/>
      <c r="J291" s="106"/>
      <c r="K291" s="77"/>
      <c r="L291" s="77"/>
      <c r="M291" s="13"/>
      <c r="P291" s="13"/>
    </row>
    <row r="292" spans="1:16" ht="15" x14ac:dyDescent="0.2">
      <c r="A292" s="459">
        <f t="shared" si="7"/>
        <v>248</v>
      </c>
    </row>
    <row r="293" spans="1:16" ht="15" x14ac:dyDescent="0.2">
      <c r="A293" s="459">
        <f t="shared" si="7"/>
        <v>249</v>
      </c>
      <c r="C293" s="233" t="s">
        <v>752</v>
      </c>
    </row>
    <row r="294" spans="1:16" ht="15" x14ac:dyDescent="0.2">
      <c r="A294" s="459">
        <f t="shared" si="7"/>
        <v>250</v>
      </c>
    </row>
    <row r="295" spans="1:16" ht="15" x14ac:dyDescent="0.2">
      <c r="A295" s="459">
        <f t="shared" si="7"/>
        <v>251</v>
      </c>
      <c r="C295" s="233" t="s">
        <v>751</v>
      </c>
    </row>
    <row r="296" spans="1:16" x14ac:dyDescent="0.2">
      <c r="A296" s="460"/>
    </row>
    <row r="297" spans="1:16" x14ac:dyDescent="0.2">
      <c r="A297" s="460"/>
    </row>
  </sheetData>
  <printOptions horizontalCentered="1"/>
  <pageMargins left="0.5" right="0.5" top="0.75" bottom="0.5" header="0.27" footer="0.2"/>
  <pageSetup scale="51" fitToHeight="5" orientation="landscape" horizontalDpi="1200" verticalDpi="1200" r:id="rId1"/>
  <headerFooter alignWithMargins="0"/>
  <rowBreaks count="4" manualBreakCount="4">
    <brk id="61" max="16" man="1"/>
    <brk id="121" max="16" man="1"/>
    <brk id="165" max="16" man="1"/>
    <brk id="23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27</vt:i4>
      </vt:variant>
    </vt:vector>
  </HeadingPairs>
  <TitlesOfParts>
    <vt:vector size="58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S7.5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S10.1</vt:lpstr>
      <vt:lpstr>S12.1</vt:lpstr>
      <vt:lpstr>S12.2</vt:lpstr>
      <vt:lpstr>S12.3</vt:lpstr>
      <vt:lpstr>S1.1!Print_Area</vt:lpstr>
      <vt:lpstr>S10.1!Print_Area</vt:lpstr>
      <vt:lpstr>S12.1!Print_Area</vt:lpstr>
      <vt:lpstr>S2.1!Print_Area</vt:lpstr>
      <vt:lpstr>S2.2!Print_Area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S7.5!Print_Area</vt:lpstr>
      <vt:lpstr>S8.1!Print_Area</vt:lpstr>
      <vt:lpstr>S8.10!Print_Area</vt:lpstr>
      <vt:lpstr>S8.11!Print_Area</vt:lpstr>
      <vt:lpstr>S8.12!Print_Area</vt:lpstr>
      <vt:lpstr>'S8.2 &amp; 8.3'!Print_Area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Pitzel</dc:creator>
  <cp:lastModifiedBy>Deana</cp:lastModifiedBy>
  <cp:lastPrinted>2014-05-23T20:34:04Z</cp:lastPrinted>
  <dcterms:created xsi:type="dcterms:W3CDTF">2002-03-25T16:44:51Z</dcterms:created>
  <dcterms:modified xsi:type="dcterms:W3CDTF">2014-05-26T16:59:05Z</dcterms:modified>
</cp:coreProperties>
</file>