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 defaultThemeVersion="124226"/>
  <bookViews>
    <workbookView xWindow="9795" yWindow="900" windowWidth="10695" windowHeight="6840" tabRatio="978" activeTab="21"/>
  </bookViews>
  <sheets>
    <sheet name="S1.1" sheetId="2" r:id="rId1"/>
    <sheet name="S2.1" sheetId="3" r:id="rId2"/>
    <sheet name="S2.2" sheetId="4" r:id="rId3"/>
    <sheet name="S3.1" sheetId="5" r:id="rId4"/>
    <sheet name="S3.2" sheetId="6" r:id="rId5"/>
    <sheet name="S4.1" sheetId="7" r:id="rId6"/>
    <sheet name="S4.2" sheetId="8" r:id="rId7"/>
    <sheet name="S5.1 " sheetId="9" r:id="rId8"/>
    <sheet name="S5.2" sheetId="34" r:id="rId9"/>
    <sheet name="S5.3" sheetId="35" r:id="rId10"/>
    <sheet name="S7.1" sheetId="12" r:id="rId11"/>
    <sheet name="S7.2" sheetId="13" r:id="rId12"/>
    <sheet name="S7.3" sheetId="14" r:id="rId13"/>
    <sheet name="S7.4" sheetId="36" r:id="rId14"/>
    <sheet name="S7.5" sheetId="15" r:id="rId15"/>
    <sheet name="S8.1" sheetId="16" r:id="rId16"/>
    <sheet name="S8.2 &amp; 8.3" sheetId="17" r:id="rId17"/>
    <sheet name="S8.4 " sheetId="18" r:id="rId18"/>
    <sheet name="S8.5" sheetId="19" r:id="rId19"/>
    <sheet name="S8.6 " sheetId="20" r:id="rId20"/>
    <sheet name="S8.7" sheetId="21" r:id="rId21"/>
    <sheet name="S8.8 " sheetId="22" r:id="rId22"/>
    <sheet name="S8.9" sheetId="40" r:id="rId23"/>
    <sheet name="S8.10" sheetId="23" r:id="rId24"/>
    <sheet name="S8.11" sheetId="24" r:id="rId25"/>
    <sheet name="S8.12" sheetId="25" r:id="rId26"/>
    <sheet name="S9.1" sheetId="26" r:id="rId27"/>
    <sheet name="S10.1" sheetId="27" r:id="rId28"/>
    <sheet name="S12.1" sheetId="41" r:id="rId29"/>
  </sheets>
  <externalReferences>
    <externalReference r:id="rId30"/>
    <externalReference r:id="rId31"/>
    <externalReference r:id="rId32"/>
    <externalReference r:id="rId33"/>
    <externalReference r:id="rId34"/>
  </externalReferences>
  <definedNames>
    <definedName name="\A" localSheetId="0">#REF!</definedName>
    <definedName name="\A" localSheetId="1">#REF!</definedName>
    <definedName name="\A" localSheetId="2">#REF!</definedName>
    <definedName name="\A" localSheetId="7">#REF!</definedName>
    <definedName name="\A" localSheetId="8">#REF!</definedName>
    <definedName name="\A" localSheetId="9">#REF!</definedName>
    <definedName name="\A" localSheetId="22">#REF!</definedName>
    <definedName name="\A" localSheetId="26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7">#REF!</definedName>
    <definedName name="\B" localSheetId="8">#REF!</definedName>
    <definedName name="\B" localSheetId="9">#REF!</definedName>
    <definedName name="\B" localSheetId="22">#REF!</definedName>
    <definedName name="\B" localSheetId="26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7">#REF!</definedName>
    <definedName name="\C" localSheetId="8">#REF!</definedName>
    <definedName name="\C" localSheetId="9">#REF!</definedName>
    <definedName name="\C" localSheetId="22">#REF!</definedName>
    <definedName name="\C" localSheetId="26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7">#REF!</definedName>
    <definedName name="\D" localSheetId="8">#REF!</definedName>
    <definedName name="\D" localSheetId="9">#REF!</definedName>
    <definedName name="\D" localSheetId="22">#REF!</definedName>
    <definedName name="\D" localSheetId="26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7">#REF!</definedName>
    <definedName name="\E" localSheetId="8">#REF!</definedName>
    <definedName name="\E" localSheetId="9">#REF!</definedName>
    <definedName name="\E" localSheetId="22">#REF!</definedName>
    <definedName name="\E" localSheetId="26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 localSheetId="7">#REF!</definedName>
    <definedName name="\F" localSheetId="8">#REF!</definedName>
    <definedName name="\F" localSheetId="9">#REF!</definedName>
    <definedName name="\F" localSheetId="22">#REF!</definedName>
    <definedName name="\F" localSheetId="26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 localSheetId="7">#REF!</definedName>
    <definedName name="\G" localSheetId="8">#REF!</definedName>
    <definedName name="\G" localSheetId="9">#REF!</definedName>
    <definedName name="\G" localSheetId="22">#REF!</definedName>
    <definedName name="\G" localSheetId="26">#REF!</definedName>
    <definedName name="\G">#REF!</definedName>
    <definedName name="\H" localSheetId="0">#REF!</definedName>
    <definedName name="\H" localSheetId="1">#REF!</definedName>
    <definedName name="\H" localSheetId="2">#REF!</definedName>
    <definedName name="\H" localSheetId="7">#REF!</definedName>
    <definedName name="\H" localSheetId="8">#REF!</definedName>
    <definedName name="\H" localSheetId="9">#REF!</definedName>
    <definedName name="\H" localSheetId="22">#REF!</definedName>
    <definedName name="\H" localSheetId="26">#REF!</definedName>
    <definedName name="\H">#REF!</definedName>
    <definedName name="\I" localSheetId="0">#REF!</definedName>
    <definedName name="\I" localSheetId="1">#REF!</definedName>
    <definedName name="\I" localSheetId="2">#REF!</definedName>
    <definedName name="\I" localSheetId="7">#REF!</definedName>
    <definedName name="\I" localSheetId="8">#REF!</definedName>
    <definedName name="\I" localSheetId="9">#REF!</definedName>
    <definedName name="\I" localSheetId="22">#REF!</definedName>
    <definedName name="\I" localSheetId="26">#REF!</definedName>
    <definedName name="\I">#REF!</definedName>
    <definedName name="\J" localSheetId="0">#REF!</definedName>
    <definedName name="\J" localSheetId="1">#REF!</definedName>
    <definedName name="\J" localSheetId="2">#REF!</definedName>
    <definedName name="\J" localSheetId="7">#REF!</definedName>
    <definedName name="\J" localSheetId="8">#REF!</definedName>
    <definedName name="\J" localSheetId="9">#REF!</definedName>
    <definedName name="\J" localSheetId="22">#REF!</definedName>
    <definedName name="\J" localSheetId="26">#REF!</definedName>
    <definedName name="\J">#REF!</definedName>
    <definedName name="\K" localSheetId="0">#REF!</definedName>
    <definedName name="\K" localSheetId="1">#REF!</definedName>
    <definedName name="\K" localSheetId="2">#REF!</definedName>
    <definedName name="\K" localSheetId="7">#REF!</definedName>
    <definedName name="\K" localSheetId="8">#REF!</definedName>
    <definedName name="\K" localSheetId="9">#REF!</definedName>
    <definedName name="\K" localSheetId="22">#REF!</definedName>
    <definedName name="\K" localSheetId="26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 localSheetId="7">#REF!</definedName>
    <definedName name="\L" localSheetId="8">#REF!</definedName>
    <definedName name="\L" localSheetId="9">#REF!</definedName>
    <definedName name="\L" localSheetId="22">#REF!</definedName>
    <definedName name="\L" localSheetId="26">#REF!</definedName>
    <definedName name="\L">#REF!</definedName>
    <definedName name="\M" localSheetId="0">#REF!</definedName>
    <definedName name="\M" localSheetId="1">#REF!</definedName>
    <definedName name="\M" localSheetId="2">#REF!</definedName>
    <definedName name="\M" localSheetId="7">#REF!</definedName>
    <definedName name="\M" localSheetId="8">#REF!</definedName>
    <definedName name="\M" localSheetId="9">#REF!</definedName>
    <definedName name="\M" localSheetId="22">#REF!</definedName>
    <definedName name="\M" localSheetId="26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7">#REF!</definedName>
    <definedName name="\N" localSheetId="8">#REF!</definedName>
    <definedName name="\N" localSheetId="9">#REF!</definedName>
    <definedName name="\N" localSheetId="22">#REF!</definedName>
    <definedName name="\N" localSheetId="26">#REF!</definedName>
    <definedName name="\N">#REF!</definedName>
    <definedName name="\O" localSheetId="0">#REF!</definedName>
    <definedName name="\O" localSheetId="1">#REF!</definedName>
    <definedName name="\O" localSheetId="2">#REF!</definedName>
    <definedName name="\O" localSheetId="7">#REF!</definedName>
    <definedName name="\O" localSheetId="8">#REF!</definedName>
    <definedName name="\O" localSheetId="9">#REF!</definedName>
    <definedName name="\O" localSheetId="22">#REF!</definedName>
    <definedName name="\O" localSheetId="26">#REF!</definedName>
    <definedName name="\O">#REF!</definedName>
    <definedName name="\P" localSheetId="0">#REF!</definedName>
    <definedName name="\P" localSheetId="1">#REF!</definedName>
    <definedName name="\P" localSheetId="2">#REF!</definedName>
    <definedName name="\P" localSheetId="7">#REF!</definedName>
    <definedName name="\P" localSheetId="8">#REF!</definedName>
    <definedName name="\P" localSheetId="9">#REF!</definedName>
    <definedName name="\P" localSheetId="22">#REF!</definedName>
    <definedName name="\P" localSheetId="26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7">#REF!</definedName>
    <definedName name="\Q" localSheetId="8">#REF!</definedName>
    <definedName name="\Q" localSheetId="9">#REF!</definedName>
    <definedName name="\Q" localSheetId="22">#REF!</definedName>
    <definedName name="\Q" localSheetId="26">#REF!</definedName>
    <definedName name="\Q">#REF!</definedName>
    <definedName name="\R" localSheetId="0">#REF!</definedName>
    <definedName name="\R" localSheetId="1">#REF!</definedName>
    <definedName name="\R" localSheetId="2">#REF!</definedName>
    <definedName name="\R" localSheetId="7">#REF!</definedName>
    <definedName name="\R" localSheetId="8">#REF!</definedName>
    <definedName name="\R" localSheetId="9">#REF!</definedName>
    <definedName name="\R" localSheetId="22">#REF!</definedName>
    <definedName name="\R" localSheetId="26">#REF!</definedName>
    <definedName name="\R">#REF!</definedName>
    <definedName name="\S" localSheetId="0">#REF!</definedName>
    <definedName name="\S" localSheetId="1">#REF!</definedName>
    <definedName name="\S" localSheetId="2">#REF!</definedName>
    <definedName name="\S" localSheetId="7">#REF!</definedName>
    <definedName name="\S" localSheetId="8">#REF!</definedName>
    <definedName name="\S" localSheetId="9">#REF!</definedName>
    <definedName name="\S" localSheetId="22">#REF!</definedName>
    <definedName name="\S" localSheetId="26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 localSheetId="7">#REF!</definedName>
    <definedName name="\T" localSheetId="8">#REF!</definedName>
    <definedName name="\T" localSheetId="9">#REF!</definedName>
    <definedName name="\T" localSheetId="22">#REF!</definedName>
    <definedName name="\T" localSheetId="26">#REF!</definedName>
    <definedName name="\T">#REF!</definedName>
    <definedName name="\U" localSheetId="0">#REF!</definedName>
    <definedName name="\U" localSheetId="1">#REF!</definedName>
    <definedName name="\U" localSheetId="2">#REF!</definedName>
    <definedName name="\U" localSheetId="7">#REF!</definedName>
    <definedName name="\U" localSheetId="8">#REF!</definedName>
    <definedName name="\U" localSheetId="9">#REF!</definedName>
    <definedName name="\U" localSheetId="22">#REF!</definedName>
    <definedName name="\U" localSheetId="26">#REF!</definedName>
    <definedName name="\U">#REF!</definedName>
    <definedName name="\V" localSheetId="0">#REF!</definedName>
    <definedName name="\V" localSheetId="1">#REF!</definedName>
    <definedName name="\V" localSheetId="2">#REF!</definedName>
    <definedName name="\V" localSheetId="7">#REF!</definedName>
    <definedName name="\V" localSheetId="8">#REF!</definedName>
    <definedName name="\V" localSheetId="9">#REF!</definedName>
    <definedName name="\V" localSheetId="22">#REF!</definedName>
    <definedName name="\V" localSheetId="26">#REF!</definedName>
    <definedName name="\V">#REF!</definedName>
    <definedName name="\W" localSheetId="0">#REF!</definedName>
    <definedName name="\W" localSheetId="1">#REF!</definedName>
    <definedName name="\W" localSheetId="2">#REF!</definedName>
    <definedName name="\W" localSheetId="7">#REF!</definedName>
    <definedName name="\W" localSheetId="8">#REF!</definedName>
    <definedName name="\W" localSheetId="9">#REF!</definedName>
    <definedName name="\W" localSheetId="22">#REF!</definedName>
    <definedName name="\W" localSheetId="26">#REF!</definedName>
    <definedName name="\W">#REF!</definedName>
    <definedName name="\Z" localSheetId="0">#REF!</definedName>
    <definedName name="\Z" localSheetId="1">#REF!</definedName>
    <definedName name="\Z" localSheetId="2">#REF!</definedName>
    <definedName name="\Z" localSheetId="7">#REF!</definedName>
    <definedName name="\Z" localSheetId="8">#REF!</definedName>
    <definedName name="\Z" localSheetId="9">#REF!</definedName>
    <definedName name="\Z" localSheetId="22">#REF!</definedName>
    <definedName name="\Z" localSheetId="26">#REF!</definedName>
    <definedName name="\Z">#REF!</definedName>
    <definedName name="_F_" localSheetId="22">#REF!</definedName>
    <definedName name="_F_">#REF!</definedName>
    <definedName name="_H_" localSheetId="22">#REF!</definedName>
    <definedName name="_H_">#REF!</definedName>
    <definedName name="_L_" localSheetId="22">#REF!</definedName>
    <definedName name="_L_">#REF!</definedName>
    <definedName name="_O_" localSheetId="22">#REF!</definedName>
    <definedName name="_O_">#REF!</definedName>
    <definedName name="_P_" localSheetId="22">#REF!</definedName>
    <definedName name="_P_">#REF!</definedName>
    <definedName name="_RM_" localSheetId="22">#REF!</definedName>
    <definedName name="_RM_">#REF!</definedName>
    <definedName name="_SS_" localSheetId="22">#REF!</definedName>
    <definedName name="_SS_">#REF!</definedName>
    <definedName name="_TL_" localSheetId="22">#REF!</definedName>
    <definedName name="_TL_">#REF!</definedName>
    <definedName name="_V_" localSheetId="22">#REF!</definedName>
    <definedName name="_V_">#REF!</definedName>
    <definedName name="all" localSheetId="0">#REF!</definedName>
    <definedName name="all" localSheetId="1">#REF!</definedName>
    <definedName name="all" localSheetId="2">#REF!</definedName>
    <definedName name="all" localSheetId="7">#REF!</definedName>
    <definedName name="all" localSheetId="8">#REF!</definedName>
    <definedName name="all" localSheetId="9">#REF!</definedName>
    <definedName name="all" localSheetId="22">#REF!</definedName>
    <definedName name="all" localSheetId="26">#REF!</definedName>
    <definedName name="all">#REF!</definedName>
    <definedName name="Call_Centre_cost" localSheetId="8">[1]Projects!#REF!</definedName>
    <definedName name="Call_Centre_cost" localSheetId="22">[1]Projects!#REF!</definedName>
    <definedName name="Call_Centre_cost">[1]Projects!#REF!</definedName>
    <definedName name="Call_Centre_num" localSheetId="8">[1]Projects!#REF!</definedName>
    <definedName name="Call_Centre_num" localSheetId="22">[1]Projects!#REF!</definedName>
    <definedName name="Call_Centre_num">[1]Projects!#REF!</definedName>
    <definedName name="_xlnm.Database" localSheetId="8">#REF!</definedName>
    <definedName name="_xlnm.Database" localSheetId="9">#REF!</definedName>
    <definedName name="_xlnm.Database" localSheetId="22">#REF!</definedName>
    <definedName name="_xlnm.Database">#REF!</definedName>
    <definedName name="Estimated_Voice___South" localSheetId="8">[1]Projects!#REF!</definedName>
    <definedName name="Estimated_Voice___South" localSheetId="22">[1]Projects!#REF!</definedName>
    <definedName name="Estimated_Voice___South">[1]Projects!#REF!</definedName>
    <definedName name="HPSET" localSheetId="0">#REF!</definedName>
    <definedName name="HPSET" localSheetId="1">#REF!</definedName>
    <definedName name="HPSET" localSheetId="2">#REF!</definedName>
    <definedName name="HPSET" localSheetId="7">#REF!</definedName>
    <definedName name="HPSET" localSheetId="8">#REF!</definedName>
    <definedName name="HPSET" localSheetId="9">#REF!</definedName>
    <definedName name="HPSET" localSheetId="22">#REF!</definedName>
    <definedName name="HPSET" localSheetId="26">#REF!</definedName>
    <definedName name="HPSET">#REF!</definedName>
    <definedName name="hpset1" localSheetId="8">#REF!</definedName>
    <definedName name="hpset1" localSheetId="9">#REF!</definedName>
    <definedName name="hpset1" localSheetId="22">#REF!</definedName>
    <definedName name="hpset1">#REF!</definedName>
    <definedName name="HPSETMACRO" localSheetId="0">#REF!</definedName>
    <definedName name="HPSETMACRO" localSheetId="1">#REF!</definedName>
    <definedName name="HPSETMACRO" localSheetId="2">#REF!</definedName>
    <definedName name="HPSETMACRO" localSheetId="7">#REF!</definedName>
    <definedName name="HPSETMACRO" localSheetId="8">#REF!</definedName>
    <definedName name="HPSETMACRO" localSheetId="9">#REF!</definedName>
    <definedName name="HPSETMACRO" localSheetId="22">#REF!</definedName>
    <definedName name="HPSETMACRO" localSheetId="26">#REF!</definedName>
    <definedName name="HPSETMACRO">#REF!</definedName>
    <definedName name="hpsetmacro2" localSheetId="22">#REF!</definedName>
    <definedName name="hpsetmacro2">#REF!</definedName>
    <definedName name="index" localSheetId="22">#REF!</definedName>
    <definedName name="index">#REF!</definedName>
    <definedName name="input" localSheetId="22">#REF!</definedName>
    <definedName name="input">#REF!</definedName>
    <definedName name="Laptops_cost" localSheetId="8">[1]Projects!#REF!</definedName>
    <definedName name="Laptops_cost" localSheetId="22">[1]Projects!#REF!</definedName>
    <definedName name="Laptops_cost">[1]Projects!#REF!</definedName>
    <definedName name="Laptops_num" localSheetId="8">[1]Projects!#REF!</definedName>
    <definedName name="Laptops_num" localSheetId="22">[1]Projects!#REF!</definedName>
    <definedName name="Laptops_num">[1]Projects!#REF!</definedName>
    <definedName name="LESS__Hardware___Voice_Costs_to_be_capitalized" localSheetId="8">[1]Projects!#REF!</definedName>
    <definedName name="LESS__Hardware___Voice_Costs_to_be_capitalized" localSheetId="22">[1]Projects!#REF!</definedName>
    <definedName name="LESS__Hardware___Voice_Costs_to_be_capitalized">[1]Projects!#REF!</definedName>
    <definedName name="Number_of_staff" localSheetId="8">[1]Projects!#REF!</definedName>
    <definedName name="Number_of_staff" localSheetId="22">[1]Projects!#REF!</definedName>
    <definedName name="Number_of_staff">[1]Projects!#REF!</definedName>
    <definedName name="pafe2" localSheetId="8">#REF!</definedName>
    <definedName name="pafe2" localSheetId="9">#REF!</definedName>
    <definedName name="pafe2" localSheetId="22">#REF!</definedName>
    <definedName name="pafe2">#REF!</definedName>
    <definedName name="page1" localSheetId="8">#REF!</definedName>
    <definedName name="page1" localSheetId="9">#REF!</definedName>
    <definedName name="page1" localSheetId="22">#REF!</definedName>
    <definedName name="page1">#REF!</definedName>
    <definedName name="part1" localSheetId="8">#REF!</definedName>
    <definedName name="part1" localSheetId="9">#REF!</definedName>
    <definedName name="part1" localSheetId="22">#REF!</definedName>
    <definedName name="part1">#REF!</definedName>
    <definedName name="part2" localSheetId="22">#REF!</definedName>
    <definedName name="part2">#REF!</definedName>
    <definedName name="PCs_cost" localSheetId="8">[1]Projects!#REF!</definedName>
    <definedName name="PCs_cost" localSheetId="22">[1]Projects!#REF!</definedName>
    <definedName name="PCs_cost">[1]Projects!#REF!</definedName>
    <definedName name="PCs_num" localSheetId="8">[1]Projects!#REF!</definedName>
    <definedName name="PCs_num" localSheetId="22">[1]Projects!#REF!</definedName>
    <definedName name="PCs_num">[1]Projects!#REF!</definedName>
    <definedName name="_xlnm.Print_Area" localSheetId="0">S1.1!$A$1:$Z$25</definedName>
    <definedName name="_xlnm.Print_Area" localSheetId="27">S10.1!$A$1:$Z$39</definedName>
    <definedName name="_xlnm.Print_Area" localSheetId="28">S12.1!$A$1:$E$29</definedName>
    <definedName name="_xlnm.Print_Area" localSheetId="1">S2.1!$A$1:$AE$81</definedName>
    <definedName name="_xlnm.Print_Area" localSheetId="2">S2.2!$A$1:$Z$14</definedName>
    <definedName name="_xlnm.Print_Area" localSheetId="4">S3.2!$A$1:$Z$39</definedName>
    <definedName name="_xlnm.Print_Area" localSheetId="5">S4.1!$A$1:$Z$24</definedName>
    <definedName name="_xlnm.Print_Area" localSheetId="6">S4.2!$A$1:$Z$46</definedName>
    <definedName name="_xlnm.Print_Area" localSheetId="7">'S5.1 '!$A$1:$R$57</definedName>
    <definedName name="_xlnm.Print_Area" localSheetId="8">S5.2!$A$1:$Q$295</definedName>
    <definedName name="_xlnm.Print_Area" localSheetId="9">S5.3!$A$1:$T$29</definedName>
    <definedName name="_xlnm.Print_Area" localSheetId="10">S7.1!$A$1:$Z$14</definedName>
    <definedName name="_xlnm.Print_Area" localSheetId="11">S7.2!$A$1:$K$62</definedName>
    <definedName name="_xlnm.Print_Area" localSheetId="12">S7.3!$A$1:$K$62</definedName>
    <definedName name="_xlnm.Print_Area" localSheetId="13">S7.4!$A$1:$K$62</definedName>
    <definedName name="_xlnm.Print_Area" localSheetId="14">S7.5!$A$1:$W$60</definedName>
    <definedName name="_xlnm.Print_Area" localSheetId="15">S8.1!$A$1:$P$131</definedName>
    <definedName name="_xlnm.Print_Area" localSheetId="23">S8.10!$A$1:$Z$45</definedName>
    <definedName name="_xlnm.Print_Area" localSheetId="24">S8.11!$A$1:$Z$48</definedName>
    <definedName name="_xlnm.Print_Area" localSheetId="25">S8.12!$A$1:$Y$28</definedName>
    <definedName name="_xlnm.Print_Area" localSheetId="16">'S8.2 &amp; 8.3'!$A$1:$O$301</definedName>
    <definedName name="_xlnm.Print_Area" localSheetId="18">S8.5!$A$1:$Z$38</definedName>
    <definedName name="_xlnm.Print_Area" localSheetId="19">'S8.6 '!$A$1:$Z$36</definedName>
    <definedName name="_xlnm.Print_Area" localSheetId="20">S8.7!$A$1:$AA$31</definedName>
    <definedName name="_xlnm.Print_Area" localSheetId="21">'S8.8 '!$A$1:$Z$80</definedName>
    <definedName name="_xlnm.Print_Area" localSheetId="22">S8.9!$A$1:$N$23</definedName>
    <definedName name="_xlnm.Print_Area" localSheetId="26">S9.1!$A$1:$Y$43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22">#REF!</definedName>
    <definedName name="Print_Area_MI" localSheetId="26">#REF!</definedName>
    <definedName name="Print_Area_MI">#REF!</definedName>
    <definedName name="_xlnm.Print_Titles" localSheetId="15">S8.1!$1:$8</definedName>
    <definedName name="_xlnm.Print_Titles" localSheetId="16">'S8.2 &amp; 8.3'!#REF!</definedName>
    <definedName name="Printer___High_cost" localSheetId="8">[1]Projects!#REF!</definedName>
    <definedName name="Printer___High_cost" localSheetId="9">[1]Projects!#REF!</definedName>
    <definedName name="Printer___High_cost" localSheetId="22">[1]Projects!#REF!</definedName>
    <definedName name="Printer___High_cost">[1]Projects!#REF!</definedName>
    <definedName name="Printer___High_num" localSheetId="8">[1]Projects!#REF!</definedName>
    <definedName name="Printer___High_num" localSheetId="9">[1]Projects!#REF!</definedName>
    <definedName name="Printer___High_num" localSheetId="22">[1]Projects!#REF!</definedName>
    <definedName name="Printer___High_num">[1]Projects!#REF!</definedName>
    <definedName name="Printer___Low_cost" localSheetId="22">[1]Projects!#REF!</definedName>
    <definedName name="Printer___Low_cost">[1]Projects!#REF!</definedName>
    <definedName name="Printer___Low_num" localSheetId="22">[1]Projects!#REF!</definedName>
    <definedName name="Printer___Low_num">[1]Projects!#REF!</definedName>
    <definedName name="Printer___Standard_cost" localSheetId="22">[1]Projects!#REF!</definedName>
    <definedName name="Printer___Standard_cost">[1]Projects!#REF!</definedName>
    <definedName name="Printer___Standard_num" localSheetId="22">[1]Projects!#REF!</definedName>
    <definedName name="Printer___Standard_num">[1]Projects!#REF!</definedName>
    <definedName name="Proj55156" localSheetId="22">'[2]Schedule 10-B-4'!#REF!</definedName>
    <definedName name="Proj55156">'[2]Schedule 10-B-4'!#REF!</definedName>
    <definedName name="Proj55156." localSheetId="22">'[3]Schedule 10-B-4'!#REF!</definedName>
    <definedName name="Proj55156.">'[3]Schedule 10-B-4'!#REF!</definedName>
    <definedName name="RiderJForecast" localSheetId="8">'[4]YEC GRASales &amp; Rider J Forecast'!#REF!</definedName>
    <definedName name="RiderJForecast" localSheetId="22">'[4]YEC GRASales &amp; Rider J Forecast'!#REF!</definedName>
    <definedName name="RiderJForecast">'[4]YEC GRASales &amp; Rider J Forecast'!#REF!</definedName>
    <definedName name="rolling" localSheetId="0">#REF!</definedName>
    <definedName name="rolling" localSheetId="1">#REF!</definedName>
    <definedName name="rolling" localSheetId="2">#REF!</definedName>
    <definedName name="rolling" localSheetId="7">#REF!</definedName>
    <definedName name="rolling" localSheetId="8">#REF!</definedName>
    <definedName name="rolling" localSheetId="9">#REF!</definedName>
    <definedName name="rolling" localSheetId="22">#REF!</definedName>
    <definedName name="rolling" localSheetId="26">#REF!</definedName>
    <definedName name="rolling">#REF!</definedName>
    <definedName name="Salesforecastdollars" localSheetId="8">#REF!</definedName>
    <definedName name="Salesforecastdollars" localSheetId="9">#REF!</definedName>
    <definedName name="Salesforecastdollars" localSheetId="22">#REF!</definedName>
    <definedName name="Salesforecastdollars">#REF!</definedName>
    <definedName name="SalesforecastKWh" localSheetId="22">#REF!</definedName>
    <definedName name="SalesforecastKWh">#REF!</definedName>
    <definedName name="Schedule10B5" localSheetId="22">#REF!</definedName>
    <definedName name="Schedule10B5">#REF!</definedName>
    <definedName name="Schedule11B4" localSheetId="22">#REF!</definedName>
    <definedName name="Schedule11B4">#REF!</definedName>
    <definedName name="Schedule11B5" localSheetId="22">#REF!</definedName>
    <definedName name="Schedule11B5">#REF!</definedName>
    <definedName name="Schedule12B2" localSheetId="22">#REF!</definedName>
    <definedName name="Schedule12B2">#REF!</definedName>
    <definedName name="Schedule15B2" localSheetId="22">#REF!</definedName>
    <definedName name="Schedule15B2">#REF!</definedName>
    <definedName name="Schedule15B3" localSheetId="22">#REF!</definedName>
    <definedName name="Schedule15B3">#REF!</definedName>
    <definedName name="Schedule16B3" localSheetId="22">#REF!</definedName>
    <definedName name="Schedule16B3">#REF!</definedName>
    <definedName name="Schedule16B4" localSheetId="22">#REF!</definedName>
    <definedName name="Schedule16B4">#REF!</definedName>
    <definedName name="Schedule16B5" localSheetId="22">#REF!</definedName>
    <definedName name="Schedule16B5">#REF!</definedName>
    <definedName name="Schedule17B3" localSheetId="22">#REF!</definedName>
    <definedName name="Schedule17B3">#REF!</definedName>
    <definedName name="Schedule17B4" localSheetId="22">'[2]Schedule 17-B-4'!#REF!</definedName>
    <definedName name="Schedule17B4">'[2]Schedule 17-B-4'!#REF!</definedName>
    <definedName name="Schedule19B2" localSheetId="8">#REF!</definedName>
    <definedName name="Schedule19B2" localSheetId="9">#REF!</definedName>
    <definedName name="Schedule19B2" localSheetId="22">#REF!</definedName>
    <definedName name="Schedule19B2">#REF!</definedName>
    <definedName name="Schedule20B5" localSheetId="8">#REF!</definedName>
    <definedName name="Schedule20B5" localSheetId="9">#REF!</definedName>
    <definedName name="Schedule20B5" localSheetId="22">#REF!</definedName>
    <definedName name="Schedule20B5">#REF!</definedName>
    <definedName name="Schedule21B4" localSheetId="8">#REF!</definedName>
    <definedName name="Schedule21B4" localSheetId="9">#REF!</definedName>
    <definedName name="Schedule21B4" localSheetId="22">#REF!</definedName>
    <definedName name="Schedule21B4">#REF!</definedName>
    <definedName name="Schedule21B5" localSheetId="22">#REF!</definedName>
    <definedName name="Schedule21B5">#REF!</definedName>
    <definedName name="Schedule22B2" localSheetId="22">#REF!</definedName>
    <definedName name="Schedule22B2">#REF!</definedName>
    <definedName name="Schedule22B4" localSheetId="22">#REF!</definedName>
    <definedName name="Schedule22B4">#REF!</definedName>
    <definedName name="Schedule22B5" localSheetId="22">#REF!</definedName>
    <definedName name="Schedule22B5">#REF!</definedName>
    <definedName name="Schedule22B8" localSheetId="22">#REF!</definedName>
    <definedName name="Schedule22B8">#REF!</definedName>
    <definedName name="Schedule24E1" localSheetId="22">#REF!</definedName>
    <definedName name="Schedule24E1">#REF!</definedName>
    <definedName name="Schedule24E2" localSheetId="22">#REF!</definedName>
    <definedName name="Schedule24E2">#REF!</definedName>
    <definedName name="Schedule24E3" localSheetId="22">#REF!</definedName>
    <definedName name="Schedule24E3">#REF!</definedName>
    <definedName name="Schedule26E4" localSheetId="22">#REF!</definedName>
    <definedName name="Schedule26E4">#REF!</definedName>
    <definedName name="Schedule26E5" localSheetId="22">#REF!</definedName>
    <definedName name="Schedule26E5">#REF!</definedName>
    <definedName name="Schedule29B1" localSheetId="22">#REF!</definedName>
    <definedName name="Schedule29B1">#REF!</definedName>
    <definedName name="Schedule29B10" localSheetId="22">#REF!</definedName>
    <definedName name="Schedule29B10">#REF!</definedName>
    <definedName name="Schedule30B1" localSheetId="22">#REF!</definedName>
    <definedName name="Schedule30B1">#REF!</definedName>
    <definedName name="Schedule4B2" localSheetId="22">#REF!</definedName>
    <definedName name="Schedule4B2">#REF!</definedName>
    <definedName name="Schedule4B5" localSheetId="22">#REF!</definedName>
    <definedName name="Schedule4B5">#REF!</definedName>
    <definedName name="Schedule5B2" localSheetId="22">#REF!</definedName>
    <definedName name="Schedule5B2">#REF!</definedName>
    <definedName name="Schedule5B3" localSheetId="22">#REF!</definedName>
    <definedName name="Schedule5B3">#REF!</definedName>
    <definedName name="Schedule5B4" localSheetId="22">#REF!</definedName>
    <definedName name="Schedule5B4">#REF!</definedName>
    <definedName name="Schedule6B3" localSheetId="22">#REF!</definedName>
    <definedName name="Schedule6B3">#REF!</definedName>
    <definedName name="Schedule6B4" localSheetId="22">#REF!</definedName>
    <definedName name="Schedule6B4">#REF!</definedName>
    <definedName name="Schedule6B5" localSheetId="22">#REF!</definedName>
    <definedName name="Schedule6B5">#REF!</definedName>
    <definedName name="Schedule7B4" localSheetId="22">'[2]Schedule 7-B-4'!#REF!</definedName>
    <definedName name="Schedule7B4">'[2]Schedule 7-B-4'!#REF!</definedName>
    <definedName name="Schedule9B2" localSheetId="8">#REF!</definedName>
    <definedName name="Schedule9B2" localSheetId="9">#REF!</definedName>
    <definedName name="Schedule9B2" localSheetId="22">#REF!</definedName>
    <definedName name="Schedule9B2">#REF!</definedName>
    <definedName name="Specialized_Hardware" localSheetId="22">[1]Projects!#REF!</definedName>
    <definedName name="Specialized_Hardware">[1]Projects!#REF!</definedName>
    <definedName name="SUMMARY" localSheetId="0">#REF!</definedName>
    <definedName name="SUMMARY" localSheetId="1">#REF!</definedName>
    <definedName name="SUMMARY" localSheetId="2">#REF!</definedName>
    <definedName name="SUMMARY" localSheetId="7">#REF!</definedName>
    <definedName name="SUMMARY" localSheetId="8">#REF!</definedName>
    <definedName name="SUMMARY" localSheetId="9">#REF!</definedName>
    <definedName name="SUMMARY" localSheetId="22">#REF!</definedName>
    <definedName name="SUMMARY" localSheetId="26">#REF!</definedName>
    <definedName name="SUMMARY">#REF!</definedName>
    <definedName name="Terminals_cost" localSheetId="8">[1]Projects!#REF!</definedName>
    <definedName name="Terminals_cost" localSheetId="9">[1]Projects!#REF!</definedName>
    <definedName name="Terminals_cost" localSheetId="22">[1]Projects!#REF!</definedName>
    <definedName name="Terminals_cost">[1]Projects!#REF!</definedName>
    <definedName name="Terminals_num" localSheetId="8">[1]Projects!#REF!</definedName>
    <definedName name="Terminals_num" localSheetId="9">[1]Projects!#REF!</definedName>
    <definedName name="Terminals_num" localSheetId="22">[1]Projects!#REF!</definedName>
    <definedName name="Terminals_num">[1]Projects!#REF!</definedName>
    <definedName name="Total_Distributed" localSheetId="22">[1]Projects!#REF!</definedName>
    <definedName name="Total_Distributed">[1]Projects!#REF!</definedName>
    <definedName name="Total_Hardware" localSheetId="22">[1]Projects!#REF!</definedName>
    <definedName name="Total_Hardware">[1]Projects!#REF!</definedName>
    <definedName name="Total_Mainframe_Costs" localSheetId="22">[1]Projects!#REF!</definedName>
    <definedName name="Total_Mainframe_Costs">[1]Projects!#REF!</definedName>
    <definedName name="TOTAL_O_M" localSheetId="22">[1]Projects!#REF!</definedName>
    <definedName name="TOTAL_O_M">[1]Projects!#REF!</definedName>
    <definedName name="Total_Standard_Hardware" localSheetId="22">[1]Projects!#REF!</definedName>
    <definedName name="Total_Standard_Hardware">[1]Projects!#REF!</definedName>
    <definedName name="Training_Cost" localSheetId="22">[1]Projects!#REF!</definedName>
    <definedName name="Training_Cost">[1]Projects!#REF!</definedName>
    <definedName name="variance" localSheetId="0">#REF!</definedName>
    <definedName name="variance" localSheetId="1">#REF!</definedName>
    <definedName name="variance" localSheetId="2">#REF!</definedName>
    <definedName name="variance" localSheetId="7">#REF!</definedName>
    <definedName name="variance" localSheetId="8">#REF!</definedName>
    <definedName name="variance" localSheetId="9">#REF!</definedName>
    <definedName name="variance" localSheetId="22">#REF!</definedName>
    <definedName name="variance" localSheetId="26">#REF!</definedName>
    <definedName name="variance">#REF!</definedName>
    <definedName name="Voice___Long_Distance" localSheetId="8">[1]Projects!#REF!</definedName>
    <definedName name="Voice___Long_Distance" localSheetId="9">[1]Projects!#REF!</definedName>
    <definedName name="Voice___Long_Distance" localSheetId="22">[1]Projects!#REF!</definedName>
    <definedName name="Voice___Long_Distance">[1]Projects!#REF!</definedName>
    <definedName name="Voice_Lines_cost" localSheetId="8">[1]Projects!#REF!</definedName>
    <definedName name="Voice_Lines_cost" localSheetId="9">[1]Projects!#REF!</definedName>
    <definedName name="Voice_Lines_cost" localSheetId="22">[1]Projects!#REF!</definedName>
    <definedName name="Voice_Lines_cost">[1]Projects!#REF!</definedName>
    <definedName name="Voice_Lines_num" localSheetId="22">[1]Projects!#REF!</definedName>
    <definedName name="Voice_Lines_num">[1]Projects!#REF!</definedName>
    <definedName name="Voice_Mail_cost" localSheetId="22">[1]Projects!#REF!</definedName>
    <definedName name="Voice_Mail_cost">[1]Projects!#REF!</definedName>
    <definedName name="Voice_Mail_num" localSheetId="22">[1]Projects!#REF!</definedName>
    <definedName name="Voice_Mail_num">[1]Projects!#REF!</definedName>
    <definedName name="Voice_Sets_cost" localSheetId="22">[1]Projects!#REF!</definedName>
    <definedName name="Voice_Sets_cost">[1]Projects!#REF!</definedName>
    <definedName name="Voice_Sets_num" localSheetId="22">[1]Projects!#REF!</definedName>
    <definedName name="Voice_Sets_num">[1]Projects!#REF!</definedName>
    <definedName name="WAN" localSheetId="22">[1]Projects!#REF!</definedName>
    <definedName name="WAN">[1]Projects!#REF!</definedName>
    <definedName name="Z_275E5119_9E8C_43ED_ACD2_DF40CF10B219_.wvu.PrintArea" localSheetId="0" hidden="1">S1.1!$A$1:$Z$25</definedName>
    <definedName name="Z_275E5119_9E8C_43ED_ACD2_DF40CF10B219_.wvu.PrintArea" localSheetId="27" hidden="1">S10.1!$A$1:$AB$39</definedName>
    <definedName name="Z_275E5119_9E8C_43ED_ACD2_DF40CF10B219_.wvu.PrintArea" localSheetId="1" hidden="1">S2.1!$A$1:$I$70</definedName>
    <definedName name="Z_275E5119_9E8C_43ED_ACD2_DF40CF10B219_.wvu.PrintArea" localSheetId="2" hidden="1">S2.2!$A$1:$Z$15</definedName>
    <definedName name="Z_275E5119_9E8C_43ED_ACD2_DF40CF10B219_.wvu.PrintArea" localSheetId="3" hidden="1">S3.1!$A$1:$Z$31</definedName>
    <definedName name="Z_275E5119_9E8C_43ED_ACD2_DF40CF10B219_.wvu.PrintArea" localSheetId="4" hidden="1">S3.2!$A$1:$I$39</definedName>
    <definedName name="Z_275E5119_9E8C_43ED_ACD2_DF40CF10B219_.wvu.PrintArea" localSheetId="5" hidden="1">S4.1!$A$1:$Z$24</definedName>
    <definedName name="Z_275E5119_9E8C_43ED_ACD2_DF40CF10B219_.wvu.PrintArea" localSheetId="6" hidden="1">S4.2!$A$1:$Z$46</definedName>
    <definedName name="Z_275E5119_9E8C_43ED_ACD2_DF40CF10B219_.wvu.PrintArea" localSheetId="7" hidden="1">'S5.1 '!$A$1:$R$58</definedName>
    <definedName name="Z_275E5119_9E8C_43ED_ACD2_DF40CF10B219_.wvu.PrintArea" localSheetId="8" hidden="1">S5.2!$A$1:$M$291</definedName>
    <definedName name="Z_275E5119_9E8C_43ED_ACD2_DF40CF10B219_.wvu.PrintArea" localSheetId="9" hidden="1">S5.3!$A$1:$T$29</definedName>
    <definedName name="Z_275E5119_9E8C_43ED_ACD2_DF40CF10B219_.wvu.PrintArea" localSheetId="10" hidden="1">S7.1!$A$1:$Z$25</definedName>
    <definedName name="Z_275E5119_9E8C_43ED_ACD2_DF40CF10B219_.wvu.PrintArea" localSheetId="11" hidden="1">S7.2!$A$1:$J$62</definedName>
    <definedName name="Z_275E5119_9E8C_43ED_ACD2_DF40CF10B219_.wvu.PrintArea" localSheetId="12" hidden="1">S7.3!$A$1:$K$62</definedName>
    <definedName name="Z_275E5119_9E8C_43ED_ACD2_DF40CF10B219_.wvu.PrintArea" localSheetId="14" hidden="1">S7.5!$A$1:$V$61</definedName>
    <definedName name="Z_275E5119_9E8C_43ED_ACD2_DF40CF10B219_.wvu.PrintArea" localSheetId="15" hidden="1">S8.1!$A$1:$O$131</definedName>
    <definedName name="Z_275E5119_9E8C_43ED_ACD2_DF40CF10B219_.wvu.PrintArea" localSheetId="23" hidden="1">S8.10!$A$1:$Z$45</definedName>
    <definedName name="Z_275E5119_9E8C_43ED_ACD2_DF40CF10B219_.wvu.PrintArea" localSheetId="24" hidden="1">S8.11!$A$1:$Y$48</definedName>
    <definedName name="Z_275E5119_9E8C_43ED_ACD2_DF40CF10B219_.wvu.PrintArea" localSheetId="25" hidden="1">S8.12!$A$2:$X$28</definedName>
    <definedName name="Z_275E5119_9E8C_43ED_ACD2_DF40CF10B219_.wvu.PrintArea" localSheetId="16" hidden="1">'S8.2 &amp; 8.3'!$A$5:$N$348</definedName>
    <definedName name="Z_275E5119_9E8C_43ED_ACD2_DF40CF10B219_.wvu.PrintArea" localSheetId="17" hidden="1">'S8.4 '!$A$1:$Y$44</definedName>
    <definedName name="Z_275E5119_9E8C_43ED_ACD2_DF40CF10B219_.wvu.PrintArea" localSheetId="18" hidden="1">S8.5!$A$1:$Y$38</definedName>
    <definedName name="Z_275E5119_9E8C_43ED_ACD2_DF40CF10B219_.wvu.PrintArea" localSheetId="19" hidden="1">'S8.6 '!$A$1:$Y$36</definedName>
    <definedName name="Z_275E5119_9E8C_43ED_ACD2_DF40CF10B219_.wvu.PrintArea" localSheetId="20" hidden="1">S8.7!$A$1:$X$32</definedName>
    <definedName name="Z_275E5119_9E8C_43ED_ACD2_DF40CF10B219_.wvu.PrintArea" localSheetId="21" hidden="1">'S8.8 '!$A$1:$Z$57</definedName>
    <definedName name="Z_275E5119_9E8C_43ED_ACD2_DF40CF10B219_.wvu.PrintArea" localSheetId="22" hidden="1">S8.9!$A$1:$O$23</definedName>
    <definedName name="Z_275E5119_9E8C_43ED_ACD2_DF40CF10B219_.wvu.PrintArea" localSheetId="26" hidden="1">S9.1!$A$1:$Y$44</definedName>
    <definedName name="Z_275E5119_9E8C_43ED_ACD2_DF40CF10B219_.wvu.PrintTitles" localSheetId="10" hidden="1">S7.1!$B:$C,S7.1!$3:$8</definedName>
    <definedName name="Z_275E5119_9E8C_43ED_ACD2_DF40CF10B219_.wvu.PrintTitles" localSheetId="11" hidden="1">S7.2!$B:$C,S7.2!$3:$8</definedName>
    <definedName name="Z_275E5119_9E8C_43ED_ACD2_DF40CF10B219_.wvu.PrintTitles" localSheetId="12" hidden="1">S7.3!$B:$C,S7.3!$3:$8</definedName>
    <definedName name="Z_275E5119_9E8C_43ED_ACD2_DF40CF10B219_.wvu.PrintTitles" localSheetId="14" hidden="1">S7.5!$B:$C,S7.5!$3:$8</definedName>
    <definedName name="Z_275E5119_9E8C_43ED_ACD2_DF40CF10B219_.wvu.PrintTitles" localSheetId="15" hidden="1">S8.1!$1:$8</definedName>
    <definedName name="Z_418DF6FE_13EF_11D2_8C37_00A0C92A9A63_.wvu.Rows" localSheetId="9" hidden="1">[5]WAF!$A$8:$IV$103,[5]WAF!$A$354:$IV$364,[5]WAF!$A$366:$IV$371,[5]WAF!$A$386:$IV$409,[5]WAF!#REF!,[5]WAF!#REF!,[5]WAF!#REF!</definedName>
    <definedName name="Z_418DF6FE_13EF_11D2_8C37_00A0C92A9A63_.wvu.Rows" localSheetId="22" hidden="1">[5]WAF!$A$8:$IV$103,[5]WAF!$A$354:$IV$364,[5]WAF!$A$366:$IV$371,[5]WAF!$A$386:$IV$409,[5]WAF!#REF!,[5]WAF!#REF!,[5]WAF!#REF!</definedName>
    <definedName name="Z_418DF6FE_13EF_11D2_8C37_00A0C92A9A63_.wvu.Rows" hidden="1">[5]WAF!$A$8:$IV$103,[5]WAF!$A$354:$IV$364,[5]WAF!$A$366:$IV$371,[5]WAF!$A$386:$IV$409,[5]WAF!#REF!,[5]WAF!#REF!,[5]WAF!#REF!</definedName>
  </definedNames>
  <calcPr calcId="125725"/>
  <customWorkbookViews>
    <customWorkbookView name="Rob Pitzel - Personal View" guid="{275E5119-9E8C-43ED-ACD2-DF40CF10B219}" mergeInterval="0" personalView="1" maximized="1" xWindow="1" yWindow="1" windowWidth="1276" windowHeight="738" tabRatio="978" activeSheetId="20" showObjects="none"/>
    <customWorkbookView name="Randy Morgan - Personal View" guid="{D346ECD1-ED60-4F74-8B02-572F89E41ACB}" mergeInterval="0" personalView="1" maximized="1" windowWidth="1276" windowHeight="777" tabRatio="978" activeSheetId="2" showObjects="none"/>
  </customWorkbookViews>
</workbook>
</file>

<file path=xl/calcChain.xml><?xml version="1.0" encoding="utf-8"?>
<calcChain xmlns="http://schemas.openxmlformats.org/spreadsheetml/2006/main">
  <c r="O9" i="7"/>
  <c r="M9"/>
  <c r="K9"/>
  <c r="I9"/>
  <c r="G9"/>
  <c r="G23" i="2" l="1"/>
  <c r="K19" i="7"/>
  <c r="K17" i="2" s="1"/>
  <c r="Y11" l="1"/>
  <c r="W11"/>
  <c r="U11"/>
  <c r="S11"/>
  <c r="Q11"/>
  <c r="I28" i="13" l="1"/>
  <c r="O19" i="8" l="1"/>
  <c r="H17" i="13" l="1"/>
  <c r="H25"/>
  <c r="H44"/>
  <c r="H58"/>
  <c r="I12"/>
  <c r="G12"/>
  <c r="S24" i="35"/>
  <c r="Q24"/>
  <c r="I24"/>
  <c r="J24"/>
  <c r="K24"/>
  <c r="L24"/>
  <c r="M24"/>
  <c r="N24"/>
  <c r="O24"/>
  <c r="H24"/>
  <c r="G44" i="9" l="1"/>
  <c r="G55"/>
  <c r="O26" i="8" l="1"/>
  <c r="O38" l="1"/>
  <c r="G9" i="27"/>
  <c r="O26" l="1"/>
  <c r="I9"/>
  <c r="K9"/>
  <c r="I15"/>
  <c r="G41" i="3"/>
  <c r="I41"/>
  <c r="U61" i="22" l="1"/>
  <c r="S61"/>
  <c r="Q61"/>
  <c r="W78" l="1"/>
  <c r="W80" s="1"/>
  <c r="M9" i="27"/>
  <c r="G104" i="16" l="1"/>
  <c r="G94"/>
  <c r="G84"/>
  <c r="H240" i="17"/>
  <c r="G12" i="22"/>
  <c r="G15" i="27"/>
  <c r="U22" i="18" l="1"/>
  <c r="S22"/>
  <c r="Q22"/>
  <c r="O22"/>
  <c r="M22"/>
  <c r="K22"/>
  <c r="I22"/>
  <c r="G22"/>
  <c r="G18" i="27" l="1"/>
  <c r="I18"/>
  <c r="M26" l="1"/>
  <c r="M17" l="1"/>
  <c r="K17"/>
  <c r="I29"/>
  <c r="G29"/>
  <c r="G25"/>
  <c r="O22" i="5" l="1"/>
  <c r="G17" i="27" l="1"/>
  <c r="G23"/>
  <c r="I27" i="5" l="1"/>
  <c r="I16" i="2" s="1"/>
  <c r="D11" i="41"/>
  <c r="G23" i="24" l="1"/>
  <c r="M28"/>
  <c r="M27"/>
  <c r="U35"/>
  <c r="S35"/>
  <c r="Q35"/>
  <c r="O29" i="27" l="1"/>
  <c r="G27" i="5" l="1"/>
  <c r="G16" i="2" s="1"/>
  <c r="K27" i="20"/>
  <c r="K14" i="22"/>
  <c r="K52" l="1"/>
  <c r="G62" l="1"/>
  <c r="G64" s="1"/>
  <c r="G78"/>
  <c r="G80" s="1"/>
  <c r="G70"/>
  <c r="M27" i="20"/>
  <c r="M50" i="22"/>
  <c r="M14" i="20" s="1"/>
  <c r="I67" i="22" l="1"/>
  <c r="G72"/>
  <c r="G25" s="1"/>
  <c r="I59"/>
  <c r="I62" s="1"/>
  <c r="K59" s="1"/>
  <c r="K62" s="1"/>
  <c r="I75"/>
  <c r="I78" s="1"/>
  <c r="K75" s="1"/>
  <c r="K78" s="1"/>
  <c r="K80" s="1"/>
  <c r="I70"/>
  <c r="K67" s="1"/>
  <c r="I64" l="1"/>
  <c r="I80"/>
  <c r="M59"/>
  <c r="M62" s="1"/>
  <c r="K64"/>
  <c r="I72"/>
  <c r="I25" s="1"/>
  <c r="K70"/>
  <c r="M67" s="1"/>
  <c r="O59" l="1"/>
  <c r="O62" s="1"/>
  <c r="M64"/>
  <c r="K72"/>
  <c r="K25" s="1"/>
  <c r="M70"/>
  <c r="O64" l="1"/>
  <c r="Q59"/>
  <c r="M72"/>
  <c r="M25" s="1"/>
  <c r="O67"/>
  <c r="O70" s="1"/>
  <c r="O72" l="1"/>
  <c r="O25" s="1"/>
  <c r="Q67"/>
  <c r="I56" i="13" l="1"/>
  <c r="J56" s="1"/>
  <c r="G56" i="14" l="1"/>
  <c r="G56" i="36"/>
  <c r="I56" i="14"/>
  <c r="J56" l="1"/>
  <c r="N23" i="25"/>
  <c r="O12" i="22" l="1"/>
  <c r="I56" i="36" l="1"/>
  <c r="J56" s="1"/>
  <c r="G17" i="22" l="1"/>
  <c r="U17" l="1"/>
  <c r="S17"/>
  <c r="Q17"/>
  <c r="I17" l="1"/>
  <c r="M75" l="1"/>
  <c r="K17"/>
  <c r="M78" l="1"/>
  <c r="M80" l="1"/>
  <c r="M17" s="1"/>
  <c r="O75"/>
  <c r="O78" s="1"/>
  <c r="Q78" s="1"/>
  <c r="Q80" s="1"/>
  <c r="Q26" s="1"/>
  <c r="O80" l="1"/>
  <c r="O17" s="1"/>
  <c r="S75"/>
  <c r="S78" l="1"/>
  <c r="U75" s="1"/>
  <c r="S80" l="1"/>
  <c r="S26" s="1"/>
  <c r="U78"/>
  <c r="U80" l="1"/>
  <c r="U26" s="1"/>
  <c r="Y78" l="1"/>
  <c r="Y80" s="1"/>
  <c r="Y16" l="1"/>
  <c r="W16"/>
  <c r="Y15"/>
  <c r="W15"/>
  <c r="O24"/>
  <c r="M24"/>
  <c r="K24"/>
  <c r="I24"/>
  <c r="G24"/>
  <c r="U36" i="24"/>
  <c r="S36"/>
  <c r="Q36"/>
  <c r="A11" i="14" l="1"/>
  <c r="A11" i="13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11" i="2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10" i="2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X13" i="26"/>
  <c r="V13"/>
  <c r="N13"/>
  <c r="L13"/>
  <c r="J13"/>
  <c r="F13"/>
  <c r="V24"/>
  <c r="A10"/>
  <c r="A11" s="1"/>
  <c r="A12" s="1"/>
  <c r="A13" l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223" i="17" l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S10" i="24"/>
  <c r="Q10"/>
  <c r="U10"/>
  <c r="M43" i="3"/>
  <c r="G42"/>
  <c r="I42"/>
  <c r="K42"/>
  <c r="M42"/>
  <c r="O42"/>
  <c r="I43"/>
  <c r="K43"/>
  <c r="AC43"/>
  <c r="Z43"/>
  <c r="I23" i="40" l="1"/>
  <c r="I16"/>
  <c r="Q31" i="22" s="1"/>
  <c r="O30" i="18" l="1"/>
  <c r="A10" i="4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K16" l="1"/>
  <c r="M16"/>
  <c r="U16" i="22" l="1"/>
  <c r="S16"/>
  <c r="Q16"/>
  <c r="U15"/>
  <c r="S15"/>
  <c r="Q15"/>
  <c r="Q62"/>
  <c r="Q70"/>
  <c r="Q64" l="1"/>
  <c r="Q24" s="1"/>
  <c r="S67"/>
  <c r="S70" s="1"/>
  <c r="U67" s="1"/>
  <c r="Q72"/>
  <c r="Q25" s="1"/>
  <c r="M23" i="40" l="1"/>
  <c r="K23"/>
  <c r="S31" i="22" s="1"/>
  <c r="S72"/>
  <c r="S25" s="1"/>
  <c r="U70"/>
  <c r="U72" l="1"/>
  <c r="U25" s="1"/>
  <c r="W70"/>
  <c r="W72" l="1"/>
  <c r="Y70"/>
  <c r="Y72" s="1"/>
  <c r="T42" i="3"/>
  <c r="Q42"/>
  <c r="Q62"/>
  <c r="Q11" i="6" s="1"/>
  <c r="W42" i="3"/>
  <c r="O31" i="24"/>
  <c r="U34"/>
  <c r="S34"/>
  <c r="Q34"/>
  <c r="O34"/>
  <c r="U33"/>
  <c r="S33"/>
  <c r="Q33"/>
  <c r="O33"/>
  <c r="U32"/>
  <c r="S32"/>
  <c r="Q32"/>
  <c r="O32"/>
  <c r="R32"/>
  <c r="U31"/>
  <c r="Q31"/>
  <c r="S31"/>
  <c r="R31"/>
  <c r="O22"/>
  <c r="U25" i="23"/>
  <c r="U23"/>
  <c r="S25"/>
  <c r="Q25"/>
  <c r="Q19"/>
  <c r="O23"/>
  <c r="O19"/>
  <c r="O12"/>
  <c r="K27" i="5" l="1"/>
  <c r="K16" i="2" s="1"/>
  <c r="A23" i="3" l="1"/>
  <c r="A24" s="1"/>
  <c r="A25" s="1"/>
  <c r="A26" s="1"/>
  <c r="A27" s="1"/>
  <c r="A28" s="1"/>
  <c r="A30" s="1"/>
  <c r="A31" s="1"/>
  <c r="A32" s="1"/>
  <c r="A33" s="1"/>
  <c r="A35" s="1"/>
  <c r="A36" s="1"/>
  <c r="A37" s="1"/>
  <c r="A38" s="1"/>
  <c r="A40" s="1"/>
  <c r="A41" s="1"/>
  <c r="A42" s="1"/>
  <c r="A43" s="1"/>
  <c r="A44" s="1"/>
  <c r="A46" s="1"/>
  <c r="A47" s="1"/>
  <c r="A48" s="1"/>
  <c r="A49" s="1"/>
  <c r="A50" s="1"/>
  <c r="A51" s="1"/>
  <c r="M27" i="5"/>
  <c r="K23" i="2"/>
  <c r="T43" i="3" l="1"/>
  <c r="W43"/>
  <c r="Q63"/>
  <c r="Q43"/>
  <c r="Q78" s="1"/>
  <c r="G41" i="13" l="1"/>
  <c r="E58" l="1"/>
  <c r="O44" i="8" l="1"/>
  <c r="Q40"/>
  <c r="Q38"/>
  <c r="T24" i="25"/>
  <c r="R24"/>
  <c r="P24"/>
  <c r="H296" i="17"/>
  <c r="H295"/>
  <c r="H264"/>
  <c r="S17" i="7"/>
  <c r="U17" s="1"/>
  <c r="O68" i="3" l="1"/>
  <c r="F290" i="17" l="1"/>
  <c r="F291"/>
  <c r="F292"/>
  <c r="F293"/>
  <c r="F294"/>
  <c r="F297"/>
  <c r="F289"/>
  <c r="F259"/>
  <c r="F260"/>
  <c r="F261"/>
  <c r="F262"/>
  <c r="F263"/>
  <c r="F265"/>
  <c r="F258"/>
  <c r="F235"/>
  <c r="F236"/>
  <c r="F237"/>
  <c r="F238"/>
  <c r="F239"/>
  <c r="F240"/>
  <c r="F234"/>
  <c r="F157"/>
  <c r="F158"/>
  <c r="F159"/>
  <c r="F160"/>
  <c r="F161"/>
  <c r="F162"/>
  <c r="R29" i="15" l="1"/>
  <c r="P29"/>
  <c r="N29"/>
  <c r="G31" i="20"/>
  <c r="W58" i="3"/>
  <c r="Q58"/>
  <c r="W38"/>
  <c r="Q38"/>
  <c r="T38"/>
  <c r="W28"/>
  <c r="Q28"/>
  <c r="T28"/>
  <c r="Q19"/>
  <c r="T63"/>
  <c r="W61"/>
  <c r="N58" i="15" l="1"/>
  <c r="N44"/>
  <c r="P44"/>
  <c r="R58"/>
  <c r="P58"/>
  <c r="N25"/>
  <c r="P25"/>
  <c r="R17"/>
  <c r="N17"/>
  <c r="P17"/>
  <c r="R44"/>
  <c r="R25"/>
  <c r="W19" i="3"/>
  <c r="Q14"/>
  <c r="T19"/>
  <c r="W21"/>
  <c r="W14"/>
  <c r="T12"/>
  <c r="W62"/>
  <c r="U11" i="6" s="1"/>
  <c r="T14" i="3"/>
  <c r="Q21"/>
  <c r="T21"/>
  <c r="T26"/>
  <c r="W26"/>
  <c r="Q33"/>
  <c r="T33"/>
  <c r="Q56"/>
  <c r="T58"/>
  <c r="T62"/>
  <c r="Q61"/>
  <c r="Q26"/>
  <c r="W33"/>
  <c r="T56"/>
  <c r="W56"/>
  <c r="T66"/>
  <c r="T70" s="1"/>
  <c r="W41"/>
  <c r="W12"/>
  <c r="T41"/>
  <c r="T61"/>
  <c r="Q41"/>
  <c r="W44"/>
  <c r="W63"/>
  <c r="Q12"/>
  <c r="T78"/>
  <c r="T80" s="1"/>
  <c r="T64" l="1"/>
  <c r="S11" i="6"/>
  <c r="S12" i="24"/>
  <c r="Q80" i="3"/>
  <c r="D26" i="41"/>
  <c r="R60" i="15"/>
  <c r="U10" i="12" s="1"/>
  <c r="P60" i="15"/>
  <c r="S10" i="12" s="1"/>
  <c r="N60" i="15"/>
  <c r="Q10" i="12" s="1"/>
  <c r="T44" i="3"/>
  <c r="W64"/>
  <c r="W66"/>
  <c r="W70" s="1"/>
  <c r="U12" i="24" s="1"/>
  <c r="Q66" i="3"/>
  <c r="Q64"/>
  <c r="Q44"/>
  <c r="I54" i="36" l="1"/>
  <c r="H29"/>
  <c r="I54" i="14"/>
  <c r="H29"/>
  <c r="T13" i="26" l="1"/>
  <c r="R13"/>
  <c r="P13"/>
  <c r="Q26" i="27"/>
  <c r="I57" i="14" l="1"/>
  <c r="Q31" i="27"/>
  <c r="I55" i="36"/>
  <c r="I55" i="14"/>
  <c r="G32" i="13"/>
  <c r="I55" l="1"/>
  <c r="J55" s="1"/>
  <c r="I57" i="36"/>
  <c r="S31" i="27"/>
  <c r="U31"/>
  <c r="E44" i="13"/>
  <c r="G50"/>
  <c r="O21" i="2"/>
  <c r="N24" i="25"/>
  <c r="L24"/>
  <c r="O25" i="24" l="1"/>
  <c r="L58" i="15" l="1"/>
  <c r="L44"/>
  <c r="L29"/>
  <c r="L25"/>
  <c r="L17"/>
  <c r="J58"/>
  <c r="J44"/>
  <c r="J29"/>
  <c r="J25"/>
  <c r="J17"/>
  <c r="J60" l="1"/>
  <c r="L60"/>
  <c r="O10" i="12" s="1"/>
  <c r="G57" i="36"/>
  <c r="J57" s="1"/>
  <c r="G55"/>
  <c r="J55" s="1"/>
  <c r="G54"/>
  <c r="J54" s="1"/>
  <c r="I52"/>
  <c r="I50"/>
  <c r="I41"/>
  <c r="I39"/>
  <c r="I28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I28" i="14"/>
  <c r="I39"/>
  <c r="I41"/>
  <c r="I42"/>
  <c r="I49"/>
  <c r="I52"/>
  <c r="I53"/>
  <c r="I29" i="36" l="1"/>
  <c r="G42"/>
  <c r="I42"/>
  <c r="G49"/>
  <c r="I49"/>
  <c r="G53"/>
  <c r="I53"/>
  <c r="I29" i="14"/>
  <c r="G39" i="36"/>
  <c r="J39" s="1"/>
  <c r="G52"/>
  <c r="J52" s="1"/>
  <c r="G41"/>
  <c r="J41" s="1"/>
  <c r="O28" i="35"/>
  <c r="N28"/>
  <c r="M28"/>
  <c r="J53" i="36" l="1"/>
  <c r="J42"/>
  <c r="J49"/>
  <c r="K296" i="17" l="1"/>
  <c r="F296" s="1"/>
  <c r="K264"/>
  <c r="K295" l="1"/>
  <c r="F295" s="1"/>
  <c r="F264"/>
  <c r="S59" i="22" l="1"/>
  <c r="S62" s="1"/>
  <c r="S64" s="1"/>
  <c r="S24" s="1"/>
  <c r="U59" l="1"/>
  <c r="U62" s="1"/>
  <c r="W62" s="1"/>
  <c r="W64" l="1"/>
  <c r="W24" s="1"/>
  <c r="Y62"/>
  <c r="Y64" s="1"/>
  <c r="Y24" s="1"/>
  <c r="U64"/>
  <c r="U24" s="1"/>
  <c r="P14" i="21" l="1"/>
  <c r="I50" i="14"/>
  <c r="I47" i="36" l="1"/>
  <c r="P22" i="21"/>
  <c r="P29"/>
  <c r="I51" i="36"/>
  <c r="V29" i="21"/>
  <c r="P31" l="1"/>
  <c r="O15" i="20" s="1"/>
  <c r="I58" i="36"/>
  <c r="I47" i="14"/>
  <c r="G48" i="36"/>
  <c r="J48" s="1"/>
  <c r="H58"/>
  <c r="G50"/>
  <c r="J50" s="1"/>
  <c r="I50" i="13"/>
  <c r="T22" i="21"/>
  <c r="O31" i="18"/>
  <c r="M30"/>
  <c r="M31"/>
  <c r="M18" i="27" s="1"/>
  <c r="G38" i="36" l="1"/>
  <c r="J38" s="1"/>
  <c r="R29" i="21"/>
  <c r="M27" i="27"/>
  <c r="Q31" i="18"/>
  <c r="O18" i="27"/>
  <c r="O27"/>
  <c r="V22" i="21"/>
  <c r="R22"/>
  <c r="T29"/>
  <c r="S31" i="18" l="1"/>
  <c r="U31" s="1"/>
  <c r="Q18" i="27"/>
  <c r="G51" i="36"/>
  <c r="J51" s="1"/>
  <c r="G47"/>
  <c r="O49" i="3"/>
  <c r="M16" i="5"/>
  <c r="O17"/>
  <c r="I51" i="14" l="1"/>
  <c r="I58" s="1"/>
  <c r="H58"/>
  <c r="J47" i="36"/>
  <c r="J58" s="1"/>
  <c r="G58"/>
  <c r="E58"/>
  <c r="K15" i="9" l="1"/>
  <c r="K31"/>
  <c r="K55"/>
  <c r="K44"/>
  <c r="K26"/>
  <c r="K35"/>
  <c r="O43" i="3"/>
  <c r="M17" i="5"/>
  <c r="U29" i="20"/>
  <c r="S29"/>
  <c r="Q29"/>
  <c r="O29"/>
  <c r="Q70" i="3" l="1"/>
  <c r="U20" i="20"/>
  <c r="U15" i="19" s="1"/>
  <c r="S20" i="20"/>
  <c r="S15" i="19" s="1"/>
  <c r="Q20" i="20"/>
  <c r="Q15" i="19" s="1"/>
  <c r="O20" i="20"/>
  <c r="O15" i="19" s="1"/>
  <c r="M20" i="20"/>
  <c r="M15" i="19" s="1"/>
  <c r="U23" i="2"/>
  <c r="S23"/>
  <c r="Q23"/>
  <c r="O23"/>
  <c r="H112" i="17"/>
  <c r="H134"/>
  <c r="M112"/>
  <c r="M135" s="1"/>
  <c r="L112"/>
  <c r="L135" s="1"/>
  <c r="M84"/>
  <c r="M113" s="1"/>
  <c r="L84"/>
  <c r="L113" s="1"/>
  <c r="F111"/>
  <c r="F110"/>
  <c r="T14" i="21"/>
  <c r="T31" s="1"/>
  <c r="V14"/>
  <c r="V31" s="1"/>
  <c r="R14"/>
  <c r="R31" s="1"/>
  <c r="L297" i="17"/>
  <c r="L296"/>
  <c r="L295"/>
  <c r="H298"/>
  <c r="L265"/>
  <c r="L264"/>
  <c r="I263"/>
  <c r="L263" s="1"/>
  <c r="M263" s="1"/>
  <c r="L262"/>
  <c r="U26" i="19"/>
  <c r="S26"/>
  <c r="Q26"/>
  <c r="O26"/>
  <c r="L240" i="17"/>
  <c r="M240" s="1"/>
  <c r="L238"/>
  <c r="M238" s="1"/>
  <c r="H163"/>
  <c r="D12" i="41" l="1"/>
  <c r="D13" s="1"/>
  <c r="Q22" i="24"/>
  <c r="Q12" i="23"/>
  <c r="Q12" i="24"/>
  <c r="R72" i="3"/>
  <c r="L266" i="17"/>
  <c r="U15" i="20"/>
  <c r="H241" i="17"/>
  <c r="M297"/>
  <c r="M265"/>
  <c r="M295"/>
  <c r="M296"/>
  <c r="H266"/>
  <c r="I294"/>
  <c r="L294" s="1"/>
  <c r="M294" s="1"/>
  <c r="S15" i="20"/>
  <c r="Q15"/>
  <c r="I297" i="17"/>
  <c r="I295"/>
  <c r="I296"/>
  <c r="I265"/>
  <c r="M264"/>
  <c r="M262"/>
  <c r="I264"/>
  <c r="I240"/>
  <c r="I239"/>
  <c r="L239" s="1"/>
  <c r="I162"/>
  <c r="L162" s="1"/>
  <c r="U24" i="27"/>
  <c r="S24"/>
  <c r="Q24"/>
  <c r="O24"/>
  <c r="O33" s="1"/>
  <c r="M24"/>
  <c r="S22" i="24" l="1"/>
  <c r="S12" i="23"/>
  <c r="M239" i="17"/>
  <c r="L241"/>
  <c r="L299"/>
  <c r="M266"/>
  <c r="Q31" i="20"/>
  <c r="U31"/>
  <c r="O31"/>
  <c r="S31"/>
  <c r="M162" i="17"/>
  <c r="U12" i="23" l="1"/>
  <c r="U22" i="24"/>
  <c r="M241" i="17"/>
  <c r="N241" s="1"/>
  <c r="N267" s="1"/>
  <c r="L267"/>
  <c r="L268" s="1"/>
  <c r="L269" s="1"/>
  <c r="M299"/>
  <c r="N266"/>
  <c r="N299" s="1"/>
  <c r="U25" i="27"/>
  <c r="S25"/>
  <c r="Q25"/>
  <c r="M25"/>
  <c r="M33" s="1"/>
  <c r="U16"/>
  <c r="S16"/>
  <c r="Q16"/>
  <c r="O16"/>
  <c r="M16"/>
  <c r="M267" i="17" l="1"/>
  <c r="M268" s="1"/>
  <c r="Q27" i="27"/>
  <c r="Q33" s="1"/>
  <c r="U18"/>
  <c r="U27"/>
  <c r="U33" s="1"/>
  <c r="S18"/>
  <c r="S27"/>
  <c r="S33" s="1"/>
  <c r="U14" i="22" l="1"/>
  <c r="U12"/>
  <c r="S14"/>
  <c r="S12"/>
  <c r="Q14"/>
  <c r="Q12"/>
  <c r="O14"/>
  <c r="O18" s="1"/>
  <c r="Q18" l="1"/>
  <c r="U18"/>
  <c r="S18"/>
  <c r="S15" i="27" s="1"/>
  <c r="O15"/>
  <c r="O19" i="7"/>
  <c r="O17" i="2" s="1"/>
  <c r="O13" i="12"/>
  <c r="O20" i="2" s="1"/>
  <c r="O11" i="23" l="1"/>
  <c r="O22" i="2"/>
  <c r="S22"/>
  <c r="O28" i="20"/>
  <c r="Q15" i="27"/>
  <c r="Q22" i="2"/>
  <c r="U15" i="27"/>
  <c r="U22" i="2"/>
  <c r="Q44" i="8"/>
  <c r="Q26"/>
  <c r="Q9" i="7" s="1"/>
  <c r="Q41" i="8"/>
  <c r="S44"/>
  <c r="S43"/>
  <c r="S40"/>
  <c r="S39"/>
  <c r="O39"/>
  <c r="O40"/>
  <c r="O41"/>
  <c r="O43"/>
  <c r="O11" i="27" l="1"/>
  <c r="O24" i="24"/>
  <c r="O41" i="23"/>
  <c r="O43" s="1"/>
  <c r="U41" i="8"/>
  <c r="Q39"/>
  <c r="U40"/>
  <c r="S41"/>
  <c r="U39"/>
  <c r="U44"/>
  <c r="S26"/>
  <c r="S9" i="7" s="1"/>
  <c r="U26" i="8"/>
  <c r="U9" i="7" s="1"/>
  <c r="U43" i="8"/>
  <c r="S38"/>
  <c r="U38"/>
  <c r="O45"/>
  <c r="O13" i="7" s="1"/>
  <c r="O21" s="1"/>
  <c r="S45" i="8" l="1"/>
  <c r="S13" i="7" s="1"/>
  <c r="U45" i="8"/>
  <c r="S19" i="7" l="1"/>
  <c r="S17" i="2" s="1"/>
  <c r="U19" i="7"/>
  <c r="U17" i="2" s="1"/>
  <c r="U13" i="7"/>
  <c r="U11" i="23" l="1"/>
  <c r="S11"/>
  <c r="S21" i="7"/>
  <c r="U21"/>
  <c r="O27" i="5"/>
  <c r="O16" i="2" s="1"/>
  <c r="O13" i="5"/>
  <c r="O27" i="6" s="1"/>
  <c r="T35" i="26"/>
  <c r="R35"/>
  <c r="T24"/>
  <c r="T16"/>
  <c r="R24"/>
  <c r="R16"/>
  <c r="P35"/>
  <c r="P24"/>
  <c r="P16"/>
  <c r="P39" l="1"/>
  <c r="O38" i="3"/>
  <c r="O51"/>
  <c r="O58"/>
  <c r="O62"/>
  <c r="O11" i="6" s="1"/>
  <c r="O19" i="3"/>
  <c r="O21"/>
  <c r="O61"/>
  <c r="O63"/>
  <c r="O33"/>
  <c r="O56"/>
  <c r="W78"/>
  <c r="W80" s="1"/>
  <c r="O12"/>
  <c r="O14"/>
  <c r="O41"/>
  <c r="O44"/>
  <c r="U13" i="6"/>
  <c r="S13"/>
  <c r="X72" i="3"/>
  <c r="X74" s="1"/>
  <c r="U72"/>
  <c r="U74" s="1"/>
  <c r="K31" i="20"/>
  <c r="X81" i="3" l="1"/>
  <c r="S17" i="6"/>
  <c r="U81" i="3"/>
  <c r="U17" i="6"/>
  <c r="O64" i="3"/>
  <c r="O66"/>
  <c r="O70" s="1"/>
  <c r="O14" i="4"/>
  <c r="O12" i="2" s="1"/>
  <c r="Q14" i="4"/>
  <c r="Q12" i="2" s="1"/>
  <c r="I29" i="20"/>
  <c r="T9" i="26"/>
  <c r="R9"/>
  <c r="P9"/>
  <c r="P41" s="1"/>
  <c r="N9"/>
  <c r="N35"/>
  <c r="N24"/>
  <c r="N16"/>
  <c r="L24"/>
  <c r="L16"/>
  <c r="L35"/>
  <c r="O10" i="24" l="1"/>
  <c r="O12" s="1"/>
  <c r="O11" i="2"/>
  <c r="Q13"/>
  <c r="O15" i="6"/>
  <c r="L39" i="26"/>
  <c r="S14" i="4"/>
  <c r="S12" i="2" s="1"/>
  <c r="U14" i="4"/>
  <c r="U12" i="2" s="1"/>
  <c r="N39" i="26"/>
  <c r="O37" i="24" s="1"/>
  <c r="R39" i="26"/>
  <c r="T39"/>
  <c r="T41" s="1"/>
  <c r="U13" i="2" l="1"/>
  <c r="S13"/>
  <c r="U13" i="20"/>
  <c r="U16" s="1"/>
  <c r="U37" i="24"/>
  <c r="Q37"/>
  <c r="R41" i="26"/>
  <c r="S13" i="20" s="1"/>
  <c r="S16" s="1"/>
  <c r="S37" i="24"/>
  <c r="Q13" i="6"/>
  <c r="N41" i="26"/>
  <c r="O13" i="20" s="1"/>
  <c r="O16" s="1"/>
  <c r="X14" i="21"/>
  <c r="Z14"/>
  <c r="X22"/>
  <c r="Z22"/>
  <c r="X29"/>
  <c r="Z29"/>
  <c r="L293" i="17"/>
  <c r="L298" s="1"/>
  <c r="L300" s="1"/>
  <c r="L161"/>
  <c r="L163" s="1"/>
  <c r="L242" s="1"/>
  <c r="L243" s="1"/>
  <c r="S28" i="35"/>
  <c r="Q28"/>
  <c r="A10"/>
  <c r="X31" i="21" l="1"/>
  <c r="A11" i="35"/>
  <c r="A12" s="1"/>
  <c r="Z31" i="21"/>
  <c r="Q13" i="20"/>
  <c r="Q16" s="1"/>
  <c r="Q17" i="6"/>
  <c r="Q27" s="1"/>
  <c r="K28" i="35"/>
  <c r="H28"/>
  <c r="J28"/>
  <c r="L28"/>
  <c r="M161" i="17"/>
  <c r="M163" s="1"/>
  <c r="M242" s="1"/>
  <c r="M293"/>
  <c r="M298" s="1"/>
  <c r="M300" s="1"/>
  <c r="I28" i="35" l="1"/>
  <c r="A13"/>
  <c r="A14" s="1"/>
  <c r="A15" s="1"/>
  <c r="N163" i="17"/>
  <c r="N242" s="1"/>
  <c r="N298"/>
  <c r="A16" i="35" l="1"/>
  <c r="A17" s="1"/>
  <c r="A18" s="1"/>
  <c r="A19" s="1"/>
  <c r="A20" s="1"/>
  <c r="A21" s="1"/>
  <c r="A22" s="1"/>
  <c r="A23" s="1"/>
  <c r="A24" s="1"/>
  <c r="A25" s="1"/>
  <c r="A26" s="1"/>
  <c r="A27" s="1"/>
  <c r="A28" s="1"/>
  <c r="I31" i="9" l="1"/>
  <c r="O35"/>
  <c r="M15"/>
  <c r="I26"/>
  <c r="O15"/>
  <c r="O44"/>
  <c r="M26"/>
  <c r="M31"/>
  <c r="G35"/>
  <c r="Q35"/>
  <c r="Q44"/>
  <c r="O55"/>
  <c r="G15"/>
  <c r="Q15"/>
  <c r="O26"/>
  <c r="O31"/>
  <c r="I35"/>
  <c r="I44"/>
  <c r="Q55"/>
  <c r="I55"/>
  <c r="I15"/>
  <c r="G26"/>
  <c r="Q26"/>
  <c r="G31"/>
  <c r="Q31"/>
  <c r="M35"/>
  <c r="M44"/>
  <c r="M55"/>
  <c r="K57"/>
  <c r="O18" i="2" s="1"/>
  <c r="P285" i="34"/>
  <c r="N285"/>
  <c r="L285"/>
  <c r="J285"/>
  <c r="H285"/>
  <c r="P277"/>
  <c r="N277"/>
  <c r="L277"/>
  <c r="J277"/>
  <c r="H277"/>
  <c r="P272"/>
  <c r="N272"/>
  <c r="L272"/>
  <c r="J272"/>
  <c r="H272"/>
  <c r="P266"/>
  <c r="N266"/>
  <c r="L266"/>
  <c r="J266"/>
  <c r="H266"/>
  <c r="P254"/>
  <c r="N254"/>
  <c r="L254"/>
  <c r="J254"/>
  <c r="H254"/>
  <c r="P242"/>
  <c r="N242"/>
  <c r="L242"/>
  <c r="J242"/>
  <c r="H242"/>
  <c r="P217"/>
  <c r="N217"/>
  <c r="L217"/>
  <c r="J217"/>
  <c r="H217"/>
  <c r="P208"/>
  <c r="N208"/>
  <c r="L208"/>
  <c r="J208"/>
  <c r="H208"/>
  <c r="P199"/>
  <c r="N199"/>
  <c r="L199"/>
  <c r="J199"/>
  <c r="H199"/>
  <c r="P193"/>
  <c r="N193"/>
  <c r="L193"/>
  <c r="J193"/>
  <c r="H193"/>
  <c r="P176"/>
  <c r="N176"/>
  <c r="L176"/>
  <c r="J176"/>
  <c r="H176"/>
  <c r="P152"/>
  <c r="N152"/>
  <c r="L152"/>
  <c r="J152"/>
  <c r="H152"/>
  <c r="P146"/>
  <c r="N146"/>
  <c r="L146"/>
  <c r="J146"/>
  <c r="H146"/>
  <c r="P132"/>
  <c r="N132"/>
  <c r="L132"/>
  <c r="J132"/>
  <c r="H132"/>
  <c r="P117"/>
  <c r="N117"/>
  <c r="L117"/>
  <c r="J117"/>
  <c r="H117"/>
  <c r="P105"/>
  <c r="N105"/>
  <c r="L105"/>
  <c r="J105"/>
  <c r="H105"/>
  <c r="P92"/>
  <c r="N92"/>
  <c r="L92"/>
  <c r="J92"/>
  <c r="H92"/>
  <c r="P83"/>
  <c r="N83"/>
  <c r="L83"/>
  <c r="J83"/>
  <c r="H83"/>
  <c r="F83"/>
  <c r="P72"/>
  <c r="N72"/>
  <c r="L72"/>
  <c r="J72"/>
  <c r="H72"/>
  <c r="F72"/>
  <c r="P54"/>
  <c r="N54"/>
  <c r="L54"/>
  <c r="J54"/>
  <c r="P43"/>
  <c r="N43"/>
  <c r="L43"/>
  <c r="J43"/>
  <c r="P29"/>
  <c r="N29"/>
  <c r="L29"/>
  <c r="J29"/>
  <c r="P11"/>
  <c r="N11"/>
  <c r="L11"/>
  <c r="J1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70" s="1"/>
  <c r="G57" i="9" l="1"/>
  <c r="K18" i="2" s="1"/>
  <c r="O57" i="9"/>
  <c r="S18" i="2" s="1"/>
  <c r="Q57" i="9"/>
  <c r="U18" i="2" s="1"/>
  <c r="O9" i="23"/>
  <c r="M57" i="9"/>
  <c r="Q18" i="2" s="1"/>
  <c r="U9" i="23" l="1"/>
  <c r="S9"/>
  <c r="Q9"/>
  <c r="L9" i="26" l="1"/>
  <c r="G13" i="3"/>
  <c r="H29" i="34"/>
  <c r="H43"/>
  <c r="H54"/>
  <c r="F29"/>
  <c r="F43"/>
  <c r="F54"/>
  <c r="F11"/>
  <c r="K33" i="3"/>
  <c r="I38"/>
  <c r="I33"/>
  <c r="G61"/>
  <c r="M21" i="2"/>
  <c r="M26" i="19"/>
  <c r="M25" i="23"/>
  <c r="M23"/>
  <c r="M19"/>
  <c r="M12"/>
  <c r="N14" i="21"/>
  <c r="L14"/>
  <c r="J14"/>
  <c r="H14"/>
  <c r="N29"/>
  <c r="N22"/>
  <c r="M29" i="20"/>
  <c r="M13" i="12"/>
  <c r="M20" i="2" s="1"/>
  <c r="M35" i="8"/>
  <c r="M34" i="24"/>
  <c r="M33"/>
  <c r="M32"/>
  <c r="M31"/>
  <c r="M30"/>
  <c r="M29"/>
  <c r="W27"/>
  <c r="W28"/>
  <c r="W29"/>
  <c r="M22"/>
  <c r="M23" i="2"/>
  <c r="G64" i="16"/>
  <c r="M12" i="22"/>
  <c r="M18" s="1"/>
  <c r="F133" i="17"/>
  <c r="L133"/>
  <c r="F132"/>
  <c r="F131"/>
  <c r="A11" i="2"/>
  <c r="A12" s="1"/>
  <c r="A13" s="1"/>
  <c r="A14" s="1"/>
  <c r="A15" s="1"/>
  <c r="A16" s="1"/>
  <c r="A17" s="1"/>
  <c r="A18" s="1"/>
  <c r="W16" i="27"/>
  <c r="W17"/>
  <c r="W18"/>
  <c r="W15"/>
  <c r="W25"/>
  <c r="W26"/>
  <c r="W27"/>
  <c r="W23"/>
  <c r="Y16"/>
  <c r="Y17"/>
  <c r="Y18"/>
  <c r="Y15"/>
  <c r="Y25"/>
  <c r="Y26"/>
  <c r="Y27"/>
  <c r="Y23"/>
  <c r="G21" i="2"/>
  <c r="I21"/>
  <c r="K21"/>
  <c r="W21"/>
  <c r="Y21"/>
  <c r="I23"/>
  <c r="W23"/>
  <c r="Y23"/>
  <c r="G14" i="27"/>
  <c r="G26"/>
  <c r="G27"/>
  <c r="G24"/>
  <c r="I17"/>
  <c r="I14"/>
  <c r="I25"/>
  <c r="I26"/>
  <c r="I27"/>
  <c r="I23"/>
  <c r="I24"/>
  <c r="K14"/>
  <c r="K15"/>
  <c r="K25"/>
  <c r="K26"/>
  <c r="K23"/>
  <c r="K24"/>
  <c r="G12" i="3"/>
  <c r="I12"/>
  <c r="K12"/>
  <c r="M12"/>
  <c r="Z12"/>
  <c r="AC12"/>
  <c r="I14"/>
  <c r="K14"/>
  <c r="M14"/>
  <c r="Z14"/>
  <c r="AC14"/>
  <c r="G19"/>
  <c r="I19"/>
  <c r="K19"/>
  <c r="M19"/>
  <c r="Z19"/>
  <c r="AC19"/>
  <c r="G21"/>
  <c r="I21"/>
  <c r="K21"/>
  <c r="M21"/>
  <c r="Z21"/>
  <c r="AC21"/>
  <c r="G33"/>
  <c r="M33"/>
  <c r="Z33"/>
  <c r="AC33"/>
  <c r="G38"/>
  <c r="K38"/>
  <c r="M38"/>
  <c r="Z38"/>
  <c r="AC38"/>
  <c r="K41"/>
  <c r="M41"/>
  <c r="Z41"/>
  <c r="AC41"/>
  <c r="Z42"/>
  <c r="AC42"/>
  <c r="Z78"/>
  <c r="AC78"/>
  <c r="G49"/>
  <c r="I49"/>
  <c r="K49"/>
  <c r="M49"/>
  <c r="Z49"/>
  <c r="AC49"/>
  <c r="A53"/>
  <c r="A54" s="1"/>
  <c r="A55" s="1"/>
  <c r="A56" s="1"/>
  <c r="A57" s="1"/>
  <c r="A58" s="1"/>
  <c r="A60" s="1"/>
  <c r="A61" s="1"/>
  <c r="A62" s="1"/>
  <c r="A63" s="1"/>
  <c r="A64" s="1"/>
  <c r="A66" s="1"/>
  <c r="A68" s="1"/>
  <c r="A70" s="1"/>
  <c r="A72" s="1"/>
  <c r="A73" s="1"/>
  <c r="A74" s="1"/>
  <c r="A76" s="1"/>
  <c r="A78" s="1"/>
  <c r="A79" s="1"/>
  <c r="A80" s="1"/>
  <c r="A81" s="1"/>
  <c r="Z51"/>
  <c r="AC51"/>
  <c r="G56"/>
  <c r="I56"/>
  <c r="K56"/>
  <c r="M56"/>
  <c r="Z56"/>
  <c r="AC56"/>
  <c r="Z58"/>
  <c r="AC58"/>
  <c r="I61"/>
  <c r="K61"/>
  <c r="M61"/>
  <c r="Z61"/>
  <c r="AC61"/>
  <c r="G62"/>
  <c r="G11" i="6" s="1"/>
  <c r="I62" i="3"/>
  <c r="I11" i="6" s="1"/>
  <c r="K62" i="3"/>
  <c r="K11" i="6" s="1"/>
  <c r="M62" i="3"/>
  <c r="M11" i="6" s="1"/>
  <c r="Z62" i="3"/>
  <c r="W11" i="6" s="1"/>
  <c r="AC62" i="3"/>
  <c r="Y11" i="6" s="1"/>
  <c r="Z63" i="3"/>
  <c r="Z66" s="1"/>
  <c r="Z70" s="1"/>
  <c r="AC63"/>
  <c r="AC66" s="1"/>
  <c r="AC70" s="1"/>
  <c r="Z80"/>
  <c r="AC80"/>
  <c r="W14" i="4"/>
  <c r="W12" i="2" s="1"/>
  <c r="Y14" i="4"/>
  <c r="Y12" i="2" s="1"/>
  <c r="A11" i="5"/>
  <c r="A12" s="1"/>
  <c r="A13" s="1"/>
  <c r="A14" s="1"/>
  <c r="A16" s="1"/>
  <c r="A17" s="1"/>
  <c r="G13"/>
  <c r="G27" i="6" s="1"/>
  <c r="I13" i="5"/>
  <c r="I27" i="6" s="1"/>
  <c r="K13" i="5"/>
  <c r="K27" i="6" s="1"/>
  <c r="M13" i="5"/>
  <c r="M27" i="6" s="1"/>
  <c r="W13" i="5"/>
  <c r="W27" i="6" s="1"/>
  <c r="Y13" i="5"/>
  <c r="Y27" i="6" s="1"/>
  <c r="G17" i="5"/>
  <c r="I17"/>
  <c r="K17"/>
  <c r="Y18"/>
  <c r="A20"/>
  <c r="A22" s="1"/>
  <c r="A23" s="1"/>
  <c r="A24" s="1"/>
  <c r="A25" s="1"/>
  <c r="A27" s="1"/>
  <c r="W22"/>
  <c r="Y22"/>
  <c r="W23"/>
  <c r="Y23"/>
  <c r="C24"/>
  <c r="M16" i="2"/>
  <c r="A11" i="6"/>
  <c r="A13" s="1"/>
  <c r="A15" s="1"/>
  <c r="A17" s="1"/>
  <c r="A19" s="1"/>
  <c r="W25"/>
  <c r="Y25"/>
  <c r="G39"/>
  <c r="W11" i="7"/>
  <c r="Y11"/>
  <c r="M19"/>
  <c r="M17" i="2" s="1"/>
  <c r="W19" i="7"/>
  <c r="W17" i="2" s="1"/>
  <c r="Y19" i="7"/>
  <c r="Y17" i="2" s="1"/>
  <c r="W21" i="7"/>
  <c r="Y21"/>
  <c r="G26" i="8"/>
  <c r="I26"/>
  <c r="K26"/>
  <c r="M26"/>
  <c r="W26"/>
  <c r="Y26"/>
  <c r="G45"/>
  <c r="G13" i="7" s="1"/>
  <c r="G21" s="1"/>
  <c r="I45" i="8"/>
  <c r="I13" i="7" s="1"/>
  <c r="K45" i="8"/>
  <c r="M45"/>
  <c r="M13" i="7" s="1"/>
  <c r="M21" s="1"/>
  <c r="W45" i="8"/>
  <c r="Y45"/>
  <c r="A10" i="9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F92" i="34"/>
  <c r="F105"/>
  <c r="F117"/>
  <c r="F132"/>
  <c r="F146"/>
  <c r="F152"/>
  <c r="F176"/>
  <c r="F193"/>
  <c r="F199"/>
  <c r="F208"/>
  <c r="F217"/>
  <c r="F242"/>
  <c r="F254"/>
  <c r="F266"/>
  <c r="F272"/>
  <c r="F277"/>
  <c r="F285"/>
  <c r="G13" i="12"/>
  <c r="G20" i="2" s="1"/>
  <c r="I13" i="12"/>
  <c r="I20" i="2" s="1"/>
  <c r="K13" i="12"/>
  <c r="K20" i="2" s="1"/>
  <c r="G13" i="13"/>
  <c r="G14"/>
  <c r="G15"/>
  <c r="G16"/>
  <c r="E17"/>
  <c r="G20"/>
  <c r="G21"/>
  <c r="G22"/>
  <c r="G23"/>
  <c r="G24"/>
  <c r="E25"/>
  <c r="G28"/>
  <c r="G29" s="1"/>
  <c r="E29"/>
  <c r="G33"/>
  <c r="I33"/>
  <c r="G34"/>
  <c r="I34"/>
  <c r="I35"/>
  <c r="G36"/>
  <c r="I36"/>
  <c r="G37"/>
  <c r="I37"/>
  <c r="G38"/>
  <c r="J38" s="1"/>
  <c r="G39"/>
  <c r="I39"/>
  <c r="G40"/>
  <c r="I40"/>
  <c r="I41"/>
  <c r="G42"/>
  <c r="I42"/>
  <c r="G43"/>
  <c r="I43"/>
  <c r="G47"/>
  <c r="I47"/>
  <c r="G48"/>
  <c r="J48" s="1"/>
  <c r="G49"/>
  <c r="I49"/>
  <c r="G51"/>
  <c r="I51"/>
  <c r="G52"/>
  <c r="I52"/>
  <c r="G53"/>
  <c r="I53"/>
  <c r="G54"/>
  <c r="I54"/>
  <c r="G57"/>
  <c r="I57"/>
  <c r="A13" i="14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G33"/>
  <c r="G34"/>
  <c r="G35"/>
  <c r="G36"/>
  <c r="G37"/>
  <c r="G38"/>
  <c r="J38" s="1"/>
  <c r="G39"/>
  <c r="J39" s="1"/>
  <c r="G40"/>
  <c r="G41"/>
  <c r="J41" s="1"/>
  <c r="G42"/>
  <c r="J42" s="1"/>
  <c r="G43"/>
  <c r="G47"/>
  <c r="J47" s="1"/>
  <c r="G48"/>
  <c r="J48" s="1"/>
  <c r="G49"/>
  <c r="J49" s="1"/>
  <c r="G50"/>
  <c r="J50" s="1"/>
  <c r="G51"/>
  <c r="J51" s="1"/>
  <c r="G52"/>
  <c r="J52" s="1"/>
  <c r="G53"/>
  <c r="J53" s="1"/>
  <c r="G54"/>
  <c r="J54" s="1"/>
  <c r="G55"/>
  <c r="J55" s="1"/>
  <c r="G57"/>
  <c r="J57" s="1"/>
  <c r="E58"/>
  <c r="A13" i="15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T17"/>
  <c r="V17"/>
  <c r="T25"/>
  <c r="V25"/>
  <c r="T29"/>
  <c r="V29"/>
  <c r="T44"/>
  <c r="V44"/>
  <c r="T58"/>
  <c r="V58"/>
  <c r="A12" i="16"/>
  <c r="A14" s="1"/>
  <c r="A16" s="1"/>
  <c r="A18" s="1"/>
  <c r="A20" s="1"/>
  <c r="A22" s="1"/>
  <c r="A24" s="1"/>
  <c r="A26" s="1"/>
  <c r="A28" s="1"/>
  <c r="I12" i="17"/>
  <c r="L12" s="1"/>
  <c r="I13"/>
  <c r="L13" s="1"/>
  <c r="M13" s="1"/>
  <c r="I14"/>
  <c r="L14" s="1"/>
  <c r="M14" s="1"/>
  <c r="I15"/>
  <c r="L15" s="1"/>
  <c r="M15" s="1"/>
  <c r="I16"/>
  <c r="L16" s="1"/>
  <c r="M16" s="1"/>
  <c r="I17"/>
  <c r="L17" s="1"/>
  <c r="M17" s="1"/>
  <c r="I18"/>
  <c r="L18" s="1"/>
  <c r="M18" s="1"/>
  <c r="I19"/>
  <c r="L19" s="1"/>
  <c r="M19" s="1"/>
  <c r="I20"/>
  <c r="L20" s="1"/>
  <c r="M20" s="1"/>
  <c r="I21"/>
  <c r="L21" s="1"/>
  <c r="M21" s="1"/>
  <c r="I31"/>
  <c r="L31" s="1"/>
  <c r="I32"/>
  <c r="L32" s="1"/>
  <c r="M32" s="1"/>
  <c r="I33"/>
  <c r="L33" s="1"/>
  <c r="M33" s="1"/>
  <c r="I34"/>
  <c r="L34" s="1"/>
  <c r="M34" s="1"/>
  <c r="I35"/>
  <c r="L35" s="1"/>
  <c r="M35" s="1"/>
  <c r="I36"/>
  <c r="L36" s="1"/>
  <c r="M36" s="1"/>
  <c r="I37"/>
  <c r="L37" s="1"/>
  <c r="M37" s="1"/>
  <c r="I38"/>
  <c r="L38" s="1"/>
  <c r="M38" s="1"/>
  <c r="I39"/>
  <c r="L39" s="1"/>
  <c r="M39" s="1"/>
  <c r="I40"/>
  <c r="L40" s="1"/>
  <c r="M40" s="1"/>
  <c r="I50"/>
  <c r="L50" s="1"/>
  <c r="I51"/>
  <c r="L51" s="1"/>
  <c r="M51" s="1"/>
  <c r="I52"/>
  <c r="L52" s="1"/>
  <c r="M52" s="1"/>
  <c r="I53"/>
  <c r="L53" s="1"/>
  <c r="M53" s="1"/>
  <c r="I54"/>
  <c r="L54" s="1"/>
  <c r="M54" s="1"/>
  <c r="I55"/>
  <c r="L55" s="1"/>
  <c r="M55" s="1"/>
  <c r="I56"/>
  <c r="L56" s="1"/>
  <c r="M56" s="1"/>
  <c r="I57"/>
  <c r="L57" s="1"/>
  <c r="M57" s="1"/>
  <c r="I58"/>
  <c r="L58" s="1"/>
  <c r="M58" s="1"/>
  <c r="I59"/>
  <c r="L59" s="1"/>
  <c r="M59" s="1"/>
  <c r="I60"/>
  <c r="L60" s="1"/>
  <c r="M60" s="1"/>
  <c r="G42" i="16"/>
  <c r="M42"/>
  <c r="L114" i="17"/>
  <c r="L115" s="1"/>
  <c r="G52" i="16" s="1"/>
  <c r="I178" i="17"/>
  <c r="L178" s="1"/>
  <c r="M178" s="1"/>
  <c r="I179"/>
  <c r="L179" s="1"/>
  <c r="M179" s="1"/>
  <c r="I180"/>
  <c r="L180" s="1"/>
  <c r="M180" s="1"/>
  <c r="I181"/>
  <c r="L181" s="1"/>
  <c r="M181" s="1"/>
  <c r="I183"/>
  <c r="L183" s="1"/>
  <c r="M183" s="1"/>
  <c r="I184"/>
  <c r="L184" s="1"/>
  <c r="M184" s="1"/>
  <c r="I185"/>
  <c r="L185" s="1"/>
  <c r="M185" s="1"/>
  <c r="I186"/>
  <c r="L186" s="1"/>
  <c r="M186" s="1"/>
  <c r="I187"/>
  <c r="L187" s="1"/>
  <c r="M187" s="1"/>
  <c r="I188"/>
  <c r="L188" s="1"/>
  <c r="M188" s="1"/>
  <c r="M182"/>
  <c r="I200"/>
  <c r="L200" s="1"/>
  <c r="M200" s="1"/>
  <c r="I201"/>
  <c r="L201" s="1"/>
  <c r="M201" s="1"/>
  <c r="I202"/>
  <c r="L202" s="1"/>
  <c r="M202" s="1"/>
  <c r="I204"/>
  <c r="L204" s="1"/>
  <c r="M204" s="1"/>
  <c r="I205"/>
  <c r="L205" s="1"/>
  <c r="M205" s="1"/>
  <c r="I206"/>
  <c r="L206" s="1"/>
  <c r="M206" s="1"/>
  <c r="I207"/>
  <c r="L207" s="1"/>
  <c r="M207" s="1"/>
  <c r="I208"/>
  <c r="L208" s="1"/>
  <c r="M208" s="1"/>
  <c r="H209"/>
  <c r="I209" s="1"/>
  <c r="I210"/>
  <c r="L210" s="1"/>
  <c r="M210" s="1"/>
  <c r="M203"/>
  <c r="K20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H22"/>
  <c r="N23"/>
  <c r="H41"/>
  <c r="F59"/>
  <c r="F60"/>
  <c r="H61"/>
  <c r="H84"/>
  <c r="N113"/>
  <c r="I182"/>
  <c r="F188"/>
  <c r="F209" s="1"/>
  <c r="H189"/>
  <c r="I203"/>
  <c r="A10" i="18"/>
  <c r="A11" s="1"/>
  <c r="A12" s="1"/>
  <c r="A13" s="1"/>
  <c r="A14" s="1"/>
  <c r="A15" s="1"/>
  <c r="A17" s="1"/>
  <c r="A18" s="1"/>
  <c r="A19" s="1"/>
  <c r="A20" s="1"/>
  <c r="A21" s="1"/>
  <c r="K31"/>
  <c r="K18" i="27" s="1"/>
  <c r="G40" i="18"/>
  <c r="G42" s="1"/>
  <c r="G15" s="1"/>
  <c r="G26" i="19"/>
  <c r="I26"/>
  <c r="K26"/>
  <c r="W26"/>
  <c r="Y26"/>
  <c r="A37"/>
  <c r="G20" i="20"/>
  <c r="G15" i="19" s="1"/>
  <c r="I20" i="20"/>
  <c r="I15" i="19" s="1"/>
  <c r="K20" i="20"/>
  <c r="K15" i="19" s="1"/>
  <c r="W20" i="20"/>
  <c r="W15" i="19" s="1"/>
  <c r="Y20" i="20"/>
  <c r="Y15" i="19" s="1"/>
  <c r="K29" i="20"/>
  <c r="W29"/>
  <c r="Y29"/>
  <c r="H22" i="21"/>
  <c r="J22"/>
  <c r="J29"/>
  <c r="H29"/>
  <c r="Y15" i="20"/>
  <c r="W15"/>
  <c r="A10" i="2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I12"/>
  <c r="K12"/>
  <c r="K18" s="1"/>
  <c r="W12"/>
  <c r="Y12"/>
  <c r="G13"/>
  <c r="I13"/>
  <c r="G14"/>
  <c r="I14"/>
  <c r="W14"/>
  <c r="Y14"/>
  <c r="W34"/>
  <c r="W43"/>
  <c r="W30" i="24" s="1"/>
  <c r="Y43" i="22"/>
  <c r="Y14" i="27" s="1"/>
  <c r="G10" i="23"/>
  <c r="G12"/>
  <c r="I12"/>
  <c r="K12"/>
  <c r="W12"/>
  <c r="Y12"/>
  <c r="G17"/>
  <c r="G19" s="1"/>
  <c r="Y18"/>
  <c r="Y19" s="1"/>
  <c r="I19"/>
  <c r="K19"/>
  <c r="W19"/>
  <c r="G23"/>
  <c r="I23"/>
  <c r="K23"/>
  <c r="W23"/>
  <c r="Y23"/>
  <c r="G25"/>
  <c r="I25"/>
  <c r="K25"/>
  <c r="G31" i="24"/>
  <c r="G32"/>
  <c r="G27"/>
  <c r="G28"/>
  <c r="G29"/>
  <c r="G30"/>
  <c r="G33"/>
  <c r="G34"/>
  <c r="I31"/>
  <c r="I32"/>
  <c r="I27"/>
  <c r="I28"/>
  <c r="I29"/>
  <c r="I30"/>
  <c r="I33"/>
  <c r="I34"/>
  <c r="K31"/>
  <c r="K32"/>
  <c r="K27"/>
  <c r="K28"/>
  <c r="K29"/>
  <c r="K30"/>
  <c r="K33"/>
  <c r="K34"/>
  <c r="W31"/>
  <c r="W32"/>
  <c r="W33"/>
  <c r="W34"/>
  <c r="Y31"/>
  <c r="Y32"/>
  <c r="Y27"/>
  <c r="Y28"/>
  <c r="Y29"/>
  <c r="Y33"/>
  <c r="Y34"/>
  <c r="I35" i="23"/>
  <c r="I37"/>
  <c r="I39" s="1"/>
  <c r="Y42"/>
  <c r="A10" i="24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W16"/>
  <c r="Y16"/>
  <c r="G22"/>
  <c r="I22"/>
  <c r="K22"/>
  <c r="W22"/>
  <c r="Y22"/>
  <c r="W39"/>
  <c r="Y39"/>
  <c r="I42"/>
  <c r="A10" i="25"/>
  <c r="A24"/>
  <c r="H9" i="26"/>
  <c r="J9"/>
  <c r="X9"/>
  <c r="H13"/>
  <c r="F16"/>
  <c r="H16"/>
  <c r="J16"/>
  <c r="V16"/>
  <c r="X16"/>
  <c r="X24"/>
  <c r="F35"/>
  <c r="H35"/>
  <c r="J35"/>
  <c r="V35"/>
  <c r="X35"/>
  <c r="W9" i="27"/>
  <c r="Y9"/>
  <c r="A10"/>
  <c r="A11" s="1"/>
  <c r="A12" s="1"/>
  <c r="A13" s="1"/>
  <c r="A32" i="16"/>
  <c r="A34" s="1"/>
  <c r="A36" s="1"/>
  <c r="A38" s="1"/>
  <c r="A40" s="1"/>
  <c r="A42" s="1"/>
  <c r="A44" s="1"/>
  <c r="A46" s="1"/>
  <c r="A48" s="1"/>
  <c r="A50" s="1"/>
  <c r="A52" s="1"/>
  <c r="A54" s="1"/>
  <c r="A56" s="1"/>
  <c r="A58" s="1"/>
  <c r="A60" s="1"/>
  <c r="A62" s="1"/>
  <c r="A64" s="1"/>
  <c r="A66" s="1"/>
  <c r="A68" s="1"/>
  <c r="A70" s="1"/>
  <c r="A72" s="1"/>
  <c r="A74" s="1"/>
  <c r="A76" s="1"/>
  <c r="A78" s="1"/>
  <c r="A80" s="1"/>
  <c r="A82" s="1"/>
  <c r="A84" s="1"/>
  <c r="A86" s="1"/>
  <c r="A88" s="1"/>
  <c r="A90" s="1"/>
  <c r="A92" s="1"/>
  <c r="A94" s="1"/>
  <c r="A96" s="1"/>
  <c r="A98" s="1"/>
  <c r="A100" s="1"/>
  <c r="A102" s="1"/>
  <c r="A104" s="1"/>
  <c r="A106" s="1"/>
  <c r="A108" s="1"/>
  <c r="A112" s="1"/>
  <c r="A114" s="1"/>
  <c r="A116" s="1"/>
  <c r="A118" s="1"/>
  <c r="A120" s="1"/>
  <c r="A122" s="1"/>
  <c r="A124" s="1"/>
  <c r="A126" s="1"/>
  <c r="A128" s="1"/>
  <c r="A130" s="1"/>
  <c r="G19" i="7"/>
  <c r="G17" i="2" s="1"/>
  <c r="G35" i="13"/>
  <c r="G33" i="27" l="1"/>
  <c r="K13" i="7"/>
  <c r="K21" s="1"/>
  <c r="I33" i="27"/>
  <c r="Y33"/>
  <c r="W33"/>
  <c r="G11" i="23"/>
  <c r="K12" i="27"/>
  <c r="M12"/>
  <c r="W11" i="23"/>
  <c r="I25" i="24"/>
  <c r="M11" i="23"/>
  <c r="K10"/>
  <c r="Y12" i="27"/>
  <c r="G25" i="24"/>
  <c r="I10" i="23"/>
  <c r="W25" i="24"/>
  <c r="E60" i="13"/>
  <c r="I41" i="23"/>
  <c r="I43" s="1"/>
  <c r="G14" i="4"/>
  <c r="G12" i="2" s="1"/>
  <c r="J54" i="17"/>
  <c r="J50"/>
  <c r="J178"/>
  <c r="A22" i="18"/>
  <c r="A23" s="1"/>
  <c r="A24" s="1"/>
  <c r="A26" s="1"/>
  <c r="A27" s="1"/>
  <c r="A28" s="1"/>
  <c r="A29" s="1"/>
  <c r="A30" s="1"/>
  <c r="A31" s="1"/>
  <c r="A32" s="1"/>
  <c r="A34" s="1"/>
  <c r="A35" s="1"/>
  <c r="A36" s="1"/>
  <c r="A37" s="1"/>
  <c r="A38" s="1"/>
  <c r="A39" s="1"/>
  <c r="A40" s="1"/>
  <c r="A42" s="1"/>
  <c r="J57" i="17"/>
  <c r="J17"/>
  <c r="J180"/>
  <c r="J56"/>
  <c r="J39"/>
  <c r="J14"/>
  <c r="K27" i="27"/>
  <c r="K33" s="1"/>
  <c r="Y30" i="20"/>
  <c r="Y31"/>
  <c r="W31"/>
  <c r="W30"/>
  <c r="W14" i="27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K15" i="6"/>
  <c r="G15"/>
  <c r="I15"/>
  <c r="M15"/>
  <c r="I18" i="22"/>
  <c r="I22" i="2" s="1"/>
  <c r="G18" i="22"/>
  <c r="G22" i="2" s="1"/>
  <c r="G25" i="13"/>
  <c r="H211" i="17"/>
  <c r="J186"/>
  <c r="Z64" i="3"/>
  <c r="T60" i="15"/>
  <c r="W10" i="12" s="1"/>
  <c r="J51" i="17"/>
  <c r="J34"/>
  <c r="I21" i="7"/>
  <c r="I19"/>
  <c r="I17" i="2" s="1"/>
  <c r="J55" i="17"/>
  <c r="G14" i="3"/>
  <c r="G43"/>
  <c r="G44" s="1"/>
  <c r="J202" i="17"/>
  <c r="J21"/>
  <c r="J205"/>
  <c r="J60"/>
  <c r="J207"/>
  <c r="J200"/>
  <c r="J184"/>
  <c r="J36"/>
  <c r="J15"/>
  <c r="J58"/>
  <c r="J40"/>
  <c r="J32"/>
  <c r="J19"/>
  <c r="J13"/>
  <c r="G58" i="13"/>
  <c r="W27" i="5"/>
  <c r="W16" i="2" s="1"/>
  <c r="Y27" i="5"/>
  <c r="Y16" i="2" s="1"/>
  <c r="J34" i="13"/>
  <c r="J35"/>
  <c r="J58" i="14"/>
  <c r="G58"/>
  <c r="J43" i="13"/>
  <c r="J41"/>
  <c r="J39"/>
  <c r="J37"/>
  <c r="J49"/>
  <c r="J42"/>
  <c r="J40"/>
  <c r="J33"/>
  <c r="L41" i="26"/>
  <c r="M13" i="20" s="1"/>
  <c r="I58" i="13"/>
  <c r="J57"/>
  <c r="J54"/>
  <c r="J51"/>
  <c r="J53"/>
  <c r="J47"/>
  <c r="I11" i="27"/>
  <c r="G44" i="13"/>
  <c r="J36"/>
  <c r="AC64" i="3"/>
  <c r="AC44"/>
  <c r="F24" i="26"/>
  <c r="F39" s="1"/>
  <c r="J31" i="21"/>
  <c r="I15" i="20" s="1"/>
  <c r="K28"/>
  <c r="K29" i="6"/>
  <c r="K35" s="1"/>
  <c r="M28" i="20"/>
  <c r="J52" i="13"/>
  <c r="J50"/>
  <c r="I28" i="20"/>
  <c r="M11" i="7"/>
  <c r="G29" i="6"/>
  <c r="G17" s="1"/>
  <c r="V60" i="15"/>
  <c r="Y10" i="12" s="1"/>
  <c r="H31" i="21"/>
  <c r="G15" i="20" s="1"/>
  <c r="L61" i="17"/>
  <c r="M133"/>
  <c r="M134" s="1"/>
  <c r="M164" s="1"/>
  <c r="L134"/>
  <c r="J37"/>
  <c r="J35"/>
  <c r="J33"/>
  <c r="J31"/>
  <c r="Y29" i="6"/>
  <c r="Y37" s="1"/>
  <c r="M189" i="17"/>
  <c r="M212" s="1"/>
  <c r="L209"/>
  <c r="M209" s="1"/>
  <c r="M211" s="1"/>
  <c r="J209"/>
  <c r="J210"/>
  <c r="J208"/>
  <c r="J206"/>
  <c r="J204"/>
  <c r="J201"/>
  <c r="J188"/>
  <c r="J187"/>
  <c r="J185"/>
  <c r="J183"/>
  <c r="J181"/>
  <c r="J179"/>
  <c r="L189"/>
  <c r="L212" s="1"/>
  <c r="M114"/>
  <c r="M115" s="1"/>
  <c r="N115" s="1"/>
  <c r="M52" i="16" s="1"/>
  <c r="H24" i="26"/>
  <c r="H39" s="1"/>
  <c r="H41" s="1"/>
  <c r="I13" i="20" s="1"/>
  <c r="V39" i="26"/>
  <c r="V41" s="1"/>
  <c r="G12" i="27"/>
  <c r="K25" i="24"/>
  <c r="G16"/>
  <c r="I15"/>
  <c r="W13" i="22"/>
  <c r="K22" i="2"/>
  <c r="Y30" i="22"/>
  <c r="Y34" s="1"/>
  <c r="Y36" s="1"/>
  <c r="Y21" s="1"/>
  <c r="W36"/>
  <c r="W21" s="1"/>
  <c r="G34"/>
  <c r="Y13"/>
  <c r="Y30" i="24"/>
  <c r="L29" i="21"/>
  <c r="L22"/>
  <c r="N31"/>
  <c r="M15" i="20" s="1"/>
  <c r="W40" i="18"/>
  <c r="W42" s="1"/>
  <c r="W15" s="1"/>
  <c r="M31" i="17"/>
  <c r="L41"/>
  <c r="L62" s="1"/>
  <c r="M12"/>
  <c r="M22" s="1"/>
  <c r="M24" s="1"/>
  <c r="M25" s="1"/>
  <c r="L22"/>
  <c r="M50"/>
  <c r="M61" s="1"/>
  <c r="N112"/>
  <c r="N135" s="1"/>
  <c r="J59"/>
  <c r="J53"/>
  <c r="J52"/>
  <c r="J38"/>
  <c r="J20"/>
  <c r="J18"/>
  <c r="J16"/>
  <c r="J12"/>
  <c r="G11" i="7"/>
  <c r="M29" i="6"/>
  <c r="M33" s="1"/>
  <c r="I29"/>
  <c r="G33" i="20"/>
  <c r="I24" i="24"/>
  <c r="M10" i="23"/>
  <c r="I12" i="27"/>
  <c r="M44" i="3"/>
  <c r="Z44"/>
  <c r="W9" i="23"/>
  <c r="H11" i="34"/>
  <c r="W29" i="6"/>
  <c r="F26" i="25"/>
  <c r="H21" s="1"/>
  <c r="H26" s="1"/>
  <c r="W12" i="27"/>
  <c r="Y25" i="24"/>
  <c r="Y11" i="23"/>
  <c r="X39" i="26"/>
  <c r="Y37" i="24" s="1"/>
  <c r="J24" i="26"/>
  <c r="J39" s="1"/>
  <c r="J41" s="1"/>
  <c r="G16" i="16"/>
  <c r="G18" s="1"/>
  <c r="G58" i="3"/>
  <c r="G63"/>
  <c r="G51"/>
  <c r="I58"/>
  <c r="K51"/>
  <c r="K63"/>
  <c r="M58"/>
  <c r="I63"/>
  <c r="I51"/>
  <c r="K58"/>
  <c r="M51"/>
  <c r="M63"/>
  <c r="V17" i="25"/>
  <c r="F17"/>
  <c r="I37" i="18"/>
  <c r="I40" s="1"/>
  <c r="W54" i="22"/>
  <c r="G54"/>
  <c r="G56" s="1"/>
  <c r="M42" i="24"/>
  <c r="Q42" s="1"/>
  <c r="U42" s="1"/>
  <c r="K42"/>
  <c r="O42" s="1"/>
  <c r="S42" s="1"/>
  <c r="G17" i="13"/>
  <c r="Y9" i="23"/>
  <c r="I11" i="7"/>
  <c r="K44" i="3"/>
  <c r="I44"/>
  <c r="I14" i="4"/>
  <c r="I12" i="2" s="1"/>
  <c r="M14" i="4"/>
  <c r="M12" i="2" s="1"/>
  <c r="K14" i="4"/>
  <c r="I57" i="9"/>
  <c r="M18" i="2" s="1"/>
  <c r="K11" i="7" l="1"/>
  <c r="W10" i="23"/>
  <c r="W13" s="1"/>
  <c r="W15" s="1"/>
  <c r="I11"/>
  <c r="K11"/>
  <c r="Y10"/>
  <c r="Y13" s="1"/>
  <c r="Y15" s="1"/>
  <c r="G41"/>
  <c r="G43" s="1"/>
  <c r="K24" i="24"/>
  <c r="G9" i="23"/>
  <c r="G13" s="1"/>
  <c r="G15" s="1"/>
  <c r="A31" i="27"/>
  <c r="A32" s="1"/>
  <c r="A33" s="1"/>
  <c r="A34" s="1"/>
  <c r="A35" s="1"/>
  <c r="A36" s="1"/>
  <c r="A37" s="1"/>
  <c r="A38" s="1"/>
  <c r="A39" s="1"/>
  <c r="W44" i="24"/>
  <c r="G32" i="18"/>
  <c r="G34" s="1"/>
  <c r="Y37"/>
  <c r="Y40" s="1"/>
  <c r="Y42" s="1"/>
  <c r="Y15" s="1"/>
  <c r="Y44" i="24"/>
  <c r="E62" i="13"/>
  <c r="I19" i="27"/>
  <c r="I35" s="1"/>
  <c r="I37" s="1"/>
  <c r="I39" s="1"/>
  <c r="I24" i="2" s="1"/>
  <c r="I43" i="24"/>
  <c r="K43" s="1"/>
  <c r="G44"/>
  <c r="I35" i="6"/>
  <c r="I17"/>
  <c r="M136" i="17"/>
  <c r="M137" s="1"/>
  <c r="M165" s="1"/>
  <c r="M243" s="1"/>
  <c r="M244" s="1"/>
  <c r="A71" i="34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V26" i="25"/>
  <c r="X21" s="1"/>
  <c r="X26" s="1"/>
  <c r="W18" i="22"/>
  <c r="W22" i="2" s="1"/>
  <c r="Y18" i="22"/>
  <c r="Y22" i="2" s="1"/>
  <c r="W32" i="18"/>
  <c r="W34" s="1"/>
  <c r="W14" s="1"/>
  <c r="G60" i="13"/>
  <c r="Y17" i="6"/>
  <c r="K33"/>
  <c r="K37"/>
  <c r="K17"/>
  <c r="M35"/>
  <c r="Y35"/>
  <c r="Y33"/>
  <c r="M37"/>
  <c r="I16" i="20"/>
  <c r="K37" i="24"/>
  <c r="G37"/>
  <c r="F41" i="26"/>
  <c r="G13" i="20" s="1"/>
  <c r="G16" s="1"/>
  <c r="W37" i="24"/>
  <c r="X41" i="26"/>
  <c r="Y13" i="20" s="1"/>
  <c r="Y16" s="1"/>
  <c r="I37" i="24"/>
  <c r="J58" i="13"/>
  <c r="K11" i="27"/>
  <c r="K19" s="1"/>
  <c r="K35" s="1"/>
  <c r="K37" s="1"/>
  <c r="K39" s="1"/>
  <c r="K24" i="2" s="1"/>
  <c r="K41" i="23"/>
  <c r="K43" s="1"/>
  <c r="M41"/>
  <c r="M43" s="1"/>
  <c r="M11" i="27"/>
  <c r="M22" i="2"/>
  <c r="M15" i="27"/>
  <c r="G11"/>
  <c r="G19" s="1"/>
  <c r="G35" s="1"/>
  <c r="G37" s="1"/>
  <c r="G39" s="1"/>
  <c r="G24" i="2" s="1"/>
  <c r="G24" i="24"/>
  <c r="L31" i="21"/>
  <c r="K15" i="20" s="1"/>
  <c r="L164" i="17"/>
  <c r="L165" s="1"/>
  <c r="L166" s="1"/>
  <c r="G72" i="16" s="1"/>
  <c r="L136" i="17"/>
  <c r="L137" s="1"/>
  <c r="G62" i="16" s="1"/>
  <c r="N134" i="17"/>
  <c r="N164" s="1"/>
  <c r="I37" i="6"/>
  <c r="I33"/>
  <c r="M42" i="17"/>
  <c r="N189"/>
  <c r="N22"/>
  <c r="L211"/>
  <c r="N211" s="1"/>
  <c r="M269"/>
  <c r="K15" i="24"/>
  <c r="I16"/>
  <c r="M15"/>
  <c r="M41" i="17"/>
  <c r="M62" s="1"/>
  <c r="N62" s="1"/>
  <c r="L42"/>
  <c r="L24"/>
  <c r="L25" s="1"/>
  <c r="N25" s="1"/>
  <c r="M12" i="16" s="1"/>
  <c r="L63" i="17"/>
  <c r="L64" s="1"/>
  <c r="G32" i="16" s="1"/>
  <c r="L190" i="17"/>
  <c r="L191" s="1"/>
  <c r="L192" s="1"/>
  <c r="G114" i="16" s="1"/>
  <c r="L43" i="17"/>
  <c r="L44" s="1"/>
  <c r="G22" i="16" s="1"/>
  <c r="N212" i="17"/>
  <c r="M213"/>
  <c r="M214" s="1"/>
  <c r="M17" i="6"/>
  <c r="M9" i="23"/>
  <c r="M13" s="1"/>
  <c r="M15" s="1"/>
  <c r="W33" i="6"/>
  <c r="W37"/>
  <c r="W35"/>
  <c r="W17"/>
  <c r="F28" i="25"/>
  <c r="G32" i="19" s="1"/>
  <c r="I33" s="1"/>
  <c r="K13" i="20"/>
  <c r="G14" i="19"/>
  <c r="G16" s="1"/>
  <c r="I26" i="20"/>
  <c r="I33" s="1"/>
  <c r="G26" i="16"/>
  <c r="I49" i="22"/>
  <c r="I54" s="1"/>
  <c r="G23"/>
  <c r="J21" i="25"/>
  <c r="J26" s="1"/>
  <c r="L21" s="1"/>
  <c r="L26" s="1"/>
  <c r="N21" s="1"/>
  <c r="I12" i="16"/>
  <c r="I14"/>
  <c r="G14" i="18"/>
  <c r="X12" i="25"/>
  <c r="X17" s="1"/>
  <c r="M43" i="24"/>
  <c r="Y49" i="22"/>
  <c r="Y54" s="1"/>
  <c r="Y56" s="1"/>
  <c r="Y23" s="1"/>
  <c r="W56"/>
  <c r="W23" s="1"/>
  <c r="W13" i="20"/>
  <c r="W16" s="1"/>
  <c r="K37" i="18"/>
  <c r="K40" s="1"/>
  <c r="I42"/>
  <c r="I15" s="1"/>
  <c r="H12" i="25"/>
  <c r="H17" s="1"/>
  <c r="H28" s="1"/>
  <c r="M66" i="3"/>
  <c r="M70" s="1"/>
  <c r="M11" i="2" s="1"/>
  <c r="M64" i="3"/>
  <c r="I64"/>
  <c r="I66"/>
  <c r="I70" s="1"/>
  <c r="I11" i="2" s="1"/>
  <c r="K64" i="3"/>
  <c r="K66"/>
  <c r="K70" s="1"/>
  <c r="K11" i="2" s="1"/>
  <c r="G66" i="3"/>
  <c r="G70" s="1"/>
  <c r="G64"/>
  <c r="I16" i="16"/>
  <c r="K12" i="2"/>
  <c r="G10" i="24" l="1"/>
  <c r="G12" s="1"/>
  <c r="G18" s="1"/>
  <c r="G11" i="2"/>
  <c r="I29" i="18"/>
  <c r="I32" s="1"/>
  <c r="I34" s="1"/>
  <c r="I14" s="1"/>
  <c r="M166" i="17"/>
  <c r="A112" i="34"/>
  <c r="A113" s="1"/>
  <c r="A114" s="1"/>
  <c r="A115" s="1"/>
  <c r="A116" s="1"/>
  <c r="A117" s="1"/>
  <c r="A118" s="1"/>
  <c r="A119" s="1"/>
  <c r="A120" s="1"/>
  <c r="I44" i="24"/>
  <c r="Y29" i="18"/>
  <c r="Y32" s="1"/>
  <c r="Y34" s="1"/>
  <c r="Y14" s="1"/>
  <c r="V28" i="25"/>
  <c r="W32" i="19" s="1"/>
  <c r="X28" i="25"/>
  <c r="Y32" i="19" s="1"/>
  <c r="I20" i="13"/>
  <c r="G36" i="22"/>
  <c r="G21" s="1"/>
  <c r="Y13" i="6"/>
  <c r="W13"/>
  <c r="W15" s="1"/>
  <c r="M39"/>
  <c r="I9" i="23"/>
  <c r="I13" s="1"/>
  <c r="I15" s="1"/>
  <c r="K39" i="6"/>
  <c r="M44" i="24"/>
  <c r="Q43"/>
  <c r="K44"/>
  <c r="O43"/>
  <c r="M16"/>
  <c r="Q15"/>
  <c r="K16"/>
  <c r="O15"/>
  <c r="Y39" i="6"/>
  <c r="G18" i="20"/>
  <c r="I30" i="22"/>
  <c r="I34" s="1"/>
  <c r="K49"/>
  <c r="K54" s="1"/>
  <c r="K56" s="1"/>
  <c r="K23" s="1"/>
  <c r="I56"/>
  <c r="I23" s="1"/>
  <c r="K16" i="20"/>
  <c r="L213" i="17"/>
  <c r="L214" s="1"/>
  <c r="G124" i="16" s="1"/>
  <c r="I39" i="6"/>
  <c r="M19" i="27"/>
  <c r="M35" s="1"/>
  <c r="M37" s="1"/>
  <c r="M39" s="1"/>
  <c r="M24" i="2" s="1"/>
  <c r="N137" i="17"/>
  <c r="M62" i="16" s="1"/>
  <c r="N42" i="17"/>
  <c r="M43"/>
  <c r="M44" s="1"/>
  <c r="N44" s="1"/>
  <c r="M22" i="16" s="1"/>
  <c r="L244" i="17"/>
  <c r="N244" s="1"/>
  <c r="M82" i="16" s="1"/>
  <c r="G92"/>
  <c r="N166" i="17"/>
  <c r="M72" i="16" s="1"/>
  <c r="G28"/>
  <c r="I26" s="1"/>
  <c r="W44" i="22"/>
  <c r="Y39" s="1"/>
  <c r="Y44" s="1"/>
  <c r="Y46" s="1"/>
  <c r="Y22" s="1"/>
  <c r="Y27" s="1"/>
  <c r="Y25" i="19" s="1"/>
  <c r="G44" i="22"/>
  <c r="I39" s="1"/>
  <c r="N61" i="17"/>
  <c r="N41"/>
  <c r="M190"/>
  <c r="K9" i="23"/>
  <c r="K13" s="1"/>
  <c r="K15" s="1"/>
  <c r="W39" i="6"/>
  <c r="G34" i="19"/>
  <c r="G36" s="1"/>
  <c r="K26" i="20"/>
  <c r="I14" i="19"/>
  <c r="I16" s="1"/>
  <c r="M10" i="24"/>
  <c r="M12" s="1"/>
  <c r="J12" i="25"/>
  <c r="J17" s="1"/>
  <c r="I32" i="19"/>
  <c r="K42" i="18"/>
  <c r="K15" s="1"/>
  <c r="M37"/>
  <c r="M40" s="1"/>
  <c r="K10" i="24"/>
  <c r="K12" s="1"/>
  <c r="I10"/>
  <c r="I12" s="1"/>
  <c r="I18" s="1"/>
  <c r="I18" i="16"/>
  <c r="M13" i="2" l="1"/>
  <c r="K13"/>
  <c r="G13"/>
  <c r="G26" i="24"/>
  <c r="I26"/>
  <c r="K26"/>
  <c r="I11" i="20"/>
  <c r="I18" s="1"/>
  <c r="I22" s="1"/>
  <c r="G22"/>
  <c r="G11" i="19" s="1"/>
  <c r="G19" s="1"/>
  <c r="K29" i="18"/>
  <c r="K32" s="1"/>
  <c r="K34" s="1"/>
  <c r="K14" s="1"/>
  <c r="Y15" i="6"/>
  <c r="M18" i="24"/>
  <c r="G24" i="18"/>
  <c r="G26" s="1"/>
  <c r="G25" i="2"/>
  <c r="K33" i="20"/>
  <c r="M26" s="1"/>
  <c r="M33" s="1"/>
  <c r="G46" i="22"/>
  <c r="G22" s="1"/>
  <c r="G27" s="1"/>
  <c r="G25" i="19" s="1"/>
  <c r="Q16" i="24"/>
  <c r="Q18" s="1"/>
  <c r="U15"/>
  <c r="U16" s="1"/>
  <c r="U18" s="1"/>
  <c r="K18"/>
  <c r="Q44"/>
  <c r="U43"/>
  <c r="U44" s="1"/>
  <c r="S15"/>
  <c r="S16" s="1"/>
  <c r="S18" s="1"/>
  <c r="O16"/>
  <c r="O18" s="1"/>
  <c r="S43"/>
  <c r="S44" s="1"/>
  <c r="O44"/>
  <c r="N214" i="17"/>
  <c r="M124" i="16" s="1"/>
  <c r="I25" i="2"/>
  <c r="K25"/>
  <c r="K28" i="16"/>
  <c r="K18"/>
  <c r="K16" s="1"/>
  <c r="O16" s="1"/>
  <c r="W18" i="20"/>
  <c r="W22" s="1"/>
  <c r="W11" i="19" s="1"/>
  <c r="J20" i="13"/>
  <c r="I36" i="22"/>
  <c r="I21" s="1"/>
  <c r="K30"/>
  <c r="K34" s="1"/>
  <c r="M49"/>
  <c r="M54" s="1"/>
  <c r="O49" s="1"/>
  <c r="M42" i="18"/>
  <c r="M15" s="1"/>
  <c r="O37"/>
  <c r="O40" s="1"/>
  <c r="W46" i="22"/>
  <c r="W22" s="1"/>
  <c r="W27" s="1"/>
  <c r="G82" i="16"/>
  <c r="N269" i="17"/>
  <c r="M92" i="16" s="1"/>
  <c r="L301" i="17"/>
  <c r="M63"/>
  <c r="M64" s="1"/>
  <c r="N64" s="1"/>
  <c r="M32" i="16" s="1"/>
  <c r="I22"/>
  <c r="I24"/>
  <c r="I44" i="22"/>
  <c r="K39" s="1"/>
  <c r="N190" i="17"/>
  <c r="M191"/>
  <c r="M192" s="1"/>
  <c r="N192" s="1"/>
  <c r="M114" i="16" s="1"/>
  <c r="I13" i="2"/>
  <c r="W24" i="18"/>
  <c r="Y21" s="1"/>
  <c r="Y24" s="1"/>
  <c r="Y26" s="1"/>
  <c r="Y13" s="1"/>
  <c r="Y17" s="1"/>
  <c r="G128" i="16" s="1"/>
  <c r="G130" s="1"/>
  <c r="I124" s="1"/>
  <c r="Y33" i="19"/>
  <c r="Y34" s="1"/>
  <c r="Y36" s="1"/>
  <c r="W34"/>
  <c r="W36" s="1"/>
  <c r="I34"/>
  <c r="I36" s="1"/>
  <c r="K33"/>
  <c r="L12" i="25"/>
  <c r="L17" s="1"/>
  <c r="J28"/>
  <c r="K11" i="20"/>
  <c r="G13" i="18" l="1"/>
  <c r="G17" s="1"/>
  <c r="G36" i="16" s="1"/>
  <c r="G38" s="1"/>
  <c r="M29" i="18"/>
  <c r="M32" s="1"/>
  <c r="M34" s="1"/>
  <c r="M14" s="1"/>
  <c r="M25" i="2"/>
  <c r="I21" i="24"/>
  <c r="I38" s="1"/>
  <c r="I40" s="1"/>
  <c r="I46" s="1"/>
  <c r="I48" s="1"/>
  <c r="I21" i="18"/>
  <c r="I24" s="1"/>
  <c r="I26" s="1"/>
  <c r="I13" s="1"/>
  <c r="I17" s="1"/>
  <c r="G46" i="16" s="1"/>
  <c r="G48" s="1"/>
  <c r="A130" i="34"/>
  <c r="A131" s="1"/>
  <c r="A132" s="1"/>
  <c r="A133" s="1"/>
  <c r="A134" s="1"/>
  <c r="A135" s="1"/>
  <c r="A136" s="1"/>
  <c r="A137" s="1"/>
  <c r="A138" s="1"/>
  <c r="A139" s="1"/>
  <c r="A140" s="1"/>
  <c r="A141" s="1"/>
  <c r="A142" s="1"/>
  <c r="G21" i="24"/>
  <c r="G38" s="1"/>
  <c r="G40" s="1"/>
  <c r="G46" s="1"/>
  <c r="G48" s="1"/>
  <c r="G27" i="23" s="1"/>
  <c r="K14" i="19"/>
  <c r="K16" s="1"/>
  <c r="O54" i="22"/>
  <c r="Q49" s="1"/>
  <c r="O26" i="20"/>
  <c r="Y11"/>
  <c r="Y18" s="1"/>
  <c r="Y22" s="1"/>
  <c r="Y11" i="19" s="1"/>
  <c r="K21" i="24"/>
  <c r="G21" i="19"/>
  <c r="G23" s="1"/>
  <c r="G28" s="1"/>
  <c r="G37" s="1"/>
  <c r="K14" i="16"/>
  <c r="K12"/>
  <c r="O12" s="1"/>
  <c r="O14" s="1"/>
  <c r="M18"/>
  <c r="G36" i="20"/>
  <c r="K18"/>
  <c r="W25" i="19"/>
  <c r="K36" i="22"/>
  <c r="K21" s="1"/>
  <c r="M30"/>
  <c r="M34" s="1"/>
  <c r="O42" i="18"/>
  <c r="O15" s="1"/>
  <c r="Q37"/>
  <c r="Q40" s="1"/>
  <c r="L28" i="25"/>
  <c r="N12"/>
  <c r="N17" s="1"/>
  <c r="M14" i="19"/>
  <c r="M16" s="1"/>
  <c r="M301" i="17"/>
  <c r="N301" s="1"/>
  <c r="M102" i="16" s="1"/>
  <c r="G102"/>
  <c r="I28"/>
  <c r="I46" i="22"/>
  <c r="I22" s="1"/>
  <c r="I27" s="1"/>
  <c r="K44"/>
  <c r="I126" i="16"/>
  <c r="W26" i="18"/>
  <c r="I128" i="16"/>
  <c r="K32" i="19"/>
  <c r="I20"/>
  <c r="I11"/>
  <c r="I19" s="1"/>
  <c r="I36" i="20"/>
  <c r="K22" i="16"/>
  <c r="O22" s="1"/>
  <c r="K24"/>
  <c r="K26"/>
  <c r="O26" s="1"/>
  <c r="M28"/>
  <c r="W13" i="18" l="1"/>
  <c r="W17" s="1"/>
  <c r="G118" i="16" s="1"/>
  <c r="O29" i="18"/>
  <c r="O32" s="1"/>
  <c r="Q29" s="1"/>
  <c r="Q32" s="1"/>
  <c r="I36" i="16"/>
  <c r="I34"/>
  <c r="I32"/>
  <c r="M21" i="24"/>
  <c r="K21" i="18"/>
  <c r="K24" s="1"/>
  <c r="M21" s="1"/>
  <c r="I46" i="16"/>
  <c r="I42"/>
  <c r="I44"/>
  <c r="K27" i="22"/>
  <c r="K25" i="19" s="1"/>
  <c r="I25"/>
  <c r="A143" i="34"/>
  <c r="A144" s="1"/>
  <c r="A145" s="1"/>
  <c r="A146" s="1"/>
  <c r="A147" s="1"/>
  <c r="O56" i="22"/>
  <c r="M11" i="20"/>
  <c r="K22"/>
  <c r="Q54" i="22"/>
  <c r="S49" s="1"/>
  <c r="I23" i="13"/>
  <c r="J23" s="1"/>
  <c r="I22"/>
  <c r="J22" s="1"/>
  <c r="I24"/>
  <c r="J24" s="1"/>
  <c r="M39" i="22"/>
  <c r="M44" s="1"/>
  <c r="O39" s="1"/>
  <c r="P12" i="25"/>
  <c r="P17" s="1"/>
  <c r="M36" i="22"/>
  <c r="M21" s="1"/>
  <c r="O30"/>
  <c r="O34" s="1"/>
  <c r="Q30" s="1"/>
  <c r="Q42" i="18"/>
  <c r="Q15" s="1"/>
  <c r="S37"/>
  <c r="S40" s="1"/>
  <c r="M32" i="19"/>
  <c r="K34"/>
  <c r="K36" s="1"/>
  <c r="M33"/>
  <c r="O34" i="18"/>
  <c r="O14" s="1"/>
  <c r="I130" i="16"/>
  <c r="K38"/>
  <c r="K46" i="22"/>
  <c r="M14" i="16"/>
  <c r="O24"/>
  <c r="K20" i="19"/>
  <c r="I21"/>
  <c r="I23" s="1"/>
  <c r="K32" i="16" l="1"/>
  <c r="O32" s="1"/>
  <c r="G29" i="23" s="1"/>
  <c r="G31" s="1"/>
  <c r="I28" i="19"/>
  <c r="I37" s="1"/>
  <c r="K48" i="16" s="1"/>
  <c r="M48" s="1"/>
  <c r="G120"/>
  <c r="I118" s="1"/>
  <c r="I38"/>
  <c r="I48"/>
  <c r="A148" i="34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74" s="1"/>
  <c r="A175" s="1"/>
  <c r="A176" s="1"/>
  <c r="A177" s="1"/>
  <c r="A178" s="1"/>
  <c r="A179" s="1"/>
  <c r="A180" s="1"/>
  <c r="A181" s="1"/>
  <c r="A182" s="1"/>
  <c r="K26" i="18"/>
  <c r="K13" s="1"/>
  <c r="K17" s="1"/>
  <c r="G56" i="16" s="1"/>
  <c r="M24" i="18"/>
  <c r="O21" s="1"/>
  <c r="M27" i="22"/>
  <c r="M25" i="19" s="1"/>
  <c r="Q56" i="22"/>
  <c r="G24" i="14"/>
  <c r="S54" i="22"/>
  <c r="U49" s="1"/>
  <c r="O44"/>
  <c r="G20" i="14"/>
  <c r="G23"/>
  <c r="G22"/>
  <c r="I21" i="13"/>
  <c r="K11" i="19"/>
  <c r="K19" s="1"/>
  <c r="M20" s="1"/>
  <c r="M16" i="20"/>
  <c r="M18" s="1"/>
  <c r="M22" s="1"/>
  <c r="R12" i="25"/>
  <c r="R17" s="1"/>
  <c r="K36" i="20"/>
  <c r="G21" i="14"/>
  <c r="Q34" i="22"/>
  <c r="S30" s="1"/>
  <c r="O36"/>
  <c r="O21" s="1"/>
  <c r="O27" s="1"/>
  <c r="K34" i="16"/>
  <c r="K36"/>
  <c r="O36" s="1"/>
  <c r="M38"/>
  <c r="M34" i="19"/>
  <c r="M36" s="1"/>
  <c r="O33"/>
  <c r="Q34" i="18"/>
  <c r="Q14" s="1"/>
  <c r="S29"/>
  <c r="S32" s="1"/>
  <c r="S42"/>
  <c r="S15" s="1"/>
  <c r="U37"/>
  <c r="U40" s="1"/>
  <c r="U42" s="1"/>
  <c r="U15" s="1"/>
  <c r="M24" i="16"/>
  <c r="I114" l="1"/>
  <c r="I116"/>
  <c r="O34"/>
  <c r="G33" i="23" s="1"/>
  <c r="A183" i="34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M26" i="18"/>
  <c r="M13" s="1"/>
  <c r="M17" s="1"/>
  <c r="G66" i="16" s="1"/>
  <c r="G58"/>
  <c r="I56" s="1"/>
  <c r="O24" i="18"/>
  <c r="Q21" s="1"/>
  <c r="E25" i="14"/>
  <c r="S56" i="22"/>
  <c r="U54"/>
  <c r="U56" s="1"/>
  <c r="O46"/>
  <c r="Q39"/>
  <c r="O25" i="19"/>
  <c r="J21" i="13"/>
  <c r="J25" s="1"/>
  <c r="I25"/>
  <c r="K21" i="19"/>
  <c r="K23" s="1"/>
  <c r="K28" s="1"/>
  <c r="K37" s="1"/>
  <c r="M11"/>
  <c r="M19" s="1"/>
  <c r="O20" s="1"/>
  <c r="M36" i="20"/>
  <c r="O11"/>
  <c r="O18" s="1"/>
  <c r="T12" i="25"/>
  <c r="T17" s="1"/>
  <c r="G25" i="14"/>
  <c r="Q36" i="22"/>
  <c r="Q21" s="1"/>
  <c r="Q27" s="1"/>
  <c r="S34"/>
  <c r="K44" i="16"/>
  <c r="K46"/>
  <c r="O46" s="1"/>
  <c r="K42"/>
  <c r="O42" s="1"/>
  <c r="I29" i="23" s="1"/>
  <c r="I31" s="1"/>
  <c r="S34" i="18"/>
  <c r="S14" s="1"/>
  <c r="U29"/>
  <c r="U32" s="1"/>
  <c r="U34" s="1"/>
  <c r="U14" s="1"/>
  <c r="I120" i="16" l="1"/>
  <c r="M34"/>
  <c r="I54"/>
  <c r="I52"/>
  <c r="O26" i="18"/>
  <c r="O13" s="1"/>
  <c r="O17" s="1"/>
  <c r="G76" i="16" s="1"/>
  <c r="G68"/>
  <c r="I66" s="1"/>
  <c r="Q24" i="18"/>
  <c r="S21" s="1"/>
  <c r="G24" i="36"/>
  <c r="Q44" i="22"/>
  <c r="S39" s="1"/>
  <c r="K58" i="16"/>
  <c r="K56" s="1"/>
  <c r="O56" s="1"/>
  <c r="G21" i="36"/>
  <c r="O22" i="20"/>
  <c r="M21" i="19"/>
  <c r="M23" s="1"/>
  <c r="M28" s="1"/>
  <c r="M37" s="1"/>
  <c r="Q11" i="20"/>
  <c r="Q18" s="1"/>
  <c r="Q22" s="1"/>
  <c r="Q11" i="19" s="1"/>
  <c r="A219" i="34"/>
  <c r="A220" s="1"/>
  <c r="A221" s="1"/>
  <c r="A222" s="1"/>
  <c r="A223" s="1"/>
  <c r="A224" s="1"/>
  <c r="A225" s="1"/>
  <c r="A226" s="1"/>
  <c r="A227" s="1"/>
  <c r="A228" s="1"/>
  <c r="A229" s="1"/>
  <c r="A230" s="1"/>
  <c r="A240" s="1"/>
  <c r="Q25" i="19"/>
  <c r="I24" i="14"/>
  <c r="J24" s="1"/>
  <c r="I21"/>
  <c r="J21" s="1"/>
  <c r="I23"/>
  <c r="J23" s="1"/>
  <c r="I22"/>
  <c r="J22" s="1"/>
  <c r="H25"/>
  <c r="I20"/>
  <c r="S36" i="22"/>
  <c r="S21" s="1"/>
  <c r="S27" s="1"/>
  <c r="U30"/>
  <c r="U34" s="1"/>
  <c r="U36" s="1"/>
  <c r="U21" s="1"/>
  <c r="U27" s="1"/>
  <c r="O44" i="16"/>
  <c r="G37" i="23"/>
  <c r="G39" s="1"/>
  <c r="G35"/>
  <c r="Q26" i="18" l="1"/>
  <c r="Q13" s="1"/>
  <c r="Q17" s="1"/>
  <c r="G86" i="16" s="1"/>
  <c r="S24" i="18"/>
  <c r="U21" s="1"/>
  <c r="U24" s="1"/>
  <c r="U26" s="1"/>
  <c r="U13" s="1"/>
  <c r="U17" s="1"/>
  <c r="G106" i="16" s="1"/>
  <c r="I64"/>
  <c r="I62"/>
  <c r="I58"/>
  <c r="A241" i="34"/>
  <c r="M58" i="16"/>
  <c r="K54"/>
  <c r="Q46" i="22"/>
  <c r="S44"/>
  <c r="U39" s="1"/>
  <c r="K52" i="16"/>
  <c r="O52" s="1"/>
  <c r="O54" s="1"/>
  <c r="G23" i="36"/>
  <c r="G22"/>
  <c r="O11" i="19"/>
  <c r="K68" i="16"/>
  <c r="M68" s="1"/>
  <c r="S11" i="20"/>
  <c r="S18" s="1"/>
  <c r="S22" s="1"/>
  <c r="S11" i="19" s="1"/>
  <c r="U25"/>
  <c r="S25"/>
  <c r="J20" i="14"/>
  <c r="J25" s="1"/>
  <c r="I25"/>
  <c r="M44" i="16"/>
  <c r="I68" l="1"/>
  <c r="S26" i="18"/>
  <c r="S13" s="1"/>
  <c r="S17" s="1"/>
  <c r="G96" i="16" s="1"/>
  <c r="M54"/>
  <c r="E25" i="36"/>
  <c r="H25"/>
  <c r="S46" i="22"/>
  <c r="U44"/>
  <c r="U46" s="1"/>
  <c r="K29" i="23"/>
  <c r="K31" s="1"/>
  <c r="K33"/>
  <c r="K35" s="1"/>
  <c r="G20" i="36"/>
  <c r="G25" s="1"/>
  <c r="K66" i="16"/>
  <c r="O66" s="1"/>
  <c r="K64"/>
  <c r="K62"/>
  <c r="O62" s="1"/>
  <c r="M29" i="23" s="1"/>
  <c r="M31" s="1"/>
  <c r="U11" i="20"/>
  <c r="U18" s="1"/>
  <c r="U22" s="1"/>
  <c r="U11" i="19" s="1"/>
  <c r="A242" i="34"/>
  <c r="A243" s="1"/>
  <c r="A244" s="1"/>
  <c r="A245" s="1"/>
  <c r="A246" l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I22" i="36"/>
  <c r="J22" s="1"/>
  <c r="K37" i="23"/>
  <c r="K39" s="1"/>
  <c r="O64" i="16"/>
  <c r="I23" i="36"/>
  <c r="J23" s="1"/>
  <c r="I21"/>
  <c r="J21" s="1"/>
  <c r="I24"/>
  <c r="J24" s="1"/>
  <c r="I20"/>
  <c r="O13" i="2" l="1"/>
  <c r="M33" i="23"/>
  <c r="M37" s="1"/>
  <c r="M39" s="1"/>
  <c r="M64" i="16"/>
  <c r="O10" i="23"/>
  <c r="O13" s="1"/>
  <c r="O15" s="1"/>
  <c r="I25" i="36"/>
  <c r="J20"/>
  <c r="O33" i="20"/>
  <c r="M35" i="23" l="1"/>
  <c r="O36" i="20"/>
  <c r="Q26"/>
  <c r="J25" i="36"/>
  <c r="O14" i="19"/>
  <c r="O16" s="1"/>
  <c r="O19" s="1"/>
  <c r="Q20" l="1"/>
  <c r="O21"/>
  <c r="O23" s="1"/>
  <c r="O28" s="1"/>
  <c r="G108" i="16" l="1"/>
  <c r="I104" l="1"/>
  <c r="G78"/>
  <c r="I74" s="1"/>
  <c r="G88"/>
  <c r="I102"/>
  <c r="I106"/>
  <c r="G98"/>
  <c r="I84" l="1"/>
  <c r="I82"/>
  <c r="I86"/>
  <c r="I108"/>
  <c r="I76"/>
  <c r="I72"/>
  <c r="I92"/>
  <c r="I96"/>
  <c r="I94"/>
  <c r="I78" l="1"/>
  <c r="I88"/>
  <c r="I98"/>
  <c r="U21" i="2" l="1"/>
  <c r="N26" i="25"/>
  <c r="O12" i="27"/>
  <c r="S21" i="2"/>
  <c r="U12" i="27" l="1"/>
  <c r="U25" i="24"/>
  <c r="S12" i="27"/>
  <c r="S25" i="24"/>
  <c r="O19" i="27"/>
  <c r="Q21" i="2"/>
  <c r="N28" i="25"/>
  <c r="O32" i="19" s="1"/>
  <c r="P21" i="25"/>
  <c r="P26" s="1"/>
  <c r="O35" i="27" l="1"/>
  <c r="O37" s="1"/>
  <c r="Q12"/>
  <c r="Q25" i="24"/>
  <c r="O34" i="19"/>
  <c r="O36" s="1"/>
  <c r="O37" s="1"/>
  <c r="Q33"/>
  <c r="R21" i="25"/>
  <c r="R26" s="1"/>
  <c r="P28"/>
  <c r="Q32" i="19" s="1"/>
  <c r="K78" i="16" l="1"/>
  <c r="K72" s="1"/>
  <c r="O72" s="1"/>
  <c r="O39" i="27"/>
  <c r="O24" i="2" s="1"/>
  <c r="T21" i="25"/>
  <c r="T26" s="1"/>
  <c r="T28" s="1"/>
  <c r="U32" i="19" s="1"/>
  <c r="R28" i="25"/>
  <c r="S32" i="19" s="1"/>
  <c r="U33" s="1"/>
  <c r="S33"/>
  <c r="Q34"/>
  <c r="Q36" s="1"/>
  <c r="K74" i="16" l="1"/>
  <c r="M78"/>
  <c r="K76"/>
  <c r="O76" s="1"/>
  <c r="O74" s="1"/>
  <c r="O29" i="23"/>
  <c r="O31" s="1"/>
  <c r="U34" i="19"/>
  <c r="U36" s="1"/>
  <c r="S34"/>
  <c r="S36" s="1"/>
  <c r="O26" i="24" l="1"/>
  <c r="O25" i="2"/>
  <c r="O33" i="23"/>
  <c r="O35" s="1"/>
  <c r="M74" i="16"/>
  <c r="O37" i="23" l="1"/>
  <c r="O39" s="1"/>
  <c r="O21" i="24"/>
  <c r="Q43" i="8" l="1"/>
  <c r="Q45" l="1"/>
  <c r="Q13" i="7" s="1"/>
  <c r="Q11" s="1"/>
  <c r="R74" i="3" l="1"/>
  <c r="R81" s="1"/>
  <c r="D15" i="41"/>
  <c r="D17" s="1"/>
  <c r="Q19" i="7"/>
  <c r="Q17" i="2" s="1"/>
  <c r="Q11" i="23" l="1"/>
  <c r="D21" i="41"/>
  <c r="D28" s="1"/>
  <c r="Q21" i="7"/>
  <c r="U11"/>
  <c r="S11"/>
  <c r="S27" i="6" l="1"/>
  <c r="S29" s="1"/>
  <c r="U27"/>
  <c r="U29" s="1"/>
  <c r="S35" l="1"/>
  <c r="S33"/>
  <c r="U33"/>
  <c r="U35"/>
  <c r="S11" i="5"/>
  <c r="S13" s="1"/>
  <c r="S22" s="1"/>
  <c r="S37" i="6"/>
  <c r="U37"/>
  <c r="U11" i="5"/>
  <c r="U13" s="1"/>
  <c r="U22" s="1"/>
  <c r="U27" l="1"/>
  <c r="U16" i="2" s="1"/>
  <c r="S27" i="5"/>
  <c r="S16" i="2" s="1"/>
  <c r="S39" i="6"/>
  <c r="U39"/>
  <c r="S10" i="23" l="1"/>
  <c r="S13" s="1"/>
  <c r="S15" s="1"/>
  <c r="U10"/>
  <c r="U13" s="1"/>
  <c r="U15" s="1"/>
  <c r="M38" i="24" l="1"/>
  <c r="M40" s="1"/>
  <c r="M46" s="1"/>
  <c r="M48" s="1"/>
  <c r="O38"/>
  <c r="O40" s="1"/>
  <c r="O46" s="1"/>
  <c r="O48" s="1"/>
  <c r="K38"/>
  <c r="K40" s="1"/>
  <c r="K46" s="1"/>
  <c r="K48" s="1"/>
  <c r="I27" i="23" l="1"/>
  <c r="M27"/>
  <c r="K27"/>
  <c r="O27"/>
  <c r="J12" i="13" l="1"/>
  <c r="I14" l="1"/>
  <c r="J14" s="1"/>
  <c r="I15"/>
  <c r="J15" s="1"/>
  <c r="I16"/>
  <c r="J16" s="1"/>
  <c r="G15" i="14" l="1"/>
  <c r="G13"/>
  <c r="G14"/>
  <c r="I13" i="13"/>
  <c r="I17" s="1"/>
  <c r="G12" i="14"/>
  <c r="G16"/>
  <c r="E17" l="1"/>
  <c r="J13" i="13"/>
  <c r="J17" s="1"/>
  <c r="G17" i="14"/>
  <c r="I16"/>
  <c r="J16" s="1"/>
  <c r="I14"/>
  <c r="J14" s="1"/>
  <c r="I13" l="1"/>
  <c r="J13" s="1"/>
  <c r="I15"/>
  <c r="J15" s="1"/>
  <c r="G14" i="36"/>
  <c r="G15"/>
  <c r="G16"/>
  <c r="G13" l="1"/>
  <c r="H17" i="14"/>
  <c r="I12"/>
  <c r="G12" i="36" l="1"/>
  <c r="J12" i="14"/>
  <c r="I17"/>
  <c r="E17" i="36" l="1"/>
  <c r="G17"/>
  <c r="J17" i="14"/>
  <c r="I15" i="36" l="1"/>
  <c r="J15" s="1"/>
  <c r="I16"/>
  <c r="J16" s="1"/>
  <c r="I12"/>
  <c r="I14"/>
  <c r="J14" s="1"/>
  <c r="I13" l="1"/>
  <c r="J13" s="1"/>
  <c r="H17"/>
  <c r="J12"/>
  <c r="I17" l="1"/>
  <c r="J17"/>
  <c r="I32" i="13" l="1"/>
  <c r="I44" l="1"/>
  <c r="J32"/>
  <c r="J44" s="1"/>
  <c r="G32" i="14"/>
  <c r="E44"/>
  <c r="G44" l="1"/>
  <c r="I34" l="1"/>
  <c r="J34" s="1"/>
  <c r="I37"/>
  <c r="J37" s="1"/>
  <c r="I33"/>
  <c r="J33" s="1"/>
  <c r="H44"/>
  <c r="I32"/>
  <c r="I35"/>
  <c r="J35" s="1"/>
  <c r="I43"/>
  <c r="J43" s="1"/>
  <c r="I40"/>
  <c r="J40" s="1"/>
  <c r="I36"/>
  <c r="J36" s="1"/>
  <c r="G32" i="36" l="1"/>
  <c r="G33"/>
  <c r="G40"/>
  <c r="G35"/>
  <c r="G43"/>
  <c r="G37"/>
  <c r="H60" i="14"/>
  <c r="I44"/>
  <c r="I60" s="1"/>
  <c r="J32"/>
  <c r="G34" i="36"/>
  <c r="G36"/>
  <c r="E44" l="1"/>
  <c r="G44"/>
  <c r="J44" i="14"/>
  <c r="I37" i="36" l="1"/>
  <c r="J37" s="1"/>
  <c r="I35"/>
  <c r="J35" s="1"/>
  <c r="I33"/>
  <c r="J33" s="1"/>
  <c r="I36"/>
  <c r="J36" s="1"/>
  <c r="I40"/>
  <c r="J40" s="1"/>
  <c r="I43"/>
  <c r="J43" s="1"/>
  <c r="I34"/>
  <c r="J34" s="1"/>
  <c r="I32" l="1"/>
  <c r="H44"/>
  <c r="H60" s="1"/>
  <c r="H29" i="13"/>
  <c r="H60" s="1"/>
  <c r="I29"/>
  <c r="I60" s="1"/>
  <c r="J32" i="36" l="1"/>
  <c r="I44"/>
  <c r="E29"/>
  <c r="E60" s="1"/>
  <c r="E62" s="1"/>
  <c r="G28" i="14"/>
  <c r="E29"/>
  <c r="E60" s="1"/>
  <c r="E62" s="1"/>
  <c r="J28" i="13"/>
  <c r="J44" i="36" l="1"/>
  <c r="I60"/>
  <c r="G28"/>
  <c r="J28" s="1"/>
  <c r="G29" i="14"/>
  <c r="G60" s="1"/>
  <c r="J28"/>
  <c r="J29" i="13"/>
  <c r="J60" s="1"/>
  <c r="G29" i="36" l="1"/>
  <c r="G60" s="1"/>
  <c r="W13" i="12"/>
  <c r="W20" i="2" s="1"/>
  <c r="Q9" i="12"/>
  <c r="Q13" s="1"/>
  <c r="Q20" i="2" s="1"/>
  <c r="J29" i="36"/>
  <c r="J60" s="1"/>
  <c r="J29" i="14"/>
  <c r="J60" s="1"/>
  <c r="U9" i="12" l="1"/>
  <c r="U13" s="1"/>
  <c r="S9"/>
  <c r="S13" s="1"/>
  <c r="S20" i="2" s="1"/>
  <c r="Y13" i="12"/>
  <c r="Y20" i="2" s="1"/>
  <c r="W28" i="20"/>
  <c r="Q28"/>
  <c r="Q33" s="1"/>
  <c r="U28" l="1"/>
  <c r="U20" i="2"/>
  <c r="W14" i="12"/>
  <c r="W33" i="20"/>
  <c r="S28"/>
  <c r="S26"/>
  <c r="Q14" i="19"/>
  <c r="Q16" s="1"/>
  <c r="Q19" s="1"/>
  <c r="Q36" i="20"/>
  <c r="Y28"/>
  <c r="Q24" i="24"/>
  <c r="Q41" i="23"/>
  <c r="Q43" s="1"/>
  <c r="Q11" i="27"/>
  <c r="Q19" s="1"/>
  <c r="Q35" s="1"/>
  <c r="Q37" s="1"/>
  <c r="Q39" s="1"/>
  <c r="Q24" i="2" s="1"/>
  <c r="U41" i="23" l="1"/>
  <c r="U43" s="1"/>
  <c r="U11" i="27"/>
  <c r="U19" s="1"/>
  <c r="U35" s="1"/>
  <c r="U37" s="1"/>
  <c r="U39" s="1"/>
  <c r="U24" i="2" s="1"/>
  <c r="U24" i="24"/>
  <c r="S33" i="20"/>
  <c r="S36" s="1"/>
  <c r="Y14" i="12"/>
  <c r="Q21" i="23"/>
  <c r="Q23" s="1"/>
  <c r="S17"/>
  <c r="S19" s="1"/>
  <c r="Y24" i="24"/>
  <c r="Y41" i="23"/>
  <c r="Y43" s="1"/>
  <c r="Y11" i="27"/>
  <c r="Y19" s="1"/>
  <c r="Y35" s="1"/>
  <c r="Y37" s="1"/>
  <c r="Y39" s="1"/>
  <c r="S24" i="24"/>
  <c r="S11" i="27"/>
  <c r="S19" s="1"/>
  <c r="S35" s="1"/>
  <c r="S37" s="1"/>
  <c r="S39" s="1"/>
  <c r="S24" i="2" s="1"/>
  <c r="S41" i="23"/>
  <c r="S43" s="1"/>
  <c r="S20" i="19"/>
  <c r="Q21"/>
  <c r="Q23" s="1"/>
  <c r="Q28" s="1"/>
  <c r="Q37" s="1"/>
  <c r="K88" i="16" s="1"/>
  <c r="Y26" i="20"/>
  <c r="Y33" s="1"/>
  <c r="W36"/>
  <c r="W14" i="19"/>
  <c r="W16" s="1"/>
  <c r="W19" s="1"/>
  <c r="W41" i="23"/>
  <c r="W43" s="1"/>
  <c r="W24" i="24"/>
  <c r="W11" i="27"/>
  <c r="W19" s="1"/>
  <c r="W35" s="1"/>
  <c r="W37" s="1"/>
  <c r="W39" s="1"/>
  <c r="W24" i="2" s="1"/>
  <c r="U17" i="23" l="1"/>
  <c r="U19" s="1"/>
  <c r="S14" i="19"/>
  <c r="S16" s="1"/>
  <c r="S19" s="1"/>
  <c r="S21" s="1"/>
  <c r="S23" s="1"/>
  <c r="S28" s="1"/>
  <c r="S37" s="1"/>
  <c r="K98" i="16" s="1"/>
  <c r="U26" i="20"/>
  <c r="U33" s="1"/>
  <c r="U36" s="1"/>
  <c r="Y24" i="2"/>
  <c r="Q26" i="24"/>
  <c r="Y14" i="19"/>
  <c r="Y16" s="1"/>
  <c r="Y19" s="1"/>
  <c r="Y36" i="20"/>
  <c r="K84" i="16"/>
  <c r="K86"/>
  <c r="O86" s="1"/>
  <c r="M88"/>
  <c r="K82"/>
  <c r="O82" s="1"/>
  <c r="S21" i="23"/>
  <c r="S23" s="1"/>
  <c r="W21" i="19"/>
  <c r="W23" s="1"/>
  <c r="W28" s="1"/>
  <c r="W37" s="1"/>
  <c r="K120" i="16" s="1"/>
  <c r="Y20" i="19"/>
  <c r="W26" i="24" l="1"/>
  <c r="Y26"/>
  <c r="U26"/>
  <c r="U20" i="19"/>
  <c r="U14"/>
  <c r="U16" s="1"/>
  <c r="U19" s="1"/>
  <c r="O84" i="16"/>
  <c r="M84" s="1"/>
  <c r="Y25" i="2"/>
  <c r="W25"/>
  <c r="U25"/>
  <c r="Y21" i="19"/>
  <c r="Y23" s="1"/>
  <c r="Y28" s="1"/>
  <c r="Y37" s="1"/>
  <c r="K130" i="16" s="1"/>
  <c r="M130" s="1"/>
  <c r="K96"/>
  <c r="O96" s="1"/>
  <c r="K94"/>
  <c r="M98"/>
  <c r="K92"/>
  <c r="O92" s="1"/>
  <c r="M120"/>
  <c r="K114"/>
  <c r="O114" s="1"/>
  <c r="K118"/>
  <c r="O118" s="1"/>
  <c r="K116"/>
  <c r="S26" i="24"/>
  <c r="S25" i="2"/>
  <c r="Q29" i="23"/>
  <c r="Q31" s="1"/>
  <c r="U21" i="24" l="1"/>
  <c r="U38" s="1"/>
  <c r="U40" s="1"/>
  <c r="U46" s="1"/>
  <c r="U48" s="1"/>
  <c r="U27" i="23" s="1"/>
  <c r="Y21" i="24"/>
  <c r="Y38" s="1"/>
  <c r="Y40" s="1"/>
  <c r="Y46" s="1"/>
  <c r="U21" i="19"/>
  <c r="U23" s="1"/>
  <c r="U28" s="1"/>
  <c r="U37" s="1"/>
  <c r="K108" i="16" s="1"/>
  <c r="K102" s="1"/>
  <c r="O102" s="1"/>
  <c r="U29" i="23" s="1"/>
  <c r="U31" s="1"/>
  <c r="W21" i="24"/>
  <c r="W38" s="1"/>
  <c r="W40" s="1"/>
  <c r="W46" s="1"/>
  <c r="K124" i="16"/>
  <c r="O124" s="1"/>
  <c r="Y29" i="23" s="1"/>
  <c r="Y31" s="1"/>
  <c r="K126" i="16"/>
  <c r="K128"/>
  <c r="O128" s="1"/>
  <c r="Q33" i="23"/>
  <c r="O94" i="16"/>
  <c r="S29" i="23"/>
  <c r="S31" s="1"/>
  <c r="S21" i="24"/>
  <c r="S38" s="1"/>
  <c r="S40" s="1"/>
  <c r="S46" s="1"/>
  <c r="S48" s="1"/>
  <c r="S27" i="23" s="1"/>
  <c r="O116" i="16"/>
  <c r="W29" i="23"/>
  <c r="W31" s="1"/>
  <c r="Y13" i="2" l="1"/>
  <c r="Y10" i="24"/>
  <c r="Y12" s="1"/>
  <c r="Y18" s="1"/>
  <c r="Y48" s="1"/>
  <c r="Y27" i="23" s="1"/>
  <c r="M108" i="16"/>
  <c r="K104"/>
  <c r="K106"/>
  <c r="O106" s="1"/>
  <c r="O104" s="1"/>
  <c r="O126"/>
  <c r="M116"/>
  <c r="W33" i="23"/>
  <c r="Q35"/>
  <c r="Q37"/>
  <c r="Q39" s="1"/>
  <c r="M94" i="16"/>
  <c r="S33" i="23"/>
  <c r="AD72" i="3" l="1"/>
  <c r="AD74" s="1"/>
  <c r="AD81" s="1"/>
  <c r="U33" i="23"/>
  <c r="U35" s="1"/>
  <c r="M104" i="16"/>
  <c r="Y33" i="23"/>
  <c r="Y37" s="1"/>
  <c r="Y39" s="1"/>
  <c r="M126" i="16"/>
  <c r="W35" i="23"/>
  <c r="W37"/>
  <c r="W39" s="1"/>
  <c r="S35"/>
  <c r="S37"/>
  <c r="S39" s="1"/>
  <c r="U37" l="1"/>
  <c r="U39" s="1"/>
  <c r="Y35"/>
  <c r="O29" i="6"/>
  <c r="O17" s="1"/>
  <c r="O11" i="7" l="1"/>
  <c r="O35" i="6"/>
  <c r="O37"/>
  <c r="O33"/>
  <c r="O39" l="1"/>
  <c r="W13" i="2"/>
  <c r="W10" i="24"/>
  <c r="W12" s="1"/>
  <c r="W18" s="1"/>
  <c r="W48" s="1"/>
  <c r="W27" i="23" s="1"/>
  <c r="AA72" i="3" l="1"/>
  <c r="AA74" s="1"/>
  <c r="AA81" s="1"/>
  <c r="Q29" i="6"/>
  <c r="Q33" s="1"/>
  <c r="Q11" i="5"/>
  <c r="Q13" s="1"/>
  <c r="Q22" s="1"/>
  <c r="Q27" s="1"/>
  <c r="Q16" i="2" s="1"/>
  <c r="Q25" l="1"/>
  <c r="Q21" i="24" s="1"/>
  <c r="Q38" s="1"/>
  <c r="Q40" s="1"/>
  <c r="Q46" s="1"/>
  <c r="Q48" s="1"/>
  <c r="Q27" i="23" s="1"/>
  <c r="Q10"/>
  <c r="Q13" s="1"/>
  <c r="Q15" s="1"/>
  <c r="Q35" i="6"/>
  <c r="Q37"/>
  <c r="Q39" l="1"/>
</calcChain>
</file>

<file path=xl/sharedStrings.xml><?xml version="1.0" encoding="utf-8"?>
<sst xmlns="http://schemas.openxmlformats.org/spreadsheetml/2006/main" count="2575" uniqueCount="904">
  <si>
    <t>2011 Actual</t>
  </si>
  <si>
    <t>Page 1 of 5</t>
  </si>
  <si>
    <t>Page 2 of 5</t>
  </si>
  <si>
    <t>Page 3 of 5</t>
  </si>
  <si>
    <t>Page 4 of 5</t>
  </si>
  <si>
    <t>Page 5 of 5</t>
  </si>
  <si>
    <t>71800 - Provision for Uncollectible Accounts</t>
  </si>
  <si>
    <t>L.4 / L.3</t>
  </si>
  <si>
    <t>2008 Actual</t>
  </si>
  <si>
    <t>S</t>
  </si>
  <si>
    <t>2010 Actual</t>
  </si>
  <si>
    <t>Fish Lake License Renewal Costs / Other Deferred Costs</t>
  </si>
  <si>
    <t>2009 Actual</t>
  </si>
  <si>
    <t xml:space="preserve">S </t>
  </si>
  <si>
    <t>V</t>
  </si>
  <si>
    <t>Approved</t>
  </si>
  <si>
    <t>L.2 x L.6</t>
  </si>
  <si>
    <t>L.3 x L.7</t>
  </si>
  <si>
    <t xml:space="preserve">Shortfall Rider J </t>
  </si>
  <si>
    <t>Purchase Power Expense ($000s)</t>
  </si>
  <si>
    <t>Purchases (MWh)</t>
  </si>
  <si>
    <t>Regulatory Phase II</t>
  </si>
  <si>
    <t>72200 - Administration Corporate</t>
  </si>
  <si>
    <t>Meter Services</t>
  </si>
  <si>
    <t>($000's)</t>
  </si>
  <si>
    <t>Actual</t>
  </si>
  <si>
    <t>Total</t>
  </si>
  <si>
    <t xml:space="preserve"> </t>
  </si>
  <si>
    <t>Add:</t>
  </si>
  <si>
    <t>Depreciation</t>
  </si>
  <si>
    <t>Deduct:</t>
  </si>
  <si>
    <t>CCA</t>
  </si>
  <si>
    <t>($000s)</t>
  </si>
  <si>
    <t>Line</t>
  </si>
  <si>
    <t>Cross</t>
  </si>
  <si>
    <t>No.</t>
  </si>
  <si>
    <t>Ref.</t>
  </si>
  <si>
    <t>Mid Year</t>
  </si>
  <si>
    <t>Rate</t>
  </si>
  <si>
    <t>Cost</t>
  </si>
  <si>
    <t>Balance</t>
  </si>
  <si>
    <t>Ratio</t>
  </si>
  <si>
    <t>Base</t>
  </si>
  <si>
    <t>Return</t>
  </si>
  <si>
    <t>Long-term debt</t>
  </si>
  <si>
    <t>Common stock</t>
  </si>
  <si>
    <t>Utility Revenue Requirement</t>
  </si>
  <si>
    <t xml:space="preserve">  Distribution</t>
  </si>
  <si>
    <t xml:space="preserve">  General</t>
  </si>
  <si>
    <t>Miscellaneous Revenue</t>
  </si>
  <si>
    <t>Reconnect Revenue</t>
  </si>
  <si>
    <t>Summary of Customers, Energy Sales and Revenue</t>
  </si>
  <si>
    <t>Residential</t>
  </si>
  <si>
    <t xml:space="preserve">  Customers</t>
  </si>
  <si>
    <t xml:space="preserve">  Sales in MWh</t>
  </si>
  <si>
    <t xml:space="preserve">  MWh sales per customer</t>
  </si>
  <si>
    <t xml:space="preserve">  Revenue ($000s)</t>
  </si>
  <si>
    <t>Commercial</t>
  </si>
  <si>
    <t xml:space="preserve">Total Company </t>
  </si>
  <si>
    <t>Computation of Allowance for Working Capital</t>
  </si>
  <si>
    <t>Net Capital Employed</t>
  </si>
  <si>
    <t>Principal</t>
  </si>
  <si>
    <t>Per $100 of</t>
  </si>
  <si>
    <t>Average</t>
  </si>
  <si>
    <t xml:space="preserve">Issue </t>
  </si>
  <si>
    <t>Coupon</t>
  </si>
  <si>
    <t xml:space="preserve">Maturity </t>
  </si>
  <si>
    <t>Amount</t>
  </si>
  <si>
    <t>Total Property, Plant and Equipment</t>
  </si>
  <si>
    <t>Vehicles</t>
  </si>
  <si>
    <t>Total General Plant Retirements</t>
  </si>
  <si>
    <t>Accumulated Amortization</t>
  </si>
  <si>
    <t>Contributions in Aid of Construction</t>
  </si>
  <si>
    <t>Effective</t>
  </si>
  <si>
    <t>Outstanding</t>
  </si>
  <si>
    <t>Carrying</t>
  </si>
  <si>
    <t>Embedded</t>
  </si>
  <si>
    <t>Series</t>
  </si>
  <si>
    <t>Date</t>
  </si>
  <si>
    <t>Offered</t>
  </si>
  <si>
    <t>Cost Rate</t>
  </si>
  <si>
    <t>Prior Year</t>
  </si>
  <si>
    <t>Balance at end of year</t>
  </si>
  <si>
    <t>No Cost Capital</t>
  </si>
  <si>
    <t>Rate Case Write-off</t>
  </si>
  <si>
    <t>87300 - Maintenance</t>
  </si>
  <si>
    <t>87500 - Meter and Meter Testing</t>
  </si>
  <si>
    <t>87800 - Street Light Maintenance</t>
  </si>
  <si>
    <t>87000 - Supervision</t>
  </si>
  <si>
    <t>88400 - Communication</t>
  </si>
  <si>
    <t>88900 - Maintenance Warehouse and Office</t>
  </si>
  <si>
    <t>70200 - General Public Information</t>
  </si>
  <si>
    <t>71000 - Supervision</t>
  </si>
  <si>
    <t>71100 - Customer Applications and Service Orders</t>
  </si>
  <si>
    <t>71200 - Meter Reading</t>
  </si>
  <si>
    <t>71300 - Customer Billing and Accounting</t>
  </si>
  <si>
    <t>71400 - Revenue Collections</t>
  </si>
  <si>
    <t>72100 - Administrative Expenses</t>
  </si>
  <si>
    <t>72300 - Insurance</t>
  </si>
  <si>
    <t>72500 - Employee Expenses</t>
  </si>
  <si>
    <t>Return on Rate Base</t>
  </si>
  <si>
    <t xml:space="preserve">Cross </t>
  </si>
  <si>
    <t>K</t>
  </si>
  <si>
    <t>Cost Rate *</t>
  </si>
  <si>
    <t>87200 - Vehicle Depreciation</t>
  </si>
  <si>
    <t>Computation of Rate Base</t>
  </si>
  <si>
    <t>Property, Plant and Equipment</t>
  </si>
  <si>
    <t>Gross Rate Base</t>
  </si>
  <si>
    <t>Net Rate Base</t>
  </si>
  <si>
    <t>($000)</t>
  </si>
  <si>
    <t>Meters</t>
  </si>
  <si>
    <t>Miscellaneous Other</t>
  </si>
  <si>
    <t>YFR/</t>
  </si>
  <si>
    <t>Net</t>
  </si>
  <si>
    <t>Depn.</t>
  </si>
  <si>
    <t>Acct.</t>
  </si>
  <si>
    <t>Curve</t>
  </si>
  <si>
    <t>Life</t>
  </si>
  <si>
    <t>Salvage</t>
  </si>
  <si>
    <t>Rates</t>
  </si>
  <si>
    <t>Distribution Plant</t>
  </si>
  <si>
    <t>471 00</t>
  </si>
  <si>
    <t>Land Rights</t>
  </si>
  <si>
    <t>473 00</t>
  </si>
  <si>
    <t>Poles, Towers &amp; Fixtures</t>
  </si>
  <si>
    <t>474 00</t>
  </si>
  <si>
    <t>Overhead Conductor</t>
  </si>
  <si>
    <t>474 10</t>
  </si>
  <si>
    <t>Services - Overhead</t>
  </si>
  <si>
    <t>475 00</t>
  </si>
  <si>
    <t>Underground Conductor</t>
  </si>
  <si>
    <t>475 10</t>
  </si>
  <si>
    <t>Services - Underground</t>
  </si>
  <si>
    <t>476 10</t>
  </si>
  <si>
    <t>477 10</t>
  </si>
  <si>
    <t>Substation Equipment</t>
  </si>
  <si>
    <t>478 10</t>
  </si>
  <si>
    <t>Street Lighting</t>
  </si>
  <si>
    <t>479 10</t>
  </si>
  <si>
    <t>Total Distribution Plant</t>
  </si>
  <si>
    <t>General Plant</t>
  </si>
  <si>
    <t>482 00</t>
  </si>
  <si>
    <t>Structures &amp; Improvements</t>
  </si>
  <si>
    <t>483 00</t>
  </si>
  <si>
    <t>Office Furniture &amp; Equipment</t>
  </si>
  <si>
    <t>485 00</t>
  </si>
  <si>
    <t>Tool &amp; Work Equipment</t>
  </si>
  <si>
    <t>S3</t>
  </si>
  <si>
    <t>486 00</t>
  </si>
  <si>
    <t>Total General Plant</t>
  </si>
  <si>
    <t>Plant Studied</t>
  </si>
  <si>
    <t>Total Plant</t>
  </si>
  <si>
    <t>Services to Outside Parties</t>
  </si>
  <si>
    <t>Distribution:</t>
  </si>
  <si>
    <t xml:space="preserve">     New Extensions</t>
  </si>
  <si>
    <t xml:space="preserve">     Distribution Improvements</t>
  </si>
  <si>
    <t xml:space="preserve">     Meters</t>
  </si>
  <si>
    <t xml:space="preserve">     Tools, Instruments &amp; Equipment</t>
  </si>
  <si>
    <t xml:space="preserve">     Office Furniture &amp; Equipment</t>
  </si>
  <si>
    <t xml:space="preserve">     Office Computer Equipment</t>
  </si>
  <si>
    <t xml:space="preserve">     Communication Equipment</t>
  </si>
  <si>
    <t xml:space="preserve">     Transportation Equipment</t>
  </si>
  <si>
    <t xml:space="preserve">     Land and Buildings</t>
  </si>
  <si>
    <t>Continuity Schedule of Property, Plant and Equipment</t>
  </si>
  <si>
    <t>Additions</t>
  </si>
  <si>
    <t>Net Property, Plant and Equipment</t>
  </si>
  <si>
    <t>Prior Year Gross Contributions</t>
  </si>
  <si>
    <t>Retirements</t>
  </si>
  <si>
    <t>Current Year Gross Contributions</t>
  </si>
  <si>
    <t>Gross Amortization</t>
  </si>
  <si>
    <t>Net Contributions in Aid of Construction</t>
  </si>
  <si>
    <t>Continuity Schedule of Contributions in Aid of Construction</t>
  </si>
  <si>
    <t>Continuity Schedule of Capital Retirements by Function</t>
  </si>
  <si>
    <t>87700 - Transformer Repair and Replacement</t>
  </si>
  <si>
    <t xml:space="preserve">     Street and Sentinel Lights</t>
  </si>
  <si>
    <t>Total Capital Retirements</t>
  </si>
  <si>
    <t xml:space="preserve">   Description</t>
  </si>
  <si>
    <t>Accumulated Depreciation</t>
  </si>
  <si>
    <t>Description</t>
  </si>
  <si>
    <t xml:space="preserve">Income Tax Expense </t>
  </si>
  <si>
    <t>GST Rate</t>
  </si>
  <si>
    <t>Sales and Losses</t>
  </si>
  <si>
    <t>Losses -%</t>
  </si>
  <si>
    <t>Total Purchase Power Expense</t>
  </si>
  <si>
    <t>Purchase Power Rates</t>
  </si>
  <si>
    <t>Total Utility Expenses</t>
  </si>
  <si>
    <t>Labour and Fringe</t>
  </si>
  <si>
    <t>Net Costs Subject to GST</t>
  </si>
  <si>
    <t>Income Tax</t>
  </si>
  <si>
    <t>Net O&amp;M</t>
  </si>
  <si>
    <t>Return - Long Term Debt</t>
  </si>
  <si>
    <t>Combined Long Term Debt Lag Days</t>
  </si>
  <si>
    <t>O&amp;M Lag Days</t>
  </si>
  <si>
    <t>Return - 50% of Common Equity</t>
  </si>
  <si>
    <t>Dividend Lag Days</t>
  </si>
  <si>
    <t>Common Equity (Dividend) Working Capital</t>
  </si>
  <si>
    <t>Depreciation Lag Days</t>
  </si>
  <si>
    <t>Common Equity (Retained Earnings) Working Capital</t>
  </si>
  <si>
    <t>Net Depreciation</t>
  </si>
  <si>
    <t>Depreciation  Working Capital</t>
  </si>
  <si>
    <t>REVENUE:</t>
  </si>
  <si>
    <t>EXPENSES:</t>
  </si>
  <si>
    <t xml:space="preserve">GST Rate </t>
  </si>
  <si>
    <t>GST Billable</t>
  </si>
  <si>
    <t>Total Operating Revenue Subject to GST</t>
  </si>
  <si>
    <t>Day Factor  - Revenues</t>
  </si>
  <si>
    <t>Day Factor - Remittance Lag</t>
  </si>
  <si>
    <t>GST Impact on Working Capital Increase/(Decrease)</t>
  </si>
  <si>
    <t>GST Refundable</t>
  </si>
  <si>
    <t>Day Factor - Expense (Including Capital)</t>
  </si>
  <si>
    <t>Revenues</t>
  </si>
  <si>
    <t>Existing</t>
  </si>
  <si>
    <t>70100 - Public Information Administration</t>
  </si>
  <si>
    <t>Rate Case Expenditure</t>
  </si>
  <si>
    <t>Continuity Schedule of No Cost Capital</t>
  </si>
  <si>
    <t>Total Revenues</t>
  </si>
  <si>
    <t>Costs</t>
  </si>
  <si>
    <t>Total Costs</t>
  </si>
  <si>
    <t>Retail Revenues</t>
  </si>
  <si>
    <t>Affiliate Company</t>
  </si>
  <si>
    <t>Services Provided</t>
  </si>
  <si>
    <t>ATCO Electric</t>
  </si>
  <si>
    <t>ATCO Gas</t>
  </si>
  <si>
    <t>Office Services</t>
  </si>
  <si>
    <t>Metering Services</t>
  </si>
  <si>
    <t>Total Head Office Fees</t>
  </si>
  <si>
    <t>Information Technology</t>
  </si>
  <si>
    <t>Billing System Services</t>
  </si>
  <si>
    <t>O&amp;M Category</t>
  </si>
  <si>
    <t>Operations and Maintenance Expenses</t>
  </si>
  <si>
    <t>Details of Affiliate Costs in Operations and Maintenance</t>
  </si>
  <si>
    <t>Details of Head Office Costs</t>
  </si>
  <si>
    <t>Total Affiliate Costs included in Operations and Maintenance</t>
  </si>
  <si>
    <t>Plant Additions</t>
  </si>
  <si>
    <t xml:space="preserve">  Production</t>
  </si>
  <si>
    <t>Purchases</t>
  </si>
  <si>
    <t>Primary Energy</t>
  </si>
  <si>
    <t>Primary Energy Expense</t>
  </si>
  <si>
    <t>Continuity Schedule of Deferred Charges &amp; Credits</t>
  </si>
  <si>
    <t>Plant Maintenance Reserve Amortization</t>
  </si>
  <si>
    <t>Plant Maintenance Reserve Charges</t>
  </si>
  <si>
    <t>Diesel Fuel</t>
  </si>
  <si>
    <t>Diesel Generation and Fuel Summary</t>
  </si>
  <si>
    <t>Plant Maintenance Reserve Costs</t>
  </si>
  <si>
    <t>Generation:</t>
  </si>
  <si>
    <t>Generating Plants</t>
  </si>
  <si>
    <t>87100 - Brushing</t>
  </si>
  <si>
    <t>Generation</t>
  </si>
  <si>
    <t>Total Generation Retirements</t>
  </si>
  <si>
    <t xml:space="preserve">Tax Receivable Lag Days </t>
  </si>
  <si>
    <t>442 00</t>
  </si>
  <si>
    <t>444 00</t>
  </si>
  <si>
    <t>445 00</t>
  </si>
  <si>
    <t>Generating Equipment &amp; Prime Mover - Other</t>
  </si>
  <si>
    <t>446 00</t>
  </si>
  <si>
    <t>447 00</t>
  </si>
  <si>
    <t>Misc. Power Plant Equipment - Other</t>
  </si>
  <si>
    <t>Accessory Electric Equipment - Other</t>
  </si>
  <si>
    <t>457 00</t>
  </si>
  <si>
    <t xml:space="preserve">Line Transformers </t>
  </si>
  <si>
    <t xml:space="preserve">Substation Equipment </t>
  </si>
  <si>
    <t>478 20</t>
  </si>
  <si>
    <t>Sentinel Lights</t>
  </si>
  <si>
    <t>484 00</t>
  </si>
  <si>
    <t>Transportation &amp; Mobile Equipment</t>
  </si>
  <si>
    <t>Communication Structures &amp; Equipment</t>
  </si>
  <si>
    <t>Total Transmission</t>
  </si>
  <si>
    <t>Computer Hardware/Software</t>
  </si>
  <si>
    <t>Distribution</t>
  </si>
  <si>
    <t>Sources - %</t>
  </si>
  <si>
    <t>Property Taxes</t>
  </si>
  <si>
    <t>Franchise &amp; Consent</t>
  </si>
  <si>
    <t>491  00</t>
  </si>
  <si>
    <t>S.8.5 L.21</t>
  </si>
  <si>
    <t>S.8.5 L.2</t>
  </si>
  <si>
    <t>S.8.5 L.4</t>
  </si>
  <si>
    <t>S.8.5 L.13</t>
  </si>
  <si>
    <t>S.8.5 L.17</t>
  </si>
  <si>
    <t xml:space="preserve">  Customers (average during year)</t>
  </si>
  <si>
    <t>S.1.1 L.7</t>
  </si>
  <si>
    <t>S.1.1 L.2</t>
  </si>
  <si>
    <t>S.1.1 L.3</t>
  </si>
  <si>
    <t>S.1.1 L.8</t>
  </si>
  <si>
    <t>S.1.1 L.15</t>
  </si>
  <si>
    <t>71300 - Customer Billing &amp; Accounting</t>
  </si>
  <si>
    <t xml:space="preserve">  </t>
  </si>
  <si>
    <t>S.1.1 L.9</t>
  </si>
  <si>
    <t>S.3.1 L.4</t>
  </si>
  <si>
    <t>S.1.1 L.16</t>
  </si>
  <si>
    <t>Injuries &amp; Damages Costs</t>
  </si>
  <si>
    <t>Total Distribution Retirements</t>
  </si>
  <si>
    <t>Rate Case Reserve</t>
  </si>
  <si>
    <t>Injuries &amp; Damages Write-off</t>
  </si>
  <si>
    <t>Total Write-off</t>
  </si>
  <si>
    <t>S.3.2 L.2</t>
  </si>
  <si>
    <t>Total Deferred Charges &amp; Credits Summary</t>
  </si>
  <si>
    <t>Write-off Summary</t>
  </si>
  <si>
    <t>Deferred Credits Mid-Year Balance Summary</t>
  </si>
  <si>
    <t>Total Deferred Credits Mid-Year Balance</t>
  </si>
  <si>
    <t>S.8.5 L.12</t>
  </si>
  <si>
    <t>S.1.1 L.13</t>
  </si>
  <si>
    <t>Rate Case Costs</t>
  </si>
  <si>
    <t>Operating Expenses Working Capital</t>
  </si>
  <si>
    <t>Taxes Payable Working Capital</t>
  </si>
  <si>
    <t>Long Term Debt Working Capital</t>
  </si>
  <si>
    <t>Prior Year Accumulated Amortization</t>
  </si>
  <si>
    <t>Current Year Accumulated Amortization</t>
  </si>
  <si>
    <t>Schedule of Purchase Power</t>
  </si>
  <si>
    <t>Schedule of Energy Losses</t>
  </si>
  <si>
    <t xml:space="preserve">     Transformers and Regulators</t>
  </si>
  <si>
    <t>Material Management</t>
  </si>
  <si>
    <t>2006 Actuals</t>
  </si>
  <si>
    <t xml:space="preserve">72100 - Administrative </t>
  </si>
  <si>
    <t>72700 - Relocation</t>
  </si>
  <si>
    <t>72100 - Administrative</t>
  </si>
  <si>
    <t>72900 - Audit/Legal Fees &amp; Special Studies</t>
  </si>
  <si>
    <t>87400 - Underground Line Maintenance</t>
  </si>
  <si>
    <t>S.1.1 L.12</t>
  </si>
  <si>
    <t>S.8.5 L.5</t>
  </si>
  <si>
    <t>S.1.1 L.11</t>
  </si>
  <si>
    <t>S.1 L.13</t>
  </si>
  <si>
    <t>Opening</t>
  </si>
  <si>
    <t>PPE</t>
  </si>
  <si>
    <t xml:space="preserve">on Opening </t>
  </si>
  <si>
    <t xml:space="preserve">Depreciation </t>
  </si>
  <si>
    <t xml:space="preserve">on Capital </t>
  </si>
  <si>
    <t xml:space="preserve">Total </t>
  </si>
  <si>
    <t>Deprecation</t>
  </si>
  <si>
    <t>Capital</t>
  </si>
  <si>
    <t>Schedule of Amortization of Differences</t>
  </si>
  <si>
    <t>Test Period</t>
  </si>
  <si>
    <t>Total Amortization of Differences</t>
  </si>
  <si>
    <t>General Provision</t>
  </si>
  <si>
    <t>Amortization of Differences</t>
  </si>
  <si>
    <t>Vehicle Depreciation Capitalized</t>
  </si>
  <si>
    <t>Total Depreciation Expense</t>
  </si>
  <si>
    <t>Schedule of Depreciation Expense</t>
  </si>
  <si>
    <t>S.7.1 L.4</t>
  </si>
  <si>
    <t>S.1.1 L.14</t>
  </si>
  <si>
    <t>Computer Equipment</t>
  </si>
  <si>
    <t>(MW.h )</t>
  </si>
  <si>
    <t>Sources - MWh</t>
  </si>
  <si>
    <t>ATCO I-Tek</t>
  </si>
  <si>
    <t>72600 - Training and Safety</t>
  </si>
  <si>
    <t>71500 - Collection of Delinquent Accounts</t>
  </si>
  <si>
    <t xml:space="preserve">Income Tax Installment Lag Days </t>
  </si>
  <si>
    <t>Tax Installments Working Capital</t>
  </si>
  <si>
    <t>Capital Expenditures</t>
  </si>
  <si>
    <t>Net Impact of GST on Working Capital</t>
  </si>
  <si>
    <t>Effect of GST on Working Capital</t>
  </si>
  <si>
    <t>Yukon Electrical Company Limited</t>
  </si>
  <si>
    <t>64000 - Supervision and Engineering Diesel</t>
  </si>
  <si>
    <t>62600 - Hydro Generation</t>
  </si>
  <si>
    <t>64600 - Diesel Generation</t>
  </si>
  <si>
    <t>72400 - Injuries &amp; Damages</t>
  </si>
  <si>
    <t>72800 - Miscellaneous General</t>
  </si>
  <si>
    <t>Secondary Sales</t>
  </si>
  <si>
    <t>Wholesale Sales</t>
  </si>
  <si>
    <t>Secondary Energy Expense</t>
  </si>
  <si>
    <t>Billing:</t>
  </si>
  <si>
    <t>New N60 Billing Systems</t>
  </si>
  <si>
    <t>82600 - Hydro Maintenance</t>
  </si>
  <si>
    <t>Production - Hydro</t>
  </si>
  <si>
    <t>Hydro Structures</t>
  </si>
  <si>
    <t>Hydro Resv, Dams &amp; Waterways</t>
  </si>
  <si>
    <t>Hydro Generators</t>
  </si>
  <si>
    <t>Hydro Accessory Electrical Equip</t>
  </si>
  <si>
    <t>Hydro Misc Equip</t>
  </si>
  <si>
    <t>Production - Diesel</t>
  </si>
  <si>
    <t>488 20</t>
  </si>
  <si>
    <t>Company Housing</t>
  </si>
  <si>
    <t xml:space="preserve">Transmission </t>
  </si>
  <si>
    <t>84600 - Diesel Maintenance</t>
  </si>
  <si>
    <t>S.3.2 L.8 &amp; 9</t>
  </si>
  <si>
    <t>S.4.1 L.1</t>
  </si>
  <si>
    <t>S.3.2 L.10</t>
  </si>
  <si>
    <t>C</t>
  </si>
  <si>
    <t>Deferred Pension and Regulatory Asset/Liability</t>
  </si>
  <si>
    <t>2007 Actual</t>
  </si>
  <si>
    <t>D</t>
  </si>
  <si>
    <t>E</t>
  </si>
  <si>
    <t>L</t>
  </si>
  <si>
    <t>N</t>
  </si>
  <si>
    <t>O</t>
  </si>
  <si>
    <t>P</t>
  </si>
  <si>
    <t>Q</t>
  </si>
  <si>
    <t>R</t>
  </si>
  <si>
    <t>Fuel Variance</t>
  </si>
  <si>
    <t>Fuel Expense</t>
  </si>
  <si>
    <t>Total Production - Hydro</t>
  </si>
  <si>
    <t>Total Production - Diesel</t>
  </si>
  <si>
    <t>87310 - Service to Outside Parties</t>
  </si>
  <si>
    <t>Public Information</t>
  </si>
  <si>
    <t xml:space="preserve">70200 - General Public Information </t>
  </si>
  <si>
    <t>Joint Use</t>
  </si>
  <si>
    <t>Diesel Plant Major Overhaul Costs</t>
  </si>
  <si>
    <t xml:space="preserve">Fish Lake License Renewal Costs </t>
  </si>
  <si>
    <t>Fish Lake Costs</t>
  </si>
  <si>
    <t>Other</t>
  </si>
  <si>
    <t>Fish Lake Amortization</t>
  </si>
  <si>
    <t>476 30</t>
  </si>
  <si>
    <t>AMR - Meters</t>
  </si>
  <si>
    <t>422 00</t>
  </si>
  <si>
    <t>423 00</t>
  </si>
  <si>
    <t>425 00</t>
  </si>
  <si>
    <t>426 00</t>
  </si>
  <si>
    <t>427 00</t>
  </si>
  <si>
    <t>R3</t>
  </si>
  <si>
    <t>R4</t>
  </si>
  <si>
    <t>R2.5</t>
  </si>
  <si>
    <t>R2</t>
  </si>
  <si>
    <t>SQ</t>
  </si>
  <si>
    <t>Total Company - Retail - Primary</t>
  </si>
  <si>
    <t>YEC Revenue Shortfall (Rider J)</t>
  </si>
  <si>
    <t>TOTAL REVENUES</t>
  </si>
  <si>
    <t>S.5.1 L.49</t>
  </si>
  <si>
    <t>72200 - Administrative Corporate</t>
  </si>
  <si>
    <t>T</t>
  </si>
  <si>
    <t>U</t>
  </si>
  <si>
    <t>S.8.2 L.18</t>
  </si>
  <si>
    <t>S.8.2 L.36</t>
  </si>
  <si>
    <t>S.8.6 L.14</t>
  </si>
  <si>
    <t>Inventory Pool Costs Capitalized</t>
  </si>
  <si>
    <t>S.10.1 L.17</t>
  </si>
  <si>
    <t>S.10.1 L.8</t>
  </si>
  <si>
    <t>Watson Lake</t>
  </si>
  <si>
    <t>Beaver Creek</t>
  </si>
  <si>
    <t>Destruction Bay</t>
  </si>
  <si>
    <t>Old Crow</t>
  </si>
  <si>
    <t>Pelly Crossing</t>
  </si>
  <si>
    <t>Swift River</t>
  </si>
  <si>
    <t>87500 - Meters and Meter Testing</t>
  </si>
  <si>
    <t>Plant Not Studied - Land</t>
  </si>
  <si>
    <t xml:space="preserve">Plant Not Studied -Land </t>
  </si>
  <si>
    <t>Average Cost (in cents per litre)</t>
  </si>
  <si>
    <t>S.4.1 L.3</t>
  </si>
  <si>
    <t>Defined Benefit Pension</t>
  </si>
  <si>
    <t>Other Post Employment Benefits (OPEB)</t>
  </si>
  <si>
    <t>Injuries &amp; Damages</t>
  </si>
  <si>
    <t>Rate Increase from Existing Rates</t>
  </si>
  <si>
    <t>Net Rate Increase ($000s)</t>
  </si>
  <si>
    <t>% Rate Increase over Existing Rates</t>
  </si>
  <si>
    <t>YECL Primary Retail Revenue</t>
  </si>
  <si>
    <t>Total YEC/YECL Retail Revenue Primary Rates ($000s)</t>
  </si>
  <si>
    <t>Total No Cost Capital Mid-Year Balance</t>
  </si>
  <si>
    <t>Mid-Year Balance Summary</t>
  </si>
  <si>
    <t>Add: Charges</t>
  </si>
  <si>
    <t>Less: Cash Payments</t>
  </si>
  <si>
    <t>Add: Write-off</t>
  </si>
  <si>
    <t>Less: Costs</t>
  </si>
  <si>
    <t>L.30</t>
  </si>
  <si>
    <t>Add:   Rate Case Costs</t>
  </si>
  <si>
    <t>Add: Fish Lake Costs</t>
  </si>
  <si>
    <t>S.8.8 L.34</t>
  </si>
  <si>
    <t>S.4.1 L.6</t>
  </si>
  <si>
    <t>S.8.4 L.8</t>
  </si>
  <si>
    <t xml:space="preserve">Fish Lake Licence Reserve </t>
  </si>
  <si>
    <t xml:space="preserve">      Internal Combustion</t>
  </si>
  <si>
    <t>Note 1</t>
  </si>
  <si>
    <t>GRA</t>
  </si>
  <si>
    <t>2012 Actual</t>
  </si>
  <si>
    <t xml:space="preserve">     Software</t>
  </si>
  <si>
    <t>S. 4.2 L.32</t>
  </si>
  <si>
    <t>2013 - 2015 General Rate Application</t>
  </si>
  <si>
    <t>Dismantling Costs</t>
  </si>
  <si>
    <t xml:space="preserve">      Hydro</t>
  </si>
  <si>
    <t>Street Lights</t>
  </si>
  <si>
    <t>Proposed</t>
  </si>
  <si>
    <t>Schedule 5.1</t>
  </si>
  <si>
    <t>Schedule 8.7</t>
  </si>
  <si>
    <t>Deferred Charges</t>
  </si>
  <si>
    <t>Less: Rate Case (Write-off) Credit</t>
  </si>
  <si>
    <t>Calculation of Depreciation Expense 2013</t>
  </si>
  <si>
    <t>Schedule 7.2</t>
  </si>
  <si>
    <t>Calculation of Depreciation Expense 2014</t>
  </si>
  <si>
    <t>Schedule 7.3</t>
  </si>
  <si>
    <t>Schedule 7.4</t>
  </si>
  <si>
    <t>Add: Costs</t>
  </si>
  <si>
    <t>Less: Write-off</t>
  </si>
  <si>
    <t>Line Transformers</t>
  </si>
  <si>
    <t>Software</t>
  </si>
  <si>
    <t xml:space="preserve">     Meters - AMR</t>
  </si>
  <si>
    <t>Industrial</t>
  </si>
  <si>
    <t>Schedule 7.1</t>
  </si>
  <si>
    <t>Standby Units</t>
  </si>
  <si>
    <t>Schedule 4.2</t>
  </si>
  <si>
    <t xml:space="preserve">Pelly Crossing </t>
  </si>
  <si>
    <t>Costs increase in 2014 mainly due to the addition of an environmental</t>
  </si>
  <si>
    <t>Costs increase in 2011 mainly due to increased maintenance</t>
  </si>
  <si>
    <t xml:space="preserve">Costs increase in 2013 due to higher costs for after-hours </t>
  </si>
  <si>
    <t>Costs increase in 2012 mainly due to a major repair</t>
  </si>
  <si>
    <t>required for the shipyards park transformer ($67).</t>
  </si>
  <si>
    <t>for streetlight repairs.</t>
  </si>
  <si>
    <t>Costs increase in 2012 due to increased overall activity</t>
  </si>
  <si>
    <t xml:space="preserve">Costs increase in 2015 due to inflation and FTEs for </t>
  </si>
  <si>
    <t xml:space="preserve">Costs increase in 2013 due to inflation and increased </t>
  </si>
  <si>
    <t>streetlight repair activity.</t>
  </si>
  <si>
    <t>higher streetlight repair activity.</t>
  </si>
  <si>
    <t xml:space="preserve">Costs increase in 2015 due to addition of a Power Line </t>
  </si>
  <si>
    <t>Costs increase in 2014 due to addition of a Customer</t>
  </si>
  <si>
    <t xml:space="preserve">Costs decrease in 2011 mainly due to lower vehicle usage </t>
  </si>
  <si>
    <t>for pension funding.</t>
  </si>
  <si>
    <t>Schedule 5.2</t>
  </si>
  <si>
    <t>Schedule 2.1</t>
  </si>
  <si>
    <t>Schedule 4.1</t>
  </si>
  <si>
    <t>Schedule 5.3</t>
  </si>
  <si>
    <t>Schedule 8.4</t>
  </si>
  <si>
    <t>Schedule 8.5</t>
  </si>
  <si>
    <t>Schedule 8.6</t>
  </si>
  <si>
    <t>Schedule 8.11</t>
  </si>
  <si>
    <t>Schedule 9.1</t>
  </si>
  <si>
    <t>Pelly Crossing (Standby as of 2009)</t>
  </si>
  <si>
    <t>Note 1:</t>
  </si>
  <si>
    <t>Schedule 1.1</t>
  </si>
  <si>
    <t xml:space="preserve">After Hours - Call Answering </t>
  </si>
  <si>
    <t>volume of customer credit card payments ($22).</t>
  </si>
  <si>
    <t>Schedule 8.10</t>
  </si>
  <si>
    <t>Schedule 8.8</t>
  </si>
  <si>
    <t>Schedule 8.9</t>
  </si>
  <si>
    <t>Insurance costs increase in 2011 due to absence of</t>
  </si>
  <si>
    <t>and Distribution line insurance coverage starting July 1, 2014.</t>
  </si>
  <si>
    <t>reduction in line insurance removed July 1, 2014.</t>
  </si>
  <si>
    <t xml:space="preserve">Costs increase in 2013 due to a change in policy for </t>
  </si>
  <si>
    <t xml:space="preserve">Costs increase in 2013 to reflect an average expected </t>
  </si>
  <si>
    <t>relocation expense for the year.</t>
  </si>
  <si>
    <t>483 20</t>
  </si>
  <si>
    <t>Pelly Crossing Deferral Account</t>
  </si>
  <si>
    <t>Watson Lake LNG Study Costs</t>
  </si>
  <si>
    <t>Phase I</t>
  </si>
  <si>
    <t>Depreciation Expert</t>
  </si>
  <si>
    <t>Legal Expenses</t>
  </si>
  <si>
    <t>ATCO Electric Disbursements</t>
  </si>
  <si>
    <t>Yukon Electrical Disbursements</t>
  </si>
  <si>
    <t>Board Costs</t>
  </si>
  <si>
    <t>Phase II</t>
  </si>
  <si>
    <t>Effective July 1, 2013</t>
  </si>
  <si>
    <t>S2.1 L.51</t>
  </si>
  <si>
    <t>less, Impact of Higher Fuel Costs Recovered Through Rider F</t>
  </si>
  <si>
    <t>Schedule 10.1</t>
  </si>
  <si>
    <t>Schedule 8.12</t>
  </si>
  <si>
    <t>The Yukon Electrical Company Limited</t>
  </si>
  <si>
    <t xml:space="preserve">                             The Yukon Electrical Company Limited</t>
  </si>
  <si>
    <t>Schedule 3.1</t>
  </si>
  <si>
    <t>Schedule 3.2</t>
  </si>
  <si>
    <t>Schedule 8.1</t>
  </si>
  <si>
    <t>2013 Test Period</t>
  </si>
  <si>
    <t>2014 Test Period</t>
  </si>
  <si>
    <t>2015 Test Period</t>
  </si>
  <si>
    <t>2008 GRA Approved</t>
  </si>
  <si>
    <t>2009 GRA Approved</t>
  </si>
  <si>
    <t>Schedule 8.2</t>
  </si>
  <si>
    <t>Schedule of Debt Capital Employed and Embedded Cost 2008 - 2012</t>
  </si>
  <si>
    <t>Schedule 8.3</t>
  </si>
  <si>
    <t>Schedule 12.1</t>
  </si>
  <si>
    <t>S2.1 L.53</t>
  </si>
  <si>
    <t>L.56 + L.57</t>
  </si>
  <si>
    <t>L.54 / L.58</t>
  </si>
  <si>
    <t>S.2.2 L.6</t>
  </si>
  <si>
    <t>Fuel Information</t>
  </si>
  <si>
    <t>Schedule 2.2</t>
  </si>
  <si>
    <t>Schedule 7.5</t>
  </si>
  <si>
    <t>S.2.1 L.51</t>
  </si>
  <si>
    <t>S.3.1 L.14</t>
  </si>
  <si>
    <t>Other Revenue</t>
  </si>
  <si>
    <t>Purchase Power</t>
  </si>
  <si>
    <t>Operations and Maintenance</t>
  </si>
  <si>
    <t>Amortization of Contributions</t>
  </si>
  <si>
    <t>Amortization of Deferred Charges &amp; Credits</t>
  </si>
  <si>
    <t>Income Taxes</t>
  </si>
  <si>
    <t>Page 6-1</t>
  </si>
  <si>
    <t>S.8.12 L.8</t>
  </si>
  <si>
    <t>S.8.1 L.5, 10, 15, 20, 25, 30, 35, 40, 45, 50</t>
  </si>
  <si>
    <t>L.52 - L.53</t>
  </si>
  <si>
    <t xml:space="preserve">     Fish Lake Water License Renewal</t>
  </si>
  <si>
    <t>S.9.1 L.33</t>
  </si>
  <si>
    <t xml:space="preserve">     Demand Side Management Costs</t>
  </si>
  <si>
    <t>Litres of Fuel (000s)</t>
  </si>
  <si>
    <t>Fuel Costs ($000s)</t>
  </si>
  <si>
    <t>Average Cost (cents per litre)</t>
  </si>
  <si>
    <t>Utility Earnings Before Tax</t>
  </si>
  <si>
    <t>Non-Allowable Expenses</t>
  </si>
  <si>
    <t>Plant Maintenance Write-off</t>
  </si>
  <si>
    <t>Fish Lake Water License Write-off</t>
  </si>
  <si>
    <t>Charges to Deferred Pension &amp; OPEB</t>
  </si>
  <si>
    <t>Tax Installments</t>
  </si>
  <si>
    <t>Income Taxes Receivable (Payable)</t>
  </si>
  <si>
    <t>GST Impact on Working Capital</t>
  </si>
  <si>
    <t>Working Capital</t>
  </si>
  <si>
    <t>S.8.10 L.29</t>
  </si>
  <si>
    <t>(L.4*L.8)/365</t>
  </si>
  <si>
    <t>S.8.10 L.16</t>
  </si>
  <si>
    <t>S.1.1 L.17</t>
  </si>
  <si>
    <t>88800 - Maintenance Company-Owned Houses</t>
  </si>
  <si>
    <t>Total Operations and Maintenance Expenses</t>
  </si>
  <si>
    <t>Balance at Beginning of Year</t>
  </si>
  <si>
    <t>Retirement and Disposals</t>
  </si>
  <si>
    <t>S.8.7 L.22</t>
  </si>
  <si>
    <t>Reclassify from Deferred Charges</t>
  </si>
  <si>
    <t>Kluane Wind Study</t>
  </si>
  <si>
    <t>allocation ($40) and lower labour allocation ($30) due to the</t>
  </si>
  <si>
    <t>Costs increase in 2011 mainly due to costs related to maintain</t>
  </si>
  <si>
    <t xml:space="preserve">connectivity to the Hydro Grid while Yukon Energy  performed capital </t>
  </si>
  <si>
    <t xml:space="preserve">Costs increase in 2013 mainly due to lease costs for Liquid Natural </t>
  </si>
  <si>
    <t xml:space="preserve">Gas facilities at Watson Lake ($88) and inflation ($12) offset by </t>
  </si>
  <si>
    <t>Costs increase in 2014 mainly due to additional lease costs for a full</t>
  </si>
  <si>
    <t>reduced labour and other costs.</t>
  </si>
  <si>
    <t>labour and fringe ($18).</t>
  </si>
  <si>
    <t>Costs increase in 2012 mainly due to increased maintenance</t>
  </si>
  <si>
    <t xml:space="preserve">for unit 2 related to the generator and flywheel ($57) offset by </t>
  </si>
  <si>
    <t>lower labour and fringe ($15).</t>
  </si>
  <si>
    <t xml:space="preserve">Costs increase in 2012 due to higher costs for fringe benefits </t>
  </si>
  <si>
    <t>and inflation ($5).</t>
  </si>
  <si>
    <t>higher labour cost due to the addition of a Power Line</t>
  </si>
  <si>
    <t>Service Representative.</t>
  </si>
  <si>
    <t>use of temporary meter readers and more estimates.</t>
  </si>
  <si>
    <t xml:space="preserve">Costs increase in 2013 due to an additional Customer </t>
  </si>
  <si>
    <t>Service Advisor.</t>
  </si>
  <si>
    <t>Costs increase in 2012 mainly due to higher fringe costs</t>
  </si>
  <si>
    <t>Costs decrease in 2013 due to lower regulatory costs.</t>
  </si>
  <si>
    <t>experience credits and increase costs for the policy.</t>
  </si>
  <si>
    <t>Costs increase in 2012 due to required safety programs for staff.</t>
  </si>
  <si>
    <t xml:space="preserve">Costs increase in 2012 mainly due to Regulatory intervention costs </t>
  </si>
  <si>
    <t>Costs decrease in 2011 due to lower audit fees ($22).</t>
  </si>
  <si>
    <t xml:space="preserve">for YEC Phase I ($103) and higher bank fees from higher </t>
  </si>
  <si>
    <t>Costs increase in 2012 due  to higher audit fees ($48) and higher</t>
  </si>
  <si>
    <t>employee association and other costs for bargaining ($19).</t>
  </si>
  <si>
    <t>year lease of Liquid Natural Gas facilities at Watson Lake ($176).</t>
  </si>
  <si>
    <t xml:space="preserve">due to pension funding ($15) and higher after-hours call </t>
  </si>
  <si>
    <t>due to pension funding ($60).</t>
  </si>
  <si>
    <t>Costs increase in 2012 due to higher costs for various services,</t>
  </si>
  <si>
    <t>Costs increase in 2013 due to labour and fringe for increases for inspection</t>
  </si>
  <si>
    <t xml:space="preserve">64600 - Diesel Generation </t>
  </si>
  <si>
    <t>LNG Storage and Vapourization Skid</t>
  </si>
  <si>
    <t>S.8.6 L.10</t>
  </si>
  <si>
    <t>S. 8.6 L.6</t>
  </si>
  <si>
    <t>S. 8.6 L.19</t>
  </si>
  <si>
    <t>492 00</t>
  </si>
  <si>
    <t>493 00</t>
  </si>
  <si>
    <t>496 00</t>
  </si>
  <si>
    <t>Demand Side Management</t>
  </si>
  <si>
    <t>491 00</t>
  </si>
  <si>
    <t>Other Deferrals and Studies Costs</t>
  </si>
  <si>
    <t>Other Deferrals and Studies Wite-off</t>
  </si>
  <si>
    <t>S.8.8 L. 52,60,68</t>
  </si>
  <si>
    <t>Rate changed in July 2011 from 0.0684 to 0.0830</t>
  </si>
  <si>
    <t xml:space="preserve">  Administration and General</t>
  </si>
  <si>
    <t xml:space="preserve">  Public Information</t>
  </si>
  <si>
    <t>Customer Accounting</t>
  </si>
  <si>
    <t>Sub-Total</t>
  </si>
  <si>
    <t>Taxable Income</t>
  </si>
  <si>
    <t xml:space="preserve">Tax Rate </t>
  </si>
  <si>
    <t>Book to Filing Adjustment</t>
  </si>
  <si>
    <t>Total Current Provision</t>
  </si>
  <si>
    <t>Less: Capitalized</t>
  </si>
  <si>
    <t>S.8.8 L.23</t>
  </si>
  <si>
    <t>S.8.4 L.28</t>
  </si>
  <si>
    <t>Total Capital Expenditures</t>
  </si>
  <si>
    <t>Less: Transfers to Rate Base</t>
  </si>
  <si>
    <t>Work in Progress, End of Year</t>
  </si>
  <si>
    <t>S.8.6 L.5</t>
  </si>
  <si>
    <t>S.9.1 L.35</t>
  </si>
  <si>
    <t>S.8.12 L.11</t>
  </si>
  <si>
    <t>S.8.8 L. 53,61,69</t>
  </si>
  <si>
    <t>(L.32*L.36)/365</t>
  </si>
  <si>
    <t>S.8.11 L.40</t>
  </si>
  <si>
    <t>S. 8.8 L. 23</t>
  </si>
  <si>
    <t>S.8.8 L.19</t>
  </si>
  <si>
    <t>(L.22+L.26)/2</t>
  </si>
  <si>
    <t xml:space="preserve">Less: Fish Lake Write-off </t>
  </si>
  <si>
    <t>(L.31+L.36)/2</t>
  </si>
  <si>
    <t>(L.41+L.46)/2</t>
  </si>
  <si>
    <t>(L.51+L.54)/2</t>
  </si>
  <si>
    <t>IFRS Opening Balance Reclass to PP&amp;E</t>
  </si>
  <si>
    <t>S. 8.8 L.32+L.42</t>
  </si>
  <si>
    <t>S.8.8 L.45</t>
  </si>
  <si>
    <t>S.8.8 L.36</t>
  </si>
  <si>
    <t>(L.59+L.62)/2</t>
  </si>
  <si>
    <t>(L.67+L.70)/2</t>
  </si>
  <si>
    <t>S.8.6 L.7</t>
  </si>
  <si>
    <t>Balance at End of Year</t>
  </si>
  <si>
    <t>Construction-in-Progress</t>
  </si>
  <si>
    <t>Depreciation Expense</t>
  </si>
  <si>
    <t>Depreciation Capitalized</t>
  </si>
  <si>
    <t>Dismantling</t>
  </si>
  <si>
    <t>S. 8.8 L.33+L.43</t>
  </si>
  <si>
    <t>S.7.2, 7.3, 7.4 L.51</t>
  </si>
  <si>
    <t>S.7.2, 7.3, 7.4 L.53</t>
  </si>
  <si>
    <t>S.8.6 L. 21</t>
  </si>
  <si>
    <t>S.7.1 L.3</t>
  </si>
  <si>
    <t>S.8.6 L.25</t>
  </si>
  <si>
    <t>Year End Balance</t>
  </si>
  <si>
    <t>Total Deductions</t>
  </si>
  <si>
    <t>Current Year End Balance</t>
  </si>
  <si>
    <t>Previous Year End Balance</t>
  </si>
  <si>
    <t>Mid-Year Balance</t>
  </si>
  <si>
    <t>Mid-Year Deferred Charges/Credits</t>
  </si>
  <si>
    <t>S.8.1 L.5,10,15,20, 25, 30, 35, 40</t>
  </si>
  <si>
    <t>Add: Major Overhaul Costs</t>
  </si>
  <si>
    <t xml:space="preserve">Less: Major Overhaul Write-off </t>
  </si>
  <si>
    <t>L. 35</t>
  </si>
  <si>
    <t>L. 45</t>
  </si>
  <si>
    <t>L. 53</t>
  </si>
  <si>
    <t>L. 61</t>
  </si>
  <si>
    <t>L. 69</t>
  </si>
  <si>
    <t>L. 28</t>
  </si>
  <si>
    <t>L. 38</t>
  </si>
  <si>
    <t>L. 48</t>
  </si>
  <si>
    <t>L. 56</t>
  </si>
  <si>
    <t>L. 64</t>
  </si>
  <si>
    <t>L. 72</t>
  </si>
  <si>
    <t>Long-Term Debt</t>
  </si>
  <si>
    <t>Common Stock</t>
  </si>
  <si>
    <t>S.8.2 L.19</t>
  </si>
  <si>
    <t>S.8.2 L.42</t>
  </si>
  <si>
    <t>S.8.2 L.63</t>
  </si>
  <si>
    <t>S.8.2 L.85</t>
  </si>
  <si>
    <t>S.8.2 L.107</t>
  </si>
  <si>
    <t>S.8.3 L.23</t>
  </si>
  <si>
    <t>S.8.3 L.48</t>
  </si>
  <si>
    <t>S.8.3 L.73</t>
  </si>
  <si>
    <t>S.8.2 L.126</t>
  </si>
  <si>
    <t>S.8.2 L.148</t>
  </si>
  <si>
    <t>S. 7.2, 7.3,7.4 L.51</t>
  </si>
  <si>
    <t>S.7.5 L. 51</t>
  </si>
  <si>
    <t>S. 7.1 L. 2</t>
  </si>
  <si>
    <t>S.8.8 L.10</t>
  </si>
  <si>
    <t>S.2.1 L.46</t>
  </si>
  <si>
    <t>S.2.1 L.50</t>
  </si>
  <si>
    <t>Fuel</t>
  </si>
  <si>
    <t>S.8.8 L.34 / S.9.1 L. 22</t>
  </si>
  <si>
    <t>Net Plant in Service</t>
  </si>
  <si>
    <t>YEC Firm Revenue</t>
  </si>
  <si>
    <t>Costs increase in 2012 due to environmental costs related to the</t>
  </si>
  <si>
    <t xml:space="preserve">and maintenance ($60), as well as various Fish Lake other costs </t>
  </si>
  <si>
    <t>as a result of the water licence ($106).</t>
  </si>
  <si>
    <t>other costs for Fish Lake monitoring ($20).</t>
  </si>
  <si>
    <t>W</t>
  </si>
  <si>
    <t>X</t>
  </si>
  <si>
    <t>Y</t>
  </si>
  <si>
    <t>Z</t>
  </si>
  <si>
    <t>AA</t>
  </si>
  <si>
    <t>S.8.1 L.4,9,14,19, 24,29,34,39</t>
  </si>
  <si>
    <t>L.23</t>
  </si>
  <si>
    <t>L.16</t>
  </si>
  <si>
    <t>(L.12+L.15) / 2</t>
  </si>
  <si>
    <t>(L.19+L.22) / 2</t>
  </si>
  <si>
    <t>(L.26+L.29) / 2</t>
  </si>
  <si>
    <t>S.8.4 L.27</t>
  </si>
  <si>
    <t>S.8.4 L.14 + L.21</t>
  </si>
  <si>
    <t>S.8.8 L.24 + L.25</t>
  </si>
  <si>
    <t>L. 24 + L.25</t>
  </si>
  <si>
    <t>material and equipment ($70), and higher fringe costs</t>
  </si>
  <si>
    <t>Costs increase in 2015 mainly due to inflation ($51) and</t>
  </si>
  <si>
    <t>management services ($7).</t>
  </si>
  <si>
    <t>call management services due to higher usage ($29)</t>
  </si>
  <si>
    <t>Costs increase in 2013 and 2014 mainly due to inflation.</t>
  </si>
  <si>
    <t>Costs increase in 2012 due to increased overall activity ($89)</t>
  </si>
  <si>
    <t>and costs for Arctic Winter Games (AWG) support ($25).</t>
  </si>
  <si>
    <t>due to pension funding.</t>
  </si>
  <si>
    <t>Costs decrease in 2012 due to lower relocations.</t>
  </si>
  <si>
    <t>and lower employee association costs for collective bargaining ($8).</t>
  </si>
  <si>
    <t>The Fuel Variance for 2008 was not recalculated for the 2008 approved prices as the rate increase Rider calculation based on the Feb 19, 2009 Decision 2009-02 was implemented in 2009 and trued up the cumulative 2008 impacts.</t>
  </si>
  <si>
    <t>Other Retirements Less Than $20,000</t>
  </si>
  <si>
    <t xml:space="preserve">  Distribution (continued)</t>
  </si>
  <si>
    <t>Fish Lake water licence process.</t>
  </si>
  <si>
    <t>costs for Fish Lake licence requirements ($13) and Inflation ($8).</t>
  </si>
  <si>
    <t>Costs increase in 2011 mainly due to overall higher contractor costs</t>
  </si>
  <si>
    <t>Costs increase in 2012 mainly due to overall higher contractor costs</t>
  </si>
  <si>
    <t>result of weather and contractor availability.</t>
  </si>
  <si>
    <t xml:space="preserve">Costs decrease in 2011 due to brushing activities deferred to 2012 as a </t>
  </si>
  <si>
    <t xml:space="preserve">Costs increase in 2012 due to lag from 2011 as a result of weather and </t>
  </si>
  <si>
    <t>contractor availability.</t>
  </si>
  <si>
    <t>Technician Apprentice to the compliment ($47).</t>
  </si>
  <si>
    <t>Costs decrease in 2013 due to reduction in costs for AWG ($25) and</t>
  </si>
  <si>
    <t>lower other costs ($7).</t>
  </si>
  <si>
    <t>for the addition of a Senior Corporate Communications Advisor.</t>
  </si>
  <si>
    <t xml:space="preserve">Costs increase in 2012 mainly due to higher fringe costs </t>
  </si>
  <si>
    <t>Costs increase in 2013 due to additional labour from a Power Line</t>
  </si>
  <si>
    <t>Technician Apprentice and a Customer Service Advisor, as well as inflation.</t>
  </si>
  <si>
    <t>Technician Apprentice.</t>
  </si>
  <si>
    <t>employee benefits for payment of the Northern Travel Allowance.</t>
  </si>
  <si>
    <t>Intervener Costs</t>
  </si>
  <si>
    <t>S. 8.9 L.8, L.15</t>
  </si>
  <si>
    <t>Financial Reporting and Regulatory Support</t>
  </si>
  <si>
    <t>Licence - Fish Lake</t>
  </si>
  <si>
    <t>Costs increase in 2015 due to increased labour and fringe from an additional</t>
  </si>
  <si>
    <t>Costs increase 2012 mainly due to additional, temporary meter reader position</t>
  </si>
  <si>
    <t>added to assist with meter reading.</t>
  </si>
  <si>
    <t>Costs decrease in 2015 mainly due to a reduction for meter reading labour costs</t>
  </si>
  <si>
    <t>Costs increase in 2013 mainly due to higher labour for meter reading as a result of</t>
  </si>
  <si>
    <t>the reclassification of a temporary meter reader position to full-time.  This resulted in</t>
  </si>
  <si>
    <t>higher benefits and lower vacancy.</t>
  </si>
  <si>
    <t>Costs decrease in 2011 mainly due to a reduction in Regulatory costs</t>
  </si>
  <si>
    <t xml:space="preserve">Costs decrease in 2014 mainly due to the removal of Transmission </t>
  </si>
  <si>
    <t xml:space="preserve">Costs decrease in 2015 mainly due to the full year effect of the </t>
  </si>
  <si>
    <t>Rates and Terms &amp; Conditions</t>
  </si>
  <si>
    <t>maintenance on the system  i.e.  'Aishihik Bypass' project ($114).</t>
  </si>
  <si>
    <t>for unit 2 governor and bearings ($24) as well as increased</t>
  </si>
  <si>
    <t>for maintenance for various  overhauls and repairs.</t>
  </si>
  <si>
    <t>for maintenance for various overhauls and repairs.</t>
  </si>
  <si>
    <t>Power Line Technician Apprentice added to the compliment ($14), higher</t>
  </si>
  <si>
    <t>due to conversion to Automated Meter Reading.</t>
  </si>
  <si>
    <t xml:space="preserve">Costs increase from 2010 to 2011 mainly due to the addition of a Financial  </t>
  </si>
  <si>
    <t>from the Prior year Phase II proceeding ($113K).</t>
  </si>
  <si>
    <t>Costs increase in 2012 mainly due to addition of a Corporate Accountant and</t>
  </si>
  <si>
    <t>Manager position to support the accounting, finance and regulatory functions.</t>
  </si>
  <si>
    <t>General Property and Equipment:</t>
  </si>
  <si>
    <t>Additions to Property</t>
  </si>
  <si>
    <t>Technician Apprentice to the compliment ($20) and inflation.</t>
  </si>
  <si>
    <t>Analyst ($78), higher ITEK-IT Costs ($38), and higher Head Office costs ($31)</t>
  </si>
  <si>
    <t xml:space="preserve">Costs increase in 2013 mainly due to an additional Customer Service Advisor ($21), </t>
  </si>
  <si>
    <t xml:space="preserve">technician position ($92) and related fringe costs ($27) offset by lower </t>
  </si>
  <si>
    <t>Costs increase in 2015 mainly due to the addition of a Power Line</t>
  </si>
  <si>
    <t>Costs increase in 2014 mainly due to higher costs for Collective Bargaining.</t>
  </si>
  <si>
    <t>Costs decrease in 2013 due to lower employee association costs.</t>
  </si>
  <si>
    <t>S.5.2 L.3</t>
  </si>
  <si>
    <t>S.5.2 L.21</t>
  </si>
  <si>
    <t>S.5.2 L.35</t>
  </si>
  <si>
    <t>S.5.2 L.46</t>
  </si>
  <si>
    <t>S.5.2 L.55</t>
  </si>
  <si>
    <t>S.5.2 L.66</t>
  </si>
  <si>
    <t>S.5.2 L.75</t>
  </si>
  <si>
    <t>S.5.2 L.88</t>
  </si>
  <si>
    <t>S.5.2 L.100</t>
  </si>
  <si>
    <t>S.5.2 L.106</t>
  </si>
  <si>
    <t>S.5.2 L.120</t>
  </si>
  <si>
    <t>S.5.2 L.126</t>
  </si>
  <si>
    <t>S.5.2 L.141</t>
  </si>
  <si>
    <t>S.5.2 L.158</t>
  </si>
  <si>
    <t>S.5.2 L.164</t>
  </si>
  <si>
    <t>S.5.2 L.173</t>
  </si>
  <si>
    <t>S.5.2 L.182</t>
  </si>
  <si>
    <t>S.8.4 L. 27</t>
  </si>
  <si>
    <t>Governance, HR, and Health &amp; Safety</t>
  </si>
  <si>
    <t>Payroll, Use of Systems and IT</t>
  </si>
  <si>
    <t>ES&amp;G &amp; Other Deductible Costs</t>
  </si>
  <si>
    <t>S.10.1 L.31</t>
  </si>
  <si>
    <t>IFRS Opening Balance Reclass to Accumulated Dep.</t>
  </si>
  <si>
    <t>Fish Lake Water Licence Costs</t>
  </si>
  <si>
    <t>Less: Adjustment for Board Order 2009-2</t>
  </si>
  <si>
    <t>% Rate Increase Over Existing Rates</t>
  </si>
  <si>
    <t>Less:  Impact of Higher Fuel Costs Recovered Through Rider F</t>
  </si>
  <si>
    <t>2013 Retail Revenue Requirement</t>
  </si>
  <si>
    <t>2013 Retail Revenue on Existing Rates</t>
  </si>
  <si>
    <t xml:space="preserve">2013 Primary Sales Revenues on Existing Primary Rates </t>
  </si>
  <si>
    <t>Rate Adjustment Rider R Effective July 1, 2013</t>
  </si>
  <si>
    <t>Total Primary Sales Revenues</t>
  </si>
  <si>
    <t>Determination of the 2013 Rate Adjustment Rider R</t>
  </si>
  <si>
    <t>Affiliate Charges included in Operations and Maintenance Expenses</t>
  </si>
  <si>
    <t>Costs increase in 2013 mainly due to the full year impact of additional positions</t>
  </si>
  <si>
    <t>ATCO I-Tek (ITBS)</t>
  </si>
  <si>
    <t>S.5.2 L.198</t>
  </si>
  <si>
    <t>S.5.2 L.210</t>
  </si>
  <si>
    <t>S.5.2 L.222</t>
  </si>
  <si>
    <t>S.5.2 L.228</t>
  </si>
  <si>
    <t>S.5.2 L.233</t>
  </si>
  <si>
    <t>S.5.2 L.241</t>
  </si>
  <si>
    <t>Costs increase in 2014 mainly due to the one-time costs for Phase II process ($76)</t>
  </si>
  <si>
    <t xml:space="preserve">added in 2012 ($135), inflation ($71), increased costs for HR ($35), as well as </t>
  </si>
  <si>
    <t>rates and terms &amp; conditions support ($25).</t>
  </si>
  <si>
    <t>Private Lights</t>
  </si>
  <si>
    <t>Hydro Generation</t>
  </si>
  <si>
    <t>Diesel Generation</t>
  </si>
  <si>
    <t>Total Energy Sales - MWh</t>
  </si>
  <si>
    <t>Losses and Company Used - MWh</t>
  </si>
  <si>
    <t>Total Generation and Purchases (MWh)</t>
  </si>
  <si>
    <t>Hydro Grid Standby Diesel Generation</t>
  </si>
  <si>
    <t>Primary Energy Charge ($ per kWh)</t>
  </si>
  <si>
    <t>Secondary Sales ($ per kWh)</t>
  </si>
  <si>
    <t xml:space="preserve">  Cents per kWh</t>
  </si>
  <si>
    <t>Total Diesel Generation (in MWh)</t>
  </si>
  <si>
    <t>Fuel Heat Rate (kWh per litre)</t>
  </si>
  <si>
    <t>Generation (MWh)</t>
  </si>
  <si>
    <t>Net Heat Rate (kWh/litre)</t>
  </si>
  <si>
    <t>Litres Consumed  ('000s)</t>
  </si>
  <si>
    <t>Yukon Electrical: July - December 2013</t>
  </si>
  <si>
    <t>Yukon Energy: July - December 2013</t>
  </si>
  <si>
    <t>Revenue Shortfall</t>
  </si>
  <si>
    <t>Non-Fuel Portion of Revenue Shortfall</t>
  </si>
  <si>
    <t>Percentage of Revenue Shortfall</t>
  </si>
  <si>
    <t>Percentage of Non-Fuel Portion of Revenue Shortfall</t>
  </si>
  <si>
    <t>L.2 - L.3</t>
  </si>
  <si>
    <t>L.4 - L.5</t>
  </si>
  <si>
    <t>L.6 * L.7</t>
  </si>
  <si>
    <t>L.10 + L.11</t>
  </si>
  <si>
    <t>L.8/L.12*100</t>
  </si>
  <si>
    <t>L0</t>
  </si>
  <si>
    <t>L3</t>
  </si>
  <si>
    <t>inflation ($17), and increased costs for billing system service requests ($15).</t>
  </si>
  <si>
    <t>Fuel Holders, Producers, &amp; Acc. Equipment - Other</t>
  </si>
  <si>
    <t>Inventory (Three-Year Average)</t>
  </si>
  <si>
    <t>and inflation. Costs decrease in 2015 due to no Phase II costs offset by inflation.</t>
  </si>
  <si>
    <t>Costs increase from 2011 to 2013 due to a 0.6 FTE addition in mid-2011</t>
  </si>
  <si>
    <t>Calculation of Depreciation Expense 2015</t>
  </si>
  <si>
    <t>Structures and Improvements - Other</t>
  </si>
  <si>
    <t>Work in Progress, Beginning of Year</t>
  </si>
  <si>
    <t>Page 1 of 2</t>
  </si>
  <si>
    <t>Page 2 of 2</t>
  </si>
  <si>
    <t>Page 4 of 4</t>
  </si>
  <si>
    <t>Page 3 of 4</t>
  </si>
  <si>
    <t>Page 2 of 4</t>
  </si>
  <si>
    <t>Page 1 of 4</t>
  </si>
  <si>
    <t>Pension &amp; OPEB Payments</t>
  </si>
  <si>
    <t>Cumulative Eligible Capital</t>
  </si>
</sst>
</file>

<file path=xl/styles.xml><?xml version="1.0" encoding="utf-8"?>
<styleSheet xmlns="http://schemas.openxmlformats.org/spreadsheetml/2006/main">
  <numFmts count="2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_(* #,##0_);_(* \(#,##0\);_(* &quot;-&quot;??_);_(@_)"/>
    <numFmt numFmtId="170" formatCode="0.0%"/>
    <numFmt numFmtId="171" formatCode="#,##0.0_);\(#,##0.0\)"/>
    <numFmt numFmtId="172" formatCode="0.000%"/>
    <numFmt numFmtId="173" formatCode="#,##0\ ;\(#,##0\)"/>
    <numFmt numFmtId="174" formatCode="_(* #,##0.0000_);_(* \(#,##0.0000\);_(* &quot;-&quot;??_);_(@_)"/>
    <numFmt numFmtId="175" formatCode="_(* #,##0.00000_);_(* \(#,##0.00000\);_(* &quot;-&quot;??_);_(@_)"/>
    <numFmt numFmtId="176" formatCode="_-* #,##0.000_-;\-* #,##0.000_-;_-* &quot;-&quot;??_-;_-@_-"/>
    <numFmt numFmtId="177" formatCode="_-* #,##0.0000_-;\-* #,##0.0000_-;_-* &quot;-&quot;??_-;_-@_-"/>
    <numFmt numFmtId="178" formatCode="_-* #,##0_-;\-* #,##0_-;_-* &quot;-&quot;??_-;_-@_-"/>
    <numFmt numFmtId="179" formatCode="_(* #,##0_);_(* \(#,##0\);_(* &quot;-&quot;?_);_(@_)"/>
    <numFmt numFmtId="180" formatCode="_-&quot;$&quot;* #,##0_-;\-&quot;$&quot;* #,##0_-;_-&quot;$&quot;* &quot;-&quot;??_-;_-@_-"/>
    <numFmt numFmtId="181" formatCode="#,##0.00000000000_);\(#,##0.00000000000\)"/>
    <numFmt numFmtId="182" formatCode="#,##0.0"/>
    <numFmt numFmtId="183" formatCode="_([$€-2]* #,##0.00_);_([$€-2]* \(#,##0.00\);_([$€-2]* &quot;-&quot;??_)"/>
    <numFmt numFmtId="184" formatCode="#,##0.00000000000"/>
    <numFmt numFmtId="185" formatCode="#,##0.000_);\(#,##0.000\)"/>
    <numFmt numFmtId="186" formatCode="_-* #,##0.0_-;\-* #,##0.0_-;_-* &quot;-&quot;??_-;_-@_-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8"/>
      <name val="MS Sans Serif"/>
      <family val="2"/>
    </font>
    <font>
      <sz val="8"/>
      <name val="MS Sans Serif"/>
      <family val="2"/>
    </font>
    <font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u/>
      <sz val="12"/>
      <name val="Arial"/>
      <family val="2"/>
    </font>
    <font>
      <sz val="12"/>
      <name val="MS Sans Serif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12"/>
      <name val="MS Sans Serif"/>
      <family val="2"/>
    </font>
    <font>
      <b/>
      <sz val="9"/>
      <color rgb="FF0070C0"/>
      <name val="Arial"/>
      <family val="2"/>
    </font>
    <font>
      <b/>
      <u/>
      <sz val="8"/>
      <name val="Arial"/>
      <family val="2"/>
    </font>
    <font>
      <sz val="9"/>
      <color rgb="FF0070C0"/>
      <name val="Arial"/>
      <family val="2"/>
    </font>
    <font>
      <u/>
      <sz val="9"/>
      <name val="Arial"/>
      <family val="2"/>
    </font>
    <font>
      <sz val="8"/>
      <color theme="3" tint="0.3999755851924192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2"/>
      <color rgb="FF006100"/>
      <name val="Calibri"/>
      <family val="2"/>
      <scheme val="minor"/>
    </font>
    <font>
      <sz val="10"/>
      <name val="Helv"/>
    </font>
    <font>
      <sz val="10"/>
      <color indexed="8"/>
      <name val="Arial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3" tint="0.39997558519241921"/>
      <name val="MS Sans Serif"/>
      <family val="2"/>
    </font>
    <font>
      <b/>
      <sz val="8"/>
      <color theme="7" tint="-0.249977111117893"/>
      <name val="Century"/>
      <family val="1"/>
    </font>
    <font>
      <sz val="8.5"/>
      <name val="Arial"/>
      <family val="2"/>
    </font>
    <font>
      <b/>
      <sz val="8.5"/>
      <name val="Arial"/>
      <family val="2"/>
    </font>
    <font>
      <u/>
      <sz val="10"/>
      <name val="Arial"/>
      <family val="2"/>
    </font>
    <font>
      <sz val="8.5"/>
      <color indexed="10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83" fontId="24" fillId="0" borderId="0" applyNumberFormat="0" applyFill="0" applyBorder="0" applyAlignment="0" applyProtection="0"/>
    <xf numFmtId="183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3" fontId="2" fillId="0" borderId="0"/>
    <xf numFmtId="165" fontId="36" fillId="0" borderId="0" applyFont="0" applyFill="0" applyBorder="0" applyAlignment="0" applyProtection="0"/>
    <xf numFmtId="0" fontId="37" fillId="3" borderId="0" applyNumberFormat="0" applyBorder="0" applyAlignment="0" applyProtection="0"/>
    <xf numFmtId="0" fontId="2" fillId="0" borderId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7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4" fillId="5" borderId="0" applyNumberFormat="0" applyBorder="0" applyAlignment="0" applyProtection="0"/>
    <xf numFmtId="0" fontId="45" fillId="22" borderId="13" applyNumberFormat="0" applyAlignment="0" applyProtection="0"/>
    <xf numFmtId="0" fontId="46" fillId="23" borderId="14" applyNumberForma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0" fillId="0" borderId="0" applyFont="0" applyFill="0" applyBorder="0" applyAlignment="0" applyProtection="0"/>
    <xf numFmtId="4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4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" borderId="0" applyNumberFormat="0" applyBorder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1" fillId="0" borderId="17" applyNumberFormat="0" applyFill="0" applyAlignment="0" applyProtection="0"/>
    <xf numFmtId="0" fontId="51" fillId="0" borderId="0" applyNumberFormat="0" applyFill="0" applyBorder="0" applyAlignment="0" applyProtection="0"/>
    <xf numFmtId="0" fontId="52" fillId="9" borderId="13" applyNumberFormat="0" applyAlignment="0" applyProtection="0"/>
    <xf numFmtId="0" fontId="53" fillId="0" borderId="18" applyNumberFormat="0" applyFill="0" applyAlignment="0" applyProtection="0"/>
    <xf numFmtId="0" fontId="54" fillId="24" borderId="0" applyNumberFormat="0" applyBorder="0" applyAlignment="0" applyProtection="0"/>
    <xf numFmtId="0" fontId="2" fillId="0" borderId="0"/>
    <xf numFmtId="0" fontId="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25" borderId="19" applyNumberFormat="0" applyFont="0" applyAlignment="0" applyProtection="0"/>
    <xf numFmtId="0" fontId="55" fillId="22" borderId="20" applyNumberFormat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1" applyNumberFormat="0" applyFill="0" applyAlignment="0" applyProtection="0"/>
    <xf numFmtId="0" fontId="5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" fillId="0" borderId="0" applyNumberFormat="0" applyFont="0" applyFill="0" applyBorder="0" applyAlignment="0"/>
    <xf numFmtId="0" fontId="36" fillId="0" borderId="0"/>
    <xf numFmtId="166" fontId="36" fillId="0" borderId="0" applyFont="0" applyFill="0" applyBorder="0" applyAlignment="0" applyProtection="0"/>
    <xf numFmtId="0" fontId="60" fillId="0" borderId="0"/>
  </cellStyleXfs>
  <cellXfs count="833">
    <xf numFmtId="0" fontId="0" fillId="0" borderId="0" xfId="0"/>
    <xf numFmtId="0" fontId="3" fillId="0" borderId="0" xfId="0" applyNumberFormat="1" applyFont="1"/>
    <xf numFmtId="0" fontId="0" fillId="0" borderId="0" xfId="0" applyFill="1"/>
    <xf numFmtId="0" fontId="0" fillId="0" borderId="0" xfId="0" applyBorder="1"/>
    <xf numFmtId="169" fontId="2" fillId="0" borderId="0" xfId="1" applyNumberForma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12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0" xfId="0" applyFont="1" applyAlignment="1">
      <alignment horizontal="center"/>
    </xf>
    <xf numFmtId="14" fontId="17" fillId="0" borderId="0" xfId="0" applyNumberFormat="1" applyFont="1" applyAlignment="1">
      <alignment horizontal="center"/>
    </xf>
    <xf numFmtId="172" fontId="17" fillId="0" borderId="0" xfId="0" applyNumberFormat="1" applyFont="1"/>
    <xf numFmtId="37" fontId="17" fillId="0" borderId="0" xfId="0" applyNumberFormat="1" applyFont="1"/>
    <xf numFmtId="39" fontId="17" fillId="0" borderId="0" xfId="0" applyNumberFormat="1" applyFont="1"/>
    <xf numFmtId="0" fontId="18" fillId="0" borderId="0" xfId="0" quotePrefix="1" applyFont="1" applyAlignment="1">
      <alignment horizontal="left"/>
    </xf>
    <xf numFmtId="0" fontId="18" fillId="0" borderId="0" xfId="0" applyFont="1" applyAlignment="1">
      <alignment horizontal="centerContinuous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5" fontId="16" fillId="0" borderId="1" xfId="0" applyNumberFormat="1" applyFont="1" applyBorder="1" applyAlignment="1">
      <alignment horizontal="center"/>
    </xf>
    <xf numFmtId="10" fontId="17" fillId="0" borderId="0" xfId="0" applyNumberFormat="1" applyFont="1"/>
    <xf numFmtId="37" fontId="17" fillId="0" borderId="0" xfId="0" applyNumberFormat="1" applyFont="1" applyFill="1"/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37" fontId="17" fillId="0" borderId="1" xfId="0" applyNumberFormat="1" applyFont="1" applyFill="1" applyBorder="1"/>
    <xf numFmtId="10" fontId="17" fillId="0" borderId="2" xfId="0" applyNumberFormat="1" applyFont="1" applyFill="1" applyBorder="1"/>
    <xf numFmtId="10" fontId="17" fillId="0" borderId="1" xfId="0" applyNumberFormat="1" applyFont="1" applyFill="1" applyBorder="1"/>
    <xf numFmtId="37" fontId="17" fillId="0" borderId="3" xfId="0" applyNumberFormat="1" applyFont="1" applyFill="1" applyBorder="1"/>
    <xf numFmtId="10" fontId="17" fillId="0" borderId="4" xfId="0" applyNumberFormat="1" applyFont="1" applyFill="1" applyBorder="1"/>
    <xf numFmtId="37" fontId="17" fillId="0" borderId="1" xfId="0" applyNumberFormat="1" applyFont="1" applyBorder="1"/>
    <xf numFmtId="169" fontId="2" fillId="0" borderId="0" xfId="1" applyNumberFormat="1" applyFont="1" applyFill="1"/>
    <xf numFmtId="0" fontId="12" fillId="0" borderId="0" xfId="0" applyFont="1" applyFill="1"/>
    <xf numFmtId="0" fontId="0" fillId="0" borderId="0" xfId="0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5" fillId="0" borderId="0" xfId="0" applyFont="1"/>
    <xf numFmtId="0" fontId="12" fillId="0" borderId="0" xfId="0" applyFont="1" applyAlignment="1">
      <alignment horizontal="left" indent="2"/>
    </xf>
    <xf numFmtId="43" fontId="12" fillId="0" borderId="0" xfId="1" applyFont="1"/>
    <xf numFmtId="169" fontId="12" fillId="0" borderId="0" xfId="1" applyNumberFormat="1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12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Border="1"/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/>
    <xf numFmtId="37" fontId="12" fillId="0" borderId="0" xfId="0" applyNumberFormat="1" applyFont="1"/>
    <xf numFmtId="37" fontId="12" fillId="0" borderId="2" xfId="0" applyNumberFormat="1" applyFont="1" applyBorder="1"/>
    <xf numFmtId="37" fontId="12" fillId="0" borderId="1" xfId="0" applyNumberFormat="1" applyFont="1" applyBorder="1"/>
    <xf numFmtId="37" fontId="12" fillId="0" borderId="0" xfId="0" applyNumberFormat="1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0" fillId="0" borderId="0" xfId="0" applyFont="1" applyBorder="1"/>
    <xf numFmtId="0" fontId="0" fillId="0" borderId="0" xfId="0"/>
    <xf numFmtId="0" fontId="9" fillId="0" borderId="0" xfId="0" applyFont="1"/>
    <xf numFmtId="0" fontId="12" fillId="0" borderId="0" xfId="0" quotePrefix="1" applyFont="1" applyAlignment="1">
      <alignment horizontal="left"/>
    </xf>
    <xf numFmtId="0" fontId="5" fillId="0" borderId="0" xfId="0" applyFont="1"/>
    <xf numFmtId="43" fontId="12" fillId="0" borderId="0" xfId="1" applyFont="1" applyFill="1"/>
    <xf numFmtId="169" fontId="12" fillId="0" borderId="0" xfId="1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169" fontId="2" fillId="0" borderId="1" xfId="1" applyNumberFormat="1" applyFill="1" applyBorder="1"/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39" fontId="12" fillId="0" borderId="0" xfId="0" applyNumberFormat="1" applyFont="1"/>
    <xf numFmtId="37" fontId="12" fillId="0" borderId="5" xfId="0" applyNumberFormat="1" applyFont="1" applyFill="1" applyBorder="1"/>
    <xf numFmtId="37" fontId="12" fillId="0" borderId="0" xfId="0" applyNumberFormat="1" applyFont="1" applyBorder="1"/>
    <xf numFmtId="0" fontId="12" fillId="0" borderId="0" xfId="0" applyFont="1" applyAlignment="1">
      <alignment horizontal="left" indent="1"/>
    </xf>
    <xf numFmtId="0" fontId="10" fillId="0" borderId="0" xfId="0" applyFont="1" applyFill="1"/>
    <xf numFmtId="169" fontId="12" fillId="0" borderId="1" xfId="1" applyNumberFormat="1" applyFont="1" applyBorder="1"/>
    <xf numFmtId="37" fontId="0" fillId="0" borderId="0" xfId="0" applyNumberFormat="1" applyFill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37" fontId="12" fillId="0" borderId="0" xfId="0" applyNumberFormat="1" applyFont="1" applyFill="1"/>
    <xf numFmtId="0" fontId="4" fillId="0" borderId="0" xfId="0" applyFont="1" applyAlignment="1">
      <alignment horizontal="right"/>
    </xf>
    <xf numFmtId="0" fontId="12" fillId="0" borderId="0" xfId="0" applyFont="1" applyBorder="1"/>
    <xf numFmtId="0" fontId="5" fillId="0" borderId="0" xfId="0" applyFont="1" applyAlignment="1">
      <alignment horizontal="right"/>
    </xf>
    <xf numFmtId="0" fontId="12" fillId="0" borderId="0" xfId="0" applyFont="1"/>
    <xf numFmtId="0" fontId="5" fillId="0" borderId="1" xfId="0" applyFont="1" applyBorder="1"/>
    <xf numFmtId="0" fontId="7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12" fillId="0" borderId="0" xfId="0" applyFont="1" applyFill="1"/>
    <xf numFmtId="0" fontId="5" fillId="0" borderId="0" xfId="0" quotePrefix="1" applyFont="1" applyAlignment="1">
      <alignment horizontal="left"/>
    </xf>
    <xf numFmtId="0" fontId="10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183" fontId="17" fillId="0" borderId="0" xfId="0" quotePrefix="1" applyNumberFormat="1" applyFont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9" fontId="12" fillId="0" borderId="0" xfId="1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/>
    <xf numFmtId="169" fontId="10" fillId="0" borderId="0" xfId="0" applyNumberFormat="1" applyFont="1"/>
    <xf numFmtId="0" fontId="12" fillId="0" borderId="0" xfId="0" applyFont="1" applyFill="1" applyAlignment="1">
      <alignment horizontal="left" indent="2"/>
    </xf>
    <xf numFmtId="0" fontId="5" fillId="0" borderId="0" xfId="0" applyFont="1" applyFill="1"/>
    <xf numFmtId="37" fontId="17" fillId="0" borderId="0" xfId="0" applyNumberFormat="1" applyFont="1" applyBorder="1"/>
    <xf numFmtId="0" fontId="12" fillId="0" borderId="0" xfId="0" applyFont="1" applyBorder="1" applyAlignment="1"/>
    <xf numFmtId="0" fontId="7" fillId="0" borderId="0" xfId="0" applyFont="1" applyFill="1" applyAlignment="1">
      <alignment horizontal="centerContinuous"/>
    </xf>
    <xf numFmtId="0" fontId="7" fillId="0" borderId="0" xfId="0" applyFont="1"/>
    <xf numFmtId="0" fontId="12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69" fontId="12" fillId="0" borderId="0" xfId="1" applyNumberFormat="1" applyFont="1" applyFill="1" applyBorder="1"/>
    <xf numFmtId="10" fontId="12" fillId="0" borderId="0" xfId="0" applyNumberFormat="1" applyFont="1" applyFill="1" applyBorder="1"/>
    <xf numFmtId="169" fontId="13" fillId="0" borderId="0" xfId="1" applyNumberFormat="1" applyFont="1"/>
    <xf numFmtId="173" fontId="4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43" fontId="10" fillId="0" borderId="0" xfId="1" applyFont="1"/>
    <xf numFmtId="169" fontId="12" fillId="0" borderId="0" xfId="1" applyNumberFormat="1" applyFont="1" applyFill="1" applyAlignment="1">
      <alignment horizontal="center"/>
    </xf>
    <xf numFmtId="169" fontId="12" fillId="0" borderId="1" xfId="1" applyNumberFormat="1" applyFont="1" applyFill="1" applyBorder="1"/>
    <xf numFmtId="0" fontId="12" fillId="0" borderId="0" xfId="0" applyFont="1" applyAlignment="1">
      <alignment horizontal="left" indent="1"/>
    </xf>
    <xf numFmtId="0" fontId="21" fillId="0" borderId="0" xfId="0" applyFont="1" applyAlignment="1">
      <alignment horizontal="left" indent="2"/>
    </xf>
    <xf numFmtId="169" fontId="12" fillId="0" borderId="0" xfId="0" applyNumberFormat="1" applyFont="1"/>
    <xf numFmtId="0" fontId="12" fillId="0" borderId="0" xfId="0" applyFont="1" applyAlignment="1">
      <alignment horizontal="left"/>
    </xf>
    <xf numFmtId="0" fontId="21" fillId="0" borderId="0" xfId="0" applyFont="1"/>
    <xf numFmtId="39" fontId="12" fillId="0" borderId="0" xfId="0" applyNumberFormat="1" applyFont="1" applyFill="1"/>
    <xf numFmtId="0" fontId="12" fillId="0" borderId="0" xfId="0" applyFont="1" applyFill="1"/>
    <xf numFmtId="1" fontId="12" fillId="0" borderId="0" xfId="0" applyNumberFormat="1" applyFont="1" applyFill="1"/>
    <xf numFmtId="183" fontId="17" fillId="0" borderId="0" xfId="0" applyNumberFormat="1" applyFont="1" applyFill="1" applyAlignment="1">
      <alignment horizontal="center"/>
    </xf>
    <xf numFmtId="10" fontId="17" fillId="0" borderId="0" xfId="4" applyNumberFormat="1" applyFont="1" applyBorder="1" applyAlignment="1">
      <alignment horizontal="right"/>
    </xf>
    <xf numFmtId="174" fontId="12" fillId="0" borderId="0" xfId="1" applyNumberFormat="1" applyFont="1" applyFill="1"/>
    <xf numFmtId="39" fontId="12" fillId="0" borderId="0" xfId="0" applyNumberFormat="1" applyFont="1" applyFill="1" applyBorder="1"/>
    <xf numFmtId="0" fontId="12" fillId="0" borderId="0" xfId="0" applyFont="1" applyFill="1" applyBorder="1"/>
    <xf numFmtId="170" fontId="12" fillId="0" borderId="0" xfId="4" applyNumberFormat="1" applyFont="1" applyFill="1" applyBorder="1"/>
    <xf numFmtId="174" fontId="12" fillId="0" borderId="0" xfId="1" applyNumberFormat="1" applyFont="1" applyFill="1" applyBorder="1"/>
    <xf numFmtId="0" fontId="5" fillId="0" borderId="0" xfId="0" applyFont="1" applyAlignment="1"/>
    <xf numFmtId="169" fontId="12" fillId="0" borderId="0" xfId="1" applyNumberFormat="1" applyFont="1" applyBorder="1" applyAlignment="1">
      <alignment horizontal="left"/>
    </xf>
    <xf numFmtId="169" fontId="0" fillId="0" borderId="0" xfId="0" applyNumberFormat="1"/>
    <xf numFmtId="0" fontId="5" fillId="0" borderId="0" xfId="0" applyFont="1" applyAlignment="1">
      <alignment horizontal="left"/>
    </xf>
    <xf numFmtId="43" fontId="10" fillId="0" borderId="0" xfId="1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left" indent="2"/>
    </xf>
    <xf numFmtId="41" fontId="13" fillId="0" borderId="0" xfId="0" applyNumberFormat="1" applyFont="1"/>
    <xf numFmtId="41" fontId="12" fillId="0" borderId="0" xfId="0" applyNumberFormat="1" applyFont="1"/>
    <xf numFmtId="41" fontId="12" fillId="0" borderId="0" xfId="0" applyNumberFormat="1" applyFont="1" applyBorder="1"/>
    <xf numFmtId="0" fontId="12" fillId="0" borderId="0" xfId="0" applyFont="1" applyAlignment="1"/>
    <xf numFmtId="169" fontId="12" fillId="0" borderId="4" xfId="0" applyNumberFormat="1" applyFont="1" applyBorder="1"/>
    <xf numFmtId="43" fontId="10" fillId="0" borderId="0" xfId="1" applyNumberFormat="1" applyFont="1" applyFill="1" applyAlignment="1">
      <alignment horizontal="right"/>
    </xf>
    <xf numFmtId="179" fontId="12" fillId="0" borderId="0" xfId="1" applyNumberFormat="1" applyFont="1" applyFill="1" applyAlignment="1">
      <alignment horizontal="right"/>
    </xf>
    <xf numFmtId="179" fontId="9" fillId="0" borderId="0" xfId="1" applyNumberFormat="1" applyFont="1" applyFill="1" applyAlignment="1">
      <alignment horizontal="right"/>
    </xf>
    <xf numFmtId="179" fontId="9" fillId="0" borderId="0" xfId="1" applyNumberFormat="1" applyFont="1" applyAlignment="1">
      <alignment horizontal="right"/>
    </xf>
    <xf numFmtId="179" fontId="5" fillId="0" borderId="0" xfId="1" applyNumberFormat="1" applyFont="1" applyFill="1" applyBorder="1" applyAlignment="1">
      <alignment horizontal="right"/>
    </xf>
    <xf numFmtId="179" fontId="12" fillId="0" borderId="1" xfId="1" applyNumberFormat="1" applyFont="1" applyFill="1" applyBorder="1" applyAlignment="1">
      <alignment horizontal="right"/>
    </xf>
    <xf numFmtId="179" fontId="12" fillId="0" borderId="0" xfId="1" applyNumberFormat="1" applyFont="1" applyFill="1" applyBorder="1" applyAlignment="1">
      <alignment horizontal="right"/>
    </xf>
    <xf numFmtId="179" fontId="12" fillId="0" borderId="7" xfId="1" applyNumberFormat="1" applyFont="1" applyFill="1" applyBorder="1" applyAlignment="1">
      <alignment horizontal="right"/>
    </xf>
    <xf numFmtId="179" fontId="10" fillId="0" borderId="0" xfId="1" applyNumberFormat="1" applyFont="1" applyFill="1" applyAlignment="1">
      <alignment horizontal="right"/>
    </xf>
    <xf numFmtId="179" fontId="10" fillId="0" borderId="0" xfId="1" applyNumberFormat="1" applyFont="1" applyAlignment="1">
      <alignment horizontal="right"/>
    </xf>
    <xf numFmtId="0" fontId="12" fillId="0" borderId="0" xfId="0" applyFont="1" applyAlignment="1">
      <alignment horizontal="left" indent="2"/>
    </xf>
    <xf numFmtId="0" fontId="21" fillId="0" borderId="0" xfId="0" applyFont="1" applyAlignment="1">
      <alignment horizontal="left"/>
    </xf>
    <xf numFmtId="169" fontId="12" fillId="0" borderId="1" xfId="0" applyNumberFormat="1" applyFont="1" applyBorder="1"/>
    <xf numFmtId="169" fontId="12" fillId="0" borderId="0" xfId="0" applyNumberFormat="1" applyFont="1" applyBorder="1"/>
    <xf numFmtId="41" fontId="12" fillId="0" borderId="0" xfId="2" applyNumberFormat="1" applyFont="1" applyFill="1" applyBorder="1"/>
    <xf numFmtId="169" fontId="13" fillId="0" borderId="0" xfId="0" applyNumberFormat="1" applyFont="1"/>
    <xf numFmtId="169" fontId="12" fillId="0" borderId="0" xfId="0" applyNumberFormat="1" applyFont="1" applyFill="1"/>
    <xf numFmtId="169" fontId="12" fillId="0" borderId="0" xfId="0" applyNumberFormat="1" applyFont="1" applyFill="1" applyBorder="1"/>
    <xf numFmtId="169" fontId="12" fillId="0" borderId="1" xfId="0" applyNumberFormat="1" applyFont="1" applyFill="1" applyBorder="1"/>
    <xf numFmtId="44" fontId="26" fillId="0" borderId="0" xfId="0" applyNumberFormat="1" applyFont="1" applyAlignment="1">
      <alignment horizontal="left"/>
    </xf>
    <xf numFmtId="169" fontId="12" fillId="0" borderId="3" xfId="0" applyNumberFormat="1" applyFont="1" applyBorder="1"/>
    <xf numFmtId="169" fontId="12" fillId="0" borderId="4" xfId="1" applyNumberFormat="1" applyFont="1" applyBorder="1"/>
    <xf numFmtId="178" fontId="12" fillId="0" borderId="0" xfId="1" applyNumberFormat="1" applyFont="1"/>
    <xf numFmtId="178" fontId="12" fillId="0" borderId="0" xfId="1" applyNumberFormat="1" applyFont="1" applyFill="1"/>
    <xf numFmtId="178" fontId="12" fillId="0" borderId="0" xfId="1" applyNumberFormat="1" applyFont="1" applyFill="1" applyBorder="1"/>
    <xf numFmtId="178" fontId="12" fillId="0" borderId="6" xfId="1" applyNumberFormat="1" applyFont="1" applyFill="1" applyBorder="1"/>
    <xf numFmtId="178" fontId="12" fillId="0" borderId="0" xfId="1" applyNumberFormat="1" applyFont="1" applyBorder="1"/>
    <xf numFmtId="178" fontId="13" fillId="0" borderId="0" xfId="1" applyNumberFormat="1" applyFont="1" applyFill="1" applyBorder="1"/>
    <xf numFmtId="173" fontId="12" fillId="0" borderId="0" xfId="1" applyNumberFormat="1" applyFont="1" applyFill="1"/>
    <xf numFmtId="173" fontId="12" fillId="0" borderId="0" xfId="0" applyNumberFormat="1" applyFont="1" applyFill="1"/>
    <xf numFmtId="173" fontId="12" fillId="0" borderId="7" xfId="0" applyNumberFormat="1" applyFont="1" applyFill="1" applyBorder="1"/>
    <xf numFmtId="173" fontId="12" fillId="0" borderId="0" xfId="0" applyNumberFormat="1" applyFont="1" applyFill="1" applyBorder="1"/>
    <xf numFmtId="173" fontId="12" fillId="0" borderId="2" xfId="0" applyNumberFormat="1" applyFont="1" applyFill="1" applyBorder="1"/>
    <xf numFmtId="165" fontId="12" fillId="0" borderId="0" xfId="1" applyNumberFormat="1" applyFont="1" applyFill="1"/>
    <xf numFmtId="165" fontId="10" fillId="0" borderId="0" xfId="1" applyNumberFormat="1" applyFont="1" applyFill="1"/>
    <xf numFmtId="165" fontId="12" fillId="0" borderId="0" xfId="0" applyNumberFormat="1" applyFont="1" applyFill="1"/>
    <xf numFmtId="165" fontId="10" fillId="0" borderId="0" xfId="0" applyNumberFormat="1" applyFont="1"/>
    <xf numFmtId="165" fontId="10" fillId="0" borderId="0" xfId="0" applyNumberFormat="1" applyFont="1" applyFill="1"/>
    <xf numFmtId="165" fontId="12" fillId="0" borderId="0" xfId="1" applyNumberFormat="1" applyFont="1" applyFill="1" applyBorder="1"/>
    <xf numFmtId="165" fontId="12" fillId="0" borderId="7" xfId="1" applyNumberFormat="1" applyFont="1" applyFill="1" applyBorder="1"/>
    <xf numFmtId="165" fontId="12" fillId="0" borderId="7" xfId="0" applyNumberFormat="1" applyFont="1" applyFill="1" applyBorder="1"/>
    <xf numFmtId="165" fontId="12" fillId="0" borderId="1" xfId="0" applyNumberFormat="1" applyFont="1" applyFill="1" applyBorder="1"/>
    <xf numFmtId="165" fontId="12" fillId="0" borderId="5" xfId="0" applyNumberFormat="1" applyFont="1" applyFill="1" applyBorder="1"/>
    <xf numFmtId="0" fontId="23" fillId="0" borderId="0" xfId="0" applyFont="1" applyFill="1"/>
    <xf numFmtId="165" fontId="0" fillId="0" borderId="0" xfId="1" applyNumberFormat="1" applyFont="1" applyFill="1"/>
    <xf numFmtId="165" fontId="6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65" fontId="0" fillId="0" borderId="0" xfId="0" applyNumberFormat="1" applyFill="1"/>
    <xf numFmtId="179" fontId="10" fillId="0" borderId="0" xfId="0" applyNumberFormat="1" applyFont="1"/>
    <xf numFmtId="165" fontId="12" fillId="0" borderId="4" xfId="1" applyNumberFormat="1" applyFont="1" applyFill="1" applyBorder="1"/>
    <xf numFmtId="39" fontId="17" fillId="0" borderId="0" xfId="0" applyNumberFormat="1" applyFont="1" applyBorder="1"/>
    <xf numFmtId="165" fontId="12" fillId="0" borderId="0" xfId="0" applyNumberFormat="1" applyFont="1"/>
    <xf numFmtId="9" fontId="12" fillId="0" borderId="0" xfId="1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179" fontId="6" fillId="0" borderId="0" xfId="0" applyNumberFormat="1" applyFont="1" applyFill="1"/>
    <xf numFmtId="179" fontId="6" fillId="0" borderId="0" xfId="0" applyNumberFormat="1" applyFont="1" applyFill="1" applyBorder="1"/>
    <xf numFmtId="179" fontId="6" fillId="0" borderId="0" xfId="1" applyNumberFormat="1" applyFont="1" applyFill="1"/>
    <xf numFmtId="0" fontId="6" fillId="0" borderId="0" xfId="0" applyFont="1" applyFill="1" applyAlignment="1">
      <alignment horizontal="left" indent="2"/>
    </xf>
    <xf numFmtId="179" fontId="6" fillId="0" borderId="1" xfId="1" quotePrefix="1" applyNumberFormat="1" applyFont="1" applyFill="1" applyBorder="1" applyAlignment="1">
      <alignment horizontal="right"/>
    </xf>
    <xf numFmtId="179" fontId="4" fillId="0" borderId="0" xfId="0" applyNumberFormat="1" applyFont="1" applyFill="1" applyBorder="1"/>
    <xf numFmtId="179" fontId="6" fillId="0" borderId="1" xfId="1" applyNumberFormat="1" applyFont="1" applyFill="1" applyBorder="1"/>
    <xf numFmtId="179" fontId="6" fillId="0" borderId="0" xfId="1" applyNumberFormat="1" applyFont="1" applyFill="1" applyBorder="1"/>
    <xf numFmtId="179" fontId="6" fillId="0" borderId="7" xfId="1" applyNumberFormat="1" applyFont="1" applyFill="1" applyBorder="1"/>
    <xf numFmtId="169" fontId="2" fillId="0" borderId="0" xfId="1" applyNumberFormat="1" applyFill="1" applyBorder="1"/>
    <xf numFmtId="0" fontId="0" fillId="0" borderId="0" xfId="0" applyFill="1" applyAlignment="1">
      <alignment horizontal="center"/>
    </xf>
    <xf numFmtId="169" fontId="12" fillId="0" borderId="0" xfId="0" applyNumberFormat="1" applyFont="1"/>
    <xf numFmtId="165" fontId="12" fillId="0" borderId="1" xfId="1" applyNumberFormat="1" applyFont="1" applyFill="1" applyBorder="1"/>
    <xf numFmtId="178" fontId="12" fillId="0" borderId="1" xfId="1" applyNumberFormat="1" applyFont="1" applyFill="1" applyBorder="1"/>
    <xf numFmtId="0" fontId="5" fillId="0" borderId="0" xfId="0" applyFont="1" applyAlignment="1"/>
    <xf numFmtId="0" fontId="5" fillId="0" borderId="1" xfId="0" applyFont="1" applyBorder="1" applyAlignment="1"/>
    <xf numFmtId="0" fontId="13" fillId="0" borderId="0" xfId="0" applyFont="1" applyFill="1"/>
    <xf numFmtId="0" fontId="7" fillId="0" borderId="0" xfId="0" applyFont="1" applyFill="1"/>
    <xf numFmtId="0" fontId="4" fillId="0" borderId="0" xfId="0" applyFont="1" applyAlignment="1">
      <alignment horizontal="center"/>
    </xf>
    <xf numFmtId="0" fontId="28" fillId="0" borderId="0" xfId="0" applyFont="1"/>
    <xf numFmtId="0" fontId="19" fillId="0" borderId="0" xfId="0" applyFont="1" applyBorder="1"/>
    <xf numFmtId="0" fontId="20" fillId="0" borderId="0" xfId="0" applyFont="1" applyBorder="1"/>
    <xf numFmtId="0" fontId="9" fillId="0" borderId="0" xfId="0" applyFont="1" applyBorder="1"/>
    <xf numFmtId="0" fontId="5" fillId="0" borderId="0" xfId="0" applyFont="1" applyAlignment="1">
      <alignment horizontal="left"/>
    </xf>
    <xf numFmtId="0" fontId="21" fillId="0" borderId="0" xfId="0" applyFont="1" applyFill="1"/>
    <xf numFmtId="0" fontId="22" fillId="0" borderId="0" xfId="0" applyFont="1"/>
    <xf numFmtId="173" fontId="5" fillId="0" borderId="0" xfId="0" applyNumberFormat="1" applyFont="1" applyFill="1" applyBorder="1" applyAlignment="1"/>
    <xf numFmtId="173" fontId="5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 indent="2"/>
    </xf>
    <xf numFmtId="167" fontId="5" fillId="0" borderId="0" xfId="0" applyNumberFormat="1" applyFont="1" applyFill="1" applyAlignment="1">
      <alignment horizontal="center"/>
    </xf>
    <xf numFmtId="43" fontId="12" fillId="0" borderId="0" xfId="1" applyNumberFormat="1" applyFont="1" applyFill="1" applyAlignment="1">
      <alignment horizontal="right"/>
    </xf>
    <xf numFmtId="178" fontId="12" fillId="0" borderId="3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0" borderId="0" xfId="0" applyFont="1" applyAlignment="1">
      <alignment horizontal="left" indent="6"/>
    </xf>
    <xf numFmtId="0" fontId="5" fillId="0" borderId="0" xfId="0" applyFont="1" applyAlignment="1"/>
    <xf numFmtId="0" fontId="22" fillId="0" borderId="0" xfId="0" applyFont="1" applyFill="1"/>
    <xf numFmtId="0" fontId="5" fillId="0" borderId="0" xfId="0" applyFont="1" applyBorder="1" applyAlignment="1">
      <alignment horizontal="center"/>
    </xf>
    <xf numFmtId="169" fontId="12" fillId="0" borderId="0" xfId="0" applyNumberFormat="1" applyFont="1" applyFill="1"/>
    <xf numFmtId="0" fontId="21" fillId="0" borderId="0" xfId="0" applyFont="1" applyFill="1" applyAlignment="1">
      <alignment horizontal="left" indent="2"/>
    </xf>
    <xf numFmtId="0" fontId="12" fillId="0" borderId="0" xfId="0" applyFont="1" applyFill="1" applyAlignment="1">
      <alignment horizontal="left" indent="2"/>
    </xf>
    <xf numFmtId="1" fontId="10" fillId="0" borderId="0" xfId="0" applyNumberFormat="1" applyFont="1" applyFill="1"/>
    <xf numFmtId="0" fontId="1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 indent="1"/>
    </xf>
    <xf numFmtId="0" fontId="10" fillId="0" borderId="0" xfId="0" applyFont="1" applyFill="1" applyAlignment="1">
      <alignment horizontal="centerContinuous"/>
    </xf>
    <xf numFmtId="0" fontId="4" fillId="0" borderId="0" xfId="0" applyFont="1" applyFill="1" applyAlignment="1"/>
    <xf numFmtId="0" fontId="0" fillId="0" borderId="0" xfId="0" applyFill="1"/>
    <xf numFmtId="41" fontId="12" fillId="0" borderId="5" xfId="2" applyNumberFormat="1" applyFont="1" applyFill="1" applyBorder="1" applyAlignment="1">
      <alignment horizontal="left"/>
    </xf>
    <xf numFmtId="2" fontId="12" fillId="0" borderId="5" xfId="0" applyNumberFormat="1" applyFont="1" applyFill="1" applyBorder="1"/>
    <xf numFmtId="180" fontId="12" fillId="0" borderId="0" xfId="2" applyNumberFormat="1" applyFont="1" applyFill="1"/>
    <xf numFmtId="43" fontId="12" fillId="0" borderId="1" xfId="1" applyNumberFormat="1" applyFont="1" applyFill="1" applyBorder="1"/>
    <xf numFmtId="43" fontId="12" fillId="0" borderId="0" xfId="1" applyFont="1" applyFill="1" applyBorder="1"/>
    <xf numFmtId="175" fontId="12" fillId="0" borderId="0" xfId="1" applyNumberFormat="1" applyFont="1" applyFill="1" applyBorder="1"/>
    <xf numFmtId="0" fontId="5" fillId="0" borderId="0" xfId="0" applyFont="1" applyFill="1" applyAlignment="1">
      <alignment horizontal="left" indent="1"/>
    </xf>
    <xf numFmtId="176" fontId="12" fillId="0" borderId="0" xfId="1" applyNumberFormat="1" applyFont="1" applyFill="1" applyBorder="1"/>
    <xf numFmtId="178" fontId="15" fillId="0" borderId="1" xfId="0" applyNumberFormat="1" applyFont="1" applyFill="1" applyBorder="1"/>
    <xf numFmtId="9" fontId="12" fillId="0" borderId="0" xfId="4" applyFont="1" applyFill="1"/>
    <xf numFmtId="0" fontId="12" fillId="0" borderId="0" xfId="0" applyFont="1" applyAlignment="1">
      <alignment horizontal="left" indent="2"/>
    </xf>
    <xf numFmtId="10" fontId="12" fillId="0" borderId="1" xfId="4" applyNumberFormat="1" applyFont="1" applyFill="1" applyBorder="1"/>
    <xf numFmtId="168" fontId="12" fillId="0" borderId="0" xfId="1" applyNumberFormat="1" applyFont="1" applyFill="1"/>
    <xf numFmtId="168" fontId="12" fillId="0" borderId="1" xfId="1" applyNumberFormat="1" applyFont="1" applyFill="1" applyBorder="1"/>
    <xf numFmtId="168" fontId="12" fillId="0" borderId="0" xfId="0" applyNumberFormat="1" applyFont="1" applyFill="1" applyBorder="1"/>
    <xf numFmtId="168" fontId="12" fillId="0" borderId="0" xfId="0" applyNumberFormat="1" applyFont="1" applyFill="1"/>
    <xf numFmtId="43" fontId="12" fillId="0" borderId="0" xfId="0" applyNumberFormat="1" applyFont="1" applyFill="1"/>
    <xf numFmtId="37" fontId="12" fillId="0" borderId="1" xfId="0" applyNumberFormat="1" applyFont="1" applyFill="1" applyBorder="1"/>
    <xf numFmtId="173" fontId="12" fillId="0" borderId="1" xfId="0" applyNumberFormat="1" applyFont="1" applyFill="1" applyBorder="1"/>
    <xf numFmtId="0" fontId="12" fillId="0" borderId="0" xfId="0" applyFont="1" applyFill="1" applyAlignment="1"/>
    <xf numFmtId="168" fontId="12" fillId="0" borderId="0" xfId="1" applyNumberFormat="1" applyFont="1" applyFill="1" applyBorder="1"/>
    <xf numFmtId="171" fontId="12" fillId="0" borderId="0" xfId="0" applyNumberFormat="1" applyFont="1" applyFill="1"/>
    <xf numFmtId="37" fontId="12" fillId="0" borderId="5" xfId="0" applyNumberFormat="1" applyFont="1" applyFill="1" applyBorder="1"/>
    <xf numFmtId="43" fontId="12" fillId="0" borderId="0" xfId="1" applyNumberFormat="1" applyFont="1" applyFill="1" applyBorder="1"/>
    <xf numFmtId="0" fontId="12" fillId="0" borderId="0" xfId="0" applyFont="1" applyBorder="1" applyAlignment="1">
      <alignment horizontal="center"/>
    </xf>
    <xf numFmtId="181" fontId="12" fillId="0" borderId="0" xfId="0" applyNumberFormat="1" applyFont="1"/>
    <xf numFmtId="0" fontId="12" fillId="0" borderId="0" xfId="0" applyFont="1" applyFill="1" applyBorder="1" applyAlignment="1">
      <alignment horizontal="left" indent="2"/>
    </xf>
    <xf numFmtId="0" fontId="21" fillId="0" borderId="0" xfId="0" applyFont="1" applyFill="1" applyBorder="1" applyAlignment="1">
      <alignment horizontal="left" indent="2"/>
    </xf>
    <xf numFmtId="178" fontId="13" fillId="0" borderId="0" xfId="1" applyNumberFormat="1" applyFont="1" applyBorder="1"/>
    <xf numFmtId="2" fontId="21" fillId="0" borderId="0" xfId="0" applyNumberFormat="1" applyFont="1"/>
    <xf numFmtId="37" fontId="12" fillId="0" borderId="1" xfId="0" applyNumberFormat="1" applyFont="1" applyBorder="1"/>
    <xf numFmtId="183" fontId="12" fillId="0" borderId="0" xfId="0" applyNumberFormat="1" applyFont="1" applyFill="1" applyBorder="1" applyAlignment="1">
      <alignment horizontal="left" indent="2"/>
    </xf>
    <xf numFmtId="170" fontId="12" fillId="0" borderId="4" xfId="4" applyNumberFormat="1" applyFont="1" applyBorder="1"/>
    <xf numFmtId="0" fontId="12" fillId="0" borderId="0" xfId="0" applyFont="1" applyBorder="1" applyAlignment="1">
      <alignment horizontal="center"/>
    </xf>
    <xf numFmtId="181" fontId="12" fillId="0" borderId="0" xfId="0" applyNumberFormat="1" applyFont="1" applyBorder="1"/>
    <xf numFmtId="0" fontId="12" fillId="0" borderId="0" xfId="0" applyFont="1" applyAlignment="1"/>
    <xf numFmtId="181" fontId="5" fillId="0" borderId="0" xfId="0" applyNumberFormat="1" applyFont="1"/>
    <xf numFmtId="181" fontId="12" fillId="0" borderId="0" xfId="0" applyNumberFormat="1" applyFont="1" applyAlignment="1"/>
    <xf numFmtId="181" fontId="5" fillId="0" borderId="0" xfId="0" applyNumberFormat="1" applyFont="1" applyFill="1"/>
    <xf numFmtId="181" fontId="25" fillId="0" borderId="0" xfId="0" applyNumberFormat="1" applyFont="1"/>
    <xf numFmtId="0" fontId="25" fillId="0" borderId="0" xfId="0" applyFont="1" applyAlignment="1">
      <alignment horizontal="left"/>
    </xf>
    <xf numFmtId="0" fontId="5" fillId="0" borderId="0" xfId="0" applyFont="1" applyAlignment="1">
      <alignment horizontal="left" indent="2"/>
    </xf>
    <xf numFmtId="0" fontId="21" fillId="0" borderId="0" xfId="0" applyFont="1"/>
    <xf numFmtId="10" fontId="12" fillId="0" borderId="0" xfId="4" applyNumberFormat="1" applyFont="1" applyFill="1" applyBorder="1"/>
    <xf numFmtId="10" fontId="12" fillId="0" borderId="0" xfId="4" applyNumberFormat="1" applyFont="1" applyFill="1"/>
    <xf numFmtId="37" fontId="15" fillId="0" borderId="1" xfId="0" applyNumberFormat="1" applyFont="1" applyFill="1" applyBorder="1"/>
    <xf numFmtId="37" fontId="12" fillId="0" borderId="0" xfId="1" applyNumberFormat="1" applyFont="1" applyFill="1"/>
    <xf numFmtId="37" fontId="12" fillId="0" borderId="0" xfId="0" applyNumberFormat="1" applyFont="1" applyFill="1"/>
    <xf numFmtId="0" fontId="16" fillId="0" borderId="0" xfId="0" applyFont="1" applyFill="1" applyAlignment="1">
      <alignment horizontal="center"/>
    </xf>
    <xf numFmtId="37" fontId="17" fillId="0" borderId="0" xfId="0" applyNumberFormat="1" applyFont="1" applyFill="1" applyBorder="1"/>
    <xf numFmtId="10" fontId="17" fillId="0" borderId="0" xfId="0" applyNumberFormat="1" applyFont="1" applyFill="1"/>
    <xf numFmtId="172" fontId="17" fillId="0" borderId="0" xfId="0" applyNumberFormat="1" applyFont="1" applyFill="1"/>
    <xf numFmtId="39" fontId="17" fillId="0" borderId="0" xfId="0" applyNumberFormat="1" applyFont="1" applyFill="1"/>
    <xf numFmtId="0" fontId="17" fillId="0" borderId="0" xfId="0" applyFont="1" applyFill="1"/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6" fillId="0" borderId="1" xfId="0" applyFont="1" applyFill="1" applyBorder="1" applyAlignment="1">
      <alignment horizontal="center"/>
    </xf>
    <xf numFmtId="10" fontId="17" fillId="0" borderId="0" xfId="4" applyNumberFormat="1" applyFont="1" applyFill="1" applyBorder="1" applyAlignment="1">
      <alignment horizontal="right"/>
    </xf>
    <xf numFmtId="10" fontId="17" fillId="0" borderId="0" xfId="0" applyNumberFormat="1" applyFont="1" applyFill="1" applyBorder="1"/>
    <xf numFmtId="173" fontId="12" fillId="0" borderId="5" xfId="0" applyNumberFormat="1" applyFont="1" applyFill="1" applyBorder="1"/>
    <xf numFmtId="165" fontId="6" fillId="0" borderId="7" xfId="1" applyNumberFormat="1" applyFont="1" applyFill="1" applyBorder="1"/>
    <xf numFmtId="165" fontId="0" fillId="0" borderId="7" xfId="1" applyNumberFormat="1" applyFont="1" applyFill="1" applyBorder="1"/>
    <xf numFmtId="3" fontId="0" fillId="0" borderId="0" xfId="0" applyNumberFormat="1"/>
    <xf numFmtId="3" fontId="4" fillId="0" borderId="0" xfId="0" applyNumberFormat="1" applyFont="1" applyFill="1" applyBorder="1" applyAlignment="1">
      <alignment horizontal="center"/>
    </xf>
    <xf numFmtId="3" fontId="0" fillId="0" borderId="0" xfId="0" applyNumberFormat="1" applyFill="1"/>
    <xf numFmtId="179" fontId="12" fillId="0" borderId="0" xfId="1" applyNumberFormat="1" applyFont="1" applyAlignment="1">
      <alignment horizontal="right"/>
    </xf>
    <xf numFmtId="14" fontId="17" fillId="2" borderId="0" xfId="0" applyNumberFormat="1" applyFont="1" applyFill="1" applyAlignment="1">
      <alignment horizontal="center"/>
    </xf>
    <xf numFmtId="4" fontId="12" fillId="0" borderId="0" xfId="0" applyNumberFormat="1" applyFont="1"/>
    <xf numFmtId="4" fontId="12" fillId="0" borderId="0" xfId="0" applyNumberFormat="1" applyFont="1" applyFill="1"/>
    <xf numFmtId="182" fontId="12" fillId="0" borderId="0" xfId="0" applyNumberFormat="1" applyFont="1"/>
    <xf numFmtId="182" fontId="12" fillId="0" borderId="0" xfId="0" applyNumberFormat="1" applyFont="1" applyFill="1"/>
    <xf numFmtId="3" fontId="12" fillId="0" borderId="0" xfId="0" applyNumberFormat="1" applyFont="1" applyFill="1" applyAlignment="1">
      <alignment horizontal="center"/>
    </xf>
    <xf numFmtId="3" fontId="12" fillId="0" borderId="0" xfId="1" applyNumberFormat="1" applyFont="1" applyFill="1" applyAlignment="1">
      <alignment horizontal="center"/>
    </xf>
    <xf numFmtId="3" fontId="12" fillId="0" borderId="0" xfId="0" applyNumberFormat="1" applyFont="1"/>
    <xf numFmtId="3" fontId="12" fillId="0" borderId="0" xfId="0" applyNumberFormat="1" applyFont="1" applyFill="1"/>
    <xf numFmtId="4" fontId="12" fillId="0" borderId="0" xfId="0" applyNumberFormat="1" applyFont="1" applyFill="1" applyAlignment="1">
      <alignment horizontal="center"/>
    </xf>
    <xf numFmtId="182" fontId="12" fillId="0" borderId="0" xfId="0" applyNumberFormat="1" applyFont="1" applyFill="1" applyAlignment="1">
      <alignment horizontal="center"/>
    </xf>
    <xf numFmtId="0" fontId="12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center"/>
    </xf>
    <xf numFmtId="37" fontId="12" fillId="0" borderId="0" xfId="1" applyNumberFormat="1" applyFont="1" applyBorder="1"/>
    <xf numFmtId="37" fontId="15" fillId="0" borderId="0" xfId="1" applyNumberFormat="1" applyFont="1" applyFill="1" applyBorder="1"/>
    <xf numFmtId="37" fontId="12" fillId="0" borderId="0" xfId="1" applyNumberFormat="1" applyFont="1" applyFill="1" applyBorder="1"/>
    <xf numFmtId="169" fontId="12" fillId="0" borderId="5" xfId="1" applyNumberFormat="1" applyFont="1" applyFill="1" applyBorder="1"/>
    <xf numFmtId="176" fontId="12" fillId="0" borderId="0" xfId="1" applyNumberFormat="1" applyFont="1" applyFill="1"/>
    <xf numFmtId="41" fontId="12" fillId="0" borderId="5" xfId="2" applyNumberFormat="1" applyFont="1" applyFill="1" applyBorder="1"/>
    <xf numFmtId="0" fontId="12" fillId="0" borderId="0" xfId="0" quotePrefix="1" applyFont="1" applyFill="1" applyAlignment="1">
      <alignment horizontal="center"/>
    </xf>
    <xf numFmtId="0" fontId="5" fillId="0" borderId="0" xfId="0" applyFont="1" applyAlignment="1">
      <alignment horizontal="left" indent="1"/>
    </xf>
    <xf numFmtId="169" fontId="12" fillId="0" borderId="3" xfId="0" applyNumberFormat="1" applyFont="1" applyFill="1" applyBorder="1"/>
    <xf numFmtId="41" fontId="12" fillId="0" borderId="0" xfId="0" applyNumberFormat="1" applyFont="1" applyFill="1"/>
    <xf numFmtId="0" fontId="17" fillId="0" borderId="0" xfId="0" quotePrefix="1" applyFont="1" applyAlignment="1">
      <alignment horizontal="center"/>
    </xf>
    <xf numFmtId="169" fontId="12" fillId="0" borderId="0" xfId="0" quotePrefix="1" applyNumberFormat="1" applyFont="1"/>
    <xf numFmtId="169" fontId="12" fillId="0" borderId="4" xfId="0" applyNumberFormat="1" applyFont="1" applyFill="1" applyBorder="1"/>
    <xf numFmtId="37" fontId="12" fillId="0" borderId="2" xfId="0" applyNumberFormat="1" applyFont="1" applyFill="1" applyBorder="1"/>
    <xf numFmtId="37" fontId="12" fillId="0" borderId="0" xfId="0" applyNumberFormat="1" applyFont="1" applyFill="1" applyBorder="1"/>
    <xf numFmtId="165" fontId="6" fillId="0" borderId="4" xfId="0" applyNumberFormat="1" applyFont="1" applyFill="1" applyBorder="1"/>
    <xf numFmtId="41" fontId="12" fillId="0" borderId="0" xfId="0" applyNumberFormat="1" applyFont="1" applyFill="1" applyBorder="1"/>
    <xf numFmtId="169" fontId="12" fillId="0" borderId="4" xfId="1" applyNumberFormat="1" applyFont="1" applyFill="1" applyBorder="1"/>
    <xf numFmtId="169" fontId="12" fillId="0" borderId="0" xfId="1" applyNumberFormat="1" applyFont="1" applyFill="1" applyBorder="1" applyAlignment="1">
      <alignment horizontal="left"/>
    </xf>
    <xf numFmtId="170" fontId="12" fillId="0" borderId="0" xfId="0" applyNumberFormat="1" applyFont="1" applyFill="1" applyBorder="1"/>
    <xf numFmtId="170" fontId="12" fillId="0" borderId="1" xfId="0" applyNumberFormat="1" applyFont="1" applyFill="1" applyBorder="1"/>
    <xf numFmtId="37" fontId="12" fillId="0" borderId="1" xfId="0" applyNumberFormat="1" applyFont="1" applyFill="1" applyBorder="1"/>
    <xf numFmtId="0" fontId="17" fillId="0" borderId="0" xfId="0" applyFont="1" applyFill="1" applyBorder="1"/>
    <xf numFmtId="169" fontId="12" fillId="0" borderId="0" xfId="0" quotePrefix="1" applyNumberFormat="1" applyFont="1" applyFill="1"/>
    <xf numFmtId="0" fontId="7" fillId="0" borderId="0" xfId="0" applyFont="1" applyFill="1"/>
    <xf numFmtId="170" fontId="12" fillId="0" borderId="2" xfId="4" applyNumberFormat="1" applyFont="1" applyFill="1" applyBorder="1"/>
    <xf numFmtId="0" fontId="22" fillId="0" borderId="0" xfId="0" applyFont="1" applyFill="1"/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170" fontId="12" fillId="0" borderId="0" xfId="1" applyNumberFormat="1" applyFont="1" applyFill="1"/>
    <xf numFmtId="0" fontId="5" fillId="0" borderId="0" xfId="0" applyFont="1" applyFill="1"/>
    <xf numFmtId="37" fontId="12" fillId="0" borderId="0" xfId="0" applyNumberFormat="1" applyFont="1" applyFill="1"/>
    <xf numFmtId="0" fontId="12" fillId="0" borderId="0" xfId="0" applyFont="1" applyFill="1" applyAlignment="1">
      <alignment horizontal="left" indent="1"/>
    </xf>
    <xf numFmtId="178" fontId="12" fillId="0" borderId="0" xfId="0" applyNumberFormat="1" applyFont="1" applyFill="1"/>
    <xf numFmtId="178" fontId="12" fillId="0" borderId="1" xfId="0" applyNumberFormat="1" applyFont="1" applyFill="1" applyBorder="1"/>
    <xf numFmtId="178" fontId="12" fillId="0" borderId="0" xfId="0" applyNumberFormat="1" applyFont="1" applyFill="1" applyAlignment="1">
      <alignment horizontal="center"/>
    </xf>
    <xf numFmtId="37" fontId="12" fillId="0" borderId="0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centerContinuous"/>
    </xf>
    <xf numFmtId="2" fontId="12" fillId="0" borderId="0" xfId="0" applyNumberFormat="1" applyFont="1" applyFill="1" applyBorder="1"/>
    <xf numFmtId="0" fontId="5" fillId="0" borderId="0" xfId="0" applyFont="1"/>
    <xf numFmtId="169" fontId="12" fillId="0" borderId="0" xfId="0" applyNumberFormat="1" applyFont="1" applyBorder="1"/>
    <xf numFmtId="178" fontId="12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37" fontId="30" fillId="0" borderId="0" xfId="0" applyNumberFormat="1" applyFont="1" applyFill="1"/>
    <xf numFmtId="178" fontId="30" fillId="0" borderId="0" xfId="0" applyNumberFormat="1" applyFont="1" applyFill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9" fontId="12" fillId="0" borderId="0" xfId="0" applyNumberFormat="1" applyFont="1"/>
    <xf numFmtId="0" fontId="25" fillId="0" borderId="0" xfId="0" applyFont="1" applyAlignment="1">
      <alignment horizontal="left"/>
    </xf>
    <xf numFmtId="0" fontId="12" fillId="0" borderId="1" xfId="0" applyFont="1" applyBorder="1"/>
    <xf numFmtId="169" fontId="12" fillId="0" borderId="0" xfId="0" applyNumberFormat="1" applyFont="1" applyFill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Fill="1" applyBorder="1"/>
    <xf numFmtId="183" fontId="5" fillId="0" borderId="0" xfId="10" applyFont="1" applyAlignment="1">
      <alignment horizontal="right"/>
    </xf>
    <xf numFmtId="165" fontId="12" fillId="0" borderId="2" xfId="1" applyNumberFormat="1" applyFont="1" applyFill="1" applyBorder="1"/>
    <xf numFmtId="0" fontId="5" fillId="0" borderId="1" xfId="0" applyFont="1" applyBorder="1"/>
    <xf numFmtId="0" fontId="12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0" xfId="0" applyFont="1" applyFill="1"/>
    <xf numFmtId="0" fontId="27" fillId="0" borderId="0" xfId="0" applyFont="1" applyFill="1" applyAlignment="1">
      <alignment horizontal="center"/>
    </xf>
    <xf numFmtId="165" fontId="12" fillId="0" borderId="0" xfId="0" applyNumberFormat="1" applyFont="1" applyFill="1"/>
    <xf numFmtId="0" fontId="12" fillId="0" borderId="0" xfId="0" applyFont="1" applyFill="1" applyBorder="1"/>
    <xf numFmtId="3" fontId="2" fillId="0" borderId="0" xfId="0" applyNumberFormat="1" applyFont="1"/>
    <xf numFmtId="0" fontId="2" fillId="0" borderId="0" xfId="0" applyFont="1"/>
    <xf numFmtId="0" fontId="2" fillId="0" borderId="0" xfId="0" applyFont="1"/>
    <xf numFmtId="3" fontId="2" fillId="0" borderId="0" xfId="0" applyNumberFormat="1" applyFont="1" applyFill="1"/>
    <xf numFmtId="179" fontId="6" fillId="0" borderId="0" xfId="1" quotePrefix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1" fontId="5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2" fillId="0" borderId="0" xfId="0" applyFont="1" applyFill="1"/>
    <xf numFmtId="0" fontId="5" fillId="0" borderId="1" xfId="0" applyFont="1" applyFill="1" applyBorder="1" applyAlignment="1">
      <alignment horizontal="center"/>
    </xf>
    <xf numFmtId="0" fontId="29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170" fontId="0" fillId="0" borderId="0" xfId="0" applyNumberFormat="1" applyFill="1"/>
    <xf numFmtId="170" fontId="0" fillId="0" borderId="1" xfId="4" applyNumberFormat="1" applyFont="1" applyFill="1" applyBorder="1"/>
    <xf numFmtId="10" fontId="17" fillId="0" borderId="0" xfId="0" applyNumberFormat="1" applyFont="1" applyBorder="1"/>
    <xf numFmtId="10" fontId="17" fillId="0" borderId="1" xfId="4" applyNumberFormat="1" applyFont="1" applyBorder="1"/>
    <xf numFmtId="0" fontId="2" fillId="0" borderId="0" xfId="0" applyFont="1" applyFill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177" fontId="12" fillId="0" borderId="0" xfId="1" applyNumberFormat="1" applyFont="1" applyFill="1"/>
    <xf numFmtId="174" fontId="12" fillId="0" borderId="0" xfId="0" applyNumberFormat="1" applyFont="1" applyFill="1"/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left" indent="2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17" fillId="0" borderId="0" xfId="0" applyFont="1"/>
    <xf numFmtId="178" fontId="32" fillId="0" borderId="0" xfId="1" applyNumberFormat="1" applyFont="1"/>
    <xf numFmtId="178" fontId="32" fillId="0" borderId="0" xfId="1" applyNumberFormat="1" applyFont="1" applyFill="1"/>
    <xf numFmtId="0" fontId="33" fillId="0" borderId="0" xfId="0" applyFont="1"/>
    <xf numFmtId="0" fontId="2" fillId="0" borderId="0" xfId="0" applyFont="1" applyAlignment="1">
      <alignment horizontal="right"/>
    </xf>
    <xf numFmtId="38" fontId="0" fillId="0" borderId="0" xfId="0" applyNumberFormat="1" applyFill="1"/>
    <xf numFmtId="169" fontId="2" fillId="0" borderId="1" xfId="1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 applyFill="1" applyBorder="1"/>
    <xf numFmtId="0" fontId="0" fillId="0" borderId="0" xfId="0" applyFill="1" applyBorder="1"/>
    <xf numFmtId="167" fontId="12" fillId="0" borderId="0" xfId="0" applyNumberFormat="1" applyFont="1"/>
    <xf numFmtId="167" fontId="12" fillId="0" borderId="0" xfId="0" applyNumberFormat="1" applyFont="1" applyFill="1"/>
    <xf numFmtId="0" fontId="10" fillId="0" borderId="0" xfId="0" applyFont="1" applyFill="1" applyBorder="1"/>
    <xf numFmtId="3" fontId="34" fillId="0" borderId="0" xfId="0" applyNumberFormat="1" applyFont="1" applyFill="1" applyBorder="1"/>
    <xf numFmtId="184" fontId="0" fillId="0" borderId="0" xfId="0" applyNumberFormat="1"/>
    <xf numFmtId="0" fontId="5" fillId="0" borderId="0" xfId="0" applyFont="1" applyFill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12" fillId="0" borderId="0" xfId="0" applyNumberFormat="1" applyFont="1"/>
    <xf numFmtId="0" fontId="10" fillId="0" borderId="0" xfId="0" applyNumberFormat="1" applyFont="1"/>
    <xf numFmtId="0" fontId="12" fillId="0" borderId="0" xfId="0" applyNumberFormat="1" applyFont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7" fillId="0" borderId="0" xfId="0" applyNumberFormat="1" applyFont="1"/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35" fillId="0" borderId="0" xfId="0" applyFont="1" applyFill="1" applyBorder="1" applyAlignment="1">
      <alignment horizontal="left" indent="2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12" fillId="0" borderId="0" xfId="0" applyNumberFormat="1" applyFont="1"/>
    <xf numFmtId="0" fontId="12" fillId="0" borderId="0" xfId="0" applyNumberFormat="1" applyFont="1" applyFill="1"/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/>
    </xf>
    <xf numFmtId="0" fontId="38" fillId="0" borderId="0" xfId="12" applyFont="1" applyFill="1" applyBorder="1"/>
    <xf numFmtId="0" fontId="5" fillId="0" borderId="0" xfId="0" applyFont="1" applyFill="1" applyAlignment="1">
      <alignment horizontal="center"/>
    </xf>
    <xf numFmtId="0" fontId="2" fillId="0" borderId="0" xfId="0" applyFont="1" applyFill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Continuous"/>
    </xf>
    <xf numFmtId="0" fontId="4" fillId="0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83" applyFont="1"/>
    <xf numFmtId="0" fontId="17" fillId="0" borderId="0" xfId="83" applyFont="1" applyAlignment="1">
      <alignment horizontal="center"/>
    </xf>
    <xf numFmtId="0" fontId="4" fillId="0" borderId="0" xfId="83" applyFont="1" applyAlignment="1">
      <alignment horizontal="center"/>
    </xf>
    <xf numFmtId="0" fontId="4" fillId="0" borderId="0" xfId="83" applyFont="1"/>
    <xf numFmtId="0" fontId="2" fillId="0" borderId="0" xfId="83" applyFont="1" applyAlignment="1">
      <alignment horizontal="center"/>
    </xf>
    <xf numFmtId="0" fontId="2" fillId="0" borderId="0" xfId="83" applyFont="1" applyAlignment="1">
      <alignment horizontal="left" indent="2"/>
    </xf>
    <xf numFmtId="0" fontId="4" fillId="0" borderId="0" xfId="83" applyFont="1" applyAlignment="1">
      <alignment horizontal="left"/>
    </xf>
    <xf numFmtId="0" fontId="61" fillId="0" borderId="0" xfId="85" applyFont="1" applyFill="1"/>
    <xf numFmtId="0" fontId="2" fillId="0" borderId="0" xfId="85" applyFont="1" applyAlignment="1">
      <alignment horizontal="left" indent="1"/>
    </xf>
    <xf numFmtId="0" fontId="4" fillId="0" borderId="0" xfId="83" applyFont="1" applyFill="1"/>
    <xf numFmtId="0" fontId="4" fillId="0" borderId="1" xfId="83" applyFont="1" applyBorder="1" applyAlignment="1">
      <alignment horizontal="center"/>
    </xf>
    <xf numFmtId="0" fontId="17" fillId="0" borderId="0" xfId="83" applyFont="1" applyFill="1" applyAlignment="1">
      <alignment horizontal="center"/>
    </xf>
    <xf numFmtId="0" fontId="2" fillId="0" borderId="0" xfId="83" applyFont="1" applyFill="1"/>
    <xf numFmtId="37" fontId="2" fillId="0" borderId="0" xfId="84" applyNumberFormat="1" applyFont="1" applyFill="1"/>
    <xf numFmtId="37" fontId="2" fillId="0" borderId="1" xfId="84" applyNumberFormat="1" applyFont="1" applyBorder="1"/>
    <xf numFmtId="37" fontId="4" fillId="0" borderId="0" xfId="84" applyNumberFormat="1" applyFont="1"/>
    <xf numFmtId="37" fontId="2" fillId="0" borderId="0" xfId="84" applyNumberFormat="1" applyFont="1"/>
    <xf numFmtId="37" fontId="2" fillId="0" borderId="12" xfId="84" applyNumberFormat="1" applyFont="1" applyBorder="1"/>
    <xf numFmtId="185" fontId="4" fillId="0" borderId="0" xfId="84" applyNumberFormat="1" applyFont="1"/>
    <xf numFmtId="0" fontId="61" fillId="0" borderId="0" xfId="83" applyFont="1"/>
    <xf numFmtId="10" fontId="12" fillId="0" borderId="0" xfId="0" applyNumberFormat="1" applyFont="1" applyFill="1"/>
    <xf numFmtId="165" fontId="12" fillId="0" borderId="0" xfId="0" applyNumberFormat="1" applyFont="1" applyFill="1" applyBorder="1"/>
    <xf numFmtId="165" fontId="1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5" fontId="2" fillId="0" borderId="0" xfId="0" applyNumberFormat="1" applyFont="1" applyFill="1" applyBorder="1"/>
    <xf numFmtId="10" fontId="2" fillId="0" borderId="0" xfId="0" applyNumberFormat="1" applyFont="1" applyFill="1"/>
    <xf numFmtId="0" fontId="4" fillId="0" borderId="0" xfId="0" quotePrefix="1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0" fontId="5" fillId="0" borderId="0" xfId="0" quotePrefix="1" applyFont="1" applyAlignment="1">
      <alignment horizontal="center"/>
    </xf>
    <xf numFmtId="169" fontId="12" fillId="0" borderId="7" xfId="0" applyNumberFormat="1" applyFont="1" applyFill="1" applyBorder="1"/>
    <xf numFmtId="183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9" fontId="2" fillId="0" borderId="0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5" fontId="2" fillId="0" borderId="1" xfId="0" applyNumberFormat="1" applyFont="1" applyFill="1" applyBorder="1"/>
    <xf numFmtId="165" fontId="2" fillId="0" borderId="2" xfId="1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10" xfId="0" applyFont="1" applyFill="1" applyBorder="1"/>
    <xf numFmtId="0" fontId="2" fillId="0" borderId="1" xfId="0" applyFont="1" applyFill="1" applyBorder="1"/>
    <xf numFmtId="0" fontId="2" fillId="0" borderId="0" xfId="0" applyFont="1" applyFill="1" applyAlignment="1">
      <alignment horizontal="left"/>
    </xf>
    <xf numFmtId="168" fontId="2" fillId="0" borderId="0" xfId="1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left"/>
    </xf>
    <xf numFmtId="15" fontId="4" fillId="0" borderId="0" xfId="0" applyNumberFormat="1" applyFont="1" applyFill="1" applyAlignment="1">
      <alignment horizontal="center"/>
    </xf>
    <xf numFmtId="169" fontId="4" fillId="0" borderId="0" xfId="1" applyNumberFormat="1" applyFont="1" applyFill="1" applyBorder="1"/>
    <xf numFmtId="178" fontId="12" fillId="0" borderId="4" xfId="0" applyNumberFormat="1" applyFont="1" applyFill="1" applyBorder="1"/>
    <xf numFmtId="37" fontId="12" fillId="0" borderId="3" xfId="0" applyNumberFormat="1" applyFont="1" applyFill="1" applyBorder="1"/>
    <xf numFmtId="0" fontId="5" fillId="0" borderId="1" xfId="0" applyFont="1" applyBorder="1" applyAlignment="1">
      <alignment horizontal="left"/>
    </xf>
    <xf numFmtId="0" fontId="12" fillId="0" borderId="0" xfId="0" applyFont="1" applyFill="1" applyAlignment="1">
      <alignment horizontal="left" wrapText="1"/>
    </xf>
    <xf numFmtId="169" fontId="2" fillId="0" borderId="0" xfId="1" applyNumberFormat="1" applyFont="1" applyFill="1" applyBorder="1"/>
    <xf numFmtId="165" fontId="2" fillId="0" borderId="0" xfId="1" applyNumberFormat="1" applyFill="1"/>
    <xf numFmtId="169" fontId="62" fillId="0" borderId="0" xfId="0" applyNumberFormat="1" applyFont="1" applyFill="1"/>
    <xf numFmtId="0" fontId="62" fillId="0" borderId="0" xfId="0" applyFont="1" applyFill="1"/>
    <xf numFmtId="0" fontId="62" fillId="0" borderId="0" xfId="0" applyFont="1"/>
    <xf numFmtId="0" fontId="63" fillId="0" borderId="0" xfId="0" applyFont="1"/>
    <xf numFmtId="9" fontId="62" fillId="0" borderId="0" xfId="4" applyFont="1" applyFill="1"/>
    <xf numFmtId="0" fontId="12" fillId="0" borderId="0" xfId="0" quotePrefix="1" applyFont="1" applyFill="1" applyAlignment="1">
      <alignment horizontal="left" indent="2"/>
    </xf>
    <xf numFmtId="3" fontId="64" fillId="0" borderId="0" xfId="0" applyNumberFormat="1" applyFont="1" applyFill="1"/>
    <xf numFmtId="169" fontId="12" fillId="0" borderId="12" xfId="0" applyNumberFormat="1" applyFont="1" applyFill="1" applyBorder="1"/>
    <xf numFmtId="0" fontId="12" fillId="0" borderId="0" xfId="0" quotePrefix="1" applyFont="1" applyFill="1" applyAlignment="1">
      <alignment horizontal="left"/>
    </xf>
    <xf numFmtId="0" fontId="65" fillId="0" borderId="0" xfId="0" applyFont="1" applyFill="1"/>
    <xf numFmtId="0" fontId="65" fillId="0" borderId="0" xfId="0" applyFont="1" applyFill="1" applyBorder="1" applyAlignment="1">
      <alignment horizontal="center"/>
    </xf>
    <xf numFmtId="0" fontId="66" fillId="0" borderId="0" xfId="0" applyFont="1" applyFill="1"/>
    <xf numFmtId="15" fontId="66" fillId="0" borderId="0" xfId="0" applyNumberFormat="1" applyFont="1" applyFill="1" applyAlignment="1">
      <alignment horizontal="left"/>
    </xf>
    <xf numFmtId="0" fontId="66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81" fontId="12" fillId="0" borderId="0" xfId="0" applyNumberFormat="1" applyFont="1" applyFill="1"/>
    <xf numFmtId="37" fontId="2" fillId="0" borderId="1" xfId="84" applyNumberFormat="1" applyFont="1" applyFill="1" applyBorder="1"/>
    <xf numFmtId="1" fontId="5" fillId="0" borderId="0" xfId="0" applyNumberFormat="1" applyFont="1" applyFill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12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1" fontId="12" fillId="0" borderId="0" xfId="1" applyNumberFormat="1" applyFont="1" applyAlignment="1">
      <alignment horizontal="center"/>
    </xf>
    <xf numFmtId="1" fontId="2" fillId="0" borderId="0" xfId="1" applyNumberFormat="1" applyFont="1" applyFill="1" applyAlignment="1">
      <alignment horizontal="center"/>
    </xf>
    <xf numFmtId="167" fontId="2" fillId="0" borderId="0" xfId="0" applyNumberFormat="1" applyFont="1"/>
    <xf numFmtId="0" fontId="67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5" fillId="0" borderId="0" xfId="0" applyFont="1" applyAlignment="1" applyProtection="1">
      <alignment horizontal="centerContinuous"/>
      <protection locked="0"/>
    </xf>
    <xf numFmtId="169" fontId="4" fillId="0" borderId="5" xfId="1" applyNumberFormat="1" applyFont="1" applyFill="1" applyBorder="1"/>
    <xf numFmtId="0" fontId="12" fillId="0" borderId="0" xfId="0" applyFont="1" applyAlignment="1">
      <alignment horizontal="center" wrapText="1"/>
    </xf>
    <xf numFmtId="0" fontId="27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27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left"/>
    </xf>
    <xf numFmtId="38" fontId="3" fillId="0" borderId="0" xfId="0" applyNumberFormat="1" applyFont="1" applyFill="1"/>
    <xf numFmtId="10" fontId="3" fillId="0" borderId="0" xfId="4" applyNumberFormat="1" applyFont="1" applyFill="1"/>
    <xf numFmtId="38" fontId="3" fillId="0" borderId="1" xfId="0" applyNumberFormat="1" applyFont="1" applyFill="1" applyBorder="1"/>
    <xf numFmtId="10" fontId="3" fillId="0" borderId="1" xfId="4" applyNumberFormat="1" applyFont="1" applyFill="1" applyBorder="1"/>
    <xf numFmtId="165" fontId="3" fillId="0" borderId="1" xfId="0" applyNumberFormat="1" applyFont="1" applyFill="1" applyBorder="1"/>
    <xf numFmtId="165" fontId="3" fillId="0" borderId="0" xfId="0" applyNumberFormat="1" applyFont="1" applyFill="1" applyBorder="1"/>
    <xf numFmtId="38" fontId="3" fillId="0" borderId="5" xfId="0" applyNumberFormat="1" applyFont="1" applyFill="1" applyBorder="1"/>
    <xf numFmtId="9" fontId="3" fillId="0" borderId="5" xfId="4" applyNumberFormat="1" applyFont="1" applyFill="1" applyBorder="1"/>
    <xf numFmtId="10" fontId="3" fillId="0" borderId="5" xfId="4" applyNumberFormat="1" applyFont="1" applyFill="1" applyBorder="1"/>
    <xf numFmtId="38" fontId="3" fillId="0" borderId="0" xfId="0" applyNumberFormat="1" applyFont="1" applyFill="1" applyBorder="1"/>
    <xf numFmtId="170" fontId="3" fillId="0" borderId="5" xfId="4" applyNumberFormat="1" applyFont="1" applyFill="1" applyBorder="1"/>
    <xf numFmtId="38" fontId="3" fillId="0" borderId="0" xfId="0" applyNumberFormat="1" applyFont="1" applyFill="1" applyAlignment="1">
      <alignment horizontal="center"/>
    </xf>
    <xf numFmtId="10" fontId="2" fillId="0" borderId="0" xfId="4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0" fontId="65" fillId="0" borderId="0" xfId="0" applyNumberFormat="1" applyFont="1" applyFill="1"/>
    <xf numFmtId="0" fontId="65" fillId="0" borderId="8" xfId="0" applyFont="1" applyFill="1" applyBorder="1"/>
    <xf numFmtId="0" fontId="65" fillId="0" borderId="0" xfId="0" applyFont="1" applyFill="1" applyAlignment="1">
      <alignment horizontal="right"/>
    </xf>
    <xf numFmtId="10" fontId="65" fillId="0" borderId="0" xfId="0" applyNumberFormat="1" applyFont="1" applyFill="1" applyAlignment="1">
      <alignment horizontal="center"/>
    </xf>
    <xf numFmtId="0" fontId="66" fillId="0" borderId="8" xfId="0" applyFont="1" applyFill="1" applyBorder="1" applyAlignment="1">
      <alignment horizontal="center"/>
    </xf>
    <xf numFmtId="10" fontId="66" fillId="0" borderId="0" xfId="0" applyNumberFormat="1" applyFont="1" applyFill="1" applyAlignment="1">
      <alignment horizontal="center"/>
    </xf>
    <xf numFmtId="0" fontId="27" fillId="0" borderId="0" xfId="0" applyFont="1"/>
    <xf numFmtId="4" fontId="65" fillId="0" borderId="0" xfId="0" applyNumberFormat="1" applyFont="1" applyFill="1"/>
    <xf numFmtId="10" fontId="68" fillId="0" borderId="0" xfId="0" applyNumberFormat="1" applyFont="1" applyFill="1"/>
    <xf numFmtId="0" fontId="69" fillId="0" borderId="0" xfId="0" applyFont="1" applyFill="1" applyAlignment="1">
      <alignment horizontal="right"/>
    </xf>
    <xf numFmtId="0" fontId="69" fillId="0" borderId="0" xfId="0" applyFont="1" applyFill="1" applyAlignment="1">
      <alignment horizontal="center"/>
    </xf>
    <xf numFmtId="0" fontId="69" fillId="0" borderId="0" xfId="0" applyFont="1" applyFill="1" applyAlignment="1">
      <alignment horizontal="centerContinuous"/>
    </xf>
    <xf numFmtId="0" fontId="23" fillId="0" borderId="0" xfId="0" applyFont="1" applyFill="1" applyBorder="1"/>
    <xf numFmtId="0" fontId="23" fillId="0" borderId="0" xfId="0" applyFont="1" applyFill="1" applyAlignment="1">
      <alignment horizontal="center"/>
    </xf>
    <xf numFmtId="0" fontId="69" fillId="0" borderId="0" xfId="0" applyFont="1" applyFill="1"/>
    <xf numFmtId="0" fontId="23" fillId="0" borderId="0" xfId="0" applyFont="1"/>
    <xf numFmtId="0" fontId="12" fillId="0" borderId="0" xfId="0" applyFont="1" applyFill="1" applyBorder="1" applyAlignment="1">
      <alignment horizontal="centerContinuous"/>
    </xf>
    <xf numFmtId="15" fontId="69" fillId="0" borderId="0" xfId="0" applyNumberFormat="1" applyFont="1" applyFill="1" applyAlignment="1">
      <alignment horizontal="left"/>
    </xf>
    <xf numFmtId="15" fontId="69" fillId="0" borderId="10" xfId="0" applyNumberFormat="1" applyFont="1" applyFill="1" applyBorder="1" applyAlignment="1">
      <alignment horizontal="left"/>
    </xf>
    <xf numFmtId="0" fontId="69" fillId="0" borderId="0" xfId="0" applyFont="1" applyFill="1" applyBorder="1" applyAlignment="1">
      <alignment horizontal="center"/>
    </xf>
    <xf numFmtId="0" fontId="69" fillId="0" borderId="10" xfId="0" applyFont="1" applyFill="1" applyBorder="1" applyAlignment="1">
      <alignment horizontal="center"/>
    </xf>
    <xf numFmtId="15" fontId="69" fillId="0" borderId="0" xfId="0" applyNumberFormat="1" applyFont="1" applyFill="1" applyBorder="1" applyAlignment="1">
      <alignment horizontal="center"/>
    </xf>
    <xf numFmtId="15" fontId="69" fillId="0" borderId="0" xfId="0" applyNumberFormat="1" applyFont="1" applyFill="1" applyAlignment="1">
      <alignment horizontal="center"/>
    </xf>
    <xf numFmtId="0" fontId="69" fillId="0" borderId="1" xfId="0" applyFont="1" applyFill="1" applyBorder="1" applyAlignment="1">
      <alignment horizontal="center"/>
    </xf>
    <xf numFmtId="0" fontId="69" fillId="0" borderId="11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9" fontId="23" fillId="0" borderId="0" xfId="1" applyNumberFormat="1" applyFont="1" applyFill="1" applyBorder="1" applyAlignment="1">
      <alignment horizontal="right"/>
    </xf>
    <xf numFmtId="10" fontId="23" fillId="0" borderId="0" xfId="4" applyNumberFormat="1" applyFont="1" applyFill="1" applyBorder="1" applyAlignment="1">
      <alignment horizontal="right"/>
    </xf>
    <xf numFmtId="165" fontId="23" fillId="0" borderId="0" xfId="1" applyNumberFormat="1" applyFont="1" applyFill="1" applyBorder="1"/>
    <xf numFmtId="165" fontId="23" fillId="0" borderId="0" xfId="1" applyNumberFormat="1" applyFont="1" applyFill="1" applyBorder="1" applyAlignment="1">
      <alignment horizontal="right"/>
    </xf>
    <xf numFmtId="165" fontId="23" fillId="0" borderId="0" xfId="0" applyNumberFormat="1" applyFont="1" applyFill="1"/>
    <xf numFmtId="0" fontId="23" fillId="0" borderId="0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169" fontId="23" fillId="0" borderId="9" xfId="1" applyNumberFormat="1" applyFont="1" applyFill="1" applyBorder="1" applyAlignment="1">
      <alignment horizontal="right"/>
    </xf>
    <xf numFmtId="165" fontId="23" fillId="0" borderId="1" xfId="1" applyNumberFormat="1" applyFont="1" applyFill="1" applyBorder="1" applyAlignment="1">
      <alignment horizontal="right"/>
    </xf>
    <xf numFmtId="165" fontId="23" fillId="0" borderId="1" xfId="0" applyNumberFormat="1" applyFont="1" applyFill="1" applyBorder="1"/>
    <xf numFmtId="168" fontId="23" fillId="0" borderId="0" xfId="1" applyNumberFormat="1" applyFont="1" applyFill="1" applyBorder="1" applyAlignment="1">
      <alignment horizontal="center"/>
    </xf>
    <xf numFmtId="10" fontId="23" fillId="0" borderId="2" xfId="4" applyNumberFormat="1" applyFont="1" applyFill="1" applyBorder="1" applyAlignment="1">
      <alignment horizontal="right"/>
    </xf>
    <xf numFmtId="165" fontId="23" fillId="0" borderId="2" xfId="1" applyNumberFormat="1" applyFont="1" applyFill="1" applyBorder="1" applyAlignment="1">
      <alignment horizontal="right"/>
    </xf>
    <xf numFmtId="165" fontId="23" fillId="0" borderId="1" xfId="1" applyNumberFormat="1" applyFont="1" applyFill="1" applyBorder="1"/>
    <xf numFmtId="169" fontId="23" fillId="0" borderId="1" xfId="1" applyNumberFormat="1" applyFont="1" applyFill="1" applyBorder="1" applyAlignment="1">
      <alignment horizontal="right"/>
    </xf>
    <xf numFmtId="0" fontId="23" fillId="0" borderId="0" xfId="0" applyFont="1" applyFill="1" applyBorder="1" applyAlignment="1"/>
    <xf numFmtId="0" fontId="23" fillId="0" borderId="10" xfId="0" applyFont="1" applyFill="1" applyBorder="1"/>
    <xf numFmtId="10" fontId="23" fillId="0" borderId="0" xfId="4" applyNumberFormat="1" applyFont="1" applyFill="1" applyAlignment="1">
      <alignment horizontal="right"/>
    </xf>
    <xf numFmtId="165" fontId="23" fillId="0" borderId="0" xfId="1" applyNumberFormat="1" applyFont="1" applyFill="1"/>
    <xf numFmtId="0" fontId="23" fillId="0" borderId="1" xfId="0" applyFont="1" applyFill="1" applyBorder="1"/>
    <xf numFmtId="0" fontId="23" fillId="0" borderId="11" xfId="0" applyFont="1" applyFill="1" applyBorder="1"/>
    <xf numFmtId="0" fontId="23" fillId="0" borderId="0" xfId="0" applyNumberFormat="1" applyFont="1"/>
    <xf numFmtId="10" fontId="23" fillId="0" borderId="1" xfId="4" applyNumberFormat="1" applyFont="1" applyFill="1" applyBorder="1" applyAlignment="1">
      <alignment horizontal="right"/>
    </xf>
    <xf numFmtId="169" fontId="23" fillId="0" borderId="22" xfId="1" applyNumberFormat="1" applyFont="1" applyFill="1" applyBorder="1" applyAlignment="1">
      <alignment horizontal="right"/>
    </xf>
    <xf numFmtId="165" fontId="23" fillId="0" borderId="0" xfId="0" applyNumberFormat="1" applyFont="1" applyFill="1" applyBorder="1"/>
    <xf numFmtId="165" fontId="23" fillId="0" borderId="5" xfId="1" applyNumberFormat="1" applyFont="1" applyFill="1" applyBorder="1" applyAlignment="1">
      <alignment horizontal="right"/>
    </xf>
    <xf numFmtId="0" fontId="23" fillId="0" borderId="0" xfId="0" applyFont="1" applyFill="1" applyAlignment="1">
      <alignment horizontal="right"/>
    </xf>
    <xf numFmtId="165" fontId="70" fillId="0" borderId="0" xfId="0" applyNumberFormat="1" applyFont="1" applyFill="1"/>
    <xf numFmtId="0" fontId="70" fillId="0" borderId="0" xfId="0" applyFont="1" applyFill="1"/>
    <xf numFmtId="10" fontId="23" fillId="0" borderId="0" xfId="4" applyNumberFormat="1" applyFont="1" applyFill="1" applyBorder="1" applyAlignment="1">
      <alignment horizontal="center"/>
    </xf>
    <xf numFmtId="10" fontId="23" fillId="0" borderId="2" xfId="4" applyNumberFormat="1" applyFont="1" applyFill="1" applyBorder="1" applyAlignment="1">
      <alignment horizontal="center"/>
    </xf>
    <xf numFmtId="10" fontId="23" fillId="0" borderId="0" xfId="4" applyNumberFormat="1" applyFont="1" applyFill="1" applyAlignment="1">
      <alignment horizontal="center"/>
    </xf>
    <xf numFmtId="10" fontId="23" fillId="0" borderId="1" xfId="4" applyNumberFormat="1" applyFont="1" applyFill="1" applyBorder="1" applyAlignment="1">
      <alignment horizontal="center"/>
    </xf>
    <xf numFmtId="2" fontId="23" fillId="0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15" fontId="4" fillId="0" borderId="8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center"/>
    </xf>
    <xf numFmtId="0" fontId="4" fillId="0" borderId="9" xfId="0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9" fontId="2" fillId="0" borderId="0" xfId="4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9" fontId="2" fillId="0" borderId="1" xfId="4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right"/>
    </xf>
    <xf numFmtId="10" fontId="2" fillId="0" borderId="2" xfId="0" applyNumberFormat="1" applyFont="1" applyFill="1" applyBorder="1" applyAlignment="1">
      <alignment horizontal="center"/>
    </xf>
    <xf numFmtId="169" fontId="2" fillId="0" borderId="2" xfId="1" applyNumberFormat="1" applyFont="1" applyFill="1" applyBorder="1" applyAlignment="1">
      <alignment horizontal="right"/>
    </xf>
    <xf numFmtId="4" fontId="2" fillId="0" borderId="8" xfId="0" applyNumberFormat="1" applyFont="1" applyFill="1" applyBorder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9" fontId="2" fillId="0" borderId="0" xfId="0" applyNumberFormat="1" applyFont="1" applyFill="1" applyAlignment="1">
      <alignment horizontal="right"/>
    </xf>
    <xf numFmtId="10" fontId="2" fillId="0" borderId="0" xfId="0" applyNumberFormat="1" applyFont="1" applyFill="1" applyAlignment="1">
      <alignment horizontal="right"/>
    </xf>
    <xf numFmtId="9" fontId="2" fillId="0" borderId="0" xfId="0" applyNumberFormat="1" applyFont="1" applyFill="1"/>
    <xf numFmtId="1" fontId="2" fillId="0" borderId="8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right"/>
    </xf>
    <xf numFmtId="10" fontId="2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9" fontId="2" fillId="0" borderId="0" xfId="0" applyNumberFormat="1" applyFont="1" applyFill="1" applyBorder="1" applyAlignment="1">
      <alignment horizontal="right"/>
    </xf>
    <xf numFmtId="10" fontId="2" fillId="0" borderId="0" xfId="0" applyNumberFormat="1" applyFont="1" applyFill="1" applyBorder="1"/>
    <xf numFmtId="1" fontId="2" fillId="0" borderId="9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right"/>
    </xf>
    <xf numFmtId="1" fontId="2" fillId="0" borderId="0" xfId="0" applyNumberFormat="1" applyFont="1" applyFill="1"/>
    <xf numFmtId="4" fontId="2" fillId="0" borderId="0" xfId="0" applyNumberFormat="1" applyFont="1" applyFill="1" applyBorder="1"/>
    <xf numFmtId="10" fontId="24" fillId="0" borderId="0" xfId="0" applyNumberFormat="1" applyFont="1" applyFill="1"/>
    <xf numFmtId="169" fontId="2" fillId="0" borderId="5" xfId="1" applyNumberFormat="1" applyFont="1" applyFill="1" applyBorder="1" applyAlignment="1">
      <alignment horizontal="right"/>
    </xf>
    <xf numFmtId="0" fontId="63" fillId="0" borderId="0" xfId="0" applyFont="1" applyFill="1"/>
    <xf numFmtId="165" fontId="12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center"/>
    </xf>
    <xf numFmtId="0" fontId="71" fillId="0" borderId="0" xfId="0" applyNumberFormat="1" applyFont="1" applyFill="1"/>
    <xf numFmtId="0" fontId="5" fillId="0" borderId="0" xfId="0" applyFont="1" applyFill="1" applyAlignment="1">
      <alignment horizontal="center"/>
    </xf>
    <xf numFmtId="165" fontId="62" fillId="0" borderId="0" xfId="4" applyNumberFormat="1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7" fontId="12" fillId="0" borderId="0" xfId="1" applyNumberFormat="1" applyFont="1" applyFill="1" applyBorder="1"/>
    <xf numFmtId="167" fontId="12" fillId="0" borderId="1" xfId="1" applyNumberFormat="1" applyFont="1" applyFill="1" applyBorder="1"/>
    <xf numFmtId="167" fontId="12" fillId="0" borderId="1" xfId="0" applyNumberFormat="1" applyFont="1" applyFill="1" applyBorder="1"/>
    <xf numFmtId="167" fontId="12" fillId="0" borderId="0" xfId="0" applyNumberFormat="1" applyFont="1" applyFill="1" applyBorder="1"/>
    <xf numFmtId="167" fontId="12" fillId="0" borderId="3" xfId="0" applyNumberFormat="1" applyFont="1" applyFill="1" applyBorder="1"/>
    <xf numFmtId="37" fontId="2" fillId="0" borderId="0" xfId="84" applyNumberFormat="1" applyFont="1" applyBorder="1"/>
    <xf numFmtId="0" fontId="4" fillId="0" borderId="0" xfId="83" applyFont="1" applyAlignment="1"/>
    <xf numFmtId="9" fontId="4" fillId="0" borderId="23" xfId="74" applyFont="1" applyFill="1" applyBorder="1"/>
    <xf numFmtId="37" fontId="2" fillId="0" borderId="12" xfId="84" applyNumberFormat="1" applyFont="1" applyFill="1" applyBorder="1"/>
    <xf numFmtId="165" fontId="12" fillId="0" borderId="0" xfId="1" applyNumberFormat="1" applyFont="1"/>
    <xf numFmtId="165" fontId="12" fillId="0" borderId="0" xfId="0" applyNumberFormat="1" applyFont="1" applyBorder="1"/>
    <xf numFmtId="165" fontId="3" fillId="0" borderId="0" xfId="0" applyNumberFormat="1" applyFont="1" applyFill="1"/>
    <xf numFmtId="165" fontId="3" fillId="0" borderId="0" xfId="0" applyNumberFormat="1" applyFont="1"/>
    <xf numFmtId="165" fontId="12" fillId="0" borderId="0" xfId="4" applyNumberFormat="1" applyFont="1"/>
    <xf numFmtId="165" fontId="12" fillId="0" borderId="1" xfId="11" applyNumberFormat="1" applyFont="1" applyBorder="1"/>
    <xf numFmtId="165" fontId="3" fillId="0" borderId="1" xfId="0" applyNumberFormat="1" applyFont="1" applyBorder="1"/>
    <xf numFmtId="165" fontId="3" fillId="0" borderId="0" xfId="0" applyNumberFormat="1" applyFont="1" applyBorder="1"/>
    <xf numFmtId="165" fontId="12" fillId="0" borderId="1" xfId="0" applyNumberFormat="1" applyFont="1" applyBorder="1"/>
    <xf numFmtId="0" fontId="23" fillId="0" borderId="0" xfId="0" applyNumberFormat="1" applyFont="1" applyAlignment="1">
      <alignment horizontal="center"/>
    </xf>
    <xf numFmtId="170" fontId="4" fillId="0" borderId="4" xfId="74" applyNumberFormat="1" applyFont="1" applyBorder="1"/>
    <xf numFmtId="10" fontId="2" fillId="0" borderId="0" xfId="0" applyNumberFormat="1" applyFont="1"/>
    <xf numFmtId="165" fontId="17" fillId="0" borderId="0" xfId="0" applyNumberFormat="1" applyFont="1"/>
    <xf numFmtId="165" fontId="17" fillId="0" borderId="0" xfId="0" applyNumberFormat="1" applyFont="1" applyBorder="1"/>
    <xf numFmtId="165" fontId="17" fillId="0" borderId="1" xfId="0" applyNumberFormat="1" applyFont="1" applyBorder="1"/>
    <xf numFmtId="165" fontId="17" fillId="0" borderId="0" xfId="0" applyNumberFormat="1" applyFont="1" applyFill="1"/>
    <xf numFmtId="165" fontId="17" fillId="0" borderId="1" xfId="0" applyNumberFormat="1" applyFont="1" applyFill="1" applyBorder="1"/>
    <xf numFmtId="165" fontId="17" fillId="0" borderId="3" xfId="0" applyNumberFormat="1" applyFont="1" applyFill="1" applyBorder="1"/>
    <xf numFmtId="165" fontId="17" fillId="0" borderId="0" xfId="0" applyNumberFormat="1" applyFont="1" applyFill="1" applyBorder="1"/>
    <xf numFmtId="165" fontId="17" fillId="0" borderId="0" xfId="1" applyNumberFormat="1" applyFont="1" applyBorder="1"/>
    <xf numFmtId="167" fontId="17" fillId="0" borderId="0" xfId="0" applyNumberFormat="1" applyFont="1"/>
    <xf numFmtId="167" fontId="17" fillId="0" borderId="0" xfId="0" applyNumberFormat="1" applyFont="1" applyBorder="1"/>
    <xf numFmtId="167" fontId="17" fillId="0" borderId="0" xfId="0" applyNumberFormat="1" applyFont="1" applyFill="1" applyBorder="1"/>
    <xf numFmtId="167" fontId="17" fillId="0" borderId="0" xfId="0" applyNumberFormat="1" applyFont="1" applyFill="1"/>
    <xf numFmtId="0" fontId="4" fillId="0" borderId="0" xfId="0" applyFont="1" applyBorder="1" applyAlignment="1">
      <alignment horizontal="center"/>
    </xf>
    <xf numFmtId="186" fontId="12" fillId="0" borderId="1" xfId="1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7" fontId="12" fillId="0" borderId="0" xfId="1" applyNumberFormat="1" applyFont="1"/>
    <xf numFmtId="167" fontId="12" fillId="0" borderId="0" xfId="1" applyNumberFormat="1" applyFont="1" applyFill="1"/>
    <xf numFmtId="165" fontId="12" fillId="0" borderId="0" xfId="1" applyNumberFormat="1" applyFont="1" applyBorder="1"/>
    <xf numFmtId="165" fontId="13" fillId="0" borderId="0" xfId="1" applyNumberFormat="1" applyFont="1" applyFill="1" applyBorder="1"/>
    <xf numFmtId="165" fontId="13" fillId="0" borderId="0" xfId="1" applyNumberFormat="1" applyFont="1" applyBorder="1"/>
    <xf numFmtId="165" fontId="12" fillId="0" borderId="1" xfId="1" applyNumberFormat="1" applyFont="1" applyBorder="1"/>
    <xf numFmtId="43" fontId="12" fillId="0" borderId="0" xfId="0" applyNumberFormat="1" applyFont="1"/>
    <xf numFmtId="37" fontId="12" fillId="0" borderId="4" xfId="0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0" fontId="10" fillId="0" borderId="0" xfId="0" applyNumberFormat="1" applyFont="1" applyFill="1"/>
    <xf numFmtId="0" fontId="7" fillId="0" borderId="0" xfId="0" applyFont="1" applyFill="1" applyAlignment="1">
      <alignment horizontal="center"/>
    </xf>
    <xf numFmtId="38" fontId="2" fillId="0" borderId="0" xfId="0" applyNumberFormat="1" applyFont="1" applyFill="1"/>
    <xf numFmtId="0" fontId="5" fillId="0" borderId="1" xfId="0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4" fillId="0" borderId="0" xfId="83" applyFont="1" applyAlignment="1">
      <alignment horizontal="center"/>
    </xf>
    <xf numFmtId="0" fontId="0" fillId="0" borderId="0" xfId="0" applyAlignment="1"/>
    <xf numFmtId="0" fontId="4" fillId="0" borderId="0" xfId="83" applyFont="1" applyFill="1" applyAlignment="1">
      <alignment horizontal="center"/>
    </xf>
  </cellXfs>
  <cellStyles count="86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[0]" xfId="11" builtinId="6"/>
    <cellStyle name="Comma 2" xfId="8"/>
    <cellStyle name="Comma 2 2" xfId="43"/>
    <cellStyle name="Comma 2 3" xfId="44"/>
    <cellStyle name="Comma 2 4" xfId="42"/>
    <cellStyle name="Comma 3" xfId="45"/>
    <cellStyle name="Comma 4" xfId="46"/>
    <cellStyle name="Comma 5" xfId="47"/>
    <cellStyle name="Comma 6" xfId="48"/>
    <cellStyle name="Comma 7" xfId="49"/>
    <cellStyle name="Comma 8" xfId="50"/>
    <cellStyle name="Comma 9" xfId="41"/>
    <cellStyle name="Currency" xfId="2" builtinId="4"/>
    <cellStyle name="Currency 2" xfId="52"/>
    <cellStyle name="Currency 3" xfId="53"/>
    <cellStyle name="Currency 4" xfId="54"/>
    <cellStyle name="Currency 5" xfId="51"/>
    <cellStyle name="Currency_2003-10-17 franchise tax schedules" xfId="84"/>
    <cellStyle name="Euro" xfId="3"/>
    <cellStyle name="Explanatory Text 2" xfId="55"/>
    <cellStyle name="Good" xfId="12" builtinId="26" customBuiltin="1"/>
    <cellStyle name="Good 2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rmal" xfId="0" builtinId="0" customBuiltin="1"/>
    <cellStyle name="Normal 2" xfId="7"/>
    <cellStyle name="Normal 2 2" xfId="65"/>
    <cellStyle name="Normal 2 3" xfId="64"/>
    <cellStyle name="Normal 3" xfId="10"/>
    <cellStyle name="Normal 3 2" xfId="67"/>
    <cellStyle name="Normal 3 3" xfId="66"/>
    <cellStyle name="Normal 4" xfId="68"/>
    <cellStyle name="Normal 4 2" xfId="69"/>
    <cellStyle name="Normal 5" xfId="70"/>
    <cellStyle name="Normal 6" xfId="71"/>
    <cellStyle name="Normal 7" xfId="13"/>
    <cellStyle name="Normal_2003-10-17 franchise tax schedules" xfId="83"/>
    <cellStyle name="Normal_Schedule 5 Utility Income" xfId="85"/>
    <cellStyle name="Note 2" xfId="72"/>
    <cellStyle name="Output 2" xfId="73"/>
    <cellStyle name="Percent" xfId="4" builtinId="5"/>
    <cellStyle name="Percent 2" xfId="9"/>
    <cellStyle name="Percent 2 2" xfId="75"/>
    <cellStyle name="Percent 2 3" xfId="74"/>
    <cellStyle name="Percent 3" xfId="76"/>
    <cellStyle name="Percent(2)" xfId="5"/>
    <cellStyle name="Red" xfId="6"/>
    <cellStyle name="Red 2" xfId="77"/>
    <cellStyle name="Title 2" xfId="78"/>
    <cellStyle name="Total 2" xfId="79"/>
    <cellStyle name="Warning Text 2" xfId="80"/>
    <cellStyle name="waslotus" xfId="81"/>
    <cellStyle name="wk1_xls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808080"/>
      <rgbColor rgb="00D4D0C8"/>
      <rgbColor rgb="00CFFFC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005-2006%20GTA/2005-05-09%20File%20to%20the%20Board/9_GTA%20Sched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2005-2007%20GTA/Application/GTA%20Schedu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hhl/Local%20Settings/Temporary%20Internet%20Files/OLKBA/YECL%20Interim%20Revenue%20Shortfall%20Surplus%20Rider%2008-09%20GRA%20Refiling%20v3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rd4/Local%20Settings/Temporary%20Internet%20Files/OLK1E81/Revenues%20Sales%20and%20Generation%20-%20BP%202009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ider G Jun 2009"/>
      <sheetName val="Rider R Jan 2010"/>
      <sheetName val="Notes"/>
      <sheetName val="YEC GRASales &amp; Rider J Forecast"/>
      <sheetName val="S.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ales &amp; Rider J Forecast"/>
      <sheetName val="Total YEC"/>
      <sheetName val="Mayo Dawson Combined"/>
      <sheetName val="Dawson with hydro"/>
      <sheetName val="Mayo"/>
      <sheetName val="Alexco Forecast"/>
      <sheetName val="N Klondike Hwy"/>
      <sheetName val="WAF"/>
      <sheetName val="WAF Industrial"/>
      <sheetName val="WAF Res &amp; Com"/>
      <sheetName val="POP WAF Distribution"/>
      <sheetName val="WAF Secondary Sls"/>
      <sheetName val="N.Klondike Res. Fsct"/>
      <sheetName val="N.Klondike GS. Fsct"/>
      <sheetName val="Faro GS fcst"/>
      <sheetName val="ARM Forecast"/>
      <sheetName val="Western Copper"/>
      <sheetName val="Braeburn GS Fcst"/>
      <sheetName val="Champagne GS Fcst"/>
      <sheetName val="DawsonWith Diesel"/>
      <sheetName val="Wholesales"/>
      <sheetName val="Cents per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N80">
            <v>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N81">
            <v>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N82">
            <v>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N83">
            <v>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N84">
            <v>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N85">
            <v>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N86">
            <v>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N87">
            <v>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N88">
            <v>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N89">
            <v>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N90">
            <v>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N91">
            <v>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N92">
            <v>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N93">
            <v>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N94">
            <v>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N95">
            <v>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N96">
            <v>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N97">
            <v>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N98">
            <v>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N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N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N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N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54">
          <cell r="B354" t="str">
            <v>1986</v>
          </cell>
          <cell r="C354">
            <v>256</v>
          </cell>
          <cell r="D354">
            <v>8714.84375</v>
          </cell>
          <cell r="E354">
            <v>2231000</v>
          </cell>
          <cell r="F354">
            <v>65.416666666666671</v>
          </cell>
          <cell r="G354">
            <v>56254.77707006369</v>
          </cell>
          <cell r="H354">
            <v>3680000</v>
          </cell>
          <cell r="I354">
            <v>126156</v>
          </cell>
          <cell r="J354">
            <v>3480</v>
          </cell>
          <cell r="K354">
            <v>630024</v>
          </cell>
        </row>
        <row r="355">
          <cell r="B355">
            <v>1987</v>
          </cell>
          <cell r="C355">
            <v>412.41666666666669</v>
          </cell>
          <cell r="D355">
            <v>10303.625782986461</v>
          </cell>
          <cell r="E355">
            <v>4249387</v>
          </cell>
          <cell r="F355">
            <v>73.833333333333329</v>
          </cell>
          <cell r="G355">
            <v>53799.941309255082</v>
          </cell>
          <cell r="H355">
            <v>3972229</v>
          </cell>
          <cell r="I355">
            <v>126156</v>
          </cell>
          <cell r="J355">
            <v>3480</v>
          </cell>
          <cell r="K355">
            <v>534187</v>
          </cell>
        </row>
        <row r="356">
          <cell r="B356">
            <v>1988</v>
          </cell>
          <cell r="C356">
            <v>448</v>
          </cell>
          <cell r="D356">
            <v>10786.350446428571</v>
          </cell>
          <cell r="E356">
            <v>4832285</v>
          </cell>
          <cell r="F356">
            <v>76.916666666666671</v>
          </cell>
          <cell r="G356">
            <v>51656.424702058503</v>
          </cell>
          <cell r="H356">
            <v>3973240</v>
          </cell>
          <cell r="I356">
            <v>126156</v>
          </cell>
          <cell r="J356">
            <v>3480</v>
          </cell>
          <cell r="K356">
            <v>466029</v>
          </cell>
        </row>
        <row r="357">
          <cell r="B357">
            <v>1989</v>
          </cell>
          <cell r="C357">
            <v>508.58333333333331</v>
          </cell>
          <cell r="D357">
            <v>11785.203342618384</v>
          </cell>
          <cell r="E357">
            <v>5993758</v>
          </cell>
          <cell r="F357">
            <v>80.916666666666671</v>
          </cell>
          <cell r="G357">
            <v>53134.838311019565</v>
          </cell>
          <cell r="H357">
            <v>4299494</v>
          </cell>
          <cell r="I357">
            <v>126156</v>
          </cell>
          <cell r="J357">
            <v>3480</v>
          </cell>
          <cell r="K357">
            <v>468781</v>
          </cell>
        </row>
        <row r="358">
          <cell r="B358">
            <v>1990</v>
          </cell>
          <cell r="C358">
            <v>518.75</v>
          </cell>
          <cell r="D358">
            <v>12365.663614457831</v>
          </cell>
          <cell r="E358">
            <v>6414688</v>
          </cell>
          <cell r="F358">
            <v>89.666666666666671</v>
          </cell>
          <cell r="G358">
            <v>57532.784386617095</v>
          </cell>
          <cell r="H358">
            <v>5158773</v>
          </cell>
          <cell r="I358">
            <v>126156</v>
          </cell>
          <cell r="J358">
            <v>3480</v>
          </cell>
          <cell r="K358">
            <v>444406</v>
          </cell>
        </row>
        <row r="359">
          <cell r="B359">
            <v>1991</v>
          </cell>
          <cell r="C359">
            <v>542.25</v>
          </cell>
          <cell r="D359">
            <v>11627.024435223606</v>
          </cell>
          <cell r="E359">
            <v>6304754</v>
          </cell>
          <cell r="F359">
            <v>94.666666666666671</v>
          </cell>
          <cell r="G359">
            <v>55788.07394366197</v>
          </cell>
          <cell r="H359">
            <v>5281271</v>
          </cell>
          <cell r="I359">
            <v>126156</v>
          </cell>
          <cell r="J359">
            <v>3480</v>
          </cell>
          <cell r="K359">
            <v>501271</v>
          </cell>
        </row>
        <row r="360">
          <cell r="B360">
            <v>1992</v>
          </cell>
          <cell r="C360">
            <v>542.75</v>
          </cell>
          <cell r="D360">
            <v>11235.415937356058</v>
          </cell>
          <cell r="E360">
            <v>6098022</v>
          </cell>
          <cell r="F360">
            <v>94.833333333333329</v>
          </cell>
          <cell r="G360">
            <v>56120.667838312831</v>
          </cell>
          <cell r="H360">
            <v>5322110</v>
          </cell>
          <cell r="I360">
            <v>126156</v>
          </cell>
          <cell r="J360">
            <v>3480</v>
          </cell>
          <cell r="K360">
            <v>633037</v>
          </cell>
        </row>
        <row r="361">
          <cell r="B361">
            <v>1993</v>
          </cell>
          <cell r="C361">
            <v>412.91666666666669</v>
          </cell>
          <cell r="D361">
            <v>11259.036932391524</v>
          </cell>
          <cell r="E361">
            <v>4649044</v>
          </cell>
          <cell r="F361">
            <v>84.5</v>
          </cell>
          <cell r="G361">
            <v>49382.106508875739</v>
          </cell>
          <cell r="H361">
            <v>4172788</v>
          </cell>
          <cell r="I361">
            <v>126156</v>
          </cell>
          <cell r="J361">
            <v>3480</v>
          </cell>
          <cell r="K361">
            <v>643221</v>
          </cell>
        </row>
        <row r="362">
          <cell r="B362">
            <v>1994</v>
          </cell>
          <cell r="C362">
            <v>234.33333333333334</v>
          </cell>
          <cell r="D362">
            <v>9892.6130867709817</v>
          </cell>
          <cell r="E362">
            <v>2318169</v>
          </cell>
          <cell r="F362">
            <v>71.666666666666671</v>
          </cell>
          <cell r="G362">
            <v>47023.68837209302</v>
          </cell>
          <cell r="H362">
            <v>3370031</v>
          </cell>
          <cell r="I362">
            <v>81600</v>
          </cell>
          <cell r="J362">
            <v>2796</v>
          </cell>
          <cell r="K362">
            <v>5772596</v>
          </cell>
          <cell r="L362">
            <v>6083400</v>
          </cell>
          <cell r="O362">
            <v>101568</v>
          </cell>
          <cell r="P362">
            <v>6184968</v>
          </cell>
          <cell r="Q362">
            <v>11957564</v>
          </cell>
          <cell r="R362">
            <v>198431308.92000002</v>
          </cell>
          <cell r="S362">
            <v>3673079.9999999995</v>
          </cell>
          <cell r="T362">
            <v>2393520.0000000005</v>
          </cell>
          <cell r="U362">
            <v>5695800</v>
          </cell>
          <cell r="V362">
            <v>9500</v>
          </cell>
          <cell r="W362">
            <v>75900</v>
          </cell>
          <cell r="X362">
            <v>242582.6</v>
          </cell>
          <cell r="Y362">
            <v>0</v>
          </cell>
          <cell r="Z362">
            <v>210521691.52000004</v>
          </cell>
          <cell r="AA362">
            <v>222479255.52000004</v>
          </cell>
          <cell r="AB362">
            <v>18564630.07999998</v>
          </cell>
          <cell r="AC362">
            <v>8.3444319501199918E-2</v>
          </cell>
          <cell r="AD362">
            <v>241043885.59999999</v>
          </cell>
          <cell r="AE362">
            <v>240468183</v>
          </cell>
          <cell r="AF362">
            <v>242582.6</v>
          </cell>
          <cell r="AG362">
            <v>333120</v>
          </cell>
          <cell r="AH362">
            <v>153218183</v>
          </cell>
          <cell r="AI362">
            <v>87250000</v>
          </cell>
          <cell r="AJ362">
            <v>242582.6</v>
          </cell>
          <cell r="AK362">
            <v>0</v>
          </cell>
          <cell r="AL362">
            <v>279840</v>
          </cell>
          <cell r="AM362">
            <v>53280</v>
          </cell>
          <cell r="AN362">
            <v>3.7309512699153391</v>
          </cell>
          <cell r="AO362">
            <v>0.94294192571465285</v>
          </cell>
          <cell r="AP362">
            <v>75005</v>
          </cell>
          <cell r="AQ362">
            <v>56504.009999999995</v>
          </cell>
          <cell r="AR362">
            <v>131509.01</v>
          </cell>
          <cell r="AS362">
            <v>0.27051356576228253</v>
          </cell>
          <cell r="AT362">
            <v>0.2806531784204343</v>
          </cell>
          <cell r="AU362">
            <v>0.27487014007633392</v>
          </cell>
          <cell r="AV362">
            <v>20289.87</v>
          </cell>
          <cell r="AW362">
            <v>15858.030000000002</v>
          </cell>
          <cell r="AX362">
            <v>36147.9</v>
          </cell>
        </row>
        <row r="363">
          <cell r="B363">
            <v>1995</v>
          </cell>
          <cell r="C363">
            <v>427.5</v>
          </cell>
          <cell r="D363">
            <v>9394.5777777777785</v>
          </cell>
          <cell r="E363">
            <v>4016182</v>
          </cell>
          <cell r="F363">
            <v>86.333333333333329</v>
          </cell>
          <cell r="G363">
            <v>49765.45945945946</v>
          </cell>
          <cell r="H363">
            <v>4296418</v>
          </cell>
          <cell r="I363">
            <v>126529</v>
          </cell>
          <cell r="J363">
            <v>5364</v>
          </cell>
          <cell r="K363">
            <v>8444493</v>
          </cell>
          <cell r="L363">
            <v>84998700</v>
          </cell>
          <cell r="O363">
            <v>0</v>
          </cell>
          <cell r="P363">
            <v>84998700</v>
          </cell>
          <cell r="Q363">
            <v>93443193</v>
          </cell>
          <cell r="R363">
            <v>203069941.13040003</v>
          </cell>
          <cell r="S363">
            <v>3679080</v>
          </cell>
          <cell r="T363">
            <v>2376600</v>
          </cell>
          <cell r="U363">
            <v>5814600</v>
          </cell>
          <cell r="V363">
            <v>-33100</v>
          </cell>
          <cell r="W363">
            <v>98500</v>
          </cell>
          <cell r="X363">
            <v>237490</v>
          </cell>
          <cell r="Y363">
            <v>1402039.44</v>
          </cell>
          <cell r="Z363">
            <v>216645150.5704</v>
          </cell>
          <cell r="AA363">
            <v>310088343.5704</v>
          </cell>
          <cell r="AB363">
            <v>23464740.429600012</v>
          </cell>
          <cell r="AC363">
            <v>7.567114635598278E-2</v>
          </cell>
          <cell r="AD363">
            <v>333553084</v>
          </cell>
          <cell r="AE363">
            <v>293789544</v>
          </cell>
          <cell r="AF363">
            <v>237490</v>
          </cell>
          <cell r="AG363">
            <v>39526050</v>
          </cell>
          <cell r="AH363">
            <v>230199544</v>
          </cell>
          <cell r="AI363">
            <v>63590000</v>
          </cell>
          <cell r="AJ363">
            <v>237490</v>
          </cell>
          <cell r="AK363">
            <v>0</v>
          </cell>
          <cell r="AL363">
            <v>20908230</v>
          </cell>
          <cell r="AM363">
            <v>18617820</v>
          </cell>
          <cell r="AN363">
            <v>3.769347937743345</v>
          </cell>
          <cell r="AO363">
            <v>3.8808218883972558</v>
          </cell>
          <cell r="AP363">
            <v>5546909</v>
          </cell>
          <cell r="AQ363">
            <v>4797391</v>
          </cell>
          <cell r="AR363">
            <v>10344300</v>
          </cell>
          <cell r="AS363">
            <v>0.27865277220159912</v>
          </cell>
          <cell r="AT363">
            <v>0.30165204170350091</v>
          </cell>
          <cell r="AU363">
            <v>0.28931917674468066</v>
          </cell>
          <cell r="AV363">
            <v>1545661.57</v>
          </cell>
          <cell r="AW363">
            <v>1447142.79</v>
          </cell>
          <cell r="AX363">
            <v>2992804.3600000003</v>
          </cell>
        </row>
        <row r="364">
          <cell r="B364">
            <v>1996</v>
          </cell>
          <cell r="C364">
            <v>510.25</v>
          </cell>
          <cell r="D364">
            <v>11421.258206761391</v>
          </cell>
          <cell r="E364">
            <v>5827697</v>
          </cell>
          <cell r="F364">
            <v>98.083333333333329</v>
          </cell>
          <cell r="G364">
            <v>48678.23959218352</v>
          </cell>
          <cell r="H364">
            <v>4774524</v>
          </cell>
          <cell r="I364">
            <v>82080</v>
          </cell>
          <cell r="J364">
            <v>2708</v>
          </cell>
          <cell r="K364">
            <v>10687009</v>
          </cell>
          <cell r="L364">
            <v>173997928</v>
          </cell>
          <cell r="O364">
            <v>0</v>
          </cell>
          <cell r="P364">
            <v>173997928</v>
          </cell>
          <cell r="Q364">
            <v>184684937</v>
          </cell>
          <cell r="R364">
            <v>218468138.07279998</v>
          </cell>
          <cell r="S364">
            <v>3909240.0000000014</v>
          </cell>
          <cell r="T364">
            <v>2727479.9999999995</v>
          </cell>
          <cell r="U364">
            <v>6179520</v>
          </cell>
          <cell r="V364">
            <v>149400</v>
          </cell>
          <cell r="W364">
            <v>135300</v>
          </cell>
          <cell r="X364">
            <v>230170</v>
          </cell>
          <cell r="Y364">
            <v>8280</v>
          </cell>
          <cell r="Z364">
            <v>231807528.07279998</v>
          </cell>
          <cell r="AA364">
            <v>416492465.07279998</v>
          </cell>
          <cell r="AB364">
            <v>27635045.927200027</v>
          </cell>
          <cell r="AC364">
            <v>6.6351850860902395E-2</v>
          </cell>
          <cell r="AD364">
            <v>444127511</v>
          </cell>
          <cell r="AE364">
            <v>339342001</v>
          </cell>
          <cell r="AF364">
            <v>230170</v>
          </cell>
          <cell r="AG364">
            <v>104555340</v>
          </cell>
          <cell r="AH364">
            <v>228992001</v>
          </cell>
          <cell r="AI364">
            <v>110350000</v>
          </cell>
          <cell r="AJ364">
            <v>230170</v>
          </cell>
          <cell r="AK364">
            <v>0</v>
          </cell>
          <cell r="AL364">
            <v>57872550</v>
          </cell>
          <cell r="AM364">
            <v>46682790</v>
          </cell>
          <cell r="AN364">
            <v>3.9174644812235</v>
          </cell>
          <cell r="AO364">
            <v>3.7916092673153008</v>
          </cell>
          <cell r="AP364">
            <v>14772961</v>
          </cell>
          <cell r="AQ364">
            <v>12312131</v>
          </cell>
          <cell r="AR364">
            <v>27085092</v>
          </cell>
          <cell r="AS364">
            <v>0.30255676096349271</v>
          </cell>
          <cell r="AT364">
            <v>0.31478989705356447</v>
          </cell>
          <cell r="AU364">
            <v>0.30811760506480834</v>
          </cell>
          <cell r="AV364">
            <v>4469659.2300000004</v>
          </cell>
          <cell r="AW364">
            <v>3875734.4499999997</v>
          </cell>
          <cell r="AX364">
            <v>8345393.6799999997</v>
          </cell>
        </row>
        <row r="366">
          <cell r="B366">
            <v>1998</v>
          </cell>
          <cell r="C366">
            <v>357</v>
          </cell>
          <cell r="D366">
            <v>9407.6834733893556</v>
          </cell>
          <cell r="E366">
            <v>3358543</v>
          </cell>
          <cell r="F366">
            <v>87.75</v>
          </cell>
          <cell r="G366">
            <v>39123.783475783479</v>
          </cell>
          <cell r="H366">
            <v>3433112</v>
          </cell>
          <cell r="I366">
            <v>85680</v>
          </cell>
          <cell r="J366">
            <v>0</v>
          </cell>
          <cell r="K366">
            <v>6877335</v>
          </cell>
          <cell r="L366">
            <v>16619999.999999996</v>
          </cell>
          <cell r="O366">
            <v>0</v>
          </cell>
          <cell r="P366">
            <v>16619999.999999996</v>
          </cell>
          <cell r="Q366">
            <v>23497334.999999993</v>
          </cell>
          <cell r="R366">
            <v>206838665</v>
          </cell>
          <cell r="S366">
            <v>4007640</v>
          </cell>
          <cell r="T366">
            <v>2731920</v>
          </cell>
          <cell r="U366">
            <v>6667554</v>
          </cell>
          <cell r="V366">
            <v>177830</v>
          </cell>
          <cell r="W366">
            <v>189300</v>
          </cell>
          <cell r="X366">
            <v>258590</v>
          </cell>
          <cell r="Y366">
            <v>1768685</v>
          </cell>
          <cell r="Z366">
            <v>222640184</v>
          </cell>
          <cell r="AA366">
            <v>246137519</v>
          </cell>
          <cell r="AB366">
            <v>15139866.999999993</v>
          </cell>
          <cell r="AC366">
            <v>6.1509789574177E-2</v>
          </cell>
          <cell r="AD366">
            <v>261277386</v>
          </cell>
          <cell r="AE366">
            <v>253819666</v>
          </cell>
          <cell r="AF366">
            <v>258590</v>
          </cell>
          <cell r="AG366">
            <v>7199130</v>
          </cell>
          <cell r="AH366">
            <v>190429666</v>
          </cell>
          <cell r="AI366">
            <v>63390000</v>
          </cell>
          <cell r="AJ366">
            <v>258590</v>
          </cell>
          <cell r="AK366">
            <v>0</v>
          </cell>
          <cell r="AL366">
            <v>2640780</v>
          </cell>
          <cell r="AM366">
            <v>4558350</v>
          </cell>
          <cell r="AN366">
            <v>3.8362631887072851</v>
          </cell>
          <cell r="AO366">
            <v>3.4854460539032774</v>
          </cell>
          <cell r="AP366">
            <v>688373</v>
          </cell>
          <cell r="AQ366">
            <v>1307824</v>
          </cell>
          <cell r="AR366">
            <v>1996197</v>
          </cell>
          <cell r="AS366">
            <v>0.28629661535243245</v>
          </cell>
          <cell r="AT366">
            <v>0.33654754003596821</v>
          </cell>
          <cell r="AU366">
            <v>0.3192188997378515</v>
          </cell>
          <cell r="AV366">
            <v>197078.86</v>
          </cell>
          <cell r="AW366">
            <v>440144.95000000007</v>
          </cell>
          <cell r="AX366">
            <v>637223.80999999994</v>
          </cell>
        </row>
        <row r="367">
          <cell r="B367">
            <v>1999</v>
          </cell>
          <cell r="C367">
            <v>241.5</v>
          </cell>
          <cell r="D367">
            <v>9003.1511387163555</v>
          </cell>
          <cell r="E367">
            <v>2174261</v>
          </cell>
          <cell r="F367">
            <v>73.5</v>
          </cell>
          <cell r="G367">
            <v>36033.972789115644</v>
          </cell>
          <cell r="H367">
            <v>2648497</v>
          </cell>
          <cell r="I367">
            <v>86560</v>
          </cell>
          <cell r="J367">
            <v>0</v>
          </cell>
          <cell r="K367">
            <v>4909318</v>
          </cell>
          <cell r="L367">
            <v>1556400</v>
          </cell>
          <cell r="O367">
            <v>0</v>
          </cell>
          <cell r="P367">
            <v>1556400</v>
          </cell>
          <cell r="Q367">
            <v>6465718</v>
          </cell>
          <cell r="R367">
            <v>208570026.00000006</v>
          </cell>
          <cell r="S367">
            <v>3937320.0000000005</v>
          </cell>
          <cell r="T367">
            <v>2804640.0000000005</v>
          </cell>
          <cell r="U367">
            <v>6433626</v>
          </cell>
          <cell r="V367">
            <v>186640</v>
          </cell>
          <cell r="W367">
            <v>188520</v>
          </cell>
          <cell r="X367">
            <v>267639.59999999998</v>
          </cell>
          <cell r="Y367">
            <v>562464</v>
          </cell>
          <cell r="Z367">
            <v>222950875.60000002</v>
          </cell>
          <cell r="AA367">
            <v>229416593.60000002</v>
          </cell>
          <cell r="AB367">
            <v>16309785.99999994</v>
          </cell>
          <cell r="AC367">
            <v>7.1092442547712631E-2</v>
          </cell>
          <cell r="AD367">
            <v>245726379.59999999</v>
          </cell>
          <cell r="AE367">
            <v>233124830</v>
          </cell>
          <cell r="AF367">
            <v>267639.59999999998</v>
          </cell>
          <cell r="AG367">
            <v>12333910</v>
          </cell>
          <cell r="AH367">
            <v>194734830</v>
          </cell>
          <cell r="AI367">
            <v>38390000</v>
          </cell>
          <cell r="AJ367">
            <v>267639.59999999998</v>
          </cell>
          <cell r="AK367">
            <v>0</v>
          </cell>
          <cell r="AL367">
            <v>10499980</v>
          </cell>
          <cell r="AM367">
            <v>1833930</v>
          </cell>
          <cell r="AN367">
            <v>3.7369136593351842</v>
          </cell>
          <cell r="AO367">
            <v>3.0919372215000682</v>
          </cell>
          <cell r="AP367">
            <v>2809800</v>
          </cell>
          <cell r="AQ367">
            <v>593133</v>
          </cell>
          <cell r="AR367">
            <v>3402933</v>
          </cell>
          <cell r="AS367">
            <v>0.24095247348565735</v>
          </cell>
          <cell r="AT367">
            <v>0.3167218482195393</v>
          </cell>
          <cell r="AU367">
            <v>0.25415911509277439</v>
          </cell>
          <cell r="AV367">
            <v>677028.26</v>
          </cell>
          <cell r="AW367">
            <v>187858.18</v>
          </cell>
          <cell r="AX367">
            <v>864886.44</v>
          </cell>
        </row>
        <row r="368">
          <cell r="B368">
            <v>2000</v>
          </cell>
          <cell r="C368">
            <v>217.25</v>
          </cell>
          <cell r="D368">
            <v>8031.4384349827387</v>
          </cell>
          <cell r="E368">
            <v>1744830</v>
          </cell>
          <cell r="F368">
            <v>69.666666666666671</v>
          </cell>
          <cell r="G368">
            <v>37835.942583732052</v>
          </cell>
          <cell r="H368">
            <v>2635904</v>
          </cell>
          <cell r="I368">
            <v>87360</v>
          </cell>
          <cell r="J368">
            <v>2520</v>
          </cell>
          <cell r="K368">
            <v>4470614</v>
          </cell>
          <cell r="L368">
            <v>2304000</v>
          </cell>
          <cell r="O368">
            <v>0</v>
          </cell>
          <cell r="P368">
            <v>2304000</v>
          </cell>
          <cell r="Q368">
            <v>6774614</v>
          </cell>
          <cell r="R368">
            <v>204591740</v>
          </cell>
          <cell r="S368">
            <v>3817920</v>
          </cell>
          <cell r="T368">
            <v>2921280</v>
          </cell>
          <cell r="U368">
            <v>6419448</v>
          </cell>
          <cell r="V368">
            <v>178930</v>
          </cell>
          <cell r="W368">
            <v>185180</v>
          </cell>
          <cell r="X368">
            <v>385344</v>
          </cell>
          <cell r="Y368">
            <v>2555760</v>
          </cell>
          <cell r="Z368">
            <v>221055602</v>
          </cell>
          <cell r="AA368">
            <v>227830216</v>
          </cell>
          <cell r="AB368">
            <v>16270797</v>
          </cell>
          <cell r="AC368">
            <v>7.1416326094340357E-2</v>
          </cell>
          <cell r="AD368">
            <v>244101013</v>
          </cell>
          <cell r="AE368">
            <v>242964244</v>
          </cell>
          <cell r="AF368">
            <v>408599</v>
          </cell>
          <cell r="AG368">
            <v>728170</v>
          </cell>
          <cell r="AH368">
            <v>186654244</v>
          </cell>
          <cell r="AI368">
            <v>56310000</v>
          </cell>
          <cell r="AJ368">
            <v>249690</v>
          </cell>
          <cell r="AK368">
            <v>158909</v>
          </cell>
          <cell r="AL368">
            <v>528880</v>
          </cell>
          <cell r="AM368">
            <v>199290</v>
          </cell>
          <cell r="AN368">
            <v>2.2008605694406298</v>
          </cell>
          <cell r="AO368">
            <v>1.1569341158849857</v>
          </cell>
          <cell r="AP368">
            <v>240306</v>
          </cell>
          <cell r="AQ368">
            <v>172257</v>
          </cell>
          <cell r="AR368">
            <v>412563</v>
          </cell>
          <cell r="AS368">
            <v>0.37176816225978543</v>
          </cell>
          <cell r="AT368">
            <v>0.33593578200015095</v>
          </cell>
          <cell r="AU368">
            <v>0.35680710582383773</v>
          </cell>
          <cell r="AV368">
            <v>89338.12</v>
          </cell>
          <cell r="AW368">
            <v>57867.29</v>
          </cell>
          <cell r="AX368">
            <v>147205.40999999997</v>
          </cell>
        </row>
        <row r="369">
          <cell r="B369">
            <v>2001</v>
          </cell>
          <cell r="C369">
            <v>248.83333333333334</v>
          </cell>
          <cell r="D369">
            <v>7174.778298727394</v>
          </cell>
          <cell r="E369">
            <v>1785324</v>
          </cell>
          <cell r="F369">
            <v>69.833333333333329</v>
          </cell>
          <cell r="G369">
            <v>38930.806682577568</v>
          </cell>
          <cell r="H369">
            <v>2718668</v>
          </cell>
          <cell r="I369">
            <v>92460</v>
          </cell>
          <cell r="J369">
            <v>2520</v>
          </cell>
          <cell r="K369">
            <v>4598972</v>
          </cell>
          <cell r="L369">
            <v>5090400</v>
          </cell>
          <cell r="M369">
            <v>0</v>
          </cell>
          <cell r="N369">
            <v>0</v>
          </cell>
          <cell r="O369">
            <v>0</v>
          </cell>
          <cell r="P369">
            <v>5090400</v>
          </cell>
          <cell r="Q369">
            <v>9689372</v>
          </cell>
          <cell r="R369">
            <v>202462240</v>
          </cell>
          <cell r="S369">
            <v>4044720</v>
          </cell>
          <cell r="T369">
            <v>2778720</v>
          </cell>
          <cell r="U369">
            <v>6455652</v>
          </cell>
          <cell r="V369">
            <v>163600.00000000006</v>
          </cell>
          <cell r="W369">
            <v>207670</v>
          </cell>
          <cell r="X369">
            <v>973368.5</v>
          </cell>
          <cell r="Y369">
            <v>4979160</v>
          </cell>
          <cell r="Z369">
            <v>222065130.5</v>
          </cell>
          <cell r="AA369">
            <v>231754502.5</v>
          </cell>
          <cell r="AB369">
            <v>18143456.919999998</v>
          </cell>
          <cell r="AC369">
            <v>7.8287397760481478E-2</v>
          </cell>
          <cell r="AD369">
            <v>249897959.42000002</v>
          </cell>
          <cell r="AE369">
            <v>248554898</v>
          </cell>
          <cell r="AF369">
            <v>1112511.42</v>
          </cell>
          <cell r="AG369">
            <v>230550</v>
          </cell>
          <cell r="AH369">
            <v>141114898</v>
          </cell>
          <cell r="AI369">
            <v>107440000</v>
          </cell>
          <cell r="AJ369">
            <v>199090</v>
          </cell>
          <cell r="AK369">
            <v>913421.42</v>
          </cell>
          <cell r="AL369">
            <v>125760</v>
          </cell>
          <cell r="AM369">
            <v>104790</v>
          </cell>
          <cell r="AN369">
            <v>2.7998931338498529</v>
          </cell>
          <cell r="AO369">
            <v>0.78827405668893302</v>
          </cell>
          <cell r="AP369">
            <v>44916</v>
          </cell>
          <cell r="AQ369">
            <v>132936</v>
          </cell>
          <cell r="AR369">
            <v>177852</v>
          </cell>
          <cell r="AS369">
            <v>0.29356843886365658</v>
          </cell>
          <cell r="AT369">
            <v>0.37650418246374201</v>
          </cell>
          <cell r="AU369">
            <v>0.35555900411578167</v>
          </cell>
          <cell r="AV369">
            <v>13185.919999999998</v>
          </cell>
          <cell r="AW369">
            <v>50050.960000000006</v>
          </cell>
          <cell r="AX369">
            <v>63236.88</v>
          </cell>
        </row>
        <row r="370">
          <cell r="B370">
            <v>2002</v>
          </cell>
          <cell r="C370">
            <v>267.66666666666669</v>
          </cell>
          <cell r="D370">
            <v>7196.6488169364875</v>
          </cell>
          <cell r="E370">
            <v>1926303</v>
          </cell>
          <cell r="F370">
            <v>71.583333333333329</v>
          </cell>
          <cell r="G370">
            <v>39837.233993015136</v>
          </cell>
          <cell r="H370">
            <v>2851682</v>
          </cell>
          <cell r="I370">
            <v>97296</v>
          </cell>
          <cell r="J370">
            <v>2400</v>
          </cell>
          <cell r="K370">
            <v>4877681</v>
          </cell>
          <cell r="L370">
            <v>4020000</v>
          </cell>
          <cell r="M370">
            <v>0</v>
          </cell>
          <cell r="N370">
            <v>0</v>
          </cell>
          <cell r="O370">
            <v>0</v>
          </cell>
          <cell r="P370">
            <v>4020000</v>
          </cell>
          <cell r="Q370">
            <v>8897681</v>
          </cell>
          <cell r="R370">
            <v>205970480.00000003</v>
          </cell>
          <cell r="S370">
            <v>4139880.0000000019</v>
          </cell>
          <cell r="T370">
            <v>2688839.9999999991</v>
          </cell>
          <cell r="U370">
            <v>6456240</v>
          </cell>
          <cell r="V370">
            <v>180050.00000000006</v>
          </cell>
          <cell r="W370">
            <v>213009.99999999991</v>
          </cell>
          <cell r="X370">
            <v>1041346.0000000001</v>
          </cell>
          <cell r="Y370">
            <v>8126620</v>
          </cell>
          <cell r="Z370">
            <v>228816466.00000009</v>
          </cell>
          <cell r="AA370">
            <v>237714147.00000009</v>
          </cell>
          <cell r="AB370">
            <v>19412710.999999944</v>
          </cell>
          <cell r="AC370">
            <v>8.1664096331632866E-2</v>
          </cell>
          <cell r="AD370">
            <v>257126858</v>
          </cell>
          <cell r="AE370">
            <v>255328761</v>
          </cell>
          <cell r="AF370">
            <v>1087107</v>
          </cell>
          <cell r="AG370">
            <v>710990</v>
          </cell>
          <cell r="AH370">
            <v>169188761</v>
          </cell>
          <cell r="AI370">
            <v>86140000</v>
          </cell>
          <cell r="AJ370">
            <v>169540</v>
          </cell>
          <cell r="AK370">
            <v>917567.00000000012</v>
          </cell>
          <cell r="AL370">
            <v>530390</v>
          </cell>
          <cell r="AM370">
            <v>180600</v>
          </cell>
          <cell r="AN370">
            <v>4.0702484095496088</v>
          </cell>
          <cell r="AO370">
            <v>1.2440072739295751</v>
          </cell>
          <cell r="AP370">
            <v>130309</v>
          </cell>
          <cell r="AQ370">
            <v>145176</v>
          </cell>
          <cell r="AR370">
            <v>275485</v>
          </cell>
          <cell r="AS370">
            <v>0.42306632696129964</v>
          </cell>
          <cell r="AT370">
            <v>0.40110149060450762</v>
          </cell>
          <cell r="AU370">
            <v>0.41149122456758075</v>
          </cell>
          <cell r="AV370">
            <v>55129.35</v>
          </cell>
          <cell r="AW370">
            <v>58230.31</v>
          </cell>
          <cell r="AX370">
            <v>113359.65999999999</v>
          </cell>
        </row>
        <row r="371">
          <cell r="B371">
            <v>2003</v>
          </cell>
          <cell r="C371">
            <v>282.66666666666669</v>
          </cell>
          <cell r="D371">
            <v>7224.6084905660373</v>
          </cell>
          <cell r="E371">
            <v>2042156</v>
          </cell>
          <cell r="F371">
            <v>73.583333333333329</v>
          </cell>
          <cell r="G371">
            <v>41305.454133635336</v>
          </cell>
          <cell r="H371">
            <v>3039393</v>
          </cell>
          <cell r="I371">
            <v>97296</v>
          </cell>
          <cell r="J371">
            <v>2373</v>
          </cell>
          <cell r="K371">
            <v>5181218</v>
          </cell>
          <cell r="L371">
            <v>3827760</v>
          </cell>
          <cell r="M371">
            <v>0</v>
          </cell>
          <cell r="N371">
            <v>0</v>
          </cell>
          <cell r="O371">
            <v>0</v>
          </cell>
          <cell r="P371">
            <v>3827760</v>
          </cell>
          <cell r="Q371">
            <v>9008978</v>
          </cell>
          <cell r="R371">
            <v>215269395</v>
          </cell>
          <cell r="S371">
            <v>4187879.9999999991</v>
          </cell>
          <cell r="T371">
            <v>2603519.9999999991</v>
          </cell>
          <cell r="U371">
            <v>6364260.0000000009</v>
          </cell>
          <cell r="V371">
            <v>208110.00000000012</v>
          </cell>
          <cell r="W371">
            <v>223420.00000000012</v>
          </cell>
          <cell r="X371">
            <v>874123.99999999977</v>
          </cell>
          <cell r="Y371">
            <v>13039105</v>
          </cell>
          <cell r="Z371">
            <v>242769814</v>
          </cell>
          <cell r="AA371">
            <v>251778792</v>
          </cell>
          <cell r="AB371">
            <v>19110200.000000011</v>
          </cell>
          <cell r="AC371">
            <v>7.5900753388315603E-2</v>
          </cell>
          <cell r="AD371">
            <v>270888992</v>
          </cell>
          <cell r="AE371">
            <v>269711114</v>
          </cell>
          <cell r="AF371">
            <v>925897.99999999988</v>
          </cell>
          <cell r="AG371">
            <v>251980</v>
          </cell>
          <cell r="AH371">
            <v>208321114</v>
          </cell>
          <cell r="AI371">
            <v>61390000</v>
          </cell>
          <cell r="AJ371">
            <v>214529.99999999985</v>
          </cell>
          <cell r="AK371">
            <v>711368</v>
          </cell>
          <cell r="AL371">
            <v>137950</v>
          </cell>
          <cell r="AM371">
            <v>114030</v>
          </cell>
          <cell r="AN371">
            <v>3.1373663861723902</v>
          </cell>
          <cell r="AO371">
            <v>1.0704730433803029</v>
          </cell>
          <cell r="AP371">
            <v>43970</v>
          </cell>
          <cell r="AQ371">
            <v>106523</v>
          </cell>
          <cell r="AR371">
            <v>150493</v>
          </cell>
          <cell r="AS371">
            <v>0.41550852854218784</v>
          </cell>
          <cell r="AT371">
            <v>0.45905888869070527</v>
          </cell>
          <cell r="AU371">
            <v>0.44633464679420298</v>
          </cell>
          <cell r="AV371">
            <v>18269.91</v>
          </cell>
          <cell r="AW371">
            <v>48900.329999999994</v>
          </cell>
          <cell r="AX371">
            <v>67170.239999999991</v>
          </cell>
        </row>
        <row r="386">
          <cell r="B386" t="str">
            <v>CHANGE</v>
          </cell>
          <cell r="C386" t="str">
            <v>Residential</v>
          </cell>
          <cell r="F386" t="str">
            <v>Commercial</v>
          </cell>
          <cell r="I386" t="str">
            <v>ST Lites</v>
          </cell>
          <cell r="J386" t="str">
            <v>SP Lites</v>
          </cell>
          <cell r="K386" t="str">
            <v>Total</v>
          </cell>
          <cell r="L386" t="str">
            <v>Industrial</v>
          </cell>
          <cell r="M386" t="str">
            <v>Measured</v>
          </cell>
          <cell r="N386" t="str">
            <v>Billing</v>
          </cell>
          <cell r="O386" t="str">
            <v>Industrial</v>
          </cell>
          <cell r="P386" t="str">
            <v>Industrial</v>
          </cell>
          <cell r="Q386" t="str">
            <v>Retail</v>
          </cell>
          <cell r="R386" t="str">
            <v>Whse</v>
          </cell>
          <cell r="S386" t="str">
            <v>Carmacks</v>
          </cell>
          <cell r="T386" t="str">
            <v>Ross Rvr</v>
          </cell>
          <cell r="U386" t="str">
            <v>Haines Jn</v>
          </cell>
          <cell r="V386" t="str">
            <v>Creek</v>
          </cell>
          <cell r="W386" t="str">
            <v>River PT</v>
          </cell>
          <cell r="X386" t="str">
            <v>Turbine</v>
          </cell>
          <cell r="Y386" t="str">
            <v>Sales</v>
          </cell>
          <cell r="Z386" t="str">
            <v>P. Pwr</v>
          </cell>
          <cell r="AA386" t="str">
            <v>Total</v>
          </cell>
          <cell r="AB386" t="str">
            <v>Losses</v>
          </cell>
          <cell r="AC386" t="str">
            <v>Losses</v>
          </cell>
        </row>
        <row r="387">
          <cell r="B387" t="str">
            <v>%</v>
          </cell>
          <cell r="C387" t="str">
            <v>Cust</v>
          </cell>
          <cell r="D387" t="str">
            <v>Use</v>
          </cell>
          <cell r="E387" t="str">
            <v>Sales</v>
          </cell>
          <cell r="F387" t="str">
            <v>Cust</v>
          </cell>
          <cell r="G387" t="str">
            <v>Use</v>
          </cell>
          <cell r="H387" t="str">
            <v>Sales</v>
          </cell>
          <cell r="I387" t="str">
            <v>Sales</v>
          </cell>
          <cell r="J387" t="str">
            <v>Sales</v>
          </cell>
          <cell r="K387" t="str">
            <v>Sales</v>
          </cell>
          <cell r="L387" t="str">
            <v>Sales</v>
          </cell>
          <cell r="M387" t="str">
            <v>Demand</v>
          </cell>
          <cell r="N387" t="str">
            <v>Demand</v>
          </cell>
          <cell r="O387" t="str">
            <v>Sales</v>
          </cell>
          <cell r="P387" t="str">
            <v>Sales</v>
          </cell>
          <cell r="Q387" t="str">
            <v>Sales</v>
          </cell>
          <cell r="AA387" t="str">
            <v>Sales</v>
          </cell>
          <cell r="AD387" t="str">
            <v>Total</v>
          </cell>
          <cell r="AE387" t="str">
            <v>Hydro</v>
          </cell>
          <cell r="AF387" t="str">
            <v>Wind</v>
          </cell>
          <cell r="AG387" t="str">
            <v>Diesel</v>
          </cell>
          <cell r="AH387" t="str">
            <v>Whse</v>
          </cell>
          <cell r="AI387" t="str">
            <v>Aishihik</v>
          </cell>
          <cell r="AJ387" t="str">
            <v>Whse</v>
          </cell>
          <cell r="AK387" t="str">
            <v>Faro</v>
          </cell>
          <cell r="AL387" t="str">
            <v>Whse</v>
          </cell>
          <cell r="AM387" t="str">
            <v>Faro</v>
          </cell>
          <cell r="AN387" t="str">
            <v>Whse</v>
          </cell>
          <cell r="AO387" t="str">
            <v>Faro</v>
          </cell>
          <cell r="AP387" t="str">
            <v>Whse</v>
          </cell>
          <cell r="AQ387" t="str">
            <v>Faro</v>
          </cell>
          <cell r="AR387" t="str">
            <v>Total</v>
          </cell>
          <cell r="AS387" t="str">
            <v>Whse</v>
          </cell>
          <cell r="AT387" t="str">
            <v>Faro</v>
          </cell>
          <cell r="AU387" t="str">
            <v>Total</v>
          </cell>
          <cell r="AV387" t="str">
            <v>Whse</v>
          </cell>
          <cell r="AW387" t="str">
            <v>Faro</v>
          </cell>
          <cell r="AX387" t="str">
            <v>Total</v>
          </cell>
        </row>
        <row r="388">
          <cell r="D388" t="str">
            <v>KWh/Cust</v>
          </cell>
          <cell r="E388" t="str">
            <v>KWh</v>
          </cell>
          <cell r="G388" t="str">
            <v>KWh</v>
          </cell>
          <cell r="H388" t="str">
            <v>KWh</v>
          </cell>
          <cell r="I388" t="str">
            <v>KWh</v>
          </cell>
          <cell r="J388" t="str">
            <v>KWh</v>
          </cell>
          <cell r="K388" t="str">
            <v>KWh</v>
          </cell>
          <cell r="L388" t="str">
            <v>KWh</v>
          </cell>
          <cell r="M388" t="str">
            <v>KVA</v>
          </cell>
          <cell r="N388" t="str">
            <v>KVA</v>
          </cell>
          <cell r="O388" t="str">
            <v>KWh</v>
          </cell>
          <cell r="P388" t="str">
            <v>KWh</v>
          </cell>
          <cell r="Q388" t="str">
            <v>KWh</v>
          </cell>
          <cell r="AA388" t="str">
            <v>KWh</v>
          </cell>
          <cell r="AB388" t="str">
            <v>KWh</v>
          </cell>
          <cell r="AC388" t="str">
            <v>%</v>
          </cell>
          <cell r="AD388" t="str">
            <v>KWh</v>
          </cell>
          <cell r="AE388" t="str">
            <v>KWh</v>
          </cell>
          <cell r="AF388" t="str">
            <v>KWh</v>
          </cell>
          <cell r="AG388" t="str">
            <v>KWh</v>
          </cell>
          <cell r="AH388" t="str">
            <v>KWh</v>
          </cell>
          <cell r="AI388" t="str">
            <v>KWh</v>
          </cell>
          <cell r="AJ388" t="str">
            <v>KWh</v>
          </cell>
          <cell r="AK388" t="str">
            <v>KWh</v>
          </cell>
          <cell r="AL388" t="str">
            <v>KWh</v>
          </cell>
          <cell r="AM388" t="str">
            <v>KWh</v>
          </cell>
          <cell r="AN388" t="str">
            <v>KWh/L</v>
          </cell>
          <cell r="AO388" t="str">
            <v>KWh/L</v>
          </cell>
          <cell r="AS388" t="str">
            <v>$/L</v>
          </cell>
          <cell r="AT388" t="str">
            <v>$/L</v>
          </cell>
          <cell r="AU388" t="str">
            <v>$/L</v>
          </cell>
          <cell r="AV388" t="str">
            <v>$</v>
          </cell>
          <cell r="AW388" t="str">
            <v>$</v>
          </cell>
          <cell r="AX388" t="str">
            <v>$</v>
          </cell>
        </row>
        <row r="390">
          <cell r="B390" t="str">
            <v>1986</v>
          </cell>
        </row>
        <row r="391">
          <cell r="B391">
            <v>1987</v>
          </cell>
          <cell r="C391">
            <v>61.100260416666671</v>
          </cell>
          <cell r="D391">
            <v>18.230757527769349</v>
          </cell>
          <cell r="E391">
            <v>90.470058269834169</v>
          </cell>
          <cell r="F391">
            <v>12.866242038216535</v>
          </cell>
          <cell r="G391">
            <v>-4.3637818664736372</v>
          </cell>
          <cell r="H391">
            <v>7.9410054347825998</v>
          </cell>
          <cell r="I391">
            <v>0</v>
          </cell>
          <cell r="J391">
            <v>0</v>
          </cell>
          <cell r="K391">
            <v>-15.211642731070562</v>
          </cell>
          <cell r="L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B392">
            <v>1988</v>
          </cell>
          <cell r="C392">
            <v>8.628005657708627</v>
          </cell>
          <cell r="D392">
            <v>4.6849980153510051</v>
          </cell>
          <cell r="E392">
            <v>13.717225566887659</v>
          </cell>
          <cell r="F392">
            <v>4.1760722347629953</v>
          </cell>
          <cell r="G392">
            <v>-3.9842359583166176</v>
          </cell>
          <cell r="H392">
            <v>2.5451704823664656E-2</v>
          </cell>
          <cell r="I392">
            <v>0</v>
          </cell>
          <cell r="J392">
            <v>0</v>
          </cell>
          <cell r="K392">
            <v>-12.759202301815654</v>
          </cell>
          <cell r="L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B393">
            <v>1989</v>
          </cell>
          <cell r="C393">
            <v>13.523065476190466</v>
          </cell>
          <cell r="D393">
            <v>9.26034158773823</v>
          </cell>
          <cell r="E393">
            <v>24.035689120157432</v>
          </cell>
          <cell r="F393">
            <v>5.2004333694474436</v>
          </cell>
          <cell r="G393">
            <v>2.862013036109623</v>
          </cell>
          <cell r="H393">
            <v>8.2112834865248452</v>
          </cell>
          <cell r="I393">
            <v>0</v>
          </cell>
          <cell r="J393">
            <v>0</v>
          </cell>
          <cell r="K393">
            <v>0.59052119074134435</v>
          </cell>
          <cell r="L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B394">
            <v>1990</v>
          </cell>
          <cell r="C394">
            <v>1.9990168769457695</v>
          </cell>
          <cell r="D394">
            <v>4.9253309846623683</v>
          </cell>
          <cell r="E394">
            <v>7.0228060592369523</v>
          </cell>
          <cell r="F394">
            <v>10.813594232749747</v>
          </cell>
          <cell r="G394">
            <v>8.276953907066753</v>
          </cell>
          <cell r="H394">
            <v>19.985584350158405</v>
          </cell>
          <cell r="I394">
            <v>0</v>
          </cell>
          <cell r="J394">
            <v>0</v>
          </cell>
          <cell r="K394">
            <v>-5.1996561294079697</v>
          </cell>
          <cell r="L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B395">
            <v>1991</v>
          </cell>
          <cell r="C395">
            <v>4.530120481927713</v>
          </cell>
          <cell r="D395">
            <v>-5.9733080428503227</v>
          </cell>
          <cell r="E395">
            <v>-1.7137856120204131</v>
          </cell>
          <cell r="F395">
            <v>5.5762081784386686</v>
          </cell>
          <cell r="G395">
            <v>-3.0325499826859947</v>
          </cell>
          <cell r="H395">
            <v>2.3745568956028862</v>
          </cell>
          <cell r="I395">
            <v>0</v>
          </cell>
          <cell r="J395">
            <v>0</v>
          </cell>
          <cell r="K395">
            <v>12.795731830803359</v>
          </cell>
          <cell r="L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B396">
            <v>1992</v>
          </cell>
          <cell r="C396">
            <v>9.2208390963577358E-2</v>
          </cell>
          <cell r="D396">
            <v>-3.3680887147805927</v>
          </cell>
          <cell r="E396">
            <v>-3.2789859842271452</v>
          </cell>
          <cell r="F396">
            <v>0.17605633802815213</v>
          </cell>
          <cell r="G396">
            <v>0.59617382558632137</v>
          </cell>
          <cell r="H396">
            <v>0.77327976542009846</v>
          </cell>
          <cell r="I396">
            <v>0</v>
          </cell>
          <cell r="J396">
            <v>0</v>
          </cell>
          <cell r="K396">
            <v>26.286380021984112</v>
          </cell>
          <cell r="L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B397">
            <v>1993</v>
          </cell>
          <cell r="C397">
            <v>-23.921387993244281</v>
          </cell>
          <cell r="D397">
            <v>0.21023694331536724</v>
          </cell>
          <cell r="E397">
            <v>-23.761442644844511</v>
          </cell>
          <cell r="F397">
            <v>-10.896309314586993</v>
          </cell>
          <cell r="G397">
            <v>-12.007272167272331</v>
          </cell>
          <cell r="H397">
            <v>-21.595231966269012</v>
          </cell>
          <cell r="I397">
            <v>0</v>
          </cell>
          <cell r="J397">
            <v>0</v>
          </cell>
          <cell r="K397">
            <v>1.6087527269338153</v>
          </cell>
          <cell r="L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B398">
            <v>1994</v>
          </cell>
          <cell r="C398">
            <v>-43.24924318869828</v>
          </cell>
          <cell r="D398">
            <v>-12.136240904312412</v>
          </cell>
          <cell r="E398">
            <v>-50.136651750338345</v>
          </cell>
          <cell r="F398">
            <v>-15.187376725838265</v>
          </cell>
          <cell r="G398">
            <v>-4.7758556763041859</v>
          </cell>
          <cell r="H398">
            <v>-19.237905208699789</v>
          </cell>
          <cell r="I398">
            <v>-35.31817749453058</v>
          </cell>
          <cell r="J398">
            <v>-19.6551724137931</v>
          </cell>
          <cell r="K398">
            <v>797.45142027390284</v>
          </cell>
          <cell r="L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B399">
            <v>1995</v>
          </cell>
          <cell r="C399">
            <v>82.432432432432435</v>
          </cell>
          <cell r="D399">
            <v>-5.0344161307512074</v>
          </cell>
          <cell r="E399">
            <v>73.248024626332239</v>
          </cell>
          <cell r="F399">
            <v>20.465116279069751</v>
          </cell>
          <cell r="G399">
            <v>5.8306168279934178</v>
          </cell>
          <cell r="H399">
            <v>27.48897562069903</v>
          </cell>
          <cell r="I399">
            <v>55.060049019607838</v>
          </cell>
          <cell r="J399">
            <v>91.845493562231752</v>
          </cell>
          <cell r="K399">
            <v>46.285882469516302</v>
          </cell>
          <cell r="L399">
            <v>1297.223592070224</v>
          </cell>
          <cell r="O399">
            <v>-100</v>
          </cell>
          <cell r="P399">
            <v>1274.2787351527122</v>
          </cell>
          <cell r="Q399">
            <v>681.45676661233006</v>
          </cell>
          <cell r="R399">
            <v>2.3376513694570944</v>
          </cell>
          <cell r="S399">
            <v>0.16335064850208081</v>
          </cell>
          <cell r="T399">
            <v>-0.70690865336410225</v>
          </cell>
          <cell r="U399">
            <v>2.0857473928157511</v>
          </cell>
          <cell r="V399">
            <v>-448.42105263157902</v>
          </cell>
          <cell r="W399">
            <v>29.776021080368899</v>
          </cell>
          <cell r="X399">
            <v>-2.0993261676641284</v>
          </cell>
          <cell r="Y399">
            <v>0</v>
          </cell>
          <cell r="Z399">
            <v>2.9087069395023368</v>
          </cell>
          <cell r="AA399">
            <v>39.378542437869783</v>
          </cell>
          <cell r="AB399">
            <v>26.394872014600558</v>
          </cell>
          <cell r="AC399">
            <v>-9.315401206076535</v>
          </cell>
          <cell r="AD399">
            <v>38.3785708439476</v>
          </cell>
          <cell r="AE399">
            <v>22.173977586049286</v>
          </cell>
          <cell r="AF399">
            <v>-2.0993261676641284</v>
          </cell>
          <cell r="AG399">
            <v>11765.408861671471</v>
          </cell>
          <cell r="AH399">
            <v>50.242966919924889</v>
          </cell>
          <cell r="AI399">
            <v>-27.117478510028658</v>
          </cell>
          <cell r="AJ399">
            <v>-2.0993261676641284</v>
          </cell>
          <cell r="AK399">
            <v>0</v>
          </cell>
          <cell r="AL399">
            <v>7371.4944253859339</v>
          </cell>
          <cell r="AM399">
            <v>34843.355855855858</v>
          </cell>
          <cell r="AN399">
            <v>1.0291388187677164</v>
          </cell>
          <cell r="AO399">
            <v>311.56531304470241</v>
          </cell>
          <cell r="AP399">
            <v>7295.3856409572691</v>
          </cell>
          <cell r="AQ399">
            <v>8390.3549323313528</v>
          </cell>
          <cell r="AR399">
            <v>7765.8488874640598</v>
          </cell>
          <cell r="AS399">
            <v>3.0087978827904704</v>
          </cell>
          <cell r="AT399">
            <v>7.4821398429377961</v>
          </cell>
          <cell r="AU399">
            <v>5.2566774493344681</v>
          </cell>
          <cell r="AV399">
            <v>7517.8978475465838</v>
          </cell>
          <cell r="AW399">
            <v>9025.6151615301496</v>
          </cell>
          <cell r="AX399">
            <v>8179.331192130111</v>
          </cell>
        </row>
        <row r="400">
          <cell r="B400">
            <v>1996</v>
          </cell>
          <cell r="C400">
            <v>19.356725146198841</v>
          </cell>
          <cell r="D400">
            <v>21.57287402290271</v>
          </cell>
          <cell r="E400">
            <v>45.105401099850553</v>
          </cell>
          <cell r="F400">
            <v>13.610038610038622</v>
          </cell>
          <cell r="G400">
            <v>-2.1846876911919666</v>
          </cell>
          <cell r="H400">
            <v>11.128014080566651</v>
          </cell>
          <cell r="I400">
            <v>-35.129496004868457</v>
          </cell>
          <cell r="J400">
            <v>-49.515287099179716</v>
          </cell>
          <cell r="K400">
            <v>26.555957829558263</v>
          </cell>
          <cell r="L400">
            <v>104.70657551233136</v>
          </cell>
          <cell r="O400">
            <v>0</v>
          </cell>
          <cell r="P400">
            <v>104.70657551233136</v>
          </cell>
          <cell r="Q400">
            <v>97.644077723243043</v>
          </cell>
          <cell r="R400">
            <v>7.582706163543973</v>
          </cell>
          <cell r="S400">
            <v>6.2559118040379946</v>
          </cell>
          <cell r="T400">
            <v>14.763948497854052</v>
          </cell>
          <cell r="U400">
            <v>6.2759261170157954</v>
          </cell>
          <cell r="V400">
            <v>-551.35951661631429</v>
          </cell>
          <cell r="W400">
            <v>37.360406091370571</v>
          </cell>
          <cell r="X400">
            <v>-3.082235041475434</v>
          </cell>
          <cell r="Y400">
            <v>-99.409431734673603</v>
          </cell>
          <cell r="Z400">
            <v>6.9987153935729962</v>
          </cell>
          <cell r="AA400">
            <v>34.31413134632804</v>
          </cell>
          <cell r="AB400">
            <v>17.772647049354575</v>
          </cell>
          <cell r="AC400">
            <v>-12.315520437921279</v>
          </cell>
          <cell r="AD400">
            <v>33.150473583988813</v>
          </cell>
          <cell r="AE400">
            <v>15.505132136356758</v>
          </cell>
          <cell r="AF400">
            <v>-3.082235041475434</v>
          </cell>
          <cell r="AG400">
            <v>164.52261230251949</v>
          </cell>
          <cell r="AH400">
            <v>-0.5245635934013837</v>
          </cell>
          <cell r="AI400">
            <v>73.5335744613933</v>
          </cell>
          <cell r="AJ400">
            <v>-3.082235041475434</v>
          </cell>
          <cell r="AK400">
            <v>0</v>
          </cell>
          <cell r="AL400">
            <v>176.79315752696425</v>
          </cell>
          <cell r="AM400">
            <v>150.74251442972377</v>
          </cell>
          <cell r="AN400">
            <v>3.9295004315475834</v>
          </cell>
          <cell r="AO400">
            <v>-2.2988074085203425</v>
          </cell>
          <cell r="AP400">
            <v>166.32780526956546</v>
          </cell>
          <cell r="AQ400">
            <v>156.64222490933093</v>
          </cell>
          <cell r="AR400">
            <v>161.83590963139119</v>
          </cell>
          <cell r="AS400">
            <v>8.5784141220025525</v>
          </cell>
          <cell r="AT400">
            <v>4.3553013186554246</v>
          </cell>
          <cell r="AU400">
            <v>6.49747055540566</v>
          </cell>
          <cell r="AV400">
            <v>189.17450732762933</v>
          </cell>
          <cell r="AW400">
            <v>167.81976711503356</v>
          </cell>
          <cell r="AX400">
            <v>178.84862076316938</v>
          </cell>
        </row>
        <row r="401">
          <cell r="B401">
            <v>1997</v>
          </cell>
          <cell r="C401">
            <v>-12.134574554956723</v>
          </cell>
          <cell r="D401">
            <v>-10.580851630555376</v>
          </cell>
          <cell r="E401">
            <v>-21.431484855853011</v>
          </cell>
          <cell r="F401">
            <v>0.93457943925234765</v>
          </cell>
          <cell r="G401">
            <v>-6.4976395785446117</v>
          </cell>
          <cell r="H401">
            <v>-5.6237857428300675</v>
          </cell>
          <cell r="I401">
            <v>3.0701754385964897</v>
          </cell>
          <cell r="J401">
            <v>6.5731166912850858</v>
          </cell>
          <cell r="K401">
            <v>-14.173965793422649</v>
          </cell>
          <cell r="L401">
            <v>-56.866858782364346</v>
          </cell>
          <cell r="O401">
            <v>0</v>
          </cell>
          <cell r="P401">
            <v>-56.866858782364346</v>
          </cell>
          <cell r="Q401">
            <v>-54.396384800997602</v>
          </cell>
          <cell r="R401">
            <v>-4.6988416752008044</v>
          </cell>
          <cell r="S401">
            <v>-2.0536140016985893</v>
          </cell>
          <cell r="T401">
            <v>-5.9395485943068209</v>
          </cell>
          <cell r="U401">
            <v>-5.3596693594324503</v>
          </cell>
          <cell r="V401">
            <v>-0.80120481927711262</v>
          </cell>
          <cell r="W401">
            <v>15.024390243902431</v>
          </cell>
          <cell r="X401">
            <v>-0.87761219967850135</v>
          </cell>
          <cell r="Y401">
            <v>14619.613526570049</v>
          </cell>
          <cell r="Z401">
            <v>-4.1462585528203704</v>
          </cell>
          <cell r="AA401">
            <v>-26.428633814434054</v>
          </cell>
          <cell r="AB401">
            <v>-37.310918781761373</v>
          </cell>
          <cell r="AC401">
            <v>-14.79146783801648</v>
          </cell>
          <cell r="AD401">
            <v>-27.105764677568011</v>
          </cell>
          <cell r="AE401">
            <v>-28.779316357010575</v>
          </cell>
          <cell r="AF401">
            <v>-0.87761219967850135</v>
          </cell>
          <cell r="AG401">
            <v>-21.73186945783927</v>
          </cell>
          <cell r="AH401">
            <v>-20.300406912466784</v>
          </cell>
          <cell r="AI401">
            <v>-46.37426370638876</v>
          </cell>
          <cell r="AJ401">
            <v>-0.87761219967850135</v>
          </cell>
          <cell r="AK401">
            <v>0</v>
          </cell>
          <cell r="AL401">
            <v>-14.738403612766326</v>
          </cell>
          <cell r="AM401">
            <v>-30.401653371617254</v>
          </cell>
          <cell r="AN401">
            <v>-2.1655472109836094</v>
          </cell>
          <cell r="AO401">
            <v>0.70125792812283372</v>
          </cell>
          <cell r="AP401">
            <v>-12.85115421343087</v>
          </cell>
          <cell r="AQ401">
            <v>-30.886318542257229</v>
          </cell>
          <cell r="AR401">
            <v>-21.049439300409244</v>
          </cell>
          <cell r="AS401">
            <v>16.120846774050456</v>
          </cell>
          <cell r="AT401">
            <v>17.860367675993082</v>
          </cell>
          <cell r="AU401">
            <v>16.566934472192727</v>
          </cell>
          <cell r="AV401">
            <v>1.1979776811754439</v>
          </cell>
          <cell r="AW401">
            <v>-18.54236091948971</v>
          </cell>
          <cell r="AX401">
            <v>-7.969751643879297</v>
          </cell>
        </row>
        <row r="402">
          <cell r="B402">
            <v>1998</v>
          </cell>
          <cell r="C402">
            <v>-20.371747211895908</v>
          </cell>
          <cell r="D402">
            <v>-7.8833326110910313</v>
          </cell>
          <cell r="E402">
            <v>-26.649107231582526</v>
          </cell>
          <cell r="F402">
            <v>-11.363636363636365</v>
          </cell>
          <cell r="G402">
            <v>-14.042572780992424</v>
          </cell>
          <cell r="H402">
            <v>-23.810462237697838</v>
          </cell>
          <cell r="I402">
            <v>1.2765957446808418</v>
          </cell>
          <cell r="J402">
            <v>-100</v>
          </cell>
          <cell r="K402">
            <v>-25.020082344152506</v>
          </cell>
          <cell r="L402">
            <v>-77.854991285099658</v>
          </cell>
          <cell r="O402">
            <v>0</v>
          </cell>
          <cell r="P402">
            <v>-77.854991285099658</v>
          </cell>
          <cell r="Q402">
            <v>-72.1010498698883</v>
          </cell>
          <cell r="R402">
            <v>-0.65513145398009565</v>
          </cell>
          <cell r="S402">
            <v>4.666560441109957</v>
          </cell>
          <cell r="T402">
            <v>6.4876748210861201</v>
          </cell>
          <cell r="U402">
            <v>14.008058686054792</v>
          </cell>
          <cell r="V402">
            <v>19.990823397637026</v>
          </cell>
          <cell r="W402">
            <v>21.636209422468955</v>
          </cell>
          <cell r="X402">
            <v>13.342099495945646</v>
          </cell>
          <cell r="Y402">
            <v>45.118823351799819</v>
          </cell>
          <cell r="Z402">
            <v>0.19982133301632565</v>
          </cell>
          <cell r="AA402">
            <v>-19.672944215025012</v>
          </cell>
          <cell r="AB402">
            <v>-12.608344887518729</v>
          </cell>
          <cell r="AC402">
            <v>8.7947943049441424</v>
          </cell>
          <cell r="AD402">
            <v>-19.294903330416791</v>
          </cell>
          <cell r="AE402">
            <v>5.022297241189877</v>
          </cell>
          <cell r="AF402">
            <v>13.342099495945646</v>
          </cell>
          <cell r="AG402">
            <v>-91.202711456468137</v>
          </cell>
          <cell r="AH402">
            <v>4.3417675743408157</v>
          </cell>
          <cell r="AI402">
            <v>7.1211301879140265</v>
          </cell>
          <cell r="AJ402">
            <v>13.342099495945646</v>
          </cell>
          <cell r="AK402">
            <v>0</v>
          </cell>
          <cell r="AL402">
            <v>-94.648122755256765</v>
          </cell>
          <cell r="AM402">
            <v>-85.970185085155791</v>
          </cell>
          <cell r="AN402">
            <v>9.4797837427051945E-2</v>
          </cell>
          <cell r="AO402">
            <v>-8.7149004357749185</v>
          </cell>
          <cell r="AP402">
            <v>-94.653191414167509</v>
          </cell>
          <cell r="AQ402">
            <v>-84.630772183171786</v>
          </cell>
          <cell r="AR402">
            <v>-90.664923854620625</v>
          </cell>
          <cell r="AS402">
            <v>-18.510968269270698</v>
          </cell>
          <cell r="AT402">
            <v>-9.2894409877071205</v>
          </cell>
          <cell r="AU402">
            <v>-11.121501827366597</v>
          </cell>
          <cell r="AV402">
            <v>-95.6429374549096</v>
          </cell>
          <cell r="AW402">
            <v>-86.058487531482314</v>
          </cell>
          <cell r="AX402">
            <v>-91.703124518715057</v>
          </cell>
        </row>
        <row r="403">
          <cell r="B403">
            <v>1999</v>
          </cell>
          <cell r="C403">
            <v>-32.352941176470587</v>
          </cell>
          <cell r="D403">
            <v>-4.3000206779624683</v>
          </cell>
          <cell r="E403">
            <v>-35.26177869391578</v>
          </cell>
          <cell r="F403">
            <v>-16.239316239316238</v>
          </cell>
          <cell r="G403">
            <v>-7.8975252702242926</v>
          </cell>
          <cell r="H403">
            <v>-22.854337405828883</v>
          </cell>
          <cell r="I403">
            <v>1.0270774976657293</v>
          </cell>
          <cell r="J403">
            <v>0</v>
          </cell>
          <cell r="K403">
            <v>-28.615982789845194</v>
          </cell>
          <cell r="L403">
            <v>-90.635379061371836</v>
          </cell>
          <cell r="O403">
            <v>0</v>
          </cell>
          <cell r="P403">
            <v>-90.635379061371836</v>
          </cell>
          <cell r="Q403">
            <v>-72.483185859162319</v>
          </cell>
          <cell r="R403">
            <v>0.83705868049384069</v>
          </cell>
          <cell r="S403">
            <v>-1.7546486211336254</v>
          </cell>
          <cell r="T403">
            <v>2.6618641834314394</v>
          </cell>
          <cell r="U403">
            <v>-3.5084530249023804</v>
          </cell>
          <cell r="V403">
            <v>4.9541697126469053</v>
          </cell>
          <cell r="W403">
            <v>-0.41204437400951255</v>
          </cell>
          <cell r="X403">
            <v>3.499593951815605</v>
          </cell>
          <cell r="Y403">
            <v>-68.198746526374123</v>
          </cell>
          <cell r="Z403">
            <v>0.13954875279837964</v>
          </cell>
          <cell r="AA403">
            <v>-6.7933265387305592</v>
          </cell>
          <cell r="AB403">
            <v>7.7274060597754879</v>
          </cell>
          <cell r="AC403">
            <v>15.57906967309577</v>
          </cell>
          <cell r="AD403">
            <v>-5.9519144148204255</v>
          </cell>
          <cell r="AE403">
            <v>-8.1533619227124774</v>
          </cell>
          <cell r="AF403">
            <v>3.499593951815605</v>
          </cell>
          <cell r="AG403">
            <v>71.325007327274264</v>
          </cell>
          <cell r="AH403">
            <v>2.2607632993485449</v>
          </cell>
          <cell r="AI403">
            <v>-39.438397223536839</v>
          </cell>
          <cell r="AJ403">
            <v>3.499593951815605</v>
          </cell>
          <cell r="AK403">
            <v>0</v>
          </cell>
          <cell r="AL403">
            <v>297.60903975340619</v>
          </cell>
          <cell r="AM403">
            <v>-59.767679094409168</v>
          </cell>
          <cell r="AN403">
            <v>-2.5897474830338441</v>
          </cell>
          <cell r="AO403">
            <v>-11.290056604448861</v>
          </cell>
          <cell r="AP403">
            <v>308.17986760085006</v>
          </cell>
          <cell r="AQ403">
            <v>-54.64733786809235</v>
          </cell>
          <cell r="AR403">
            <v>70.470800226630942</v>
          </cell>
          <cell r="AS403">
            <v>-15.838169030030713</v>
          </cell>
          <cell r="AT403">
            <v>-5.8909037975169998</v>
          </cell>
          <cell r="AU403">
            <v>-20.380931297772598</v>
          </cell>
          <cell r="AV403">
            <v>243.5316502236719</v>
          </cell>
          <cell r="AW403">
            <v>-57.319019563895942</v>
          </cell>
          <cell r="AX403">
            <v>35.727263549678099</v>
          </cell>
        </row>
        <row r="404">
          <cell r="B404">
            <v>2000</v>
          </cell>
          <cell r="C404">
            <v>-10.041407867494822</v>
          </cell>
          <cell r="D404">
            <v>-10.793028893572043</v>
          </cell>
          <cell r="E404">
            <v>-19.750664708606735</v>
          </cell>
          <cell r="F404">
            <v>-5.2154195011337778</v>
          </cell>
          <cell r="G404">
            <v>5.0007524986551255</v>
          </cell>
          <cell r="H404">
            <v>-0.4754772234969451</v>
          </cell>
          <cell r="I404">
            <v>0.92421441774490631</v>
          </cell>
          <cell r="J404">
            <v>0</v>
          </cell>
          <cell r="K404">
            <v>-8.9361495833026101</v>
          </cell>
          <cell r="L404">
            <v>48.033924441017732</v>
          </cell>
          <cell r="O404">
            <v>0</v>
          </cell>
          <cell r="P404">
            <v>48.033924441017732</v>
          </cell>
          <cell r="Q404">
            <v>4.7774431238727155</v>
          </cell>
          <cell r="R404">
            <v>-1.9074102239408308</v>
          </cell>
          <cell r="S404">
            <v>-3.0325195818475592</v>
          </cell>
          <cell r="T404">
            <v>4.1588225226766973</v>
          </cell>
          <cell r="U404">
            <v>-0.22037339441242088</v>
          </cell>
          <cell r="V404">
            <v>-4.1309472781825951</v>
          </cell>
          <cell r="W404">
            <v>-1.7716953108423472</v>
          </cell>
          <cell r="X404">
            <v>43.978693735904571</v>
          </cell>
          <cell r="Y404">
            <v>354.3864140638334</v>
          </cell>
          <cell r="Z404">
            <v>-0.85008573969468371</v>
          </cell>
          <cell r="AA404">
            <v>-0.69148337315388941</v>
          </cell>
          <cell r="AB404">
            <v>-0.23905279934354207</v>
          </cell>
          <cell r="AC404">
            <v>0.45558083956724893</v>
          </cell>
          <cell r="AD404">
            <v>-0.66145385067969409</v>
          </cell>
          <cell r="AE404">
            <v>4.2206632386605936</v>
          </cell>
          <cell r="AF404">
            <v>52.667617198650738</v>
          </cell>
          <cell r="AG404">
            <v>-94.096194961695033</v>
          </cell>
          <cell r="AH404">
            <v>-4.1495329828772798</v>
          </cell>
          <cell r="AI404">
            <v>46.678822610054695</v>
          </cell>
          <cell r="AJ404">
            <v>-6.7066308573170748</v>
          </cell>
          <cell r="AK404">
            <v>0</v>
          </cell>
          <cell r="AL404">
            <v>-94.963038024834333</v>
          </cell>
          <cell r="AM404">
            <v>-89.133173021871059</v>
          </cell>
          <cell r="AN404">
            <v>-41.104858980547768</v>
          </cell>
          <cell r="AO404">
            <v>-62.582224896413209</v>
          </cell>
          <cell r="AP404">
            <v>-91.447576339953017</v>
          </cell>
          <cell r="AQ404">
            <v>-70.958115633424541</v>
          </cell>
          <cell r="AR404">
            <v>-87.876252632655422</v>
          </cell>
          <cell r="AS404">
            <v>54.291075282078353</v>
          </cell>
          <cell r="AT404">
            <v>6.0665009024869265</v>
          </cell>
          <cell r="AU404">
            <v>40.387294665231366</v>
          </cell>
          <cell r="AV404">
            <v>-86.804373572234638</v>
          </cell>
          <cell r="AW404">
            <v>-69.196289456227035</v>
          </cell>
          <cell r="AX404">
            <v>-82.979799058937729</v>
          </cell>
        </row>
        <row r="405">
          <cell r="B405">
            <v>2001</v>
          </cell>
          <cell r="C405">
            <v>14.537782892213279</v>
          </cell>
          <cell r="D405">
            <v>-10.666335092901525</v>
          </cell>
          <cell r="E405">
            <v>2.3207991609497824</v>
          </cell>
          <cell r="F405">
            <v>0.23923444976075015</v>
          </cell>
          <cell r="G405">
            <v>2.8937143469402127</v>
          </cell>
          <cell r="H405">
            <v>3.1398715582965142</v>
          </cell>
          <cell r="I405">
            <v>5.8379120879120894</v>
          </cell>
          <cell r="J405">
            <v>0</v>
          </cell>
          <cell r="K405">
            <v>2.8711492425872676</v>
          </cell>
          <cell r="L405">
            <v>120.93750000000001</v>
          </cell>
          <cell r="O405">
            <v>0</v>
          </cell>
          <cell r="P405">
            <v>120.93750000000001</v>
          </cell>
          <cell r="Q405">
            <v>43.024709599690844</v>
          </cell>
          <cell r="R405">
            <v>-1.0408533599645775</v>
          </cell>
          <cell r="S405">
            <v>5.9404073422177461</v>
          </cell>
          <cell r="T405">
            <v>-4.8800525796910961</v>
          </cell>
          <cell r="U405">
            <v>0.56397372484362496</v>
          </cell>
          <cell r="V405">
            <v>-8.5675962666964427</v>
          </cell>
          <cell r="W405">
            <v>12.14494005832163</v>
          </cell>
          <cell r="X405">
            <v>152.59728969440292</v>
          </cell>
          <cell r="Y405">
            <v>94.821109963376841</v>
          </cell>
          <cell r="Z405">
            <v>0.45668532752225488</v>
          </cell>
          <cell r="AA405">
            <v>1.7224609487268339</v>
          </cell>
          <cell r="AB405">
            <v>11.5093312269829</v>
          </cell>
          <cell r="AC405">
            <v>9.6211497313156258</v>
          </cell>
          <cell r="AD405">
            <v>2.3748145690817068</v>
          </cell>
          <cell r="AE405">
            <v>2.3010192396869744</v>
          </cell>
          <cell r="AF405">
            <v>172.27463111755043</v>
          </cell>
          <cell r="AG405">
            <v>-68.338437452792618</v>
          </cell>
          <cell r="AH405">
            <v>-24.397701881345913</v>
          </cell>
          <cell r="AI405">
            <v>90.800923459421057</v>
          </cell>
          <cell r="AJ405">
            <v>-20.265128759661977</v>
          </cell>
          <cell r="AK405">
            <v>474.80785858573154</v>
          </cell>
          <cell r="AL405">
            <v>-76.221449099984866</v>
          </cell>
          <cell r="AM405">
            <v>-47.418335089567961</v>
          </cell>
          <cell r="AN405">
            <v>27.218106077545535</v>
          </cell>
          <cell r="AO405">
            <v>-31.865259579976147</v>
          </cell>
          <cell r="AP405">
            <v>-81.308831240168786</v>
          </cell>
          <cell r="AQ405">
            <v>-22.826938818161235</v>
          </cell>
          <cell r="AR405">
            <v>-56.890947564371984</v>
          </cell>
          <cell r="AS405">
            <v>-21.034540160941528</v>
          </cell>
          <cell r="AT405">
            <v>12.076236780151284</v>
          </cell>
          <cell r="AU405">
            <v>-0.34979732401189123</v>
          </cell>
          <cell r="AV405">
            <v>-85.240432639504832</v>
          </cell>
          <cell r="AW405">
            <v>-13.507337219351367</v>
          </cell>
          <cell r="AX405">
            <v>-57.041741876198707</v>
          </cell>
        </row>
        <row r="406">
          <cell r="B406">
            <v>2002</v>
          </cell>
          <cell r="C406">
            <v>7.5686537173476287</v>
          </cell>
          <cell r="D406">
            <v>0.30482500362376541</v>
          </cell>
          <cell r="E406">
            <v>7.8965498699395731</v>
          </cell>
          <cell r="F406">
            <v>2.5059665871121739</v>
          </cell>
          <cell r="G406">
            <v>2.3283034380153556</v>
          </cell>
          <cell r="H406">
            <v>4.8926165313307735</v>
          </cell>
          <cell r="I406">
            <v>5.2303698896820183</v>
          </cell>
          <cell r="J406">
            <v>-4.7619047619047672</v>
          </cell>
          <cell r="K406">
            <v>6.0602456375033364</v>
          </cell>
          <cell r="L406">
            <v>-21.027817067421029</v>
          </cell>
          <cell r="O406">
            <v>0</v>
          </cell>
          <cell r="P406">
            <v>-21.027817067421029</v>
          </cell>
          <cell r="Q406">
            <v>-8.1707152950676321</v>
          </cell>
          <cell r="R406">
            <v>1.7327873088828882</v>
          </cell>
          <cell r="S406">
            <v>2.3526968492256994</v>
          </cell>
          <cell r="T406">
            <v>-3.2345828295042622</v>
          </cell>
          <cell r="U406">
            <v>9.108297659166098E-3</v>
          </cell>
          <cell r="V406">
            <v>10.055012224938874</v>
          </cell>
          <cell r="W406">
            <v>2.571387297154093</v>
          </cell>
          <cell r="X406">
            <v>6.9837374026383792</v>
          </cell>
          <cell r="Y406">
            <v>63.212670410270007</v>
          </cell>
          <cell r="Z406">
            <v>3.0402501666060067</v>
          </cell>
          <cell r="AA406">
            <v>2.5715334268425316</v>
          </cell>
          <cell r="AB406">
            <v>6.9956573634036401</v>
          </cell>
          <cell r="AC406">
            <v>4.3132083422702694</v>
          </cell>
          <cell r="AD406">
            <v>2.8927401395264951</v>
          </cell>
          <cell r="AE406">
            <v>2.725298537468368</v>
          </cell>
          <cell r="AF406">
            <v>-2.2835199300695663</v>
          </cell>
          <cell r="AG406">
            <v>208.38863587074385</v>
          </cell>
          <cell r="AH406">
            <v>19.894329654690313</v>
          </cell>
          <cell r="AI406">
            <v>-19.825018615040957</v>
          </cell>
          <cell r="AJ406">
            <v>-14.84253352755035</v>
          </cell>
          <cell r="AK406">
            <v>0.45385184858048877</v>
          </cell>
          <cell r="AL406">
            <v>321.74777353689564</v>
          </cell>
          <cell r="AM406">
            <v>72.344689378757508</v>
          </cell>
          <cell r="AN406">
            <v>45.371562947940717</v>
          </cell>
          <cell r="AO406">
            <v>57.814057607693471</v>
          </cell>
          <cell r="AP406">
            <v>190.11710748953604</v>
          </cell>
          <cell r="AQ406">
            <v>9.2074381657338833</v>
          </cell>
          <cell r="AR406">
            <v>54.89564356881003</v>
          </cell>
          <cell r="AS406">
            <v>44.11165198783047</v>
          </cell>
          <cell r="AT406">
            <v>6.5330769979253356</v>
          </cell>
          <cell r="AU406">
            <v>15.730784428000511</v>
          </cell>
          <cell r="AV406">
            <v>318.09255630248032</v>
          </cell>
          <cell r="AW406">
            <v>16.342044188562998</v>
          </cell>
          <cell r="AX406">
            <v>79.261943346983571</v>
          </cell>
        </row>
        <row r="407">
          <cell r="B407">
            <v>2003</v>
          </cell>
          <cell r="C407">
            <v>5.6039850560398508</v>
          </cell>
          <cell r="D407">
            <v>0.38850962914502851</v>
          </cell>
          <cell r="E407">
            <v>6.0142667067434319</v>
          </cell>
          <cell r="F407">
            <v>2.7939464493597299</v>
          </cell>
          <cell r="G407">
            <v>3.6855473973861574</v>
          </cell>
          <cell r="H407">
            <v>6.58246606739461</v>
          </cell>
          <cell r="I407">
            <v>0</v>
          </cell>
          <cell r="J407">
            <v>-1.1249999999999982</v>
          </cell>
          <cell r="K407">
            <v>6.2229776814022975</v>
          </cell>
          <cell r="L407">
            <v>-4.7820895522388103</v>
          </cell>
          <cell r="O407">
            <v>0</v>
          </cell>
          <cell r="P407">
            <v>-4.7820895522388103</v>
          </cell>
          <cell r="Q407">
            <v>1.2508540146584313</v>
          </cell>
          <cell r="R407">
            <v>4.5146833662765395</v>
          </cell>
          <cell r="S407">
            <v>1.1594538972143464</v>
          </cell>
          <cell r="T407">
            <v>-3.1731155442495607</v>
          </cell>
          <cell r="U407">
            <v>-1.4246682279469014</v>
          </cell>
          <cell r="V407">
            <v>15.584559844487679</v>
          </cell>
          <cell r="W407">
            <v>4.8870945026056045</v>
          </cell>
          <cell r="X407">
            <v>-16.058255373334163</v>
          </cell>
          <cell r="Y407">
            <v>60.449301185486704</v>
          </cell>
          <cell r="Z407">
            <v>6.0980524015259885</v>
          </cell>
          <cell r="AA407">
            <v>5.9166209405281611</v>
          </cell>
          <cell r="AB407">
            <v>-1.5583140345515556</v>
          </cell>
          <cell r="AC407">
            <v>-7.0573767447480007</v>
          </cell>
          <cell r="AD407">
            <v>5.3522740125420798</v>
          </cell>
          <cell r="AE407">
            <v>5.6328761960349638</v>
          </cell>
          <cell r="AF407">
            <v>-14.829175049006228</v>
          </cell>
          <cell r="AG407">
            <v>-64.559276501779223</v>
          </cell>
          <cell r="AH407">
            <v>23.129404558970677</v>
          </cell>
          <cell r="AI407">
            <v>-28.732296261899236</v>
          </cell>
          <cell r="AJ407">
            <v>26.536510557980343</v>
          </cell>
          <cell r="AK407">
            <v>-22.47236441589553</v>
          </cell>
          <cell r="AL407">
            <v>-73.990836931314703</v>
          </cell>
          <cell r="AM407">
            <v>-36.860465116279073</v>
          </cell>
          <cell r="AN407">
            <v>-22.91953535780501</v>
          </cell>
          <cell r="AO407">
            <v>-13.94961542315678</v>
          </cell>
          <cell r="AP407">
            <v>-66.257127289749747</v>
          </cell>
          <cell r="AQ407">
            <v>-26.624924229900259</v>
          </cell>
          <cell r="AR407">
            <v>-45.371617329437171</v>
          </cell>
          <cell r="AS407">
            <v>-1.7864334591212172</v>
          </cell>
          <cell r="AT407">
            <v>14.449559386789845</v>
          </cell>
          <cell r="AU407">
            <v>8.467597884557021</v>
          </cell>
          <cell r="AV407">
            <v>-66.859921257914337</v>
          </cell>
          <cell r="AW407">
            <v>-16.022549081397653</v>
          </cell>
          <cell r="AX407">
            <v>-40.745905554056883</v>
          </cell>
        </row>
        <row r="408">
          <cell r="B408">
            <v>2004</v>
          </cell>
          <cell r="C408">
            <v>4.8349056603773422</v>
          </cell>
          <cell r="D408">
            <v>-1.1039002690931721</v>
          </cell>
          <cell r="E408">
            <v>3.6776328546888726</v>
          </cell>
          <cell r="F408">
            <v>7.2480181200453186</v>
          </cell>
          <cell r="G408">
            <v>-2.1169123974033366</v>
          </cell>
          <cell r="H408">
            <v>4.9776715284926887</v>
          </cell>
          <cell r="I408">
            <v>0</v>
          </cell>
          <cell r="J408">
            <v>-39.317319848293295</v>
          </cell>
          <cell r="K408">
            <v>4.3515057656327238</v>
          </cell>
          <cell r="L408">
            <v>-16.085648003009588</v>
          </cell>
          <cell r="O408">
            <v>0</v>
          </cell>
          <cell r="P408">
            <v>-16.085648003009588</v>
          </cell>
          <cell r="Q408">
            <v>-4.3318898103647303</v>
          </cell>
          <cell r="R408">
            <v>2.9455580529689218</v>
          </cell>
          <cell r="S408">
            <v>1.3610705177799387</v>
          </cell>
          <cell r="T408">
            <v>3.2632743362832839</v>
          </cell>
          <cell r="U408">
            <v>-1.6338113150625388</v>
          </cell>
          <cell r="V408">
            <v>4.723463552928675</v>
          </cell>
          <cell r="W408">
            <v>8.6742458150567803</v>
          </cell>
          <cell r="X408">
            <v>-48.173943284934381</v>
          </cell>
          <cell r="Y408">
            <v>22.695691153648955</v>
          </cell>
          <cell r="Z408">
            <v>3.6850915905055626</v>
          </cell>
          <cell r="AA408">
            <v>3.398233398466699</v>
          </cell>
          <cell r="AB408">
            <v>-9.7733514039622715</v>
          </cell>
          <cell r="AC408">
            <v>-12.738694240228954</v>
          </cell>
          <cell r="AD408">
            <v>2.469027608179819</v>
          </cell>
          <cell r="AE408">
            <v>2.6611046514011916</v>
          </cell>
          <cell r="AF408">
            <v>-48.528131608449307</v>
          </cell>
          <cell r="AG408">
            <v>-15.735375823478048</v>
          </cell>
          <cell r="AH408">
            <v>-1.1821677374478701</v>
          </cell>
          <cell r="AI408">
            <v>15.70288320573383</v>
          </cell>
          <cell r="AJ408">
            <v>-21.936325921782451</v>
          </cell>
          <cell r="AK408">
            <v>-56.547525331474006</v>
          </cell>
          <cell r="AL408">
            <v>-54.012323305545486</v>
          </cell>
          <cell r="AM408">
            <v>30.570902394106824</v>
          </cell>
          <cell r="AN408">
            <v>-42.232940685202692</v>
          </cell>
          <cell r="AO408">
            <v>157.26554150132137</v>
          </cell>
          <cell r="AP408">
            <v>-20.391175801682969</v>
          </cell>
          <cell r="AQ408">
            <v>-49.246641570365092</v>
          </cell>
          <cell r="AR408">
            <v>-40.815851900088376</v>
          </cell>
          <cell r="AS408">
            <v>4.5943915581395212</v>
          </cell>
          <cell r="AT408">
            <v>5.6662040647324163</v>
          </cell>
          <cell r="AU408">
            <v>4.2344921052873463</v>
          </cell>
          <cell r="AV408">
            <v>-16.733634703181355</v>
          </cell>
          <cell r="AW408">
            <v>-46.3708527120369</v>
          </cell>
          <cell r="AX408">
            <v>-38.309703821216047</v>
          </cell>
        </row>
        <row r="409">
          <cell r="B409">
            <v>2005</v>
          </cell>
          <cell r="C409">
            <v>2.8965129358830222</v>
          </cell>
          <cell r="D409">
            <v>0.35974344492608612</v>
          </cell>
          <cell r="E409">
            <v>3.266676396227397</v>
          </cell>
          <cell r="F409">
            <v>1.0559662090813049</v>
          </cell>
          <cell r="G409">
            <v>126.36763722876209</v>
          </cell>
          <cell r="H409">
            <v>128.75800298619359</v>
          </cell>
          <cell r="I409">
            <v>0</v>
          </cell>
          <cell r="J409">
            <v>0</v>
          </cell>
          <cell r="K409">
            <v>77.264157905435098</v>
          </cell>
          <cell r="L409">
            <v>-100</v>
          </cell>
          <cell r="O409">
            <v>0</v>
          </cell>
          <cell r="P409">
            <v>-100</v>
          </cell>
          <cell r="Q409">
            <v>11.201026509856039</v>
          </cell>
          <cell r="R409">
            <v>0.41637960116289729</v>
          </cell>
          <cell r="S409">
            <v>-0.8851133600950245</v>
          </cell>
          <cell r="T409">
            <v>0.49991073022668253</v>
          </cell>
          <cell r="U409">
            <v>0.19647683490191525</v>
          </cell>
          <cell r="V409">
            <v>5.5795172983389874</v>
          </cell>
          <cell r="W409">
            <v>2.1828665568369043</v>
          </cell>
          <cell r="X409">
            <v>84.36506675143039</v>
          </cell>
          <cell r="Y409">
            <v>14.779334459277859</v>
          </cell>
          <cell r="Z409">
            <v>1.4599868429554297</v>
          </cell>
          <cell r="AA409">
            <v>1.7824764841390506</v>
          </cell>
          <cell r="AB409">
            <v>8.2732177997696397</v>
          </cell>
          <cell r="AC409">
            <v>6.3770715154902291</v>
          </cell>
          <cell r="AD409">
            <v>2.185667073746056</v>
          </cell>
          <cell r="AE409">
            <v>2.0771273961128767</v>
          </cell>
          <cell r="AF409">
            <v>86.712325605306177</v>
          </cell>
          <cell r="AG409">
            <v>-45.994442612913858</v>
          </cell>
          <cell r="AH409">
            <v>-1.8792892740174483</v>
          </cell>
          <cell r="AI409">
            <v>13.543573138110654</v>
          </cell>
          <cell r="AJ409">
            <v>-4.2335940765510287</v>
          </cell>
          <cell r="AK409">
            <v>135.98559722038001</v>
          </cell>
          <cell r="AL409">
            <v>26.465952080706188</v>
          </cell>
          <cell r="AM409">
            <v>-76.868829337094496</v>
          </cell>
          <cell r="AN409">
            <v>230.63068090470082</v>
          </cell>
          <cell r="AO409">
            <v>41.867681306786508</v>
          </cell>
          <cell r="AP409">
            <v>-61.750085704490921</v>
          </cell>
          <cell r="AQ409">
            <v>-83.695250073986386</v>
          </cell>
          <cell r="AR409">
            <v>-75.070732474064755</v>
          </cell>
          <cell r="AS409">
            <v>15.316952813461015</v>
          </cell>
          <cell r="AT409">
            <v>16.920373321648462</v>
          </cell>
          <cell r="AU409">
            <v>13.353537334418174</v>
          </cell>
          <cell r="AV409">
            <v>-55.891364380658516</v>
          </cell>
          <cell r="AW409">
            <v>-80.936425517343679</v>
          </cell>
          <cell r="AX409">
            <v>-71.741793427792004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>
    <pageSetUpPr fitToPage="1"/>
  </sheetPr>
  <dimension ref="A1:Z30"/>
  <sheetViews>
    <sheetView view="pageBreakPreview" zoomScale="70" zoomScaleNormal="85" zoomScaleSheetLayoutView="70" workbookViewId="0">
      <selection activeCell="U36" sqref="U36"/>
    </sheetView>
  </sheetViews>
  <sheetFormatPr defaultColWidth="7.5703125" defaultRowHeight="15"/>
  <cols>
    <col min="1" max="1" width="7.85546875" style="530" customWidth="1"/>
    <col min="2" max="2" width="2.7109375" style="530" customWidth="1"/>
    <col min="3" max="3" width="48.85546875" style="530" customWidth="1"/>
    <col min="4" max="4" width="2.7109375" style="530" customWidth="1"/>
    <col min="5" max="5" width="26" style="530" bestFit="1" customWidth="1"/>
    <col min="6" max="6" width="2.7109375" style="530" customWidth="1"/>
    <col min="7" max="7" width="13.7109375" style="530" customWidth="1"/>
    <col min="8" max="8" width="2.7109375" style="530" customWidth="1"/>
    <col min="9" max="9" width="13.7109375" style="530" customWidth="1"/>
    <col min="10" max="10" width="2.7109375" style="530" customWidth="1"/>
    <col min="11" max="11" width="13.7109375" style="530" customWidth="1"/>
    <col min="12" max="12" width="2.7109375" style="530" customWidth="1"/>
    <col min="13" max="13" width="13.7109375" style="530" customWidth="1"/>
    <col min="14" max="14" width="2.7109375" style="530" customWidth="1"/>
    <col min="15" max="15" width="13.7109375" style="530" customWidth="1"/>
    <col min="16" max="16" width="2.7109375" style="530" customWidth="1"/>
    <col min="17" max="17" width="13.7109375" style="530" customWidth="1"/>
    <col min="18" max="18" width="2.7109375" style="530" customWidth="1"/>
    <col min="19" max="19" width="13.7109375" style="530" customWidth="1"/>
    <col min="20" max="20" width="2.7109375" style="530" customWidth="1"/>
    <col min="21" max="21" width="13.7109375" style="530" customWidth="1"/>
    <col min="22" max="22" width="2.7109375" style="530" customWidth="1"/>
    <col min="23" max="23" width="13.7109375" style="530" customWidth="1"/>
    <col min="24" max="24" width="2.7109375" style="530" customWidth="1"/>
    <col min="25" max="25" width="13.7109375" style="530" customWidth="1"/>
    <col min="26" max="26" width="2.7109375" style="530" customWidth="1"/>
    <col min="27" max="16384" width="7.5703125" style="530"/>
  </cols>
  <sheetData>
    <row r="1" spans="1:26" ht="15.75">
      <c r="A1" s="420" t="s">
        <v>540</v>
      </c>
      <c r="B1" s="420"/>
      <c r="C1" s="406"/>
      <c r="D1" s="406"/>
      <c r="E1" s="406"/>
      <c r="F1" s="406"/>
      <c r="G1" s="406"/>
      <c r="H1" s="406"/>
      <c r="I1" s="406"/>
      <c r="J1" s="406"/>
      <c r="K1" s="406"/>
      <c r="L1" s="62"/>
      <c r="M1" s="406"/>
      <c r="N1" s="406"/>
      <c r="O1" s="406"/>
      <c r="P1" s="62"/>
      <c r="Q1" s="62"/>
      <c r="R1" s="62"/>
      <c r="S1" s="62"/>
      <c r="T1" s="62"/>
      <c r="U1" s="62"/>
      <c r="V1" s="62"/>
      <c r="W1" s="62"/>
      <c r="X1" s="62"/>
      <c r="Y1" s="62"/>
      <c r="Z1" s="109" t="s">
        <v>513</v>
      </c>
    </row>
    <row r="2" spans="1:26" ht="15.75">
      <c r="A2" s="420" t="s">
        <v>463</v>
      </c>
      <c r="B2" s="420"/>
      <c r="C2" s="406"/>
      <c r="D2" s="406"/>
      <c r="E2" s="406"/>
      <c r="F2" s="406"/>
      <c r="G2" s="406"/>
      <c r="H2" s="406"/>
      <c r="I2" s="406"/>
      <c r="J2" s="406"/>
      <c r="K2" s="406"/>
      <c r="L2" s="62"/>
      <c r="M2" s="406"/>
      <c r="N2" s="406"/>
      <c r="O2" s="406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5.75">
      <c r="A3" s="420" t="s">
        <v>46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62"/>
      <c r="M3" s="406"/>
      <c r="N3" s="406"/>
      <c r="O3" s="406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6" ht="15.75">
      <c r="A4" s="420" t="s">
        <v>32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62"/>
      <c r="M4" s="406"/>
      <c r="N4" s="406"/>
      <c r="O4" s="406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6" ht="15.75">
      <c r="A5" s="420"/>
      <c r="B5" s="406"/>
      <c r="C5" s="406"/>
      <c r="D5" s="406"/>
      <c r="E5" s="406"/>
      <c r="F5" s="463"/>
      <c r="G5" s="463"/>
      <c r="H5" s="463"/>
      <c r="I5" s="463"/>
      <c r="J5" s="463"/>
      <c r="K5" s="463"/>
      <c r="M5" s="463"/>
      <c r="N5" s="463"/>
      <c r="O5" s="463"/>
    </row>
    <row r="6" spans="1:26" ht="15.75">
      <c r="A6" s="576"/>
      <c r="B6" s="576"/>
      <c r="C6" s="576"/>
      <c r="D6" s="576"/>
      <c r="E6" s="576"/>
      <c r="F6" s="401"/>
      <c r="G6" s="463"/>
      <c r="H6" s="463"/>
      <c r="I6" s="463"/>
      <c r="J6" s="463"/>
      <c r="K6" s="463"/>
      <c r="M6" s="463"/>
      <c r="N6" s="463"/>
      <c r="O6" s="463"/>
      <c r="Q6" s="573"/>
      <c r="U6" s="573"/>
      <c r="W6" s="573" t="s">
        <v>459</v>
      </c>
      <c r="Y6" s="573" t="s">
        <v>459</v>
      </c>
      <c r="Z6" s="445"/>
    </row>
    <row r="7" spans="1:26" ht="15.75">
      <c r="A7" s="576" t="s">
        <v>33</v>
      </c>
      <c r="B7" s="576"/>
      <c r="C7" s="576"/>
      <c r="D7" s="576"/>
      <c r="E7" s="576" t="s">
        <v>34</v>
      </c>
      <c r="F7" s="576"/>
      <c r="G7" s="576" t="s">
        <v>25</v>
      </c>
      <c r="H7" s="576"/>
      <c r="I7" s="576" t="s">
        <v>25</v>
      </c>
      <c r="J7" s="576"/>
      <c r="K7" s="576" t="s">
        <v>25</v>
      </c>
      <c r="L7" s="573"/>
      <c r="M7" s="576" t="s">
        <v>25</v>
      </c>
      <c r="N7" s="576"/>
      <c r="O7" s="576" t="s">
        <v>25</v>
      </c>
      <c r="P7" s="573"/>
      <c r="Q7" s="819" t="s">
        <v>330</v>
      </c>
      <c r="R7" s="819"/>
      <c r="S7" s="819"/>
      <c r="T7" s="819"/>
      <c r="U7" s="819"/>
      <c r="V7" s="573"/>
      <c r="W7" s="285" t="s">
        <v>15</v>
      </c>
      <c r="X7" s="573"/>
      <c r="Y7" s="285" t="s">
        <v>15</v>
      </c>
      <c r="Z7" s="285"/>
    </row>
    <row r="8" spans="1:26" ht="15.75">
      <c r="A8" s="574" t="s">
        <v>35</v>
      </c>
      <c r="B8" s="576"/>
      <c r="C8" s="574" t="s">
        <v>178</v>
      </c>
      <c r="D8" s="576"/>
      <c r="E8" s="574" t="s">
        <v>36</v>
      </c>
      <c r="F8" s="401"/>
      <c r="G8" s="519">
        <v>2008</v>
      </c>
      <c r="H8" s="575"/>
      <c r="I8" s="519">
        <v>2009</v>
      </c>
      <c r="J8" s="575"/>
      <c r="K8" s="519">
        <v>2010</v>
      </c>
      <c r="L8" s="523"/>
      <c r="M8" s="519">
        <v>2011</v>
      </c>
      <c r="N8" s="524"/>
      <c r="O8" s="519">
        <v>2012</v>
      </c>
      <c r="P8" s="523"/>
      <c r="Q8" s="519">
        <v>2013</v>
      </c>
      <c r="R8" s="523"/>
      <c r="S8" s="519">
        <v>2014</v>
      </c>
      <c r="T8" s="523"/>
      <c r="U8" s="519">
        <v>2015</v>
      </c>
      <c r="V8" s="523"/>
      <c r="W8" s="522">
        <v>2008</v>
      </c>
      <c r="X8" s="523"/>
      <c r="Y8" s="522">
        <v>2009</v>
      </c>
      <c r="Z8" s="285"/>
    </row>
    <row r="9" spans="1:26">
      <c r="A9" s="463"/>
      <c r="B9" s="463"/>
      <c r="C9" s="463"/>
      <c r="D9" s="463"/>
      <c r="E9" s="463"/>
      <c r="F9" s="463"/>
      <c r="G9" s="463"/>
      <c r="H9" s="463"/>
      <c r="I9" s="463"/>
      <c r="J9" s="463"/>
      <c r="K9" s="463"/>
      <c r="M9" s="463"/>
      <c r="N9" s="463"/>
      <c r="O9" s="463"/>
      <c r="Z9" s="445"/>
    </row>
    <row r="10" spans="1:26" ht="15.75">
      <c r="A10" s="521">
        <v>1</v>
      </c>
      <c r="B10" s="463"/>
      <c r="C10" s="410" t="s">
        <v>210</v>
      </c>
      <c r="D10" s="463"/>
      <c r="E10" s="166"/>
      <c r="F10" s="411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  <c r="W10" s="411"/>
      <c r="X10" s="463"/>
      <c r="Y10" s="411"/>
      <c r="Z10" s="445"/>
    </row>
    <row r="11" spans="1:26">
      <c r="A11" s="521">
        <f t="shared" ref="A11:A18" si="0">A10+1</f>
        <v>2</v>
      </c>
      <c r="B11" s="463"/>
      <c r="C11" s="412" t="s">
        <v>218</v>
      </c>
      <c r="D11" s="463"/>
      <c r="E11" s="166" t="s">
        <v>561</v>
      </c>
      <c r="F11" s="411"/>
      <c r="G11" s="413">
        <f>S2.1!G70</f>
        <v>44824</v>
      </c>
      <c r="H11" s="413"/>
      <c r="I11" s="413">
        <f>S2.1!I70</f>
        <v>42724.938999999998</v>
      </c>
      <c r="J11" s="413"/>
      <c r="K11" s="413">
        <f>S2.1!K70</f>
        <v>44554.658000000003</v>
      </c>
      <c r="L11" s="413"/>
      <c r="M11" s="413">
        <f>S2.1!M70</f>
        <v>45883.552100000001</v>
      </c>
      <c r="N11" s="413"/>
      <c r="O11" s="413">
        <f>S2.1!O70</f>
        <v>49922.952310000001</v>
      </c>
      <c r="P11" s="413"/>
      <c r="Q11" s="413">
        <f>S2.1!R70</f>
        <v>53679</v>
      </c>
      <c r="R11" s="413"/>
      <c r="S11" s="413">
        <f>S2.1!U70</f>
        <v>57457.8</v>
      </c>
      <c r="T11" s="413"/>
      <c r="U11" s="413">
        <f>S2.1!X70</f>
        <v>59911.69999999999</v>
      </c>
      <c r="V11" s="413"/>
      <c r="W11" s="411">
        <f>S2.1!AA70</f>
        <v>44021.283350000303</v>
      </c>
      <c r="X11" s="413"/>
      <c r="Y11" s="413">
        <f>S2.1!AD70</f>
        <v>44436.788920269129</v>
      </c>
      <c r="Z11" s="374"/>
    </row>
    <row r="12" spans="1:26">
      <c r="A12" s="521">
        <f t="shared" si="0"/>
        <v>3</v>
      </c>
      <c r="B12" s="463"/>
      <c r="C12" s="412" t="s">
        <v>563</v>
      </c>
      <c r="D12" s="463"/>
      <c r="E12" s="166" t="s">
        <v>557</v>
      </c>
      <c r="F12" s="411"/>
      <c r="G12" s="414">
        <f>S2.2!G14</f>
        <v>902.0066599999999</v>
      </c>
      <c r="H12" s="413"/>
      <c r="I12" s="414">
        <f>S2.2!I14</f>
        <v>908.88315</v>
      </c>
      <c r="J12" s="413"/>
      <c r="K12" s="414">
        <f>S2.2!K14</f>
        <v>1010.47749</v>
      </c>
      <c r="L12" s="413"/>
      <c r="M12" s="414">
        <f>S2.2!M14</f>
        <v>1099.40569</v>
      </c>
      <c r="N12" s="424"/>
      <c r="O12" s="414">
        <f>S2.2!O14</f>
        <v>1252.4270000000001</v>
      </c>
      <c r="P12" s="413"/>
      <c r="Q12" s="414">
        <f>S2.2!Q14</f>
        <v>1277.4755400000001</v>
      </c>
      <c r="R12" s="413"/>
      <c r="S12" s="414">
        <f>S2.2!S14</f>
        <v>1249.6899852000001</v>
      </c>
      <c r="T12" s="413"/>
      <c r="U12" s="414">
        <f>S2.2!U14</f>
        <v>1275.1519848960002</v>
      </c>
      <c r="V12" s="413"/>
      <c r="W12" s="340">
        <f>S2.2!W14</f>
        <v>810</v>
      </c>
      <c r="X12" s="413"/>
      <c r="Y12" s="303">
        <f>S2.2!Y14</f>
        <v>827</v>
      </c>
      <c r="Z12" s="375"/>
    </row>
    <row r="13" spans="1:26" ht="15.75">
      <c r="A13" s="521">
        <f t="shared" si="0"/>
        <v>4</v>
      </c>
      <c r="B13" s="463"/>
      <c r="C13" s="410" t="s">
        <v>215</v>
      </c>
      <c r="D13" s="463"/>
      <c r="E13" s="166"/>
      <c r="F13" s="339"/>
      <c r="G13" s="196">
        <f>SUM(G11:G12)</f>
        <v>45726.006659999999</v>
      </c>
      <c r="H13" s="413"/>
      <c r="I13" s="196">
        <f>SUM(I11:I12)</f>
        <v>43633.82215</v>
      </c>
      <c r="J13" s="413"/>
      <c r="K13" s="196">
        <f>SUM(K11:K12)</f>
        <v>45565.135490000001</v>
      </c>
      <c r="L13" s="413"/>
      <c r="M13" s="196">
        <f>SUM(M11:M12)</f>
        <v>46982.95779</v>
      </c>
      <c r="N13" s="196"/>
      <c r="O13" s="196">
        <f>SUM(O11:O12)</f>
        <v>51175.379310000004</v>
      </c>
      <c r="P13" s="413"/>
      <c r="Q13" s="196">
        <f>SUM(Q11:Q12)</f>
        <v>54956.475539999999</v>
      </c>
      <c r="R13" s="413"/>
      <c r="S13" s="196">
        <f>SUM(S11:S12)</f>
        <v>58707.489985200002</v>
      </c>
      <c r="T13" s="413"/>
      <c r="U13" s="196">
        <f>SUM(U11:U12)</f>
        <v>61186.851984895991</v>
      </c>
      <c r="V13" s="413"/>
      <c r="W13" s="341">
        <f>SUM(W11:W12)</f>
        <v>44831.283350000303</v>
      </c>
      <c r="X13" s="413"/>
      <c r="Y13" s="196">
        <f>SUM(Y11:Y12)</f>
        <v>45263.788920269129</v>
      </c>
      <c r="Z13" s="374"/>
    </row>
    <row r="14" spans="1:26">
      <c r="A14" s="521">
        <f t="shared" si="0"/>
        <v>5</v>
      </c>
      <c r="B14" s="463"/>
      <c r="C14" s="463"/>
      <c r="D14" s="463"/>
      <c r="E14" s="427"/>
      <c r="F14" s="428"/>
      <c r="G14" s="413"/>
      <c r="H14" s="429"/>
      <c r="I14" s="429"/>
      <c r="J14" s="429"/>
      <c r="K14" s="429"/>
      <c r="L14" s="429"/>
      <c r="M14" s="429"/>
      <c r="N14" s="413"/>
      <c r="O14" s="413"/>
      <c r="P14" s="413"/>
      <c r="Q14" s="413"/>
      <c r="R14" s="413"/>
      <c r="S14" s="413"/>
      <c r="T14" s="413"/>
      <c r="U14" s="413"/>
      <c r="V14" s="413"/>
      <c r="W14" s="411"/>
      <c r="X14" s="413"/>
      <c r="Y14" s="413"/>
      <c r="Z14" s="374"/>
    </row>
    <row r="15" spans="1:26" ht="15.75">
      <c r="A15" s="521">
        <f t="shared" si="0"/>
        <v>6</v>
      </c>
      <c r="B15" s="463"/>
      <c r="C15" s="410" t="s">
        <v>216</v>
      </c>
      <c r="D15" s="463"/>
      <c r="E15" s="166"/>
      <c r="F15" s="411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1"/>
      <c r="X15" s="413"/>
      <c r="Y15" s="413"/>
      <c r="Z15" s="374"/>
    </row>
    <row r="16" spans="1:26">
      <c r="A16" s="521">
        <f t="shared" si="0"/>
        <v>7</v>
      </c>
      <c r="B16" s="463"/>
      <c r="C16" s="412" t="s">
        <v>564</v>
      </c>
      <c r="D16" s="463"/>
      <c r="E16" s="166" t="s">
        <v>562</v>
      </c>
      <c r="F16" s="411"/>
      <c r="G16" s="196">
        <f>S3.1!G27</f>
        <v>24157</v>
      </c>
      <c r="H16" s="196"/>
      <c r="I16" s="196">
        <f>S3.1!I27</f>
        <v>23211</v>
      </c>
      <c r="J16" s="196"/>
      <c r="K16" s="196">
        <f>S3.1!K27</f>
        <v>23462</v>
      </c>
      <c r="L16" s="196"/>
      <c r="M16" s="196">
        <f>S3.1!M27</f>
        <v>24093</v>
      </c>
      <c r="N16" s="196"/>
      <c r="O16" s="196">
        <f>S3.1!O27</f>
        <v>26923.076719999997</v>
      </c>
      <c r="P16" s="196"/>
      <c r="Q16" s="196">
        <f>S3.1!Q27</f>
        <v>25630.442949550608</v>
      </c>
      <c r="R16" s="196"/>
      <c r="S16" s="196">
        <f>S3.1!S27</f>
        <v>26471.969639509352</v>
      </c>
      <c r="T16" s="196"/>
      <c r="U16" s="196">
        <f>S3.1!U27</f>
        <v>27013.042575394182</v>
      </c>
      <c r="V16" s="196"/>
      <c r="W16" s="341">
        <f>S3.1!W27</f>
        <v>24121.34669996368</v>
      </c>
      <c r="X16" s="196"/>
      <c r="Y16" s="196">
        <f>S3.1!Y27</f>
        <v>23840.825063281893</v>
      </c>
      <c r="Z16" s="374"/>
    </row>
    <row r="17" spans="1:26">
      <c r="A17" s="521">
        <f t="shared" si="0"/>
        <v>8</v>
      </c>
      <c r="B17" s="463"/>
      <c r="C17" s="412" t="s">
        <v>728</v>
      </c>
      <c r="D17" s="463"/>
      <c r="E17" s="166" t="s">
        <v>454</v>
      </c>
      <c r="F17" s="411"/>
      <c r="G17" s="196">
        <f>S4.1!G19</f>
        <v>6603.13</v>
      </c>
      <c r="H17" s="196"/>
      <c r="I17" s="196">
        <f>S4.1!I19</f>
        <v>3757.9479999999999</v>
      </c>
      <c r="J17" s="196"/>
      <c r="K17" s="196">
        <f>S4.1!K19</f>
        <v>5146.3510000000006</v>
      </c>
      <c r="L17" s="196"/>
      <c r="M17" s="196">
        <f>S4.1!M19</f>
        <v>5539</v>
      </c>
      <c r="N17" s="196"/>
      <c r="O17" s="196">
        <f>S4.1!O19</f>
        <v>5637</v>
      </c>
      <c r="P17" s="463"/>
      <c r="Q17" s="196">
        <f>S4.1!Q19</f>
        <v>6611</v>
      </c>
      <c r="R17" s="463"/>
      <c r="S17" s="196">
        <f>S4.1!S19</f>
        <v>6700.6</v>
      </c>
      <c r="T17" s="463"/>
      <c r="U17" s="196">
        <f>S4.1!U19</f>
        <v>6703.7</v>
      </c>
      <c r="V17" s="196"/>
      <c r="W17" s="341">
        <f>S4.1!W19</f>
        <v>5828.7308712466902</v>
      </c>
      <c r="X17" s="196"/>
      <c r="Y17" s="196">
        <f>S4.1!Y19</f>
        <v>5396.8141513462342</v>
      </c>
      <c r="Z17" s="376"/>
    </row>
    <row r="18" spans="1:26">
      <c r="A18" s="521">
        <f t="shared" si="0"/>
        <v>9</v>
      </c>
      <c r="B18" s="463"/>
      <c r="C18" s="412" t="s">
        <v>565</v>
      </c>
      <c r="D18" s="463"/>
      <c r="E18" s="166" t="s">
        <v>415</v>
      </c>
      <c r="F18" s="411"/>
      <c r="G18" s="196">
        <v>8593.406930000001</v>
      </c>
      <c r="H18" s="196"/>
      <c r="I18" s="196">
        <v>9474</v>
      </c>
      <c r="J18" s="196"/>
      <c r="K18" s="196">
        <f>'S5.1 '!G57</f>
        <v>9624.8402999999998</v>
      </c>
      <c r="L18" s="196"/>
      <c r="M18" s="196">
        <f>'S5.1 '!I57</f>
        <v>9798.9852110000011</v>
      </c>
      <c r="N18" s="196"/>
      <c r="O18" s="196">
        <f>'S5.1 '!K57</f>
        <v>11058.881460000001</v>
      </c>
      <c r="P18" s="196"/>
      <c r="Q18" s="196">
        <f>'S5.1 '!M57</f>
        <v>11735.420052087527</v>
      </c>
      <c r="R18" s="196"/>
      <c r="S18" s="196">
        <f>'S5.1 '!O57</f>
        <v>12319.3831526922</v>
      </c>
      <c r="T18" s="196"/>
      <c r="U18" s="196">
        <f>'S5.1 '!Q57</f>
        <v>12506.963537894997</v>
      </c>
      <c r="V18" s="196"/>
      <c r="W18" s="341">
        <v>8643.7362243139341</v>
      </c>
      <c r="X18" s="196"/>
      <c r="Y18" s="196">
        <v>8826</v>
      </c>
      <c r="Z18" s="374"/>
    </row>
    <row r="19" spans="1:26">
      <c r="A19" s="521">
        <v>11</v>
      </c>
      <c r="B19" s="463"/>
      <c r="C19" s="412" t="s">
        <v>270</v>
      </c>
      <c r="D19" s="463"/>
      <c r="E19" s="415" t="s">
        <v>569</v>
      </c>
      <c r="F19" s="411"/>
      <c r="G19" s="196">
        <v>231</v>
      </c>
      <c r="H19" s="196"/>
      <c r="I19" s="196">
        <v>239</v>
      </c>
      <c r="J19" s="196"/>
      <c r="K19" s="196">
        <v>230</v>
      </c>
      <c r="L19" s="196"/>
      <c r="M19" s="196">
        <v>235</v>
      </c>
      <c r="N19" s="196"/>
      <c r="O19" s="196">
        <v>249.7</v>
      </c>
      <c r="P19" s="196"/>
      <c r="Q19" s="196">
        <v>257</v>
      </c>
      <c r="R19" s="196"/>
      <c r="S19" s="196">
        <v>264.5</v>
      </c>
      <c r="T19" s="196"/>
      <c r="U19" s="196">
        <v>273</v>
      </c>
      <c r="V19" s="196"/>
      <c r="W19" s="341">
        <v>244.45627912500004</v>
      </c>
      <c r="X19" s="196"/>
      <c r="Y19" s="196">
        <v>254.23453029000007</v>
      </c>
      <c r="Z19" s="376"/>
    </row>
    <row r="20" spans="1:26">
      <c r="A20" s="521">
        <v>12</v>
      </c>
      <c r="B20" s="463"/>
      <c r="C20" s="412" t="s">
        <v>29</v>
      </c>
      <c r="D20" s="463"/>
      <c r="E20" s="166" t="s">
        <v>337</v>
      </c>
      <c r="F20" s="411"/>
      <c r="G20" s="196">
        <f>S7.1!G13</f>
        <v>3181</v>
      </c>
      <c r="H20" s="196"/>
      <c r="I20" s="196">
        <f>S7.1!I13</f>
        <v>3446</v>
      </c>
      <c r="J20" s="196"/>
      <c r="K20" s="196">
        <f>S7.1!K13</f>
        <v>3683</v>
      </c>
      <c r="L20" s="196"/>
      <c r="M20" s="196">
        <f>S7.1!M13</f>
        <v>4129</v>
      </c>
      <c r="N20" s="196"/>
      <c r="O20" s="196">
        <f>S7.1!O13</f>
        <v>4192</v>
      </c>
      <c r="P20" s="196"/>
      <c r="Q20" s="196">
        <f>S7.1!Q13</f>
        <v>6569.9487999999992</v>
      </c>
      <c r="R20" s="196"/>
      <c r="S20" s="196">
        <f>S7.1!S13</f>
        <v>7508.8059999999996</v>
      </c>
      <c r="T20" s="196"/>
      <c r="U20" s="196">
        <f>S7.1!U13</f>
        <v>8568.8060000000005</v>
      </c>
      <c r="V20" s="196"/>
      <c r="W20" s="341">
        <f>S7.1!W13</f>
        <v>3354</v>
      </c>
      <c r="X20" s="196"/>
      <c r="Y20" s="196">
        <f>S7.1!Y13</f>
        <v>3661</v>
      </c>
      <c r="Z20" s="376"/>
    </row>
    <row r="21" spans="1:26">
      <c r="A21" s="521">
        <v>13</v>
      </c>
      <c r="B21" s="463"/>
      <c r="C21" s="412" t="s">
        <v>566</v>
      </c>
      <c r="D21" s="463"/>
      <c r="E21" s="166" t="s">
        <v>570</v>
      </c>
      <c r="F21" s="411"/>
      <c r="G21" s="125">
        <f>-S8.12!F23</f>
        <v>-980</v>
      </c>
      <c r="H21" s="125"/>
      <c r="I21" s="125">
        <f>-S8.12!H23</f>
        <v>-1133</v>
      </c>
      <c r="J21" s="125"/>
      <c r="K21" s="125">
        <f>-S8.12!J23</f>
        <v>-1221</v>
      </c>
      <c r="L21" s="125"/>
      <c r="M21" s="125">
        <f>-S8.12!L23</f>
        <v>-1289</v>
      </c>
      <c r="N21" s="125"/>
      <c r="O21" s="125">
        <f>-S8.12!N23</f>
        <v>-1371</v>
      </c>
      <c r="P21" s="125"/>
      <c r="Q21" s="125">
        <f>-S8.12!P23</f>
        <v>-1444</v>
      </c>
      <c r="R21" s="125"/>
      <c r="S21" s="125">
        <f>-S8.12!R23</f>
        <v>-1557</v>
      </c>
      <c r="T21" s="125"/>
      <c r="U21" s="125">
        <f>-S8.12!T23</f>
        <v>-1749</v>
      </c>
      <c r="V21" s="125"/>
      <c r="W21" s="341">
        <f>-S8.12!V23</f>
        <v>-962.98672464899994</v>
      </c>
      <c r="X21" s="125"/>
      <c r="Y21" s="125">
        <f>-S8.12!X23</f>
        <v>-1028.0848246490009</v>
      </c>
      <c r="Z21" s="376"/>
    </row>
    <row r="22" spans="1:26">
      <c r="A22" s="521">
        <v>14</v>
      </c>
      <c r="B22" s="463"/>
      <c r="C22" s="412" t="s">
        <v>567</v>
      </c>
      <c r="D22" s="463"/>
      <c r="E22" s="166" t="s">
        <v>725</v>
      </c>
      <c r="F22" s="411"/>
      <c r="G22" s="125">
        <f>-'S8.8 '!G18</f>
        <v>871</v>
      </c>
      <c r="H22" s="196"/>
      <c r="I22" s="196">
        <f>-'S8.8 '!I18</f>
        <v>438</v>
      </c>
      <c r="J22" s="196"/>
      <c r="K22" s="196">
        <f>-'S8.8 '!K18</f>
        <v>291</v>
      </c>
      <c r="L22" s="196"/>
      <c r="M22" s="196">
        <f>-'S8.8 '!M18</f>
        <v>150</v>
      </c>
      <c r="N22" s="196"/>
      <c r="O22" s="125">
        <f>-'S8.8 '!O18</f>
        <v>150</v>
      </c>
      <c r="P22" s="196"/>
      <c r="Q22" s="125">
        <f>-'S8.8 '!Q18</f>
        <v>40.200000000000003</v>
      </c>
      <c r="R22" s="196"/>
      <c r="S22" s="125">
        <f>-'S8.8 '!S18</f>
        <v>40.200000000000003</v>
      </c>
      <c r="T22" s="125"/>
      <c r="U22" s="125">
        <f>-'S8.8 '!U18</f>
        <v>39.200000000000003</v>
      </c>
      <c r="V22" s="196"/>
      <c r="W22" s="341">
        <f>-'S8.8 '!W18</f>
        <v>427</v>
      </c>
      <c r="X22" s="196"/>
      <c r="Y22" s="196">
        <f>-'S8.8 '!Y18</f>
        <v>427</v>
      </c>
      <c r="Z22" s="376"/>
    </row>
    <row r="23" spans="1:26" ht="30">
      <c r="A23" s="521">
        <v>15</v>
      </c>
      <c r="B23" s="463"/>
      <c r="C23" s="412" t="s">
        <v>100</v>
      </c>
      <c r="D23" s="463"/>
      <c r="E23" s="578" t="s">
        <v>571</v>
      </c>
      <c r="F23" s="411"/>
      <c r="G23" s="196">
        <f>S8.1!O38</f>
        <v>3163</v>
      </c>
      <c r="H23" s="196"/>
      <c r="I23" s="196">
        <f>+S8.1!O48</f>
        <v>4191</v>
      </c>
      <c r="J23" s="196"/>
      <c r="K23" s="196">
        <f>+S8.1!O58</f>
        <v>4071</v>
      </c>
      <c r="L23" s="196"/>
      <c r="M23" s="196">
        <f>+S8.1!O68</f>
        <v>4266</v>
      </c>
      <c r="N23" s="196"/>
      <c r="O23" s="196">
        <f>+S8.1!O78</f>
        <v>4642</v>
      </c>
      <c r="P23" s="196"/>
      <c r="Q23" s="196">
        <f>+S8.1!O88</f>
        <v>5308</v>
      </c>
      <c r="R23" s="196"/>
      <c r="S23" s="196">
        <f>+S8.1!O98</f>
        <v>6255</v>
      </c>
      <c r="T23" s="196"/>
      <c r="U23" s="196">
        <f>+S8.1!O108</f>
        <v>7003</v>
      </c>
      <c r="V23" s="196"/>
      <c r="W23" s="341">
        <f>S8.1!$O$120</f>
        <v>3519</v>
      </c>
      <c r="X23" s="196"/>
      <c r="Y23" s="196">
        <f>S8.1!$O$130</f>
        <v>3675</v>
      </c>
      <c r="Z23" s="374"/>
    </row>
    <row r="24" spans="1:26">
      <c r="A24" s="521">
        <v>16</v>
      </c>
      <c r="B24" s="463"/>
      <c r="C24" s="412" t="s">
        <v>568</v>
      </c>
      <c r="D24" s="463"/>
      <c r="E24" s="166" t="s">
        <v>836</v>
      </c>
      <c r="F24" s="411"/>
      <c r="G24" s="125">
        <f>S10.1!G39</f>
        <v>-94</v>
      </c>
      <c r="H24" s="196"/>
      <c r="I24" s="125">
        <f>S10.1!I39</f>
        <v>10</v>
      </c>
      <c r="J24" s="196"/>
      <c r="K24" s="125">
        <f>S10.1!K39</f>
        <v>278</v>
      </c>
      <c r="L24" s="196"/>
      <c r="M24" s="125">
        <f>S10.1!M39</f>
        <v>61</v>
      </c>
      <c r="N24" s="125"/>
      <c r="O24" s="341">
        <f>S10.1!O39</f>
        <v>-307</v>
      </c>
      <c r="P24" s="196"/>
      <c r="Q24" s="196">
        <f>S10.1!Q39</f>
        <v>248</v>
      </c>
      <c r="R24" s="196"/>
      <c r="S24" s="196">
        <f>S10.1!S39</f>
        <v>704</v>
      </c>
      <c r="T24" s="196"/>
      <c r="U24" s="196">
        <f>S10.1!U39</f>
        <v>828</v>
      </c>
      <c r="V24" s="196"/>
      <c r="W24" s="341">
        <f>S10.1!W39</f>
        <v>-344</v>
      </c>
      <c r="X24" s="196"/>
      <c r="Y24" s="196">
        <f>S10.1!Y39</f>
        <v>211</v>
      </c>
      <c r="Z24" s="376"/>
    </row>
    <row r="25" spans="1:26" ht="16.5" thickBot="1">
      <c r="A25" s="521">
        <v>17</v>
      </c>
      <c r="B25" s="463"/>
      <c r="C25" s="410" t="s">
        <v>217</v>
      </c>
      <c r="D25" s="463"/>
      <c r="E25" s="166"/>
      <c r="F25" s="416"/>
      <c r="G25" s="597">
        <f>SUM(G16:G24)</f>
        <v>45725.536930000002</v>
      </c>
      <c r="H25" s="413"/>
      <c r="I25" s="597">
        <f>SUM(I16:I24)</f>
        <v>43633.948000000004</v>
      </c>
      <c r="J25" s="413"/>
      <c r="K25" s="597">
        <f>SUM(K16:K24)</f>
        <v>45565.191300000006</v>
      </c>
      <c r="L25" s="413"/>
      <c r="M25" s="597">
        <f>SUM(M16:M24)</f>
        <v>46982.985210999999</v>
      </c>
      <c r="N25" s="424"/>
      <c r="O25" s="597">
        <f>SUM(O16:O24)</f>
        <v>51174.658179999999</v>
      </c>
      <c r="P25" s="413"/>
      <c r="Q25" s="597">
        <f>SUM(Q16:Q24)</f>
        <v>54956.011801638131</v>
      </c>
      <c r="R25" s="413"/>
      <c r="S25" s="597">
        <f>SUM(S16:S24)</f>
        <v>58707.458792201549</v>
      </c>
      <c r="T25" s="413"/>
      <c r="U25" s="597">
        <f>SUM(U16:U24)</f>
        <v>61186.712113289177</v>
      </c>
      <c r="V25" s="413"/>
      <c r="W25" s="814">
        <f>SUM(W16:W24)</f>
        <v>44831.283350000303</v>
      </c>
      <c r="X25" s="413"/>
      <c r="Y25" s="597">
        <f>SUM(Y16:Y24)</f>
        <v>45263.788920269129</v>
      </c>
      <c r="Z25" s="374"/>
    </row>
    <row r="26" spans="1:26" ht="15.75" thickTop="1">
      <c r="K26" s="463"/>
      <c r="M26" s="463"/>
      <c r="N26" s="463"/>
      <c r="O26" s="463"/>
    </row>
    <row r="30" spans="1:26">
      <c r="O30" s="813"/>
    </row>
  </sheetData>
  <customSheetViews>
    <customSheetView guid="{275E5119-9E8C-43ED-ACD2-DF40CF10B219}" scale="85" fitToPage="1" topLeftCell="B1">
      <pane xSplit="3" ySplit="8" topLeftCell="F9" activePane="bottomRight" state="frozen"/>
      <selection pane="bottomRight" activeCell="M28" sqref="M28"/>
      <pageMargins left="0.54" right="0.47" top="0.38" bottom="0.56999999999999995" header="0.25" footer="0.5"/>
      <pageSetup scale="54" orientation="landscape" horizontalDpi="4294967292" verticalDpi="4294967292" r:id="rId1"/>
      <headerFooter alignWithMargins="0"/>
    </customSheetView>
    <customSheetView guid="{D346ECD1-ED60-4F74-8B02-572F89E41ACB}" scale="85" showPageBreaks="1" fitToPage="1" showRuler="0" topLeftCell="B1">
      <pane xSplit="3" ySplit="8" topLeftCell="F9" activePane="bottomRight" state="frozen"/>
      <selection pane="bottomRight" activeCell="M23" sqref="M23"/>
      <pageMargins left="0.54" right="0.47" top="0.38" bottom="0.56999999999999995" header="0.25" footer="0.5"/>
      <pageSetup scale="52" orientation="landscape" horizontalDpi="4294967292" verticalDpi="4294967292" r:id="rId2"/>
      <headerFooter alignWithMargins="0"/>
    </customSheetView>
  </customSheetViews>
  <mergeCells count="1">
    <mergeCell ref="Q7:U7"/>
  </mergeCells>
  <phoneticPr fontId="8" type="noConversion"/>
  <pageMargins left="0.54" right="0.47" top="0.38" bottom="0.56999999999999995" header="0.25" footer="0.5"/>
  <pageSetup scale="50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T29"/>
  <sheetViews>
    <sheetView view="pageBreakPreview" zoomScale="70" zoomScaleNormal="70" zoomScaleSheetLayoutView="70" workbookViewId="0">
      <pane xSplit="6" ySplit="7" topLeftCell="G8" activePane="bottomRight" state="frozen"/>
      <selection activeCell="V236" sqref="V236"/>
      <selection pane="topRight" activeCell="V236" sqref="V236"/>
      <selection pane="bottomLeft" activeCell="V236" sqref="V236"/>
      <selection pane="bottomRight" activeCell="V236" sqref="V236"/>
    </sheetView>
  </sheetViews>
  <sheetFormatPr defaultColWidth="7.5703125" defaultRowHeight="12.75"/>
  <cols>
    <col min="1" max="1" width="8.5703125" style="20" customWidth="1"/>
    <col min="2" max="2" width="2.7109375" style="20" customWidth="1"/>
    <col min="3" max="3" width="49.140625" style="20" customWidth="1"/>
    <col min="4" max="4" width="22.140625" style="20" customWidth="1"/>
    <col min="5" max="5" width="33.7109375" style="20" customWidth="1"/>
    <col min="6" max="6" width="2" style="20" customWidth="1"/>
    <col min="7" max="7" width="12.28515625" style="112" customWidth="1"/>
    <col min="8" max="15" width="10.7109375" style="127" customWidth="1"/>
    <col min="16" max="16" width="2.85546875" style="127" customWidth="1"/>
    <col min="17" max="17" width="12.7109375" style="20" bestFit="1" customWidth="1"/>
    <col min="18" max="18" width="2.5703125" style="127" customWidth="1"/>
    <col min="19" max="19" width="12.42578125" style="20" bestFit="1" customWidth="1"/>
    <col min="20" max="20" width="1.85546875" style="20" customWidth="1"/>
    <col min="21" max="16384" width="7.5703125" style="20"/>
  </cols>
  <sheetData>
    <row r="1" spans="1:20" ht="15.75">
      <c r="A1" s="61" t="s">
        <v>540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442" t="s">
        <v>505</v>
      </c>
    </row>
    <row r="2" spans="1:20" ht="15.75">
      <c r="A2" s="61" t="s">
        <v>463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/>
    </row>
    <row r="3" spans="1:20" ht="15.75">
      <c r="A3" s="61" t="s">
        <v>848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0" s="15" customFormat="1" ht="15.75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20" s="15" customFormat="1" ht="15.75">
      <c r="A5" s="50"/>
      <c r="B5" s="13"/>
      <c r="C5" s="13"/>
      <c r="D5" s="13"/>
      <c r="E5" s="13"/>
      <c r="F5" s="13"/>
      <c r="G5" s="13"/>
      <c r="H5" s="101"/>
      <c r="I5" s="101"/>
      <c r="J5" s="101"/>
      <c r="K5" s="101"/>
      <c r="L5" s="101"/>
      <c r="M5" s="101"/>
      <c r="N5" s="101"/>
      <c r="O5" s="101"/>
      <c r="P5" s="101"/>
      <c r="Q5" s="10" t="s">
        <v>459</v>
      </c>
      <c r="R5" s="101"/>
      <c r="S5" s="10" t="s">
        <v>459</v>
      </c>
    </row>
    <row r="6" spans="1:20" s="15" customFormat="1" ht="15.75">
      <c r="A6" s="431" t="s">
        <v>33</v>
      </c>
      <c r="B6" s="431"/>
      <c r="C6" s="431"/>
      <c r="D6" s="431"/>
      <c r="E6" s="431"/>
      <c r="F6" s="431"/>
      <c r="G6" s="432" t="s">
        <v>34</v>
      </c>
      <c r="H6" s="431" t="s">
        <v>25</v>
      </c>
      <c r="I6" s="431" t="s">
        <v>25</v>
      </c>
      <c r="J6" s="431" t="s">
        <v>25</v>
      </c>
      <c r="K6" s="431" t="s">
        <v>25</v>
      </c>
      <c r="L6" s="484" t="s">
        <v>25</v>
      </c>
      <c r="M6" s="819" t="s">
        <v>330</v>
      </c>
      <c r="N6" s="819"/>
      <c r="O6" s="819"/>
      <c r="P6" s="431"/>
      <c r="Q6" s="10" t="s">
        <v>15</v>
      </c>
      <c r="R6" s="10"/>
      <c r="S6" s="10" t="s">
        <v>15</v>
      </c>
    </row>
    <row r="7" spans="1:20" s="15" customFormat="1" ht="15.75">
      <c r="A7" s="17" t="s">
        <v>35</v>
      </c>
      <c r="B7" s="431"/>
      <c r="C7" s="17" t="s">
        <v>228</v>
      </c>
      <c r="D7" s="599" t="s">
        <v>219</v>
      </c>
      <c r="E7" s="599" t="s">
        <v>220</v>
      </c>
      <c r="F7" s="119"/>
      <c r="G7" s="54" t="s">
        <v>36</v>
      </c>
      <c r="H7" s="511">
        <v>2008</v>
      </c>
      <c r="I7" s="511">
        <v>2009</v>
      </c>
      <c r="J7" s="511">
        <v>2010</v>
      </c>
      <c r="K7" s="511">
        <v>2011</v>
      </c>
      <c r="L7" s="511">
        <v>2012</v>
      </c>
      <c r="M7" s="511">
        <v>2013</v>
      </c>
      <c r="N7" s="511">
        <v>2014</v>
      </c>
      <c r="O7" s="511">
        <v>2015</v>
      </c>
      <c r="P7" s="512"/>
      <c r="Q7" s="511">
        <v>2008</v>
      </c>
      <c r="R7" s="505"/>
      <c r="S7" s="502">
        <v>2009</v>
      </c>
      <c r="T7" s="505"/>
    </row>
    <row r="8" spans="1:20" s="15" customFormat="1" ht="15">
      <c r="A8" s="14"/>
      <c r="B8" s="14"/>
      <c r="C8" s="14"/>
      <c r="D8" s="531"/>
      <c r="E8" s="14"/>
      <c r="F8" s="14"/>
      <c r="G8" s="18"/>
      <c r="H8" s="101"/>
      <c r="I8" s="101"/>
      <c r="J8" s="101"/>
      <c r="K8" s="101"/>
      <c r="L8" s="101"/>
      <c r="M8" s="101"/>
      <c r="N8" s="101"/>
      <c r="O8" s="101"/>
      <c r="P8" s="101"/>
      <c r="R8" s="101"/>
    </row>
    <row r="9" spans="1:20" s="15" customFormat="1" ht="15">
      <c r="A9" s="531">
        <v>1</v>
      </c>
      <c r="B9" s="14"/>
      <c r="C9" s="150" t="s">
        <v>230</v>
      </c>
      <c r="D9" s="149"/>
      <c r="E9" s="14"/>
      <c r="F9" s="14"/>
      <c r="G9" s="18"/>
      <c r="H9" s="210"/>
      <c r="I9" s="210"/>
      <c r="J9" s="210"/>
      <c r="K9" s="210"/>
      <c r="L9" s="210"/>
      <c r="M9" s="210"/>
      <c r="N9" s="210"/>
      <c r="O9" s="210"/>
      <c r="P9" s="210"/>
      <c r="Q9" s="209"/>
      <c r="R9" s="210"/>
      <c r="S9" s="209"/>
    </row>
    <row r="10" spans="1:20" s="15" customFormat="1" ht="15">
      <c r="A10" s="531">
        <f t="shared" ref="A10:A20" si="0">A9+1</f>
        <v>2</v>
      </c>
      <c r="B10" s="14"/>
      <c r="C10" s="288" t="s">
        <v>431</v>
      </c>
      <c r="D10" s="419" t="s">
        <v>221</v>
      </c>
      <c r="E10" s="123" t="s">
        <v>224</v>
      </c>
      <c r="F10" s="123"/>
      <c r="G10" s="124"/>
      <c r="H10" s="206">
        <v>31.10791</v>
      </c>
      <c r="I10" s="206">
        <v>30.58239</v>
      </c>
      <c r="J10" s="206">
        <v>38.905759999999994</v>
      </c>
      <c r="K10" s="206">
        <v>45.766589999999994</v>
      </c>
      <c r="L10" s="206">
        <v>47.572800000000001</v>
      </c>
      <c r="M10" s="206">
        <v>48.689629199999999</v>
      </c>
      <c r="N10" s="206">
        <v>50.393766221999989</v>
      </c>
      <c r="O10" s="206">
        <v>52.157548039769985</v>
      </c>
      <c r="P10" s="206"/>
      <c r="Q10" s="206">
        <v>33</v>
      </c>
      <c r="S10" s="206">
        <v>34</v>
      </c>
    </row>
    <row r="11" spans="1:20" s="15" customFormat="1" ht="15">
      <c r="A11" s="531">
        <f t="shared" si="0"/>
        <v>3</v>
      </c>
      <c r="B11" s="14"/>
      <c r="C11" s="288" t="s">
        <v>88</v>
      </c>
      <c r="D11" s="419" t="s">
        <v>221</v>
      </c>
      <c r="E11" s="152" t="s">
        <v>514</v>
      </c>
      <c r="F11" s="123"/>
      <c r="G11" s="124"/>
      <c r="H11" s="206">
        <v>26.523100000000003</v>
      </c>
      <c r="I11" s="206">
        <v>26.522400000000001</v>
      </c>
      <c r="J11" s="206">
        <v>30.651</v>
      </c>
      <c r="K11" s="206">
        <v>29.31</v>
      </c>
      <c r="L11" s="206">
        <v>34.248930000000001</v>
      </c>
      <c r="M11" s="206">
        <v>61.726777799999994</v>
      </c>
      <c r="N11" s="206">
        <v>63.887215022999989</v>
      </c>
      <c r="O11" s="206">
        <v>66.123267548804989</v>
      </c>
      <c r="P11" s="206"/>
      <c r="Q11" s="206">
        <v>26</v>
      </c>
      <c r="S11" s="206">
        <v>26</v>
      </c>
    </row>
    <row r="12" spans="1:20" s="15" customFormat="1" ht="15">
      <c r="A12" s="531">
        <f t="shared" si="0"/>
        <v>4</v>
      </c>
      <c r="B12" s="123"/>
      <c r="C12" s="288" t="s">
        <v>94</v>
      </c>
      <c r="D12" s="419" t="s">
        <v>222</v>
      </c>
      <c r="E12" s="123" t="s">
        <v>23</v>
      </c>
      <c r="F12" s="123"/>
      <c r="G12" s="124"/>
      <c r="H12" s="211">
        <v>46.33372</v>
      </c>
      <c r="I12" s="211">
        <v>36.089260000000003</v>
      </c>
      <c r="J12" s="211">
        <v>10.45224</v>
      </c>
      <c r="K12" s="211">
        <v>12.946380000000001</v>
      </c>
      <c r="L12" s="211">
        <v>32.679250000000003</v>
      </c>
      <c r="M12" s="211">
        <v>25.493106067536615</v>
      </c>
      <c r="N12" s="211">
        <v>26.002968188887348</v>
      </c>
      <c r="O12" s="211">
        <v>26.523027552665098</v>
      </c>
      <c r="P12" s="211"/>
      <c r="Q12" s="211">
        <v>38</v>
      </c>
      <c r="R12" s="101"/>
      <c r="S12" s="211">
        <v>39</v>
      </c>
      <c r="T12" s="101"/>
    </row>
    <row r="13" spans="1:20" s="101" customFormat="1" ht="15">
      <c r="A13" s="531">
        <f t="shared" si="0"/>
        <v>5</v>
      </c>
      <c r="B13" s="123"/>
      <c r="C13" s="288" t="s">
        <v>97</v>
      </c>
      <c r="D13" s="419" t="s">
        <v>222</v>
      </c>
      <c r="E13" s="123" t="s">
        <v>223</v>
      </c>
      <c r="F13" s="123"/>
      <c r="G13" s="124"/>
      <c r="H13" s="211">
        <v>11.93248</v>
      </c>
      <c r="I13" s="211">
        <v>8.9421599999999994</v>
      </c>
      <c r="J13" s="211">
        <v>9.1150200000000012</v>
      </c>
      <c r="K13" s="211">
        <v>6.7343399999999995</v>
      </c>
      <c r="L13" s="211">
        <v>5.7969300000000006</v>
      </c>
      <c r="M13" s="211">
        <v>7.5307360267200014</v>
      </c>
      <c r="N13" s="211">
        <v>7.6813507472544016</v>
      </c>
      <c r="O13" s="211">
        <v>7.8349777621994896</v>
      </c>
      <c r="P13" s="211"/>
      <c r="Q13" s="211">
        <v>15</v>
      </c>
      <c r="S13" s="211">
        <v>16</v>
      </c>
    </row>
    <row r="14" spans="1:20" s="101" customFormat="1" ht="15">
      <c r="A14" s="531">
        <f t="shared" si="0"/>
        <v>6</v>
      </c>
      <c r="B14" s="123"/>
      <c r="C14" s="288" t="s">
        <v>631</v>
      </c>
      <c r="D14" s="419" t="s">
        <v>222</v>
      </c>
      <c r="E14" s="123" t="s">
        <v>632</v>
      </c>
      <c r="F14" s="123"/>
      <c r="G14" s="124"/>
      <c r="H14" s="211">
        <v>0</v>
      </c>
      <c r="I14" s="211">
        <v>0</v>
      </c>
      <c r="J14" s="211">
        <v>0</v>
      </c>
      <c r="K14" s="211">
        <v>0</v>
      </c>
      <c r="L14" s="211">
        <v>0</v>
      </c>
      <c r="M14" s="211">
        <v>88</v>
      </c>
      <c r="N14" s="211">
        <v>264</v>
      </c>
      <c r="O14" s="211">
        <v>264</v>
      </c>
      <c r="P14" s="211"/>
      <c r="Q14" s="211">
        <v>0</v>
      </c>
      <c r="S14" s="211">
        <v>0</v>
      </c>
    </row>
    <row r="15" spans="1:20" s="101" customFormat="1" ht="15">
      <c r="A15" s="531">
        <f t="shared" si="0"/>
        <v>7</v>
      </c>
      <c r="B15" s="123"/>
      <c r="C15" s="288" t="s">
        <v>97</v>
      </c>
      <c r="D15" s="600" t="s">
        <v>342</v>
      </c>
      <c r="E15" s="123" t="s">
        <v>226</v>
      </c>
      <c r="F15" s="123"/>
      <c r="G15" s="124"/>
      <c r="H15" s="206">
        <v>357.53751000000005</v>
      </c>
      <c r="I15" s="206">
        <v>391.82313000000005</v>
      </c>
      <c r="J15" s="206">
        <v>390.92674</v>
      </c>
      <c r="K15" s="206">
        <v>428.53678000000002</v>
      </c>
      <c r="L15" s="206">
        <v>457.60261000000003</v>
      </c>
      <c r="M15" s="206">
        <v>462.45992857825001</v>
      </c>
      <c r="N15" s="206">
        <v>477.76694787848874</v>
      </c>
      <c r="O15" s="206">
        <v>493.60971285423585</v>
      </c>
      <c r="P15" s="206"/>
      <c r="Q15" s="206">
        <v>325</v>
      </c>
      <c r="S15" s="206">
        <v>320</v>
      </c>
    </row>
    <row r="16" spans="1:20" s="101" customFormat="1" ht="15">
      <c r="A16" s="531">
        <f t="shared" si="0"/>
        <v>8</v>
      </c>
      <c r="B16" s="14"/>
      <c r="C16" s="288" t="s">
        <v>95</v>
      </c>
      <c r="D16" s="419" t="s">
        <v>850</v>
      </c>
      <c r="E16" s="123" t="s">
        <v>227</v>
      </c>
      <c r="F16" s="123"/>
      <c r="G16" s="124"/>
      <c r="H16" s="206">
        <v>400.49772000000002</v>
      </c>
      <c r="I16" s="206">
        <v>519.29550999999992</v>
      </c>
      <c r="J16" s="206">
        <v>508.35571000000004</v>
      </c>
      <c r="K16" s="206">
        <v>519.26297</v>
      </c>
      <c r="L16" s="206">
        <v>519.34424999999999</v>
      </c>
      <c r="M16" s="206">
        <v>545.62471779999998</v>
      </c>
      <c r="N16" s="206">
        <v>556.53721215600001</v>
      </c>
      <c r="O16" s="206">
        <v>575.37766393087691</v>
      </c>
      <c r="P16" s="206"/>
      <c r="Q16" s="206">
        <v>411</v>
      </c>
      <c r="R16" s="15"/>
      <c r="S16" s="206">
        <v>442</v>
      </c>
      <c r="T16" s="15"/>
    </row>
    <row r="17" spans="1:20" s="101" customFormat="1" ht="15">
      <c r="A17" s="531">
        <f t="shared" si="0"/>
        <v>9</v>
      </c>
      <c r="B17" s="14"/>
      <c r="C17" s="129"/>
      <c r="D17" s="419"/>
      <c r="E17" s="123"/>
      <c r="F17" s="123"/>
      <c r="G17" s="124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15"/>
      <c r="S17" s="206"/>
      <c r="T17" s="15"/>
    </row>
    <row r="18" spans="1:20" s="15" customFormat="1" ht="15">
      <c r="A18" s="531">
        <f t="shared" si="0"/>
        <v>10</v>
      </c>
      <c r="B18" s="14"/>
      <c r="C18" s="270" t="s">
        <v>231</v>
      </c>
      <c r="D18" s="419"/>
      <c r="E18" s="123"/>
      <c r="F18" s="123"/>
      <c r="G18" s="124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S18" s="206"/>
    </row>
    <row r="19" spans="1:20" s="15" customFormat="1" ht="15">
      <c r="A19" s="531">
        <f t="shared" si="0"/>
        <v>11</v>
      </c>
      <c r="B19" s="14"/>
      <c r="C19" s="288" t="s">
        <v>97</v>
      </c>
      <c r="D19" s="149" t="s">
        <v>221</v>
      </c>
      <c r="E19" s="463" t="s">
        <v>833</v>
      </c>
      <c r="H19" s="211">
        <v>130.63823000000002</v>
      </c>
      <c r="I19" s="211">
        <v>153.42157999999998</v>
      </c>
      <c r="J19" s="211">
        <v>146.81858000000003</v>
      </c>
      <c r="K19" s="211">
        <v>159.08717000000001</v>
      </c>
      <c r="L19" s="211">
        <v>90.826509999999999</v>
      </c>
      <c r="M19" s="211">
        <v>136.517707</v>
      </c>
      <c r="N19" s="211">
        <v>141.295826745</v>
      </c>
      <c r="O19" s="211">
        <v>146.24118068107498</v>
      </c>
      <c r="P19" s="211"/>
      <c r="Q19" s="211">
        <v>110</v>
      </c>
      <c r="R19" s="211"/>
      <c r="S19" s="211">
        <v>114</v>
      </c>
    </row>
    <row r="20" spans="1:20" s="15" customFormat="1" ht="15">
      <c r="A20" s="531">
        <f t="shared" si="0"/>
        <v>12</v>
      </c>
      <c r="B20" s="14"/>
      <c r="C20" s="288" t="s">
        <v>97</v>
      </c>
      <c r="D20" s="149" t="s">
        <v>221</v>
      </c>
      <c r="E20" s="463" t="s">
        <v>21</v>
      </c>
      <c r="H20" s="211">
        <v>0</v>
      </c>
      <c r="I20" s="211">
        <v>0</v>
      </c>
      <c r="J20" s="211">
        <v>66.13758</v>
      </c>
      <c r="K20" s="211">
        <v>0</v>
      </c>
      <c r="L20" s="211">
        <v>0</v>
      </c>
      <c r="M20" s="211">
        <v>0</v>
      </c>
      <c r="N20" s="211">
        <v>76</v>
      </c>
      <c r="O20" s="211">
        <v>0</v>
      </c>
      <c r="P20" s="211"/>
      <c r="Q20" s="211">
        <v>12</v>
      </c>
      <c r="R20" s="211"/>
      <c r="S20" s="211">
        <v>3</v>
      </c>
    </row>
    <row r="21" spans="1:20" s="15" customFormat="1" ht="15">
      <c r="A21" s="531">
        <f t="shared" ref="A21:A28" si="1">+A20+1</f>
        <v>13</v>
      </c>
      <c r="B21" s="14"/>
      <c r="C21" s="288" t="s">
        <v>97</v>
      </c>
      <c r="D21" s="149" t="s">
        <v>221</v>
      </c>
      <c r="E21" s="463" t="s">
        <v>795</v>
      </c>
      <c r="H21" s="211">
        <v>0</v>
      </c>
      <c r="I21" s="211">
        <v>39.055070000000001</v>
      </c>
      <c r="J21" s="211">
        <v>0</v>
      </c>
      <c r="K21" s="211">
        <v>15.218729999999999</v>
      </c>
      <c r="L21" s="211">
        <v>15.04875</v>
      </c>
      <c r="M21" s="211">
        <v>40</v>
      </c>
      <c r="N21" s="211">
        <v>41.400000000000006</v>
      </c>
      <c r="O21" s="211">
        <v>41.616</v>
      </c>
      <c r="P21" s="211"/>
      <c r="Q21" s="211">
        <v>0</v>
      </c>
      <c r="R21" s="211"/>
      <c r="S21" s="211">
        <v>0</v>
      </c>
    </row>
    <row r="22" spans="1:20" s="15" customFormat="1" ht="15">
      <c r="A22" s="531">
        <f t="shared" si="1"/>
        <v>14</v>
      </c>
      <c r="B22" s="14"/>
      <c r="C22" s="288" t="s">
        <v>97</v>
      </c>
      <c r="D22" s="149" t="s">
        <v>221</v>
      </c>
      <c r="E22" s="463" t="s">
        <v>783</v>
      </c>
      <c r="H22" s="211">
        <v>30.94153</v>
      </c>
      <c r="I22" s="211">
        <v>37.703209999999999</v>
      </c>
      <c r="J22" s="211">
        <v>45.998740000000005</v>
      </c>
      <c r="K22" s="211">
        <v>115.31828000000002</v>
      </c>
      <c r="L22" s="211">
        <v>447.85717</v>
      </c>
      <c r="M22" s="211">
        <v>614.43505000000005</v>
      </c>
      <c r="N22" s="211">
        <v>635.94027674999995</v>
      </c>
      <c r="O22" s="211">
        <v>658.1981864362499</v>
      </c>
      <c r="P22" s="211"/>
      <c r="Q22" s="211">
        <v>87</v>
      </c>
      <c r="R22" s="211"/>
      <c r="S22" s="211">
        <v>73</v>
      </c>
    </row>
    <row r="23" spans="1:20" s="15" customFormat="1" ht="15">
      <c r="A23" s="531">
        <f t="shared" si="1"/>
        <v>15</v>
      </c>
      <c r="B23" s="14"/>
      <c r="C23" s="288" t="s">
        <v>97</v>
      </c>
      <c r="D23" s="149" t="s">
        <v>221</v>
      </c>
      <c r="E23" s="463" t="s">
        <v>834</v>
      </c>
      <c r="H23" s="211">
        <v>13.565400000000002</v>
      </c>
      <c r="I23" s="211">
        <v>16.61993</v>
      </c>
      <c r="J23" s="211">
        <v>18.400739999999999</v>
      </c>
      <c r="K23" s="211">
        <v>18.890309999999996</v>
      </c>
      <c r="L23" s="211">
        <v>44.386679999999998</v>
      </c>
      <c r="M23" s="211">
        <v>45.743993000000003</v>
      </c>
      <c r="N23" s="211">
        <v>47.030032755000001</v>
      </c>
      <c r="O23" s="211">
        <v>48.361083901424998</v>
      </c>
      <c r="P23" s="211"/>
      <c r="Q23" s="258">
        <v>16</v>
      </c>
      <c r="R23" s="211"/>
      <c r="S23" s="258">
        <v>19</v>
      </c>
      <c r="T23" s="209" t="s">
        <v>27</v>
      </c>
    </row>
    <row r="24" spans="1:20" s="15" customFormat="1" ht="15.75">
      <c r="A24" s="531">
        <f t="shared" si="1"/>
        <v>16</v>
      </c>
      <c r="B24" s="14"/>
      <c r="C24" s="129"/>
      <c r="D24" s="419"/>
      <c r="E24" s="274" t="s">
        <v>225</v>
      </c>
      <c r="F24" s="130"/>
      <c r="G24" s="275" t="s">
        <v>27</v>
      </c>
      <c r="H24" s="443">
        <f>SUM(H19:H23)</f>
        <v>175.14516000000003</v>
      </c>
      <c r="I24" s="443">
        <f t="shared" ref="I24:O24" si="2">SUM(I19:I23)</f>
        <v>246.79978999999997</v>
      </c>
      <c r="J24" s="443">
        <f t="shared" si="2"/>
        <v>277.35563999999999</v>
      </c>
      <c r="K24" s="443">
        <f t="shared" si="2"/>
        <v>308.51449000000002</v>
      </c>
      <c r="L24" s="443">
        <f t="shared" si="2"/>
        <v>598.11910999999998</v>
      </c>
      <c r="M24" s="443">
        <f t="shared" si="2"/>
        <v>836.69675000000007</v>
      </c>
      <c r="N24" s="443">
        <f t="shared" si="2"/>
        <v>941.66613624999991</v>
      </c>
      <c r="O24" s="443">
        <f t="shared" si="2"/>
        <v>894.41645101874985</v>
      </c>
      <c r="P24" s="211"/>
      <c r="Q24" s="211">
        <f>SUM(Q19:Q23)</f>
        <v>225</v>
      </c>
      <c r="S24" s="211">
        <f>SUM(S19:S23)</f>
        <v>209</v>
      </c>
    </row>
    <row r="25" spans="1:20" s="15" customFormat="1" ht="15" customHeight="1">
      <c r="A25" s="531">
        <f t="shared" si="1"/>
        <v>17</v>
      </c>
      <c r="B25" s="14"/>
      <c r="C25" s="129"/>
      <c r="D25" s="419"/>
      <c r="E25" s="274"/>
      <c r="F25" s="130"/>
      <c r="G25" s="433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S25" s="211"/>
    </row>
    <row r="26" spans="1:20" s="15" customFormat="1" ht="15" customHeight="1">
      <c r="A26" s="531">
        <f t="shared" si="1"/>
        <v>18</v>
      </c>
      <c r="B26" s="14"/>
      <c r="C26" s="129" t="s">
        <v>97</v>
      </c>
      <c r="D26" s="419" t="s">
        <v>221</v>
      </c>
      <c r="E26" s="123" t="s">
        <v>310</v>
      </c>
      <c r="F26" s="129"/>
      <c r="G26" s="124"/>
      <c r="H26" s="211">
        <v>7.5189899999999996</v>
      </c>
      <c r="I26" s="211">
        <v>7.5290600000000003</v>
      </c>
      <c r="J26" s="211">
        <v>9.7513199999999998</v>
      </c>
      <c r="K26" s="211">
        <v>10.04871</v>
      </c>
      <c r="L26" s="211">
        <v>3.3001300000000002</v>
      </c>
      <c r="M26" s="211">
        <v>3.1658579999999996</v>
      </c>
      <c r="N26" s="211">
        <v>3.276663029999999</v>
      </c>
      <c r="O26" s="211">
        <v>3.3913462360499991</v>
      </c>
      <c r="P26" s="211"/>
      <c r="Q26" s="211">
        <v>0</v>
      </c>
      <c r="S26" s="211">
        <v>0</v>
      </c>
    </row>
    <row r="27" spans="1:20" s="15" customFormat="1" ht="15" customHeight="1">
      <c r="A27" s="531">
        <f t="shared" si="1"/>
        <v>19</v>
      </c>
      <c r="B27" s="14"/>
      <c r="C27" s="129"/>
      <c r="D27" s="166"/>
      <c r="E27" s="123"/>
      <c r="F27" s="129"/>
      <c r="G27" s="124"/>
      <c r="H27" s="211"/>
      <c r="I27" s="211"/>
      <c r="J27" s="211"/>
      <c r="K27" s="211"/>
      <c r="L27" s="211"/>
      <c r="M27" s="211"/>
      <c r="N27" s="211"/>
      <c r="O27" s="211"/>
      <c r="P27" s="211"/>
      <c r="Q27" s="101"/>
      <c r="S27" s="101"/>
      <c r="T27" s="15" t="s">
        <v>27</v>
      </c>
    </row>
    <row r="28" spans="1:20" s="15" customFormat="1" ht="15" customHeight="1" thickBot="1">
      <c r="A28" s="531">
        <f t="shared" si="1"/>
        <v>20</v>
      </c>
      <c r="B28" s="14"/>
      <c r="C28" s="14" t="s">
        <v>232</v>
      </c>
      <c r="D28" s="58"/>
      <c r="E28" s="58"/>
      <c r="F28" s="58"/>
      <c r="G28" s="18"/>
      <c r="H28" s="223">
        <f>+H24+H16+H15+H13+H12+H11+H10+H26+H14</f>
        <v>1056.5965900000003</v>
      </c>
      <c r="I28" s="223">
        <f t="shared" ref="I28:O28" si="3">+I24+I16+I15+I13+I12+I11+I10+I26+I14</f>
        <v>1267.5837000000001</v>
      </c>
      <c r="J28" s="223">
        <f t="shared" si="3"/>
        <v>1275.5134300000002</v>
      </c>
      <c r="K28" s="223">
        <f t="shared" si="3"/>
        <v>1361.1202600000001</v>
      </c>
      <c r="L28" s="223">
        <f t="shared" si="3"/>
        <v>1698.66401</v>
      </c>
      <c r="M28" s="223">
        <f t="shared" si="3"/>
        <v>2079.387503472507</v>
      </c>
      <c r="N28" s="223">
        <f t="shared" si="3"/>
        <v>2391.21225949563</v>
      </c>
      <c r="O28" s="223">
        <f t="shared" si="3"/>
        <v>2383.4339949433524</v>
      </c>
      <c r="P28" s="211"/>
      <c r="Q28" s="223">
        <f>+Q10+Q11+Q12+Q13+Q15+Q16+Q24</f>
        <v>1073</v>
      </c>
      <c r="R28" s="211"/>
      <c r="S28" s="223">
        <f>+S10+S11+S12+S13+S15+S16+S24</f>
        <v>1086</v>
      </c>
      <c r="T28" s="209" t="s">
        <v>27</v>
      </c>
    </row>
    <row r="29" spans="1:20" s="15" customFormat="1" ht="15" customHeight="1" thickTop="1">
      <c r="A29" s="6" t="s">
        <v>27</v>
      </c>
      <c r="B29" s="14"/>
      <c r="C29" s="14"/>
      <c r="D29" s="58"/>
      <c r="E29" s="58"/>
      <c r="F29" s="58"/>
      <c r="G29" s="1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</row>
  </sheetData>
  <mergeCells count="1">
    <mergeCell ref="M6:O6"/>
  </mergeCells>
  <printOptions horizontalCentered="1"/>
  <pageMargins left="0.26" right="0.28999999999999998" top="0.67" bottom="0.56999999999999995" header="0.5" footer="0.5"/>
  <pageSetup scale="5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 enableFormatConditionsCalculation="0">
    <pageSetUpPr fitToPage="1"/>
  </sheetPr>
  <dimension ref="A1:Z25"/>
  <sheetViews>
    <sheetView zoomScaleNormal="100" zoomScaleSheetLayoutView="75" workbookViewId="0">
      <selection activeCell="V236" sqref="V236"/>
    </sheetView>
  </sheetViews>
  <sheetFormatPr defaultRowHeight="12.75"/>
  <cols>
    <col min="1" max="1" width="9.28515625" style="473" bestFit="1" customWidth="1"/>
    <col min="2" max="2" width="2.28515625" style="473" customWidth="1"/>
    <col min="3" max="3" width="37.5703125" style="473" bestFit="1" customWidth="1"/>
    <col min="4" max="4" width="2.28515625" style="473" customWidth="1"/>
    <col min="5" max="5" width="20.42578125" style="473" bestFit="1" customWidth="1"/>
    <col min="6" max="6" width="3.140625" style="473" customWidth="1"/>
    <col min="7" max="7" width="12" style="473" customWidth="1"/>
    <col min="8" max="8" width="2.28515625" style="473" customWidth="1"/>
    <col min="9" max="9" width="12" style="473" customWidth="1"/>
    <col min="10" max="10" width="2.28515625" style="473" customWidth="1"/>
    <col min="11" max="11" width="12" style="473" customWidth="1"/>
    <col min="12" max="12" width="2.28515625" style="473" customWidth="1"/>
    <col min="13" max="13" width="12" style="473" customWidth="1"/>
    <col min="14" max="14" width="2.28515625" style="473" customWidth="1"/>
    <col min="15" max="15" width="12" style="473" customWidth="1"/>
    <col min="16" max="16" width="2.28515625" style="473" customWidth="1"/>
    <col min="17" max="17" width="12" style="473" customWidth="1"/>
    <col min="18" max="18" width="2.28515625" style="473" customWidth="1"/>
    <col min="19" max="19" width="12" style="473" customWidth="1"/>
    <col min="20" max="20" width="2.28515625" style="473" customWidth="1"/>
    <col min="21" max="21" width="12" style="473" customWidth="1"/>
    <col min="22" max="22" width="2.28515625" style="473" customWidth="1"/>
    <col min="23" max="23" width="12" style="568" customWidth="1"/>
    <col min="24" max="24" width="2.28515625" style="473" customWidth="1"/>
    <col min="25" max="25" width="12" style="473" customWidth="1"/>
    <col min="26" max="26" width="2.28515625" style="473" customWidth="1"/>
    <col min="27" max="16384" width="9.140625" style="473"/>
  </cols>
  <sheetData>
    <row r="1" spans="1:26" s="530" customFormat="1" ht="15.75" customHeight="1">
      <c r="A1" s="61" t="s">
        <v>540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109" t="s">
        <v>483</v>
      </c>
    </row>
    <row r="2" spans="1:26" s="463" customFormat="1" ht="15.75" customHeight="1">
      <c r="A2" s="824" t="s">
        <v>463</v>
      </c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824"/>
      <c r="R2" s="824"/>
      <c r="S2" s="824"/>
      <c r="T2" s="824"/>
      <c r="U2" s="824"/>
      <c r="V2" s="824"/>
      <c r="W2" s="824"/>
      <c r="X2" s="824"/>
      <c r="Y2" s="824"/>
      <c r="Z2" s="126"/>
    </row>
    <row r="3" spans="1:26" s="463" customFormat="1" ht="15.75" customHeight="1">
      <c r="A3" s="824" t="s">
        <v>336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4"/>
      <c r="O3" s="824"/>
      <c r="P3" s="824"/>
      <c r="Q3" s="824"/>
      <c r="R3" s="824"/>
      <c r="S3" s="824"/>
      <c r="T3" s="824"/>
      <c r="U3" s="824"/>
      <c r="V3" s="824"/>
      <c r="W3" s="824"/>
      <c r="X3" s="824"/>
      <c r="Y3" s="824"/>
    </row>
    <row r="4" spans="1:26" s="463" customFormat="1" ht="15.75" customHeight="1">
      <c r="D4" s="420"/>
      <c r="E4" s="420"/>
      <c r="F4" s="541"/>
      <c r="G4" s="541"/>
      <c r="H4" s="541"/>
      <c r="I4" s="541"/>
      <c r="J4" s="541"/>
      <c r="K4" s="541"/>
      <c r="L4" s="541"/>
      <c r="M4" s="541"/>
      <c r="N4" s="541"/>
      <c r="O4" s="166"/>
      <c r="P4" s="541"/>
      <c r="Q4" s="541"/>
      <c r="R4" s="541"/>
      <c r="S4" s="541"/>
      <c r="T4" s="541"/>
      <c r="U4" s="541"/>
      <c r="V4" s="541"/>
      <c r="W4" s="562"/>
      <c r="Z4" s="126"/>
    </row>
    <row r="5" spans="1:26" s="463" customFormat="1" ht="15.75" customHeight="1">
      <c r="Q5" s="540"/>
      <c r="S5" s="540"/>
      <c r="U5" s="540"/>
      <c r="W5" s="540" t="s">
        <v>459</v>
      </c>
      <c r="Y5" s="540" t="s">
        <v>459</v>
      </c>
    </row>
    <row r="6" spans="1:26" s="463" customFormat="1" ht="15.75" customHeight="1">
      <c r="A6" s="540" t="s">
        <v>33</v>
      </c>
      <c r="B6" s="540"/>
      <c r="C6" s="540"/>
      <c r="D6" s="540"/>
      <c r="E6" s="540" t="s">
        <v>34</v>
      </c>
      <c r="F6" s="530"/>
      <c r="G6" s="540" t="s">
        <v>25</v>
      </c>
      <c r="H6" s="530"/>
      <c r="I6" s="540" t="s">
        <v>25</v>
      </c>
      <c r="J6" s="530"/>
      <c r="K6" s="540" t="s">
        <v>25</v>
      </c>
      <c r="L6" s="530"/>
      <c r="M6" s="540" t="s">
        <v>25</v>
      </c>
      <c r="N6" s="540"/>
      <c r="O6" s="540" t="s">
        <v>25</v>
      </c>
      <c r="P6" s="540"/>
      <c r="Q6" s="819" t="s">
        <v>330</v>
      </c>
      <c r="R6" s="819"/>
      <c r="S6" s="819"/>
      <c r="T6" s="819"/>
      <c r="U6" s="819"/>
      <c r="V6" s="530"/>
      <c r="W6" s="540" t="s">
        <v>15</v>
      </c>
      <c r="X6" s="540"/>
      <c r="Y6" s="540" t="s">
        <v>15</v>
      </c>
    </row>
    <row r="7" spans="1:26" s="463" customFormat="1" ht="15.75" customHeight="1">
      <c r="A7" s="539" t="s">
        <v>35</v>
      </c>
      <c r="B7" s="540"/>
      <c r="C7" s="539" t="s">
        <v>178</v>
      </c>
      <c r="D7" s="540"/>
      <c r="E7" s="539" t="s">
        <v>36</v>
      </c>
      <c r="F7" s="530"/>
      <c r="G7" s="539">
        <v>2008</v>
      </c>
      <c r="H7" s="530"/>
      <c r="I7" s="539">
        <v>2009</v>
      </c>
      <c r="J7" s="530"/>
      <c r="K7" s="539">
        <v>2010</v>
      </c>
      <c r="L7" s="530"/>
      <c r="M7" s="539">
        <v>2011</v>
      </c>
      <c r="N7" s="401"/>
      <c r="O7" s="539">
        <v>2012</v>
      </c>
      <c r="P7" s="401"/>
      <c r="Q7" s="539">
        <v>2013</v>
      </c>
      <c r="R7" s="401"/>
      <c r="S7" s="539">
        <v>2014</v>
      </c>
      <c r="T7" s="401"/>
      <c r="U7" s="539">
        <v>2015</v>
      </c>
      <c r="V7" s="530"/>
      <c r="W7" s="539">
        <v>2008</v>
      </c>
      <c r="X7" s="530"/>
      <c r="Y7" s="539">
        <v>2009</v>
      </c>
    </row>
    <row r="8" spans="1:26" s="463" customFormat="1" ht="15.75" customHeight="1">
      <c r="W8" s="562"/>
    </row>
    <row r="9" spans="1:26" s="463" customFormat="1" ht="15.75" customHeight="1">
      <c r="A9" s="166">
        <v>1</v>
      </c>
      <c r="C9" s="463" t="s">
        <v>332</v>
      </c>
      <c r="E9" s="531" t="s">
        <v>722</v>
      </c>
      <c r="F9" s="450"/>
      <c r="G9" s="450">
        <v>3585</v>
      </c>
      <c r="H9" s="450"/>
      <c r="I9" s="450">
        <v>3892</v>
      </c>
      <c r="J9" s="450"/>
      <c r="K9" s="450">
        <v>4108</v>
      </c>
      <c r="L9" s="450"/>
      <c r="M9" s="450">
        <v>4559</v>
      </c>
      <c r="N9" s="450"/>
      <c r="O9" s="450">
        <v>4641</v>
      </c>
      <c r="P9" s="450"/>
      <c r="Q9" s="450">
        <f>+S7.2!J60</f>
        <v>6574.1427999999996</v>
      </c>
      <c r="R9" s="450"/>
      <c r="S9" s="450">
        <f>+S7.3!J60</f>
        <v>7520</v>
      </c>
      <c r="T9" s="450"/>
      <c r="U9" s="450">
        <f>+S7.4!J60</f>
        <v>8585</v>
      </c>
      <c r="V9" s="450"/>
      <c r="W9" s="206">
        <v>3760</v>
      </c>
      <c r="X9" s="450"/>
      <c r="Y9" s="450">
        <v>4067</v>
      </c>
    </row>
    <row r="10" spans="1:26" s="463" customFormat="1" ht="15.75" customHeight="1">
      <c r="A10" s="166">
        <v>2</v>
      </c>
      <c r="C10" s="463" t="s">
        <v>333</v>
      </c>
      <c r="E10" s="531" t="s">
        <v>723</v>
      </c>
      <c r="F10" s="450"/>
      <c r="G10" s="450">
        <v>-382</v>
      </c>
      <c r="H10" s="450"/>
      <c r="I10" s="450">
        <v>-382</v>
      </c>
      <c r="J10" s="450"/>
      <c r="K10" s="450">
        <v>-382</v>
      </c>
      <c r="L10" s="450"/>
      <c r="M10" s="450">
        <v>-382</v>
      </c>
      <c r="N10" s="450"/>
      <c r="O10" s="450">
        <f>+S7.5!L60</f>
        <v>-382</v>
      </c>
      <c r="P10" s="450"/>
      <c r="Q10" s="450">
        <f>+S7.5!N60</f>
        <v>70.805999999999955</v>
      </c>
      <c r="R10" s="450"/>
      <c r="S10" s="450">
        <f>+S7.5!P60</f>
        <v>70.805999999999955</v>
      </c>
      <c r="T10" s="450"/>
      <c r="U10" s="450">
        <f>+S7.5!R60</f>
        <v>70.805999999999955</v>
      </c>
      <c r="V10" s="450"/>
      <c r="W10" s="206">
        <f>S7.5!T60</f>
        <v>-382</v>
      </c>
      <c r="X10" s="450"/>
      <c r="Y10" s="450">
        <f>S7.5!V60</f>
        <v>-382</v>
      </c>
    </row>
    <row r="11" spans="1:26" s="463" customFormat="1" ht="15.75" customHeight="1">
      <c r="A11" s="166">
        <v>3</v>
      </c>
      <c r="C11" s="463" t="s">
        <v>334</v>
      </c>
      <c r="E11" s="531" t="s">
        <v>687</v>
      </c>
      <c r="F11" s="450"/>
      <c r="G11" s="214">
        <v>-22</v>
      </c>
      <c r="H11" s="450"/>
      <c r="I11" s="214">
        <v>-64</v>
      </c>
      <c r="J11" s="450"/>
      <c r="K11" s="214">
        <v>-43</v>
      </c>
      <c r="L11" s="450"/>
      <c r="M11" s="214">
        <v>-48</v>
      </c>
      <c r="N11" s="563"/>
      <c r="O11" s="214">
        <v>-67</v>
      </c>
      <c r="P11" s="563"/>
      <c r="Q11" s="214">
        <v>-75</v>
      </c>
      <c r="R11" s="563"/>
      <c r="S11" s="214">
        <v>-82</v>
      </c>
      <c r="T11" s="563"/>
      <c r="U11" s="214">
        <v>-87</v>
      </c>
      <c r="V11" s="450"/>
      <c r="W11" s="214">
        <v>-24</v>
      </c>
      <c r="X11" s="450"/>
      <c r="Y11" s="214">
        <v>-24</v>
      </c>
    </row>
    <row r="12" spans="1:26" s="463" customFormat="1" ht="6" customHeight="1">
      <c r="A12" s="166" t="s">
        <v>27</v>
      </c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0"/>
      <c r="V12" s="450"/>
      <c r="W12" s="450"/>
      <c r="X12" s="450"/>
      <c r="Y12" s="450"/>
    </row>
    <row r="13" spans="1:26" s="463" customFormat="1" ht="15.75" customHeight="1" thickBot="1">
      <c r="A13" s="166">
        <v>4</v>
      </c>
      <c r="C13" s="463" t="s">
        <v>335</v>
      </c>
      <c r="E13" s="166" t="s">
        <v>317</v>
      </c>
      <c r="F13" s="450"/>
      <c r="G13" s="564">
        <f>SUM(G9:G11)</f>
        <v>3181</v>
      </c>
      <c r="H13" s="450"/>
      <c r="I13" s="564">
        <f>SUM(I9:I11)</f>
        <v>3446</v>
      </c>
      <c r="J13" s="450"/>
      <c r="K13" s="564">
        <f>SUM(K9:K11)</f>
        <v>3683</v>
      </c>
      <c r="L13" s="450"/>
      <c r="M13" s="564">
        <f>SUM(M9:M11)</f>
        <v>4129</v>
      </c>
      <c r="N13" s="563"/>
      <c r="O13" s="564">
        <f>SUM(O9:O11)</f>
        <v>4192</v>
      </c>
      <c r="P13" s="563"/>
      <c r="Q13" s="564">
        <f>SUM(Q9:Q11)</f>
        <v>6569.9487999999992</v>
      </c>
      <c r="R13" s="563"/>
      <c r="S13" s="564">
        <f>SUM(S9:S11)</f>
        <v>7508.8059999999996</v>
      </c>
      <c r="T13" s="563"/>
      <c r="U13" s="564">
        <f>SUM(U9:U11)</f>
        <v>8568.8060000000005</v>
      </c>
      <c r="V13" s="450"/>
      <c r="W13" s="564">
        <f>SUM(W9:W11)</f>
        <v>3354</v>
      </c>
      <c r="X13" s="450"/>
      <c r="Y13" s="564">
        <f>SUM(Y9:Y11)</f>
        <v>3661</v>
      </c>
    </row>
    <row r="14" spans="1:26" s="463" customFormat="1" ht="15.75" customHeight="1" thickTop="1">
      <c r="A14" s="166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0"/>
      <c r="V14" s="450"/>
      <c r="W14" s="450" t="str">
        <f>IF(W13='S8.6 '!W28,"",'S8.6 '!W28)</f>
        <v/>
      </c>
      <c r="X14" s="450"/>
      <c r="Y14" s="450" t="str">
        <f>IF(Y13='S8.6 '!Y28,"",'S8.6 '!Y28)</f>
        <v/>
      </c>
    </row>
    <row r="15" spans="1:26" s="463" customFormat="1" ht="15">
      <c r="A15" s="166"/>
      <c r="F15" s="450"/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0"/>
      <c r="V15" s="450"/>
      <c r="W15" s="450"/>
      <c r="X15" s="450"/>
      <c r="Y15" s="450"/>
    </row>
    <row r="16" spans="1:26">
      <c r="A16" s="565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6"/>
      <c r="R16" s="566"/>
      <c r="S16" s="566"/>
      <c r="T16" s="566"/>
      <c r="U16" s="566"/>
      <c r="V16" s="566"/>
      <c r="W16" s="566"/>
      <c r="X16" s="566"/>
      <c r="Y16" s="566"/>
    </row>
    <row r="17" spans="1:25">
      <c r="A17" s="565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566"/>
      <c r="T17" s="566"/>
      <c r="U17" s="566"/>
      <c r="V17" s="566"/>
      <c r="W17" s="566"/>
      <c r="X17" s="566"/>
      <c r="Y17" s="566"/>
    </row>
    <row r="18" spans="1:25">
      <c r="A18" s="565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</row>
    <row r="19" spans="1:25">
      <c r="A19" s="565"/>
      <c r="F19" s="566"/>
      <c r="G19" s="566"/>
      <c r="H19" s="566"/>
      <c r="I19" s="566"/>
      <c r="J19" s="566"/>
      <c r="K19" s="566"/>
      <c r="L19" s="566"/>
      <c r="M19" s="567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</row>
    <row r="20" spans="1:25">
      <c r="A20" s="565"/>
      <c r="F20" s="566"/>
      <c r="G20" s="566"/>
      <c r="H20" s="566"/>
      <c r="I20" s="566"/>
      <c r="J20" s="566"/>
      <c r="L20" s="566"/>
      <c r="M20" s="567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</row>
    <row r="21" spans="1:25">
      <c r="A21" s="565"/>
      <c r="F21" s="566"/>
      <c r="G21" s="566"/>
      <c r="H21" s="566"/>
      <c r="I21" s="566"/>
      <c r="J21" s="566"/>
      <c r="K21" s="566"/>
      <c r="L21" s="566"/>
      <c r="M21" s="567"/>
      <c r="N21" s="566"/>
      <c r="O21" s="566"/>
      <c r="P21" s="566"/>
      <c r="Q21" s="566"/>
      <c r="R21" s="566"/>
      <c r="S21" s="566"/>
      <c r="T21" s="566"/>
      <c r="U21" s="566"/>
      <c r="V21" s="566"/>
      <c r="W21" s="566"/>
      <c r="X21" s="566"/>
      <c r="Y21" s="566"/>
    </row>
    <row r="22" spans="1:25">
      <c r="A22" s="565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566"/>
      <c r="T22" s="566"/>
      <c r="U22" s="566"/>
      <c r="V22" s="566"/>
      <c r="W22" s="566"/>
      <c r="X22" s="566"/>
      <c r="Y22" s="566"/>
    </row>
    <row r="23" spans="1:25"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  <c r="S23" s="566"/>
      <c r="T23" s="566"/>
      <c r="U23" s="566"/>
      <c r="V23" s="566"/>
      <c r="W23" s="566"/>
      <c r="X23" s="566"/>
      <c r="Y23" s="566"/>
    </row>
    <row r="24" spans="1:25"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566"/>
      <c r="T24" s="566"/>
      <c r="U24" s="566"/>
      <c r="V24" s="566"/>
      <c r="W24" s="566"/>
      <c r="X24" s="566"/>
      <c r="Y24" s="566"/>
    </row>
    <row r="25" spans="1:25"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566"/>
      <c r="T25" s="566"/>
      <c r="U25" s="566"/>
      <c r="V25" s="566"/>
      <c r="W25" s="566"/>
      <c r="X25" s="566"/>
      <c r="Y25" s="566"/>
    </row>
  </sheetData>
  <customSheetViews>
    <customSheetView guid="{275E5119-9E8C-43ED-ACD2-DF40CF10B219}" scale="70">
      <selection activeCell="M10" sqref="M10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70" showPageBreaks="1" showRuler="0">
      <selection activeCell="M10" sqref="M10"/>
      <pageMargins left="0.59" right="0.25" top="1" bottom="0.75" header="0.5" footer="0.5"/>
      <pageSetup scale="70" orientation="landscape" r:id="rId2"/>
      <headerFooter alignWithMargins="0"/>
    </customSheetView>
  </customSheetViews>
  <mergeCells count="3">
    <mergeCell ref="A2:Y2"/>
    <mergeCell ref="A3:Y3"/>
    <mergeCell ref="Q6:U6"/>
  </mergeCells>
  <phoneticPr fontId="10" type="noConversion"/>
  <pageMargins left="0.59" right="0.25" top="1" bottom="0.75" header="0.5" footer="0.5"/>
  <pageSetup scale="60" orientation="landscape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K62"/>
  <sheetViews>
    <sheetView view="pageBreakPreview" zoomScale="70" zoomScaleNormal="70" zoomScaleSheetLayoutView="70" workbookViewId="0">
      <selection activeCell="V236" sqref="V236"/>
    </sheetView>
  </sheetViews>
  <sheetFormatPr defaultRowHeight="14.25"/>
  <cols>
    <col min="1" max="1" width="9.140625" style="216"/>
    <col min="2" max="2" width="11.7109375" style="216" customWidth="1"/>
    <col min="3" max="3" width="49.42578125" style="216" bestFit="1" customWidth="1"/>
    <col min="4" max="4" width="10.28515625" style="216" customWidth="1"/>
    <col min="5" max="5" width="15.7109375" style="678" customWidth="1"/>
    <col min="6" max="6" width="15.7109375" style="679" customWidth="1"/>
    <col min="7" max="10" width="15.7109375" style="216" customWidth="1"/>
    <col min="11" max="11" width="2.42578125" style="216" customWidth="1"/>
    <col min="12" max="16384" width="9.140625" style="216"/>
  </cols>
  <sheetData>
    <row r="1" spans="1:11" ht="15.75">
      <c r="A1" s="420" t="s">
        <v>540</v>
      </c>
      <c r="B1" s="420"/>
      <c r="C1" s="420"/>
      <c r="D1" s="420"/>
      <c r="E1" s="420"/>
      <c r="F1" s="420"/>
      <c r="G1" s="420"/>
      <c r="H1" s="420"/>
      <c r="I1" s="406"/>
      <c r="J1" s="406"/>
      <c r="K1" s="126" t="s">
        <v>473</v>
      </c>
    </row>
    <row r="2" spans="1:11" ht="12.75" customHeight="1">
      <c r="A2" s="420" t="s">
        <v>463</v>
      </c>
      <c r="B2" s="420"/>
      <c r="C2" s="420"/>
      <c r="D2" s="420"/>
      <c r="E2" s="420"/>
      <c r="F2" s="420"/>
      <c r="G2" s="420"/>
      <c r="H2" s="420"/>
      <c r="I2" s="406"/>
      <c r="J2" s="406"/>
      <c r="K2" s="463"/>
    </row>
    <row r="3" spans="1:11" ht="12.75" customHeight="1">
      <c r="A3" s="420" t="s">
        <v>472</v>
      </c>
      <c r="B3" s="420"/>
      <c r="C3" s="420"/>
      <c r="D3" s="420"/>
      <c r="E3" s="420"/>
      <c r="F3" s="420"/>
      <c r="G3" s="420"/>
      <c r="H3" s="420"/>
      <c r="I3" s="406"/>
      <c r="J3" s="406"/>
      <c r="K3" s="463"/>
    </row>
    <row r="4" spans="1:11" ht="15.75">
      <c r="A4" s="420" t="s">
        <v>32</v>
      </c>
      <c r="B4" s="420"/>
      <c r="C4" s="406"/>
      <c r="D4" s="406"/>
      <c r="E4" s="682"/>
      <c r="F4" s="406"/>
      <c r="G4" s="406"/>
      <c r="H4" s="406"/>
      <c r="I4" s="420"/>
      <c r="J4" s="406"/>
      <c r="K4" s="463"/>
    </row>
    <row r="5" spans="1:11">
      <c r="J5" s="679"/>
    </row>
    <row r="6" spans="1:11" s="680" customFormat="1" ht="15">
      <c r="C6" s="683"/>
      <c r="D6" s="684"/>
      <c r="E6" s="685">
        <v>2013</v>
      </c>
      <c r="F6" s="676"/>
      <c r="G6" s="676" t="s">
        <v>29</v>
      </c>
      <c r="H6" s="676" t="s">
        <v>113</v>
      </c>
      <c r="I6" s="676" t="s">
        <v>324</v>
      </c>
      <c r="J6" s="676">
        <v>2013</v>
      </c>
    </row>
    <row r="7" spans="1:11" s="680" customFormat="1" ht="15">
      <c r="A7" s="676" t="s">
        <v>33</v>
      </c>
      <c r="B7" s="676" t="s">
        <v>27</v>
      </c>
      <c r="C7" s="676"/>
      <c r="D7" s="686" t="s">
        <v>101</v>
      </c>
      <c r="E7" s="687" t="s">
        <v>321</v>
      </c>
      <c r="F7" s="688" t="s">
        <v>29</v>
      </c>
      <c r="G7" s="676" t="s">
        <v>323</v>
      </c>
      <c r="H7" s="676" t="s">
        <v>328</v>
      </c>
      <c r="I7" s="676" t="s">
        <v>325</v>
      </c>
      <c r="J7" s="676" t="s">
        <v>326</v>
      </c>
    </row>
    <row r="8" spans="1:11" s="680" customFormat="1" ht="15">
      <c r="A8" s="689" t="s">
        <v>35</v>
      </c>
      <c r="B8" s="689" t="s">
        <v>115</v>
      </c>
      <c r="C8" s="689" t="s">
        <v>178</v>
      </c>
      <c r="D8" s="690" t="s">
        <v>36</v>
      </c>
      <c r="E8" s="689" t="s">
        <v>322</v>
      </c>
      <c r="F8" s="689" t="s">
        <v>38</v>
      </c>
      <c r="G8" s="689" t="s">
        <v>40</v>
      </c>
      <c r="H8" s="689" t="s">
        <v>164</v>
      </c>
      <c r="I8" s="689" t="s">
        <v>164</v>
      </c>
      <c r="J8" s="689" t="s">
        <v>29</v>
      </c>
    </row>
    <row r="9" spans="1:11" ht="15">
      <c r="A9" s="691"/>
      <c r="B9" s="691"/>
      <c r="C9" s="691"/>
      <c r="D9" s="686"/>
      <c r="E9" s="691"/>
      <c r="F9" s="691"/>
      <c r="G9" s="691"/>
      <c r="H9" s="678"/>
    </row>
    <row r="10" spans="1:11" ht="15">
      <c r="A10" s="679">
        <v>1</v>
      </c>
      <c r="B10" s="679"/>
      <c r="C10" s="216" t="s">
        <v>362</v>
      </c>
      <c r="D10" s="686"/>
      <c r="E10" s="691"/>
      <c r="F10" s="691"/>
      <c r="G10" s="678"/>
      <c r="H10" s="678"/>
    </row>
    <row r="11" spans="1:11" ht="15">
      <c r="A11" s="679">
        <f>A10+1</f>
        <v>2</v>
      </c>
      <c r="B11" s="788"/>
      <c r="D11" s="686"/>
      <c r="E11" s="692"/>
      <c r="F11" s="721"/>
      <c r="G11" s="694"/>
      <c r="H11" s="695"/>
      <c r="I11" s="696"/>
      <c r="J11" s="696"/>
    </row>
    <row r="12" spans="1:11" ht="15">
      <c r="A12" s="679">
        <f t="shared" ref="A12:A62" si="0">A11+1</f>
        <v>3</v>
      </c>
      <c r="B12" s="788" t="s">
        <v>402</v>
      </c>
      <c r="C12" s="697" t="s">
        <v>363</v>
      </c>
      <c r="D12" s="686"/>
      <c r="E12" s="692">
        <v>262.55786999999998</v>
      </c>
      <c r="F12" s="721">
        <v>2.4E-2</v>
      </c>
      <c r="G12" s="694">
        <f>ROUND(E12*F12,0)</f>
        <v>6</v>
      </c>
      <c r="H12" s="695">
        <v>179.84930498683937</v>
      </c>
      <c r="I12" s="696">
        <f>ROUND(H12*F12/2,0)</f>
        <v>2</v>
      </c>
      <c r="J12" s="696">
        <f>I12+G12</f>
        <v>8</v>
      </c>
    </row>
    <row r="13" spans="1:11" ht="15">
      <c r="A13" s="679">
        <f t="shared" si="0"/>
        <v>4</v>
      </c>
      <c r="B13" s="788" t="s">
        <v>403</v>
      </c>
      <c r="C13" s="697" t="s">
        <v>364</v>
      </c>
      <c r="D13" s="686"/>
      <c r="E13" s="692">
        <v>2374.6208199999996</v>
      </c>
      <c r="F13" s="721">
        <v>2.4E-2</v>
      </c>
      <c r="G13" s="694">
        <f>ROUND(E13*F13,0)</f>
        <v>57</v>
      </c>
      <c r="H13" s="695">
        <v>1626.5896127367216</v>
      </c>
      <c r="I13" s="696">
        <f>ROUND(H13*F13/2,0)</f>
        <v>20</v>
      </c>
      <c r="J13" s="696">
        <f>I13+G13</f>
        <v>77</v>
      </c>
    </row>
    <row r="14" spans="1:11" ht="15">
      <c r="A14" s="679">
        <f t="shared" si="0"/>
        <v>5</v>
      </c>
      <c r="B14" s="788" t="s">
        <v>404</v>
      </c>
      <c r="C14" s="697" t="s">
        <v>365</v>
      </c>
      <c r="D14" s="686"/>
      <c r="E14" s="692">
        <v>2675.6491099999998</v>
      </c>
      <c r="F14" s="721">
        <v>2.6800000000000001E-2</v>
      </c>
      <c r="G14" s="694">
        <f>ROUND(E14*F14,0)</f>
        <v>72</v>
      </c>
      <c r="H14" s="695">
        <v>1832.7907398934767</v>
      </c>
      <c r="I14" s="696">
        <f>ROUND(H14*F14/2,0)</f>
        <v>25</v>
      </c>
      <c r="J14" s="696">
        <f>I14+G14</f>
        <v>97</v>
      </c>
    </row>
    <row r="15" spans="1:11" ht="15">
      <c r="A15" s="679">
        <f t="shared" si="0"/>
        <v>6</v>
      </c>
      <c r="B15" s="788" t="s">
        <v>405</v>
      </c>
      <c r="C15" s="697" t="s">
        <v>366</v>
      </c>
      <c r="D15" s="686"/>
      <c r="E15" s="692">
        <v>157.86416</v>
      </c>
      <c r="F15" s="721">
        <v>2.58E-2</v>
      </c>
      <c r="G15" s="694">
        <f>ROUND(E15*F15,0)</f>
        <v>4</v>
      </c>
      <c r="H15" s="695">
        <v>108.13524446374892</v>
      </c>
      <c r="I15" s="696">
        <f>ROUND(H15*F15/2,0)</f>
        <v>1</v>
      </c>
      <c r="J15" s="696">
        <f>I15+G15</f>
        <v>5</v>
      </c>
    </row>
    <row r="16" spans="1:11" ht="15">
      <c r="A16" s="679">
        <f t="shared" si="0"/>
        <v>7</v>
      </c>
      <c r="B16" s="788" t="s">
        <v>406</v>
      </c>
      <c r="C16" s="698" t="s">
        <v>367</v>
      </c>
      <c r="D16" s="690"/>
      <c r="E16" s="699">
        <v>68.656700000000001</v>
      </c>
      <c r="F16" s="721">
        <v>4.07E-2</v>
      </c>
      <c r="G16" s="694">
        <f>ROUND(E16*F16,0)</f>
        <v>3</v>
      </c>
      <c r="H16" s="700">
        <v>47.029097919212766</v>
      </c>
      <c r="I16" s="701">
        <f>ROUND(H16*F16/2,0)</f>
        <v>1</v>
      </c>
      <c r="J16" s="701">
        <f>I16+G16</f>
        <v>4</v>
      </c>
    </row>
    <row r="17" spans="1:10" ht="15">
      <c r="A17" s="679">
        <f t="shared" si="0"/>
        <v>8</v>
      </c>
      <c r="B17" s="788"/>
      <c r="C17" s="216" t="s">
        <v>389</v>
      </c>
      <c r="D17" s="686"/>
      <c r="E17" s="692">
        <f>SUM(E11:E16)</f>
        <v>5539.3486599999997</v>
      </c>
      <c r="F17" s="722"/>
      <c r="G17" s="704">
        <f>SUM(G11:G16)</f>
        <v>142</v>
      </c>
      <c r="H17" s="695">
        <f>SUM(H12:H16)</f>
        <v>3794.3939999999993</v>
      </c>
      <c r="I17" s="695">
        <f>SUM(I12:I16)</f>
        <v>49</v>
      </c>
      <c r="J17" s="695">
        <f>SUM(J12:J16)</f>
        <v>191</v>
      </c>
    </row>
    <row r="18" spans="1:10" ht="15">
      <c r="A18" s="679">
        <f t="shared" si="0"/>
        <v>9</v>
      </c>
      <c r="B18" s="788"/>
      <c r="C18" s="697"/>
      <c r="D18" s="686"/>
      <c r="E18" s="692"/>
      <c r="F18" s="721"/>
      <c r="G18" s="694"/>
      <c r="H18" s="695"/>
      <c r="I18" s="696"/>
      <c r="J18" s="696"/>
    </row>
    <row r="19" spans="1:10" ht="15">
      <c r="A19" s="679">
        <f t="shared" si="0"/>
        <v>10</v>
      </c>
      <c r="B19" s="788"/>
      <c r="C19" s="216" t="s">
        <v>368</v>
      </c>
      <c r="D19" s="686"/>
      <c r="E19" s="692"/>
      <c r="F19" s="721"/>
      <c r="G19" s="694"/>
      <c r="H19" s="695"/>
      <c r="I19" s="696"/>
      <c r="J19" s="696"/>
    </row>
    <row r="20" spans="1:10" ht="15">
      <c r="A20" s="679">
        <f t="shared" si="0"/>
        <v>11</v>
      </c>
      <c r="B20" s="788" t="s">
        <v>250</v>
      </c>
      <c r="C20" s="697" t="s">
        <v>894</v>
      </c>
      <c r="D20" s="686"/>
      <c r="E20" s="692">
        <v>2238.1898700000002</v>
      </c>
      <c r="F20" s="721">
        <v>3.0728635189471214E-2</v>
      </c>
      <c r="G20" s="694">
        <f>ROUND(E20*F20,0)</f>
        <v>69</v>
      </c>
      <c r="H20" s="695">
        <v>490.7846387227267</v>
      </c>
      <c r="I20" s="696">
        <f>ROUND(H20*F20/2,0)</f>
        <v>8</v>
      </c>
      <c r="J20" s="696">
        <f>I20+G20</f>
        <v>77</v>
      </c>
    </row>
    <row r="21" spans="1:10" ht="15">
      <c r="A21" s="679">
        <f t="shared" si="0"/>
        <v>12</v>
      </c>
      <c r="B21" s="788" t="s">
        <v>251</v>
      </c>
      <c r="C21" s="697" t="s">
        <v>889</v>
      </c>
      <c r="D21" s="686"/>
      <c r="E21" s="692">
        <v>3137.8418300000003</v>
      </c>
      <c r="F21" s="721">
        <v>3.6935558348395146E-2</v>
      </c>
      <c r="G21" s="694">
        <f>ROUND(E21*F21,0)</f>
        <v>116</v>
      </c>
      <c r="H21" s="695">
        <v>688.05805510397113</v>
      </c>
      <c r="I21" s="696">
        <f>ROUND(H21*F21/2,0)</f>
        <v>13</v>
      </c>
      <c r="J21" s="696">
        <f>I21+G21</f>
        <v>129</v>
      </c>
    </row>
    <row r="22" spans="1:10" ht="15">
      <c r="A22" s="679">
        <f t="shared" si="0"/>
        <v>13</v>
      </c>
      <c r="B22" s="788" t="s">
        <v>252</v>
      </c>
      <c r="C22" s="697" t="s">
        <v>253</v>
      </c>
      <c r="D22" s="686"/>
      <c r="E22" s="692">
        <v>7270.4879600000004</v>
      </c>
      <c r="F22" s="721">
        <v>4.2429220230489305E-2</v>
      </c>
      <c r="G22" s="694">
        <f>ROUND(E22*F22,0)</f>
        <v>308</v>
      </c>
      <c r="H22" s="695">
        <v>1594.2542921019183</v>
      </c>
      <c r="I22" s="696">
        <f>ROUND(H22*F22/2,0)</f>
        <v>34</v>
      </c>
      <c r="J22" s="696">
        <f>I22+G22</f>
        <v>342</v>
      </c>
    </row>
    <row r="23" spans="1:10" ht="15">
      <c r="A23" s="679">
        <f t="shared" si="0"/>
        <v>14</v>
      </c>
      <c r="B23" s="788" t="s">
        <v>254</v>
      </c>
      <c r="C23" s="697" t="s">
        <v>257</v>
      </c>
      <c r="D23" s="686"/>
      <c r="E23" s="692">
        <v>2076.5138000000002</v>
      </c>
      <c r="F23" s="721">
        <v>3.3227884158535337E-2</v>
      </c>
      <c r="G23" s="694">
        <f>ROUND(E23*F23,0)</f>
        <v>69</v>
      </c>
      <c r="H23" s="695">
        <v>455.33271720855237</v>
      </c>
      <c r="I23" s="696">
        <f>ROUND(H23*F23/2,0)</f>
        <v>8</v>
      </c>
      <c r="J23" s="696">
        <f>I23+G23</f>
        <v>77</v>
      </c>
    </row>
    <row r="24" spans="1:10" ht="15">
      <c r="A24" s="679">
        <f t="shared" si="0"/>
        <v>15</v>
      </c>
      <c r="B24" s="788" t="s">
        <v>255</v>
      </c>
      <c r="C24" s="698" t="s">
        <v>256</v>
      </c>
      <c r="D24" s="690"/>
      <c r="E24" s="699">
        <v>793.64508999999998</v>
      </c>
      <c r="F24" s="721">
        <v>2.9167218813134731E-2</v>
      </c>
      <c r="G24" s="705">
        <f>ROUND(E24*F24,0)</f>
        <v>23</v>
      </c>
      <c r="H24" s="695">
        <v>174.02849686283139</v>
      </c>
      <c r="I24" s="696">
        <f>ROUND(H24*F24/2,0)</f>
        <v>3</v>
      </c>
      <c r="J24" s="696">
        <f>I24+G24</f>
        <v>26</v>
      </c>
    </row>
    <row r="25" spans="1:10" ht="15">
      <c r="A25" s="679">
        <f t="shared" si="0"/>
        <v>16</v>
      </c>
      <c r="B25" s="788"/>
      <c r="C25" s="697" t="s">
        <v>390</v>
      </c>
      <c r="D25" s="686"/>
      <c r="E25" s="692">
        <f>SUM(E20:E24)</f>
        <v>15516.678550000002</v>
      </c>
      <c r="F25" s="722"/>
      <c r="G25" s="695">
        <f>SUM(G20:G24)</f>
        <v>585</v>
      </c>
      <c r="H25" s="704">
        <f>SUM(H20:H24)</f>
        <v>3402.4582</v>
      </c>
      <c r="I25" s="704">
        <f>SUM(I20:I24)</f>
        <v>66</v>
      </c>
      <c r="J25" s="704">
        <f>SUM(J20:J24)</f>
        <v>651</v>
      </c>
    </row>
    <row r="26" spans="1:10" ht="15">
      <c r="A26" s="679">
        <f t="shared" si="0"/>
        <v>17</v>
      </c>
      <c r="B26" s="788"/>
      <c r="C26" s="691"/>
      <c r="D26" s="686"/>
      <c r="E26" s="692"/>
      <c r="F26" s="721"/>
      <c r="G26" s="694"/>
      <c r="H26" s="695"/>
      <c r="I26" s="696"/>
      <c r="J26" s="696"/>
    </row>
    <row r="27" spans="1:10" ht="15">
      <c r="A27" s="679">
        <f t="shared" si="0"/>
        <v>18</v>
      </c>
      <c r="B27" s="788"/>
      <c r="C27" s="216" t="s">
        <v>371</v>
      </c>
      <c r="D27" s="686"/>
      <c r="E27" s="692"/>
      <c r="F27" s="721"/>
      <c r="G27" s="694"/>
      <c r="H27" s="695"/>
      <c r="I27" s="696"/>
      <c r="J27" s="696"/>
    </row>
    <row r="28" spans="1:10" ht="15">
      <c r="A28" s="679">
        <f t="shared" si="0"/>
        <v>19</v>
      </c>
      <c r="B28" s="788" t="s">
        <v>258</v>
      </c>
      <c r="C28" s="698" t="s">
        <v>135</v>
      </c>
      <c r="D28" s="690"/>
      <c r="E28" s="706">
        <v>1384.42127</v>
      </c>
      <c r="F28" s="721">
        <v>2.2499999999999999E-2</v>
      </c>
      <c r="G28" s="705">
        <f>ROUND(E28*F28,0)</f>
        <v>31</v>
      </c>
      <c r="H28" s="700">
        <v>0</v>
      </c>
      <c r="I28" s="701">
        <f>ROUND(H28*F28/2,0)</f>
        <v>0</v>
      </c>
      <c r="J28" s="701">
        <f>I28+G28</f>
        <v>31</v>
      </c>
    </row>
    <row r="29" spans="1:10" ht="15">
      <c r="A29" s="679">
        <f t="shared" si="0"/>
        <v>20</v>
      </c>
      <c r="B29" s="788" t="s">
        <v>27</v>
      </c>
      <c r="C29" s="707" t="s">
        <v>266</v>
      </c>
      <c r="D29" s="686"/>
      <c r="E29" s="692">
        <f>SUM(E28:E28)</f>
        <v>1384.42127</v>
      </c>
      <c r="F29" s="722"/>
      <c r="G29" s="695">
        <f>SUM(G28:G28)</f>
        <v>31</v>
      </c>
      <c r="H29" s="695">
        <f>SUM(H28:H28)</f>
        <v>0</v>
      </c>
      <c r="I29" s="695">
        <f>SUM(I28:I28)</f>
        <v>0</v>
      </c>
      <c r="J29" s="695">
        <f>SUM(J28:J28)</f>
        <v>31</v>
      </c>
    </row>
    <row r="30" spans="1:10" ht="15">
      <c r="A30" s="679">
        <f t="shared" si="0"/>
        <v>21</v>
      </c>
      <c r="B30" s="788"/>
      <c r="C30" s="691"/>
      <c r="D30" s="686"/>
      <c r="E30" s="692"/>
      <c r="F30" s="721"/>
      <c r="G30" s="694"/>
      <c r="H30" s="695"/>
      <c r="I30" s="696"/>
      <c r="J30" s="696"/>
    </row>
    <row r="31" spans="1:10">
      <c r="A31" s="679">
        <f t="shared" si="0"/>
        <v>22</v>
      </c>
      <c r="B31" s="788"/>
      <c r="C31" s="216" t="s">
        <v>120</v>
      </c>
      <c r="D31" s="708"/>
      <c r="E31" s="692" t="s">
        <v>27</v>
      </c>
      <c r="F31" s="723"/>
      <c r="G31" s="710"/>
      <c r="H31" s="695" t="s">
        <v>27</v>
      </c>
      <c r="I31" s="696"/>
      <c r="J31" s="696"/>
    </row>
    <row r="32" spans="1:10">
      <c r="A32" s="679">
        <f t="shared" si="0"/>
        <v>23</v>
      </c>
      <c r="B32" s="788" t="s">
        <v>121</v>
      </c>
      <c r="C32" s="216" t="s">
        <v>122</v>
      </c>
      <c r="D32" s="708"/>
      <c r="E32" s="692">
        <v>1330.6423400000001</v>
      </c>
      <c r="F32" s="723">
        <v>1.5100000000000001E-2</v>
      </c>
      <c r="G32" s="694">
        <f t="shared" ref="G32:G43" si="1">ROUND(E32*F32,0)</f>
        <v>20</v>
      </c>
      <c r="H32" s="695">
        <v>101.6964062839009</v>
      </c>
      <c r="I32" s="696">
        <f t="shared" ref="I32:I43" si="2">ROUND(H32*F32/2,0)</f>
        <v>1</v>
      </c>
      <c r="J32" s="696">
        <f t="shared" ref="J32:J43" si="3">I32+G32</f>
        <v>21</v>
      </c>
    </row>
    <row r="33" spans="1:10">
      <c r="A33" s="679">
        <f t="shared" si="0"/>
        <v>24</v>
      </c>
      <c r="B33" s="788" t="s">
        <v>123</v>
      </c>
      <c r="C33" s="216" t="s">
        <v>124</v>
      </c>
      <c r="D33" s="708"/>
      <c r="E33" s="692">
        <v>34533.345240000002</v>
      </c>
      <c r="F33" s="723">
        <v>4.2000000000000003E-2</v>
      </c>
      <c r="G33" s="694">
        <f t="shared" si="1"/>
        <v>1450</v>
      </c>
      <c r="H33" s="695">
        <v>2559.1209599762728</v>
      </c>
      <c r="I33" s="696">
        <f t="shared" si="2"/>
        <v>54</v>
      </c>
      <c r="J33" s="696">
        <f t="shared" si="3"/>
        <v>1504</v>
      </c>
    </row>
    <row r="34" spans="1:10">
      <c r="A34" s="679">
        <f t="shared" si="0"/>
        <v>25</v>
      </c>
      <c r="B34" s="788" t="s">
        <v>125</v>
      </c>
      <c r="C34" s="216" t="s">
        <v>126</v>
      </c>
      <c r="D34" s="708"/>
      <c r="E34" s="692">
        <v>22281.820390000001</v>
      </c>
      <c r="F34" s="723">
        <v>4.1599999999999998E-2</v>
      </c>
      <c r="G34" s="694">
        <f t="shared" si="1"/>
        <v>927</v>
      </c>
      <c r="H34" s="695">
        <v>1702.9227095887743</v>
      </c>
      <c r="I34" s="696">
        <f t="shared" si="2"/>
        <v>35</v>
      </c>
      <c r="J34" s="696">
        <f t="shared" si="3"/>
        <v>962</v>
      </c>
    </row>
    <row r="35" spans="1:10">
      <c r="A35" s="679">
        <f t="shared" si="0"/>
        <v>26</v>
      </c>
      <c r="B35" s="788" t="s">
        <v>127</v>
      </c>
      <c r="C35" s="216" t="s">
        <v>128</v>
      </c>
      <c r="D35" s="708"/>
      <c r="E35" s="692">
        <v>2978.7532900000001</v>
      </c>
      <c r="F35" s="723">
        <v>2.5700000000000001E-2</v>
      </c>
      <c r="G35" s="694">
        <f t="shared" si="1"/>
        <v>77</v>
      </c>
      <c r="H35" s="695">
        <v>227.65584386811747</v>
      </c>
      <c r="I35" s="696">
        <f t="shared" si="2"/>
        <v>3</v>
      </c>
      <c r="J35" s="696">
        <f t="shared" si="3"/>
        <v>80</v>
      </c>
    </row>
    <row r="36" spans="1:10">
      <c r="A36" s="679">
        <f t="shared" si="0"/>
        <v>27</v>
      </c>
      <c r="B36" s="788" t="s">
        <v>129</v>
      </c>
      <c r="C36" s="216" t="s">
        <v>130</v>
      </c>
      <c r="D36" s="708"/>
      <c r="E36" s="692">
        <v>22879.822339999999</v>
      </c>
      <c r="F36" s="723">
        <v>3.61E-2</v>
      </c>
      <c r="G36" s="694">
        <f t="shared" si="1"/>
        <v>826</v>
      </c>
      <c r="H36" s="695">
        <v>1732.4378368479977</v>
      </c>
      <c r="I36" s="696">
        <f t="shared" si="2"/>
        <v>31</v>
      </c>
      <c r="J36" s="696">
        <f t="shared" si="3"/>
        <v>857</v>
      </c>
    </row>
    <row r="37" spans="1:10">
      <c r="A37" s="679">
        <f t="shared" si="0"/>
        <v>28</v>
      </c>
      <c r="B37" s="788" t="s">
        <v>131</v>
      </c>
      <c r="C37" s="216" t="s">
        <v>132</v>
      </c>
      <c r="D37" s="708"/>
      <c r="E37" s="692">
        <v>3097.2602299999999</v>
      </c>
      <c r="F37" s="723">
        <v>2.87E-2</v>
      </c>
      <c r="G37" s="694">
        <f t="shared" si="1"/>
        <v>89</v>
      </c>
      <c r="H37" s="695">
        <v>236.71292070643742</v>
      </c>
      <c r="I37" s="696">
        <f t="shared" si="2"/>
        <v>3</v>
      </c>
      <c r="J37" s="696">
        <f t="shared" si="3"/>
        <v>92</v>
      </c>
    </row>
    <row r="38" spans="1:10">
      <c r="A38" s="679">
        <f t="shared" si="0"/>
        <v>29</v>
      </c>
      <c r="B38" s="788" t="s">
        <v>133</v>
      </c>
      <c r="C38" s="216" t="s">
        <v>110</v>
      </c>
      <c r="D38" s="708"/>
      <c r="E38" s="692">
        <v>1983.7191000000003</v>
      </c>
      <c r="F38" s="723">
        <v>7.6499999999999999E-2</v>
      </c>
      <c r="G38" s="694">
        <f t="shared" si="1"/>
        <v>152</v>
      </c>
      <c r="H38" s="695">
        <v>541.72537333333332</v>
      </c>
      <c r="I38" s="696">
        <v>0</v>
      </c>
      <c r="J38" s="696">
        <f t="shared" si="3"/>
        <v>152</v>
      </c>
    </row>
    <row r="39" spans="1:10">
      <c r="A39" s="679">
        <f t="shared" si="0"/>
        <v>30</v>
      </c>
      <c r="B39" s="788" t="s">
        <v>400</v>
      </c>
      <c r="C39" s="216" t="s">
        <v>401</v>
      </c>
      <c r="D39" s="708"/>
      <c r="E39" s="692">
        <v>68.140350000000012</v>
      </c>
      <c r="F39" s="723">
        <v>7.3099999999999998E-2</v>
      </c>
      <c r="G39" s="694">
        <f t="shared" si="1"/>
        <v>5</v>
      </c>
      <c r="H39" s="695">
        <v>0</v>
      </c>
      <c r="I39" s="696">
        <f t="shared" si="2"/>
        <v>0</v>
      </c>
      <c r="J39" s="696">
        <f t="shared" si="3"/>
        <v>5</v>
      </c>
    </row>
    <row r="40" spans="1:10">
      <c r="A40" s="679">
        <f t="shared" si="0"/>
        <v>31</v>
      </c>
      <c r="B40" s="788" t="s">
        <v>134</v>
      </c>
      <c r="C40" s="216" t="s">
        <v>260</v>
      </c>
      <c r="D40" s="708"/>
      <c r="E40" s="692">
        <v>3131.07305</v>
      </c>
      <c r="F40" s="723">
        <v>2.75E-2</v>
      </c>
      <c r="G40" s="694">
        <f t="shared" si="1"/>
        <v>86</v>
      </c>
      <c r="H40" s="695">
        <v>239.29711795986648</v>
      </c>
      <c r="I40" s="696">
        <f t="shared" si="2"/>
        <v>3</v>
      </c>
      <c r="J40" s="696">
        <f t="shared" si="3"/>
        <v>89</v>
      </c>
    </row>
    <row r="41" spans="1:10">
      <c r="A41" s="679">
        <f t="shared" si="0"/>
        <v>32</v>
      </c>
      <c r="B41" s="788" t="s">
        <v>136</v>
      </c>
      <c r="C41" s="216" t="s">
        <v>137</v>
      </c>
      <c r="D41" s="708"/>
      <c r="E41" s="692">
        <v>9599.5235700000012</v>
      </c>
      <c r="F41" s="723">
        <v>3.7699999999999997E-2</v>
      </c>
      <c r="G41" s="694">
        <f>ROUND(E41*F41,0)</f>
        <v>362</v>
      </c>
      <c r="H41" s="695">
        <v>396.25333400000005</v>
      </c>
      <c r="I41" s="696">
        <f t="shared" si="2"/>
        <v>7</v>
      </c>
      <c r="J41" s="696">
        <f t="shared" si="3"/>
        <v>369</v>
      </c>
    </row>
    <row r="42" spans="1:10">
      <c r="A42" s="679">
        <f t="shared" si="0"/>
        <v>33</v>
      </c>
      <c r="B42" s="788" t="s">
        <v>261</v>
      </c>
      <c r="C42" s="216" t="s">
        <v>262</v>
      </c>
      <c r="D42" s="708"/>
      <c r="E42" s="692">
        <v>284.73828000000003</v>
      </c>
      <c r="F42" s="723">
        <v>2.9899999999999999E-2</v>
      </c>
      <c r="G42" s="694">
        <f t="shared" si="1"/>
        <v>9</v>
      </c>
      <c r="H42" s="695">
        <v>0</v>
      </c>
      <c r="I42" s="696">
        <f t="shared" si="2"/>
        <v>0</v>
      </c>
      <c r="J42" s="696">
        <f t="shared" si="3"/>
        <v>9</v>
      </c>
    </row>
    <row r="43" spans="1:10">
      <c r="A43" s="679">
        <f t="shared" si="0"/>
        <v>34</v>
      </c>
      <c r="B43" s="788" t="s">
        <v>138</v>
      </c>
      <c r="C43" s="711" t="s">
        <v>259</v>
      </c>
      <c r="D43" s="712"/>
      <c r="E43" s="706">
        <v>28057.79391</v>
      </c>
      <c r="F43" s="723">
        <v>2.6599999999999999E-2</v>
      </c>
      <c r="G43" s="694">
        <f t="shared" si="1"/>
        <v>746</v>
      </c>
      <c r="H43" s="700">
        <v>2032.3322381019641</v>
      </c>
      <c r="I43" s="701">
        <f t="shared" si="2"/>
        <v>27</v>
      </c>
      <c r="J43" s="701">
        <f t="shared" si="3"/>
        <v>773</v>
      </c>
    </row>
    <row r="44" spans="1:10">
      <c r="A44" s="679">
        <f t="shared" si="0"/>
        <v>35</v>
      </c>
      <c r="B44" s="788"/>
      <c r="C44" s="216" t="s">
        <v>139</v>
      </c>
      <c r="D44" s="708"/>
      <c r="E44" s="692">
        <f>SUM(E32:E43)</f>
        <v>130226.63209000003</v>
      </c>
      <c r="F44" s="722"/>
      <c r="G44" s="704">
        <f>SUM(G32:G43)</f>
        <v>4749</v>
      </c>
      <c r="H44" s="695">
        <f>SUM(H32:H43)</f>
        <v>9770.154740666665</v>
      </c>
      <c r="I44" s="695">
        <f>SUM(I32:I43)</f>
        <v>164</v>
      </c>
      <c r="J44" s="695">
        <f>SUM(J32:J43)</f>
        <v>4913</v>
      </c>
    </row>
    <row r="45" spans="1:10">
      <c r="A45" s="679">
        <f t="shared" si="0"/>
        <v>36</v>
      </c>
      <c r="B45" s="788"/>
      <c r="D45" s="708"/>
      <c r="E45" s="692"/>
      <c r="F45" s="723"/>
      <c r="G45" s="710"/>
      <c r="H45" s="695"/>
      <c r="I45" s="696"/>
      <c r="J45" s="696"/>
    </row>
    <row r="46" spans="1:10">
      <c r="A46" s="679">
        <f t="shared" si="0"/>
        <v>37</v>
      </c>
      <c r="B46" s="788"/>
      <c r="C46" s="216" t="s">
        <v>140</v>
      </c>
      <c r="D46" s="708"/>
      <c r="E46" s="692"/>
      <c r="F46" s="723"/>
      <c r="G46" s="710"/>
      <c r="H46" s="695"/>
      <c r="I46" s="696"/>
      <c r="J46" s="696"/>
    </row>
    <row r="47" spans="1:10">
      <c r="A47" s="679">
        <f t="shared" si="0"/>
        <v>38</v>
      </c>
      <c r="B47" s="788" t="s">
        <v>141</v>
      </c>
      <c r="C47" s="216" t="s">
        <v>142</v>
      </c>
      <c r="D47" s="708"/>
      <c r="E47" s="692">
        <v>3634.4278800000002</v>
      </c>
      <c r="F47" s="723">
        <v>2.63E-2</v>
      </c>
      <c r="G47" s="694">
        <f t="shared" ref="G47:G57" si="4">ROUND(E47*F47,0)</f>
        <v>96</v>
      </c>
      <c r="H47" s="695">
        <v>1124.0255849999999</v>
      </c>
      <c r="I47" s="696">
        <f t="shared" ref="I47:I57" si="5">ROUND(H47*F47/2,0)</f>
        <v>15</v>
      </c>
      <c r="J47" s="696">
        <f t="shared" ref="J47:J57" si="6">I47+G47</f>
        <v>111</v>
      </c>
    </row>
    <row r="48" spans="1:10">
      <c r="A48" s="679">
        <f t="shared" si="0"/>
        <v>39</v>
      </c>
      <c r="B48" s="788" t="s">
        <v>143</v>
      </c>
      <c r="C48" s="216" t="s">
        <v>144</v>
      </c>
      <c r="D48" s="708"/>
      <c r="E48" s="692">
        <v>193.625</v>
      </c>
      <c r="F48" s="723">
        <v>5.7000000000000002E-2</v>
      </c>
      <c r="G48" s="694">
        <f t="shared" si="4"/>
        <v>11</v>
      </c>
      <c r="H48" s="695">
        <v>11.205916666666667</v>
      </c>
      <c r="I48" s="696">
        <v>0</v>
      </c>
      <c r="J48" s="696">
        <f t="shared" si="6"/>
        <v>11</v>
      </c>
    </row>
    <row r="49" spans="1:11">
      <c r="A49" s="679">
        <f t="shared" si="0"/>
        <v>40</v>
      </c>
      <c r="B49" s="788" t="s">
        <v>525</v>
      </c>
      <c r="C49" s="216" t="s">
        <v>339</v>
      </c>
      <c r="D49" s="708"/>
      <c r="E49" s="692">
        <v>47.030540000000002</v>
      </c>
      <c r="F49" s="723">
        <v>0.18729999999999999</v>
      </c>
      <c r="G49" s="694">
        <f t="shared" si="4"/>
        <v>9</v>
      </c>
      <c r="H49" s="695">
        <v>0</v>
      </c>
      <c r="I49" s="696">
        <f t="shared" si="5"/>
        <v>0</v>
      </c>
      <c r="J49" s="696">
        <f t="shared" si="6"/>
        <v>9</v>
      </c>
    </row>
    <row r="50" spans="1:11">
      <c r="A50" s="679">
        <f t="shared" si="0"/>
        <v>41</v>
      </c>
      <c r="B50" s="788" t="s">
        <v>263</v>
      </c>
      <c r="C50" s="216" t="s">
        <v>264</v>
      </c>
      <c r="D50" s="708"/>
      <c r="E50" s="692">
        <v>2953.7441699999999</v>
      </c>
      <c r="F50" s="723">
        <v>6.4399999999999999E-2</v>
      </c>
      <c r="G50" s="694">
        <f>ROUND(E50*F50,0)</f>
        <v>190</v>
      </c>
      <c r="H50" s="695">
        <v>432.07108333333321</v>
      </c>
      <c r="I50" s="696">
        <f>ROUND(H50*F50/2,0)</f>
        <v>14</v>
      </c>
      <c r="J50" s="696">
        <f t="shared" si="6"/>
        <v>204</v>
      </c>
    </row>
    <row r="51" spans="1:11">
      <c r="A51" s="679">
        <f t="shared" si="0"/>
        <v>42</v>
      </c>
      <c r="B51" s="788" t="s">
        <v>145</v>
      </c>
      <c r="C51" s="216" t="s">
        <v>146</v>
      </c>
      <c r="D51" s="708"/>
      <c r="E51" s="692">
        <v>843.41227000000003</v>
      </c>
      <c r="F51" s="723">
        <v>6.3299999999999995E-2</v>
      </c>
      <c r="G51" s="694">
        <f t="shared" si="4"/>
        <v>53</v>
      </c>
      <c r="H51" s="695">
        <v>86.356709999999993</v>
      </c>
      <c r="I51" s="696">
        <f t="shared" si="5"/>
        <v>3</v>
      </c>
      <c r="J51" s="696">
        <f t="shared" si="6"/>
        <v>56</v>
      </c>
    </row>
    <row r="52" spans="1:11">
      <c r="A52" s="679">
        <f t="shared" si="0"/>
        <v>43</v>
      </c>
      <c r="B52" s="788" t="s">
        <v>148</v>
      </c>
      <c r="C52" s="216" t="s">
        <v>265</v>
      </c>
      <c r="D52" s="708"/>
      <c r="E52" s="692">
        <v>938.16001000000006</v>
      </c>
      <c r="F52" s="723">
        <v>5.5E-2</v>
      </c>
      <c r="G52" s="694">
        <f t="shared" si="4"/>
        <v>52</v>
      </c>
      <c r="H52" s="695">
        <v>64.7</v>
      </c>
      <c r="I52" s="696">
        <f t="shared" si="5"/>
        <v>2</v>
      </c>
      <c r="J52" s="696">
        <f t="shared" si="6"/>
        <v>54</v>
      </c>
    </row>
    <row r="53" spans="1:11">
      <c r="A53" s="679">
        <f t="shared" si="0"/>
        <v>44</v>
      </c>
      <c r="B53" s="788" t="s">
        <v>369</v>
      </c>
      <c r="C53" s="216" t="s">
        <v>370</v>
      </c>
      <c r="D53" s="708"/>
      <c r="E53" s="692">
        <v>474.68126000000001</v>
      </c>
      <c r="F53" s="723">
        <v>2.93E-2</v>
      </c>
      <c r="G53" s="694">
        <f t="shared" si="4"/>
        <v>14</v>
      </c>
      <c r="H53" s="695">
        <v>0</v>
      </c>
      <c r="I53" s="696">
        <f t="shared" si="5"/>
        <v>0</v>
      </c>
      <c r="J53" s="696">
        <f t="shared" si="6"/>
        <v>14</v>
      </c>
    </row>
    <row r="54" spans="1:11">
      <c r="A54" s="679">
        <f t="shared" si="0"/>
        <v>45</v>
      </c>
      <c r="B54" s="788" t="s">
        <v>272</v>
      </c>
      <c r="C54" s="678" t="s">
        <v>271</v>
      </c>
      <c r="D54" s="708"/>
      <c r="E54" s="692">
        <v>1.4930000000000001</v>
      </c>
      <c r="F54" s="723">
        <v>0</v>
      </c>
      <c r="G54" s="694">
        <f t="shared" si="4"/>
        <v>0</v>
      </c>
      <c r="H54" s="695">
        <v>0</v>
      </c>
      <c r="I54" s="696">
        <f t="shared" si="5"/>
        <v>0</v>
      </c>
      <c r="J54" s="696">
        <f t="shared" si="6"/>
        <v>0</v>
      </c>
    </row>
    <row r="55" spans="1:11">
      <c r="A55" s="679">
        <f t="shared" si="0"/>
        <v>46</v>
      </c>
      <c r="B55" s="788" t="s">
        <v>636</v>
      </c>
      <c r="C55" s="678" t="s">
        <v>784</v>
      </c>
      <c r="D55" s="708"/>
      <c r="E55" s="692">
        <v>1251</v>
      </c>
      <c r="F55" s="723">
        <v>0.04</v>
      </c>
      <c r="G55" s="694">
        <v>0</v>
      </c>
      <c r="H55" s="695">
        <v>650</v>
      </c>
      <c r="I55" s="696">
        <f>+H55*F55</f>
        <v>26</v>
      </c>
      <c r="J55" s="696">
        <f t="shared" si="6"/>
        <v>26</v>
      </c>
    </row>
    <row r="56" spans="1:11">
      <c r="A56" s="679">
        <f t="shared" si="0"/>
        <v>47</v>
      </c>
      <c r="B56" s="788" t="s">
        <v>637</v>
      </c>
      <c r="C56" s="678" t="s">
        <v>639</v>
      </c>
      <c r="D56" s="708"/>
      <c r="E56" s="692">
        <v>0</v>
      </c>
      <c r="F56" s="723">
        <v>0.1</v>
      </c>
      <c r="G56" s="694">
        <v>0</v>
      </c>
      <c r="H56" s="695">
        <v>481.428</v>
      </c>
      <c r="I56" s="696">
        <f>+H56*F56</f>
        <v>48.142800000000001</v>
      </c>
      <c r="J56" s="696">
        <f t="shared" si="6"/>
        <v>48.142800000000001</v>
      </c>
    </row>
    <row r="57" spans="1:11">
      <c r="A57" s="679">
        <f t="shared" si="0"/>
        <v>48</v>
      </c>
      <c r="B57" s="788" t="s">
        <v>638</v>
      </c>
      <c r="C57" s="711" t="s">
        <v>480</v>
      </c>
      <c r="D57" s="712"/>
      <c r="E57" s="706">
        <v>2203.6600000000003</v>
      </c>
      <c r="F57" s="724">
        <v>0.1</v>
      </c>
      <c r="G57" s="705">
        <f t="shared" si="4"/>
        <v>220</v>
      </c>
      <c r="H57" s="700">
        <v>705</v>
      </c>
      <c r="I57" s="701">
        <f t="shared" si="5"/>
        <v>35</v>
      </c>
      <c r="J57" s="701">
        <f t="shared" si="6"/>
        <v>255</v>
      </c>
    </row>
    <row r="58" spans="1:11">
      <c r="A58" s="679">
        <f t="shared" si="0"/>
        <v>49</v>
      </c>
      <c r="B58" s="713"/>
      <c r="C58" s="697" t="s">
        <v>149</v>
      </c>
      <c r="D58" s="678"/>
      <c r="E58" s="715">
        <f>SUM(E47:E57)</f>
        <v>12541.234130000001</v>
      </c>
      <c r="F58" s="721"/>
      <c r="G58" s="694">
        <f>SUM(G47:G57)</f>
        <v>645</v>
      </c>
      <c r="H58" s="695">
        <f>SUM(H47:H57)</f>
        <v>3554.7872950000001</v>
      </c>
      <c r="I58" s="716">
        <f>SUM(I47:I57)</f>
        <v>143.14279999999999</v>
      </c>
      <c r="J58" s="716">
        <f>SUM(J47:J57)</f>
        <v>788.14279999999997</v>
      </c>
    </row>
    <row r="59" spans="1:11" ht="15">
      <c r="A59" s="679">
        <f t="shared" si="0"/>
        <v>50</v>
      </c>
      <c r="B59" s="713"/>
      <c r="C59" s="697"/>
      <c r="D59" s="685"/>
      <c r="E59" s="692"/>
      <c r="F59" s="721"/>
      <c r="G59" s="694"/>
      <c r="H59" s="695"/>
      <c r="I59" s="716"/>
      <c r="J59" s="716"/>
      <c r="K59" s="678"/>
    </row>
    <row r="60" spans="1:11" ht="15" thickBot="1">
      <c r="A60" s="679">
        <f t="shared" si="0"/>
        <v>51</v>
      </c>
      <c r="B60" s="713"/>
      <c r="C60" s="678" t="s">
        <v>150</v>
      </c>
      <c r="E60" s="692">
        <f>E58+E44+E29+E25+E17</f>
        <v>165208.31470000002</v>
      </c>
      <c r="F60" s="721" t="s">
        <v>27</v>
      </c>
      <c r="G60" s="717">
        <f>G44+G58+G25+G17+G29</f>
        <v>6152</v>
      </c>
      <c r="H60" s="717">
        <f>H44+H58+H25+H17+H29</f>
        <v>20521.794235666664</v>
      </c>
      <c r="I60" s="717">
        <f>I44+I58+I25+I17+I29</f>
        <v>422.14279999999997</v>
      </c>
      <c r="J60" s="717">
        <f>J44+J58+J25+J17+J29</f>
        <v>6574.1427999999996</v>
      </c>
      <c r="K60" s="678"/>
    </row>
    <row r="61" spans="1:11">
      <c r="A61" s="679">
        <f t="shared" si="0"/>
        <v>52</v>
      </c>
      <c r="B61" s="713"/>
      <c r="C61" s="678" t="s">
        <v>432</v>
      </c>
      <c r="E61" s="706">
        <v>380</v>
      </c>
      <c r="F61" s="721"/>
      <c r="G61" s="695"/>
      <c r="H61" s="718"/>
      <c r="I61" s="695"/>
      <c r="J61" s="695"/>
    </row>
    <row r="62" spans="1:11">
      <c r="A62" s="679">
        <f t="shared" si="0"/>
        <v>53</v>
      </c>
      <c r="B62" s="681"/>
      <c r="C62" s="678" t="s">
        <v>151</v>
      </c>
      <c r="D62" s="678" t="s">
        <v>633</v>
      </c>
      <c r="E62" s="692">
        <f>+E61+E60</f>
        <v>165588.31470000002</v>
      </c>
      <c r="F62" s="721"/>
      <c r="G62" s="695"/>
      <c r="H62" s="695"/>
      <c r="I62" s="695"/>
      <c r="J62" s="695"/>
    </row>
  </sheetData>
  <customSheetViews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9" right="0.25" top="0.5" bottom="0.5" header="0.5" footer="0.5"/>
  <pageSetup scale="61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K62"/>
  <sheetViews>
    <sheetView topLeftCell="A13" zoomScale="70" zoomScaleNormal="70" zoomScaleSheetLayoutView="75" workbookViewId="0">
      <selection activeCell="V236" sqref="V236"/>
    </sheetView>
  </sheetViews>
  <sheetFormatPr defaultRowHeight="14.25"/>
  <cols>
    <col min="1" max="1" width="6" style="216" bestFit="1" customWidth="1"/>
    <col min="2" max="2" width="9" style="216" customWidth="1"/>
    <col min="3" max="3" width="44.42578125" style="216" bestFit="1" customWidth="1"/>
    <col min="4" max="4" width="9.5703125" style="216" customWidth="1"/>
    <col min="5" max="5" width="15.7109375" style="678" customWidth="1"/>
    <col min="6" max="10" width="15.7109375" style="216" customWidth="1"/>
    <col min="11" max="11" width="2.85546875" style="216" customWidth="1"/>
    <col min="12" max="16384" width="9.140625" style="216"/>
  </cols>
  <sheetData>
    <row r="1" spans="1:11" ht="15.75">
      <c r="A1" s="420" t="s">
        <v>350</v>
      </c>
      <c r="B1" s="420"/>
      <c r="C1" s="420"/>
      <c r="D1" s="420"/>
      <c r="E1" s="420"/>
      <c r="F1" s="420"/>
      <c r="G1" s="420"/>
      <c r="H1" s="420"/>
      <c r="I1" s="406"/>
      <c r="J1" s="406"/>
      <c r="K1" s="126" t="s">
        <v>475</v>
      </c>
    </row>
    <row r="2" spans="1:11" ht="12.75" customHeight="1">
      <c r="A2" s="420" t="s">
        <v>463</v>
      </c>
      <c r="B2" s="420"/>
      <c r="C2" s="420"/>
      <c r="D2" s="420"/>
      <c r="E2" s="420"/>
      <c r="F2" s="420"/>
      <c r="G2" s="420"/>
      <c r="H2" s="420"/>
      <c r="I2" s="406"/>
      <c r="J2" s="406"/>
      <c r="K2" s="463"/>
    </row>
    <row r="3" spans="1:11" ht="12.75" customHeight="1">
      <c r="A3" s="420" t="s">
        <v>474</v>
      </c>
      <c r="B3" s="420"/>
      <c r="C3" s="420"/>
      <c r="D3" s="420"/>
      <c r="E3" s="420"/>
      <c r="F3" s="420"/>
      <c r="G3" s="420"/>
      <c r="H3" s="420"/>
      <c r="I3" s="406"/>
      <c r="J3" s="406"/>
      <c r="K3" s="463"/>
    </row>
    <row r="4" spans="1:11" ht="15.75">
      <c r="A4" s="420" t="s">
        <v>32</v>
      </c>
      <c r="B4" s="420"/>
      <c r="C4" s="406"/>
      <c r="D4" s="406"/>
      <c r="E4" s="682"/>
      <c r="F4" s="406"/>
      <c r="G4" s="406"/>
      <c r="H4" s="406"/>
      <c r="I4" s="420"/>
      <c r="J4" s="406"/>
      <c r="K4" s="463"/>
    </row>
    <row r="5" spans="1:11">
      <c r="F5" s="679"/>
      <c r="J5" s="679"/>
    </row>
    <row r="6" spans="1:11" ht="15">
      <c r="A6" s="680"/>
      <c r="B6" s="680"/>
      <c r="C6" s="683"/>
      <c r="D6" s="684"/>
      <c r="E6" s="685">
        <v>2014</v>
      </c>
      <c r="F6" s="676"/>
      <c r="G6" s="676" t="s">
        <v>29</v>
      </c>
      <c r="H6" s="676" t="s">
        <v>113</v>
      </c>
      <c r="I6" s="676" t="s">
        <v>324</v>
      </c>
      <c r="J6" s="676">
        <v>2014</v>
      </c>
    </row>
    <row r="7" spans="1:11" ht="15">
      <c r="A7" s="676" t="s">
        <v>33</v>
      </c>
      <c r="B7" s="676" t="s">
        <v>27</v>
      </c>
      <c r="C7" s="676"/>
      <c r="D7" s="686" t="s">
        <v>101</v>
      </c>
      <c r="E7" s="687" t="s">
        <v>321</v>
      </c>
      <c r="F7" s="688" t="s">
        <v>29</v>
      </c>
      <c r="G7" s="676" t="s">
        <v>323</v>
      </c>
      <c r="H7" s="676" t="s">
        <v>328</v>
      </c>
      <c r="I7" s="676" t="s">
        <v>325</v>
      </c>
      <c r="J7" s="676" t="s">
        <v>326</v>
      </c>
    </row>
    <row r="8" spans="1:11" ht="15">
      <c r="A8" s="689" t="s">
        <v>35</v>
      </c>
      <c r="B8" s="689" t="s">
        <v>115</v>
      </c>
      <c r="C8" s="689" t="s">
        <v>178</v>
      </c>
      <c r="D8" s="690" t="s">
        <v>36</v>
      </c>
      <c r="E8" s="689" t="s">
        <v>322</v>
      </c>
      <c r="F8" s="689" t="s">
        <v>38</v>
      </c>
      <c r="G8" s="689" t="s">
        <v>40</v>
      </c>
      <c r="H8" s="689" t="s">
        <v>164</v>
      </c>
      <c r="I8" s="689" t="s">
        <v>164</v>
      </c>
      <c r="J8" s="689" t="s">
        <v>327</v>
      </c>
    </row>
    <row r="9" spans="1:11" ht="15">
      <c r="A9" s="691"/>
      <c r="B9" s="691"/>
      <c r="C9" s="691"/>
      <c r="D9" s="686"/>
      <c r="E9" s="691"/>
      <c r="F9" s="691"/>
      <c r="G9" s="691"/>
      <c r="H9" s="678"/>
    </row>
    <row r="10" spans="1:11" ht="15">
      <c r="A10" s="679">
        <v>1</v>
      </c>
      <c r="B10" s="679"/>
      <c r="C10" s="216" t="s">
        <v>362</v>
      </c>
      <c r="D10" s="686"/>
      <c r="E10" s="691"/>
      <c r="F10" s="691"/>
      <c r="G10" s="678"/>
      <c r="H10" s="678"/>
    </row>
    <row r="11" spans="1:11" ht="15">
      <c r="A11" s="679">
        <f>A10+1</f>
        <v>2</v>
      </c>
      <c r="B11" s="679"/>
      <c r="D11" s="686"/>
      <c r="E11" s="692"/>
      <c r="F11" s="693"/>
      <c r="G11" s="694"/>
      <c r="H11" s="695"/>
      <c r="I11" s="696"/>
      <c r="J11" s="696"/>
    </row>
    <row r="12" spans="1:11" ht="15">
      <c r="A12" s="691">
        <v>3</v>
      </c>
      <c r="B12" s="679" t="s">
        <v>402</v>
      </c>
      <c r="C12" s="697" t="s">
        <v>363</v>
      </c>
      <c r="D12" s="686"/>
      <c r="E12" s="692">
        <v>442.40717498683932</v>
      </c>
      <c r="F12" s="693">
        <v>2.7900000000000001E-2</v>
      </c>
      <c r="G12" s="694">
        <f>ROUND(E12*F12,0)</f>
        <v>12</v>
      </c>
      <c r="H12" s="695">
        <v>157.12665738754922</v>
      </c>
      <c r="I12" s="696">
        <f>ROUND(H12*F12/2,0)</f>
        <v>2</v>
      </c>
      <c r="J12" s="696">
        <f>I12+G12</f>
        <v>14</v>
      </c>
    </row>
    <row r="13" spans="1:11" ht="15">
      <c r="A13" s="691">
        <f t="shared" ref="A13:A62" si="0">A12+1</f>
        <v>4</v>
      </c>
      <c r="B13" s="679" t="s">
        <v>403</v>
      </c>
      <c r="C13" s="697" t="s">
        <v>364</v>
      </c>
      <c r="D13" s="686"/>
      <c r="E13" s="692">
        <v>4001.2104327367215</v>
      </c>
      <c r="F13" s="693">
        <v>2.5999999999999999E-2</v>
      </c>
      <c r="G13" s="694">
        <f>ROUND(E13*F13,0)</f>
        <v>104</v>
      </c>
      <c r="H13" s="695">
        <v>1421.0818819084766</v>
      </c>
      <c r="I13" s="696">
        <f>ROUND(H13*F13/2,0)</f>
        <v>18</v>
      </c>
      <c r="J13" s="696">
        <f>I13+G13</f>
        <v>122</v>
      </c>
    </row>
    <row r="14" spans="1:11" ht="15">
      <c r="A14" s="691">
        <f t="shared" si="0"/>
        <v>5</v>
      </c>
      <c r="B14" s="679" t="s">
        <v>404</v>
      </c>
      <c r="C14" s="697" t="s">
        <v>365</v>
      </c>
      <c r="D14" s="686"/>
      <c r="E14" s="692">
        <v>4508.439849893477</v>
      </c>
      <c r="F14" s="693">
        <v>2.7699999999999999E-2</v>
      </c>
      <c r="G14" s="694">
        <f>ROUND(E14*F14,0)</f>
        <v>125</v>
      </c>
      <c r="H14" s="695">
        <v>1601.2310009837872</v>
      </c>
      <c r="I14" s="696">
        <f>ROUND(H14*F14/2,0)</f>
        <v>22</v>
      </c>
      <c r="J14" s="696">
        <f>I14+G14</f>
        <v>147</v>
      </c>
    </row>
    <row r="15" spans="1:11" ht="15">
      <c r="A15" s="691">
        <f t="shared" si="0"/>
        <v>6</v>
      </c>
      <c r="B15" s="679" t="s">
        <v>405</v>
      </c>
      <c r="C15" s="697" t="s">
        <v>366</v>
      </c>
      <c r="D15" s="686"/>
      <c r="E15" s="692">
        <v>265.99940446374893</v>
      </c>
      <c r="F15" s="693">
        <v>2.87E-2</v>
      </c>
      <c r="G15" s="694">
        <f>ROUND(E15*F15,0)</f>
        <v>8</v>
      </c>
      <c r="H15" s="695">
        <v>94.473145223539703</v>
      </c>
      <c r="I15" s="696">
        <f>ROUND(H15*F15/2,0)</f>
        <v>1</v>
      </c>
      <c r="J15" s="696">
        <f>I15+G15</f>
        <v>9</v>
      </c>
    </row>
    <row r="16" spans="1:11" ht="15">
      <c r="A16" s="691">
        <f t="shared" si="0"/>
        <v>7</v>
      </c>
      <c r="B16" s="679" t="s">
        <v>406</v>
      </c>
      <c r="C16" s="698" t="s">
        <v>367</v>
      </c>
      <c r="D16" s="690"/>
      <c r="E16" s="699">
        <v>115.68579791921277</v>
      </c>
      <c r="F16" s="693">
        <v>4.4600000000000001E-2</v>
      </c>
      <c r="G16" s="694">
        <f>ROUND(E16*F16,0)</f>
        <v>5</v>
      </c>
      <c r="H16" s="700">
        <v>41.087314496646982</v>
      </c>
      <c r="I16" s="701">
        <f>ROUND(H16*F16/2,0)</f>
        <v>1</v>
      </c>
      <c r="J16" s="701">
        <f>I16+G16</f>
        <v>6</v>
      </c>
    </row>
    <row r="17" spans="1:10" ht="15">
      <c r="A17" s="691">
        <f t="shared" si="0"/>
        <v>8</v>
      </c>
      <c r="B17" s="702"/>
      <c r="C17" s="216" t="s">
        <v>389</v>
      </c>
      <c r="D17" s="686"/>
      <c r="E17" s="692">
        <f>SUM(E11:E16)</f>
        <v>9333.7426599999999</v>
      </c>
      <c r="F17" s="703"/>
      <c r="G17" s="704">
        <f>SUM(G11:G16)</f>
        <v>254</v>
      </c>
      <c r="H17" s="695">
        <f>SUM(H11:H16)</f>
        <v>3314.9999999999995</v>
      </c>
      <c r="I17" s="695">
        <f>SUM(I11:I16)</f>
        <v>44</v>
      </c>
      <c r="J17" s="695">
        <f>SUM(J11:J16)</f>
        <v>298</v>
      </c>
    </row>
    <row r="18" spans="1:10" ht="15">
      <c r="A18" s="691">
        <f t="shared" si="0"/>
        <v>9</v>
      </c>
      <c r="B18" s="702"/>
      <c r="C18" s="697"/>
      <c r="D18" s="686"/>
      <c r="E18" s="692"/>
      <c r="F18" s="693"/>
      <c r="G18" s="694"/>
      <c r="H18" s="695"/>
      <c r="I18" s="696"/>
      <c r="J18" s="696"/>
    </row>
    <row r="19" spans="1:10" ht="15">
      <c r="A19" s="691">
        <f t="shared" si="0"/>
        <v>10</v>
      </c>
      <c r="B19" s="702"/>
      <c r="C19" s="216" t="s">
        <v>368</v>
      </c>
      <c r="D19" s="686"/>
      <c r="E19" s="692"/>
      <c r="F19" s="693"/>
      <c r="G19" s="694"/>
      <c r="H19" s="695"/>
      <c r="I19" s="696"/>
      <c r="J19" s="696"/>
    </row>
    <row r="20" spans="1:10" ht="15">
      <c r="A20" s="691">
        <f t="shared" si="0"/>
        <v>11</v>
      </c>
      <c r="B20" s="679" t="s">
        <v>250</v>
      </c>
      <c r="C20" s="697" t="s">
        <v>894</v>
      </c>
      <c r="D20" s="686"/>
      <c r="E20" s="692">
        <v>2728.974508722727</v>
      </c>
      <c r="F20" s="693">
        <v>3.1281060383860651E-2</v>
      </c>
      <c r="G20" s="694">
        <f>ROUND(E20*F20,0)</f>
        <v>85</v>
      </c>
      <c r="H20" s="695">
        <v>649.1707279671009</v>
      </c>
      <c r="I20" s="696">
        <f>ROUND(H20*F20/2,0)</f>
        <v>10</v>
      </c>
      <c r="J20" s="696">
        <f>I20+G20</f>
        <v>95</v>
      </c>
    </row>
    <row r="21" spans="1:10" ht="15">
      <c r="A21" s="691">
        <f t="shared" si="0"/>
        <v>12</v>
      </c>
      <c r="B21" s="679" t="s">
        <v>251</v>
      </c>
      <c r="C21" s="697" t="s">
        <v>889</v>
      </c>
      <c r="D21" s="686"/>
      <c r="E21" s="692">
        <v>3825.8998851039714</v>
      </c>
      <c r="F21" s="693">
        <v>3.7996283489917793E-2</v>
      </c>
      <c r="G21" s="694">
        <f>ROUND(E21*F21,0)</f>
        <v>145</v>
      </c>
      <c r="H21" s="695">
        <v>910.10824967531471</v>
      </c>
      <c r="I21" s="696">
        <f>ROUND(H21*F21/2,0)</f>
        <v>17</v>
      </c>
      <c r="J21" s="696">
        <f>I21+G21</f>
        <v>162</v>
      </c>
    </row>
    <row r="22" spans="1:10" ht="15">
      <c r="A22" s="691">
        <f t="shared" si="0"/>
        <v>13</v>
      </c>
      <c r="B22" s="679" t="s">
        <v>252</v>
      </c>
      <c r="C22" s="697" t="s">
        <v>253</v>
      </c>
      <c r="D22" s="686"/>
      <c r="E22" s="692">
        <v>8864.742252101918</v>
      </c>
      <c r="F22" s="693">
        <v>4.3363840838205048E-2</v>
      </c>
      <c r="G22" s="694">
        <f>ROUND(E22*F22,0)</f>
        <v>384</v>
      </c>
      <c r="H22" s="695">
        <v>2108.7522667007884</v>
      </c>
      <c r="I22" s="696">
        <f>ROUND(H22*F22/2,0)</f>
        <v>46</v>
      </c>
      <c r="J22" s="696">
        <f>I22+G22</f>
        <v>430</v>
      </c>
    </row>
    <row r="23" spans="1:10" ht="15">
      <c r="A23" s="691">
        <f t="shared" si="0"/>
        <v>14</v>
      </c>
      <c r="B23" s="679" t="s">
        <v>254</v>
      </c>
      <c r="C23" s="697" t="s">
        <v>257</v>
      </c>
      <c r="D23" s="686"/>
      <c r="E23" s="692">
        <v>2531.846517208553</v>
      </c>
      <c r="F23" s="693">
        <v>3.5195341215602118E-2</v>
      </c>
      <c r="G23" s="694">
        <f>ROUND(E23*F23,0)</f>
        <v>89</v>
      </c>
      <c r="H23" s="695">
        <v>602.27775723948366</v>
      </c>
      <c r="I23" s="696">
        <f>ROUND(H23*F23/2,0)</f>
        <v>11</v>
      </c>
      <c r="J23" s="696">
        <f>I23+G23</f>
        <v>100</v>
      </c>
    </row>
    <row r="24" spans="1:10" ht="15">
      <c r="A24" s="691">
        <f t="shared" si="0"/>
        <v>15</v>
      </c>
      <c r="B24" s="679" t="s">
        <v>255</v>
      </c>
      <c r="C24" s="698" t="s">
        <v>256</v>
      </c>
      <c r="D24" s="690"/>
      <c r="E24" s="699">
        <v>967.67358686283137</v>
      </c>
      <c r="F24" s="693">
        <v>2.9623926475272608E-2</v>
      </c>
      <c r="G24" s="705">
        <f>ROUND(E24*F24,0)</f>
        <v>29</v>
      </c>
      <c r="H24" s="695">
        <v>230.1909984173127</v>
      </c>
      <c r="I24" s="696">
        <f>ROUND(H24*F24/2,0)</f>
        <v>3</v>
      </c>
      <c r="J24" s="696">
        <f>I24+G24</f>
        <v>32</v>
      </c>
    </row>
    <row r="25" spans="1:10" ht="15">
      <c r="A25" s="691">
        <f t="shared" si="0"/>
        <v>16</v>
      </c>
      <c r="B25" s="702"/>
      <c r="C25" s="697" t="s">
        <v>390</v>
      </c>
      <c r="D25" s="686"/>
      <c r="E25" s="692">
        <f>SUM(E20:E24)</f>
        <v>18919.136750000001</v>
      </c>
      <c r="F25" s="703"/>
      <c r="G25" s="695">
        <f>SUM(G20:G24)</f>
        <v>732</v>
      </c>
      <c r="H25" s="704">
        <f>SUM(H20:H24)</f>
        <v>4500.5</v>
      </c>
      <c r="I25" s="704">
        <f>SUM(I20:I24)</f>
        <v>87</v>
      </c>
      <c r="J25" s="704">
        <f>SUM(J20:J24)</f>
        <v>819</v>
      </c>
    </row>
    <row r="26" spans="1:10" ht="15">
      <c r="A26" s="691">
        <f t="shared" si="0"/>
        <v>17</v>
      </c>
      <c r="B26" s="702"/>
      <c r="C26" s="691"/>
      <c r="D26" s="686"/>
      <c r="E26" s="692"/>
      <c r="F26" s="693"/>
      <c r="G26" s="694"/>
      <c r="H26" s="695"/>
      <c r="I26" s="696"/>
      <c r="J26" s="696"/>
    </row>
    <row r="27" spans="1:10" ht="15">
      <c r="A27" s="691">
        <f t="shared" si="0"/>
        <v>18</v>
      </c>
      <c r="B27" s="702"/>
      <c r="C27" s="216" t="s">
        <v>371</v>
      </c>
      <c r="D27" s="686"/>
      <c r="E27" s="692"/>
      <c r="F27" s="693"/>
      <c r="G27" s="694"/>
      <c r="H27" s="695"/>
      <c r="I27" s="696"/>
      <c r="J27" s="696"/>
    </row>
    <row r="28" spans="1:10" ht="15">
      <c r="A28" s="691">
        <f t="shared" si="0"/>
        <v>19</v>
      </c>
      <c r="B28" s="679" t="s">
        <v>258</v>
      </c>
      <c r="C28" s="698" t="s">
        <v>135</v>
      </c>
      <c r="D28" s="690"/>
      <c r="E28" s="706">
        <v>1384</v>
      </c>
      <c r="F28" s="693">
        <v>2.2499999999999999E-2</v>
      </c>
      <c r="G28" s="705">
        <f>ROUND(E28*F28,0)</f>
        <v>31</v>
      </c>
      <c r="H28" s="700">
        <v>0</v>
      </c>
      <c r="I28" s="701">
        <f>ROUND(H28*F28/2,0)</f>
        <v>0</v>
      </c>
      <c r="J28" s="701">
        <f>I28+G28</f>
        <v>31</v>
      </c>
    </row>
    <row r="29" spans="1:10" ht="15">
      <c r="A29" s="691">
        <f t="shared" si="0"/>
        <v>20</v>
      </c>
      <c r="B29" s="679" t="s">
        <v>27</v>
      </c>
      <c r="C29" s="707" t="s">
        <v>266</v>
      </c>
      <c r="D29" s="686"/>
      <c r="E29" s="692">
        <f>SUM(E28:E28)</f>
        <v>1384</v>
      </c>
      <c r="F29" s="703"/>
      <c r="G29" s="695">
        <f>SUM(G28:G28)</f>
        <v>31</v>
      </c>
      <c r="H29" s="695">
        <f>SUM(H28:H28)</f>
        <v>0</v>
      </c>
      <c r="I29" s="695">
        <f>SUM(I28:I28)</f>
        <v>0</v>
      </c>
      <c r="J29" s="695">
        <f>SUM(J28:J28)</f>
        <v>31</v>
      </c>
    </row>
    <row r="30" spans="1:10" ht="15">
      <c r="A30" s="691">
        <f t="shared" si="0"/>
        <v>21</v>
      </c>
      <c r="B30" s="679" t="s">
        <v>27</v>
      </c>
      <c r="C30" s="691"/>
      <c r="D30" s="686"/>
      <c r="E30" s="692"/>
      <c r="F30" s="693"/>
      <c r="G30" s="694"/>
      <c r="H30" s="695"/>
      <c r="I30" s="696"/>
      <c r="J30" s="696"/>
    </row>
    <row r="31" spans="1:10">
      <c r="A31" s="691">
        <f t="shared" si="0"/>
        <v>22</v>
      </c>
      <c r="B31" s="679"/>
      <c r="C31" s="216" t="s">
        <v>120</v>
      </c>
      <c r="D31" s="708"/>
      <c r="E31" s="692" t="s">
        <v>27</v>
      </c>
      <c r="F31" s="709"/>
      <c r="G31" s="710"/>
      <c r="H31" s="695" t="s">
        <v>27</v>
      </c>
      <c r="I31" s="696"/>
      <c r="J31" s="696"/>
    </row>
    <row r="32" spans="1:10">
      <c r="A32" s="691">
        <f t="shared" si="0"/>
        <v>23</v>
      </c>
      <c r="B32" s="679" t="s">
        <v>121</v>
      </c>
      <c r="C32" s="216" t="s">
        <v>122</v>
      </c>
      <c r="D32" s="708"/>
      <c r="E32" s="692">
        <v>1432.3387462839009</v>
      </c>
      <c r="F32" s="709">
        <v>1.4999999999999999E-2</v>
      </c>
      <c r="G32" s="694">
        <f t="shared" ref="G32:G43" si="1">ROUND(E32*F32,0)</f>
        <v>21</v>
      </c>
      <c r="H32" s="695">
        <v>112.69183701290532</v>
      </c>
      <c r="I32" s="696">
        <f t="shared" ref="I32:I43" si="2">ROUND(H32*F32/2,0)</f>
        <v>1</v>
      </c>
      <c r="J32" s="696">
        <f t="shared" ref="J32:J43" si="3">I32+G32</f>
        <v>22</v>
      </c>
    </row>
    <row r="33" spans="1:10">
      <c r="A33" s="691">
        <f t="shared" si="0"/>
        <v>24</v>
      </c>
      <c r="B33" s="679" t="s">
        <v>123</v>
      </c>
      <c r="C33" s="216" t="s">
        <v>124</v>
      </c>
      <c r="D33" s="708"/>
      <c r="E33" s="692">
        <v>37092.466199976276</v>
      </c>
      <c r="F33" s="709">
        <v>4.2000000000000003E-2</v>
      </c>
      <c r="G33" s="694">
        <f t="shared" si="1"/>
        <v>1558</v>
      </c>
      <c r="H33" s="695">
        <v>2844.4786357490239</v>
      </c>
      <c r="I33" s="696">
        <f t="shared" si="2"/>
        <v>60</v>
      </c>
      <c r="J33" s="696">
        <f t="shared" si="3"/>
        <v>1618</v>
      </c>
    </row>
    <row r="34" spans="1:10">
      <c r="A34" s="691">
        <f t="shared" si="0"/>
        <v>25</v>
      </c>
      <c r="B34" s="679" t="s">
        <v>125</v>
      </c>
      <c r="C34" s="216" t="s">
        <v>126</v>
      </c>
      <c r="D34" s="708"/>
      <c r="E34" s="692">
        <v>23984.743099588773</v>
      </c>
      <c r="F34" s="709">
        <v>4.1599999999999998E-2</v>
      </c>
      <c r="G34" s="694">
        <f t="shared" si="1"/>
        <v>998</v>
      </c>
      <c r="H34" s="695">
        <v>1887.0429688421837</v>
      </c>
      <c r="I34" s="696">
        <f t="shared" si="2"/>
        <v>39</v>
      </c>
      <c r="J34" s="696">
        <f t="shared" si="3"/>
        <v>1037</v>
      </c>
    </row>
    <row r="35" spans="1:10">
      <c r="A35" s="691">
        <f t="shared" si="0"/>
        <v>26</v>
      </c>
      <c r="B35" s="679" t="s">
        <v>127</v>
      </c>
      <c r="C35" s="216" t="s">
        <v>128</v>
      </c>
      <c r="D35" s="708"/>
      <c r="E35" s="692">
        <v>3206.4091338681174</v>
      </c>
      <c r="F35" s="709">
        <v>2.58E-2</v>
      </c>
      <c r="G35" s="694">
        <f t="shared" si="1"/>
        <v>83</v>
      </c>
      <c r="H35" s="695">
        <v>252.27002791624346</v>
      </c>
      <c r="I35" s="696">
        <f t="shared" si="2"/>
        <v>3</v>
      </c>
      <c r="J35" s="696">
        <f t="shared" si="3"/>
        <v>86</v>
      </c>
    </row>
    <row r="36" spans="1:10">
      <c r="A36" s="691">
        <f t="shared" si="0"/>
        <v>27</v>
      </c>
      <c r="B36" s="679" t="s">
        <v>129</v>
      </c>
      <c r="C36" s="216" t="s">
        <v>130</v>
      </c>
      <c r="D36" s="708"/>
      <c r="E36" s="692">
        <v>24612.260176847998</v>
      </c>
      <c r="F36" s="709">
        <v>3.61E-2</v>
      </c>
      <c r="G36" s="694">
        <f t="shared" si="1"/>
        <v>889</v>
      </c>
      <c r="H36" s="695">
        <v>1921.4995359003501</v>
      </c>
      <c r="I36" s="696">
        <f t="shared" si="2"/>
        <v>35</v>
      </c>
      <c r="J36" s="696">
        <f t="shared" si="3"/>
        <v>924</v>
      </c>
    </row>
    <row r="37" spans="1:10">
      <c r="A37" s="691">
        <f t="shared" si="0"/>
        <v>28</v>
      </c>
      <c r="B37" s="679" t="s">
        <v>131</v>
      </c>
      <c r="C37" s="216" t="s">
        <v>132</v>
      </c>
      <c r="D37" s="708"/>
      <c r="E37" s="692">
        <v>3333.9731507064371</v>
      </c>
      <c r="F37" s="709">
        <v>2.86E-2</v>
      </c>
      <c r="G37" s="694">
        <f t="shared" si="1"/>
        <v>95</v>
      </c>
      <c r="H37" s="695">
        <v>262.30635726330007</v>
      </c>
      <c r="I37" s="696">
        <f t="shared" si="2"/>
        <v>4</v>
      </c>
      <c r="J37" s="696">
        <f t="shared" si="3"/>
        <v>99</v>
      </c>
    </row>
    <row r="38" spans="1:10">
      <c r="A38" s="691">
        <f t="shared" si="0"/>
        <v>29</v>
      </c>
      <c r="B38" s="679" t="s">
        <v>133</v>
      </c>
      <c r="C38" s="216" t="s">
        <v>110</v>
      </c>
      <c r="D38" s="708"/>
      <c r="E38" s="692">
        <v>2525.4444733333335</v>
      </c>
      <c r="F38" s="709">
        <v>8.09E-2</v>
      </c>
      <c r="G38" s="694">
        <f t="shared" si="1"/>
        <v>204</v>
      </c>
      <c r="H38" s="695">
        <v>-377.45012800000001</v>
      </c>
      <c r="I38" s="696">
        <v>0</v>
      </c>
      <c r="J38" s="696">
        <f t="shared" si="3"/>
        <v>204</v>
      </c>
    </row>
    <row r="39" spans="1:10">
      <c r="A39" s="691">
        <f t="shared" si="0"/>
        <v>30</v>
      </c>
      <c r="B39" s="679" t="s">
        <v>400</v>
      </c>
      <c r="C39" s="216" t="s">
        <v>401</v>
      </c>
      <c r="D39" s="708"/>
      <c r="E39" s="692">
        <v>68.140350000000012</v>
      </c>
      <c r="F39" s="709">
        <v>7.1300000000000002E-2</v>
      </c>
      <c r="G39" s="694">
        <f t="shared" si="1"/>
        <v>5</v>
      </c>
      <c r="H39" s="695">
        <v>1580</v>
      </c>
      <c r="I39" s="696">
        <f t="shared" si="2"/>
        <v>56</v>
      </c>
      <c r="J39" s="696">
        <f t="shared" si="3"/>
        <v>61</v>
      </c>
    </row>
    <row r="40" spans="1:10">
      <c r="A40" s="691">
        <f t="shared" si="0"/>
        <v>31</v>
      </c>
      <c r="B40" s="679" t="s">
        <v>134</v>
      </c>
      <c r="C40" s="216" t="s">
        <v>260</v>
      </c>
      <c r="D40" s="708"/>
      <c r="E40" s="692">
        <v>3370.3701679598666</v>
      </c>
      <c r="F40" s="709">
        <v>2.75E-2</v>
      </c>
      <c r="G40" s="694">
        <f t="shared" si="1"/>
        <v>93</v>
      </c>
      <c r="H40" s="695">
        <v>265.16995831208885</v>
      </c>
      <c r="I40" s="696">
        <f t="shared" si="2"/>
        <v>4</v>
      </c>
      <c r="J40" s="696">
        <f t="shared" si="3"/>
        <v>97</v>
      </c>
    </row>
    <row r="41" spans="1:10">
      <c r="A41" s="691">
        <f t="shared" si="0"/>
        <v>32</v>
      </c>
      <c r="B41" s="679" t="s">
        <v>136</v>
      </c>
      <c r="C41" s="216" t="s">
        <v>137</v>
      </c>
      <c r="D41" s="708"/>
      <c r="E41" s="692">
        <v>9995.7769040000021</v>
      </c>
      <c r="F41" s="709">
        <v>3.7499999999999999E-2</v>
      </c>
      <c r="G41" s="694">
        <f t="shared" si="1"/>
        <v>375</v>
      </c>
      <c r="H41" s="695">
        <v>945</v>
      </c>
      <c r="I41" s="696">
        <f t="shared" si="2"/>
        <v>18</v>
      </c>
      <c r="J41" s="696">
        <f t="shared" si="3"/>
        <v>393</v>
      </c>
    </row>
    <row r="42" spans="1:10">
      <c r="A42" s="691">
        <f t="shared" si="0"/>
        <v>33</v>
      </c>
      <c r="B42" s="679" t="s">
        <v>261</v>
      </c>
      <c r="C42" s="216" t="s">
        <v>262</v>
      </c>
      <c r="D42" s="708"/>
      <c r="E42" s="692">
        <v>284.73828000000003</v>
      </c>
      <c r="F42" s="709">
        <v>2.93E-2</v>
      </c>
      <c r="G42" s="694">
        <f t="shared" si="1"/>
        <v>8</v>
      </c>
      <c r="H42" s="695">
        <v>0</v>
      </c>
      <c r="I42" s="696">
        <f t="shared" si="2"/>
        <v>0</v>
      </c>
      <c r="J42" s="696">
        <f t="shared" si="3"/>
        <v>8</v>
      </c>
    </row>
    <row r="43" spans="1:10">
      <c r="A43" s="691">
        <f t="shared" si="0"/>
        <v>34</v>
      </c>
      <c r="B43" s="679" t="s">
        <v>138</v>
      </c>
      <c r="C43" s="711" t="s">
        <v>259</v>
      </c>
      <c r="D43" s="712"/>
      <c r="E43" s="699">
        <v>30090.126148101965</v>
      </c>
      <c r="F43" s="709">
        <v>2.6499999999999999E-2</v>
      </c>
      <c r="G43" s="694">
        <f t="shared" si="1"/>
        <v>797</v>
      </c>
      <c r="H43" s="700">
        <v>2364.1808123372366</v>
      </c>
      <c r="I43" s="701">
        <f t="shared" si="2"/>
        <v>31</v>
      </c>
      <c r="J43" s="701">
        <f t="shared" si="3"/>
        <v>828</v>
      </c>
    </row>
    <row r="44" spans="1:10">
      <c r="A44" s="691">
        <f t="shared" si="0"/>
        <v>35</v>
      </c>
      <c r="B44" s="679"/>
      <c r="C44" s="216" t="s">
        <v>139</v>
      </c>
      <c r="D44" s="708"/>
      <c r="E44" s="692">
        <f>SUM(E32:E43)</f>
        <v>139996.78683066668</v>
      </c>
      <c r="F44" s="703"/>
      <c r="G44" s="704">
        <f>SUM(G32:G43)</f>
        <v>5126</v>
      </c>
      <c r="H44" s="695">
        <f>SUM(H32:H43)</f>
        <v>12057.19000533333</v>
      </c>
      <c r="I44" s="695">
        <f>SUM(I32:I43)</f>
        <v>251</v>
      </c>
      <c r="J44" s="695">
        <f>SUM(J32:J43)</f>
        <v>5377</v>
      </c>
    </row>
    <row r="45" spans="1:10">
      <c r="A45" s="691">
        <f t="shared" si="0"/>
        <v>36</v>
      </c>
      <c r="B45" s="679"/>
      <c r="D45" s="708"/>
      <c r="E45" s="692"/>
      <c r="F45" s="709"/>
      <c r="G45" s="710"/>
      <c r="H45" s="695"/>
      <c r="I45" s="696"/>
      <c r="J45" s="696"/>
    </row>
    <row r="46" spans="1:10">
      <c r="A46" s="691">
        <f t="shared" si="0"/>
        <v>37</v>
      </c>
      <c r="B46" s="679"/>
      <c r="C46" s="216" t="s">
        <v>140</v>
      </c>
      <c r="D46" s="708"/>
      <c r="E46" s="692"/>
      <c r="F46" s="709"/>
      <c r="G46" s="710"/>
      <c r="H46" s="695"/>
      <c r="I46" s="696"/>
      <c r="J46" s="696"/>
    </row>
    <row r="47" spans="1:10">
      <c r="A47" s="691">
        <f t="shared" si="0"/>
        <v>38</v>
      </c>
      <c r="B47" s="679" t="s">
        <v>141</v>
      </c>
      <c r="C47" s="216" t="s">
        <v>142</v>
      </c>
      <c r="D47" s="708"/>
      <c r="E47" s="692">
        <v>4758.4534649999996</v>
      </c>
      <c r="F47" s="709">
        <v>2.6700000000000002E-2</v>
      </c>
      <c r="G47" s="694">
        <f t="shared" ref="G47:G57" si="4">ROUND(E47*F47,0)</f>
        <v>127</v>
      </c>
      <c r="H47" s="695">
        <v>314.73558500000001</v>
      </c>
      <c r="I47" s="696">
        <f t="shared" ref="I47:I57" si="5">ROUND(H47*F47/2,0)</f>
        <v>4</v>
      </c>
      <c r="J47" s="696">
        <f t="shared" ref="J47:J57" si="6">I47+G47</f>
        <v>131</v>
      </c>
    </row>
    <row r="48" spans="1:10">
      <c r="A48" s="691">
        <f t="shared" si="0"/>
        <v>39</v>
      </c>
      <c r="B48" s="679" t="s">
        <v>143</v>
      </c>
      <c r="C48" s="216" t="s">
        <v>144</v>
      </c>
      <c r="D48" s="708"/>
      <c r="E48" s="692">
        <v>204.83091666666667</v>
      </c>
      <c r="F48" s="709">
        <v>6.6699999999999995E-2</v>
      </c>
      <c r="G48" s="694">
        <f t="shared" si="4"/>
        <v>14</v>
      </c>
      <c r="H48" s="695">
        <v>9.3359166666666624</v>
      </c>
      <c r="I48" s="696">
        <v>0</v>
      </c>
      <c r="J48" s="696">
        <f t="shared" si="6"/>
        <v>14</v>
      </c>
    </row>
    <row r="49" spans="1:11">
      <c r="A49" s="691">
        <f t="shared" si="0"/>
        <v>40</v>
      </c>
      <c r="B49" s="725">
        <v>483.2</v>
      </c>
      <c r="C49" s="216" t="s">
        <v>339</v>
      </c>
      <c r="D49" s="708"/>
      <c r="E49" s="692">
        <v>47.030540000000002</v>
      </c>
      <c r="F49" s="709">
        <v>0.2</v>
      </c>
      <c r="G49" s="694">
        <f t="shared" si="4"/>
        <v>9</v>
      </c>
      <c r="H49" s="695">
        <v>0</v>
      </c>
      <c r="I49" s="696">
        <f t="shared" si="5"/>
        <v>0</v>
      </c>
      <c r="J49" s="696">
        <f t="shared" si="6"/>
        <v>9</v>
      </c>
    </row>
    <row r="50" spans="1:11">
      <c r="A50" s="691">
        <f t="shared" si="0"/>
        <v>41</v>
      </c>
      <c r="B50" s="679" t="s">
        <v>263</v>
      </c>
      <c r="C50" s="216" t="s">
        <v>264</v>
      </c>
      <c r="D50" s="708"/>
      <c r="E50" s="692">
        <v>3385.8152533333332</v>
      </c>
      <c r="F50" s="709">
        <v>6.59E-2</v>
      </c>
      <c r="G50" s="694">
        <f t="shared" si="4"/>
        <v>223</v>
      </c>
      <c r="H50" s="695">
        <v>868.16114333333337</v>
      </c>
      <c r="I50" s="696">
        <f>ROUND(H50*F50/2,0)</f>
        <v>29</v>
      </c>
      <c r="J50" s="696">
        <f t="shared" si="6"/>
        <v>252</v>
      </c>
    </row>
    <row r="51" spans="1:11">
      <c r="A51" s="691">
        <f t="shared" si="0"/>
        <v>42</v>
      </c>
      <c r="B51" s="679" t="s">
        <v>145</v>
      </c>
      <c r="C51" s="216" t="s">
        <v>146</v>
      </c>
      <c r="D51" s="708"/>
      <c r="E51" s="692">
        <v>929.76898000000006</v>
      </c>
      <c r="F51" s="709">
        <v>6.6699999999999995E-2</v>
      </c>
      <c r="G51" s="694">
        <f t="shared" si="4"/>
        <v>62</v>
      </c>
      <c r="H51" s="695">
        <v>136.51671000000002</v>
      </c>
      <c r="I51" s="696">
        <f t="shared" si="5"/>
        <v>5</v>
      </c>
      <c r="J51" s="696">
        <f t="shared" si="6"/>
        <v>67</v>
      </c>
    </row>
    <row r="52" spans="1:11">
      <c r="A52" s="691">
        <f t="shared" si="0"/>
        <v>43</v>
      </c>
      <c r="B52" s="679" t="s">
        <v>148</v>
      </c>
      <c r="C52" s="216" t="s">
        <v>265</v>
      </c>
      <c r="D52" s="708"/>
      <c r="E52" s="692">
        <v>1002.8600100000001</v>
      </c>
      <c r="F52" s="709">
        <v>6.6699999999999995E-2</v>
      </c>
      <c r="G52" s="694">
        <f t="shared" si="4"/>
        <v>67</v>
      </c>
      <c r="H52" s="695">
        <v>11.25</v>
      </c>
      <c r="I52" s="696">
        <f t="shared" si="5"/>
        <v>0</v>
      </c>
      <c r="J52" s="696">
        <f t="shared" si="6"/>
        <v>67</v>
      </c>
    </row>
    <row r="53" spans="1:11">
      <c r="A53" s="691">
        <f t="shared" si="0"/>
        <v>44</v>
      </c>
      <c r="B53" s="679" t="s">
        <v>369</v>
      </c>
      <c r="C53" s="216" t="s">
        <v>370</v>
      </c>
      <c r="D53" s="708"/>
      <c r="E53" s="692">
        <v>474.68126000000001</v>
      </c>
      <c r="F53" s="709">
        <v>2.9100000000000001E-2</v>
      </c>
      <c r="G53" s="694">
        <f t="shared" si="4"/>
        <v>14</v>
      </c>
      <c r="H53" s="695">
        <v>0</v>
      </c>
      <c r="I53" s="696">
        <f t="shared" si="5"/>
        <v>0</v>
      </c>
      <c r="J53" s="696">
        <f t="shared" si="6"/>
        <v>14</v>
      </c>
    </row>
    <row r="54" spans="1:11">
      <c r="A54" s="691">
        <f t="shared" si="0"/>
        <v>45</v>
      </c>
      <c r="B54" s="679" t="s">
        <v>640</v>
      </c>
      <c r="C54" s="678" t="s">
        <v>271</v>
      </c>
      <c r="D54" s="708"/>
      <c r="E54" s="692">
        <v>1.4930000000000001</v>
      </c>
      <c r="F54" s="709">
        <v>0</v>
      </c>
      <c r="G54" s="694">
        <f t="shared" si="4"/>
        <v>0</v>
      </c>
      <c r="H54" s="695">
        <v>0</v>
      </c>
      <c r="I54" s="696">
        <f t="shared" si="5"/>
        <v>0</v>
      </c>
      <c r="J54" s="696">
        <f t="shared" si="6"/>
        <v>0</v>
      </c>
    </row>
    <row r="55" spans="1:11">
      <c r="A55" s="691">
        <f t="shared" si="0"/>
        <v>46</v>
      </c>
      <c r="B55" s="788" t="s">
        <v>636</v>
      </c>
      <c r="C55" s="678" t="s">
        <v>784</v>
      </c>
      <c r="D55" s="708"/>
      <c r="E55" s="692">
        <v>1901</v>
      </c>
      <c r="F55" s="709">
        <v>0.04</v>
      </c>
      <c r="G55" s="694">
        <f t="shared" si="4"/>
        <v>76</v>
      </c>
      <c r="H55" s="695">
        <v>0</v>
      </c>
      <c r="I55" s="696">
        <f>ROUND(H55*F55/2,0)</f>
        <v>0</v>
      </c>
      <c r="J55" s="696">
        <f>I55+G55</f>
        <v>76</v>
      </c>
    </row>
    <row r="56" spans="1:11">
      <c r="A56" s="691">
        <f t="shared" si="0"/>
        <v>47</v>
      </c>
      <c r="B56" s="788" t="s">
        <v>637</v>
      </c>
      <c r="C56" s="678" t="s">
        <v>639</v>
      </c>
      <c r="D56" s="708"/>
      <c r="E56" s="692">
        <v>481.428</v>
      </c>
      <c r="F56" s="709">
        <v>0.1</v>
      </c>
      <c r="G56" s="694">
        <f t="shared" si="4"/>
        <v>48</v>
      </c>
      <c r="H56" s="695">
        <v>522</v>
      </c>
      <c r="I56" s="696">
        <f>ROUND(H56*F56/2,0)</f>
        <v>26</v>
      </c>
      <c r="J56" s="696">
        <f>I56+G56</f>
        <v>74</v>
      </c>
    </row>
    <row r="57" spans="1:11">
      <c r="A57" s="691">
        <f t="shared" si="0"/>
        <v>48</v>
      </c>
      <c r="B57" s="788" t="s">
        <v>638</v>
      </c>
      <c r="C57" s="711" t="s">
        <v>480</v>
      </c>
      <c r="D57" s="712"/>
      <c r="E57" s="706">
        <v>2908.6600000000003</v>
      </c>
      <c r="F57" s="714">
        <v>0.1</v>
      </c>
      <c r="G57" s="705">
        <f t="shared" si="4"/>
        <v>291</v>
      </c>
      <c r="H57" s="700">
        <v>7.2</v>
      </c>
      <c r="I57" s="701">
        <f t="shared" si="5"/>
        <v>0</v>
      </c>
      <c r="J57" s="701">
        <f t="shared" si="6"/>
        <v>291</v>
      </c>
    </row>
    <row r="58" spans="1:11">
      <c r="A58" s="691">
        <f t="shared" si="0"/>
        <v>49</v>
      </c>
      <c r="B58" s="788"/>
      <c r="C58" s="697" t="s">
        <v>149</v>
      </c>
      <c r="D58" s="678"/>
      <c r="E58" s="715">
        <f>SUM(E47:E57)</f>
        <v>16096.021424999999</v>
      </c>
      <c r="F58" s="693"/>
      <c r="G58" s="694">
        <f>SUM(G47:G57)</f>
        <v>931</v>
      </c>
      <c r="H58" s="695">
        <f>SUM(H47:H57)</f>
        <v>1869.1993550000002</v>
      </c>
      <c r="I58" s="716">
        <f>SUM(I47:I57)</f>
        <v>64</v>
      </c>
      <c r="J58" s="716">
        <f>SUM(J47:J57)</f>
        <v>995</v>
      </c>
    </row>
    <row r="59" spans="1:11" ht="15">
      <c r="A59" s="691">
        <f t="shared" si="0"/>
        <v>50</v>
      </c>
      <c r="B59" s="788"/>
      <c r="C59" s="697"/>
      <c r="D59" s="685"/>
      <c r="E59" s="692"/>
      <c r="F59" s="693"/>
      <c r="G59" s="694"/>
      <c r="H59" s="695"/>
      <c r="I59" s="716"/>
      <c r="J59" s="716"/>
      <c r="K59" s="678"/>
    </row>
    <row r="60" spans="1:11" ht="15" thickBot="1">
      <c r="A60" s="691">
        <f t="shared" si="0"/>
        <v>51</v>
      </c>
      <c r="B60" s="788"/>
      <c r="C60" s="678" t="s">
        <v>150</v>
      </c>
      <c r="E60" s="692">
        <f>E58+E44+E29+E25+E17</f>
        <v>185729.68766566669</v>
      </c>
      <c r="F60" s="693"/>
      <c r="G60" s="717">
        <f>G44+G58+G29+G25+G17</f>
        <v>7074</v>
      </c>
      <c r="H60" s="717">
        <f>H44+H58+H29+H25+H17</f>
        <v>21741.889360333331</v>
      </c>
      <c r="I60" s="717">
        <f>I44+I58+I29+I25+I17</f>
        <v>446</v>
      </c>
      <c r="J60" s="717">
        <f>J44+J58+J29+J25+J17</f>
        <v>7520</v>
      </c>
      <c r="K60" s="678"/>
    </row>
    <row r="61" spans="1:11">
      <c r="A61" s="691">
        <f t="shared" si="0"/>
        <v>52</v>
      </c>
      <c r="B61" s="788"/>
      <c r="C61" s="678" t="s">
        <v>433</v>
      </c>
      <c r="E61" s="706">
        <v>380</v>
      </c>
      <c r="F61" s="693"/>
      <c r="G61" s="695"/>
      <c r="H61" s="718"/>
      <c r="I61" s="695"/>
      <c r="J61" s="695"/>
    </row>
    <row r="62" spans="1:11">
      <c r="A62" s="691">
        <f t="shared" si="0"/>
        <v>53</v>
      </c>
      <c r="B62" s="679"/>
      <c r="C62" s="678" t="s">
        <v>151</v>
      </c>
      <c r="D62" s="678" t="s">
        <v>633</v>
      </c>
      <c r="E62" s="692">
        <f>E60+E61</f>
        <v>186109.68766566669</v>
      </c>
    </row>
  </sheetData>
  <customSheetViews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9" right="0.25" top="0.5" bottom="0.5" header="0.5" footer="0.5"/>
  <pageSetup scale="61" orientation="landscape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6"/>
  <sheetViews>
    <sheetView view="pageBreakPreview" zoomScale="60" zoomScaleNormal="85" workbookViewId="0">
      <selection activeCell="V236" sqref="V236"/>
    </sheetView>
  </sheetViews>
  <sheetFormatPr defaultRowHeight="14.25"/>
  <cols>
    <col min="1" max="1" width="9.140625" style="681"/>
    <col min="2" max="2" width="12.28515625" style="726" customWidth="1"/>
    <col min="3" max="3" width="51.85546875" style="681" bestFit="1" customWidth="1"/>
    <col min="4" max="4" width="10.5703125" style="681" bestFit="1" customWidth="1"/>
    <col min="5" max="5" width="15.7109375" style="681" customWidth="1"/>
    <col min="6" max="7" width="17.7109375" style="681" bestFit="1" customWidth="1"/>
    <col min="8" max="8" width="15.7109375" style="681" customWidth="1"/>
    <col min="9" max="9" width="18.42578125" style="681" bestFit="1" customWidth="1"/>
    <col min="10" max="10" width="15.7109375" style="681" customWidth="1"/>
    <col min="11" max="11" width="2.42578125" style="681" customWidth="1"/>
    <col min="12" max="16384" width="9.140625" style="681"/>
  </cols>
  <sheetData>
    <row r="1" spans="1:11" ht="15.75">
      <c r="A1" s="420" t="s">
        <v>540</v>
      </c>
      <c r="B1" s="420"/>
      <c r="C1" s="420"/>
      <c r="D1" s="420"/>
      <c r="E1" s="420"/>
      <c r="F1" s="420"/>
      <c r="G1" s="420"/>
      <c r="H1" s="420"/>
      <c r="I1" s="406"/>
      <c r="J1" s="62"/>
      <c r="K1" s="126" t="s">
        <v>476</v>
      </c>
    </row>
    <row r="2" spans="1:11" ht="15.75">
      <c r="A2" s="420" t="s">
        <v>463</v>
      </c>
      <c r="B2" s="420"/>
      <c r="C2" s="420"/>
      <c r="D2" s="420"/>
      <c r="E2" s="420"/>
      <c r="F2" s="420"/>
      <c r="G2" s="420"/>
      <c r="H2" s="420"/>
      <c r="I2" s="406"/>
      <c r="J2" s="406"/>
      <c r="K2" s="463"/>
    </row>
    <row r="3" spans="1:11" ht="15.75">
      <c r="A3" s="420" t="s">
        <v>893</v>
      </c>
      <c r="B3" s="420"/>
      <c r="C3" s="420"/>
      <c r="D3" s="420"/>
      <c r="E3" s="420"/>
      <c r="F3" s="420"/>
      <c r="G3" s="420"/>
      <c r="H3" s="420"/>
      <c r="I3" s="406"/>
      <c r="J3" s="406"/>
      <c r="K3" s="463"/>
    </row>
    <row r="4" spans="1:11" ht="15.75">
      <c r="A4" s="420" t="s">
        <v>32</v>
      </c>
      <c r="B4" s="420"/>
      <c r="C4" s="406"/>
      <c r="D4" s="406"/>
      <c r="E4" s="682"/>
      <c r="F4" s="406"/>
      <c r="G4" s="406"/>
      <c r="H4" s="406"/>
      <c r="I4" s="420"/>
      <c r="J4" s="406"/>
      <c r="K4" s="463"/>
    </row>
    <row r="5" spans="1:11">
      <c r="A5" s="216"/>
      <c r="B5" s="679"/>
      <c r="C5" s="216"/>
      <c r="D5" s="216"/>
      <c r="E5" s="678"/>
      <c r="F5" s="679"/>
      <c r="G5" s="216"/>
      <c r="H5" s="216"/>
      <c r="I5" s="216"/>
      <c r="J5" s="679"/>
      <c r="K5" s="216"/>
    </row>
    <row r="6" spans="1:11" ht="15">
      <c r="A6" s="680"/>
      <c r="B6" s="676"/>
      <c r="C6" s="683"/>
      <c r="D6" s="684"/>
      <c r="E6" s="685">
        <v>2015</v>
      </c>
      <c r="F6" s="676"/>
      <c r="G6" s="676" t="s">
        <v>29</v>
      </c>
      <c r="H6" s="676" t="s">
        <v>113</v>
      </c>
      <c r="I6" s="676" t="s">
        <v>324</v>
      </c>
      <c r="J6" s="676">
        <v>2015</v>
      </c>
      <c r="K6" s="216"/>
    </row>
    <row r="7" spans="1:11" ht="15">
      <c r="A7" s="676" t="s">
        <v>33</v>
      </c>
      <c r="B7" s="676" t="s">
        <v>27</v>
      </c>
      <c r="C7" s="676"/>
      <c r="D7" s="686" t="s">
        <v>101</v>
      </c>
      <c r="E7" s="687" t="s">
        <v>321</v>
      </c>
      <c r="F7" s="688" t="s">
        <v>29</v>
      </c>
      <c r="G7" s="676" t="s">
        <v>323</v>
      </c>
      <c r="H7" s="676" t="s">
        <v>328</v>
      </c>
      <c r="I7" s="676" t="s">
        <v>325</v>
      </c>
      <c r="J7" s="676" t="s">
        <v>326</v>
      </c>
      <c r="K7" s="216"/>
    </row>
    <row r="8" spans="1:11" ht="15">
      <c r="A8" s="689" t="s">
        <v>35</v>
      </c>
      <c r="B8" s="689" t="s">
        <v>115</v>
      </c>
      <c r="C8" s="689" t="s">
        <v>178</v>
      </c>
      <c r="D8" s="690" t="s">
        <v>36</v>
      </c>
      <c r="E8" s="689" t="s">
        <v>322</v>
      </c>
      <c r="F8" s="689" t="s">
        <v>38</v>
      </c>
      <c r="G8" s="689" t="s">
        <v>40</v>
      </c>
      <c r="H8" s="689" t="s">
        <v>164</v>
      </c>
      <c r="I8" s="689" t="s">
        <v>164</v>
      </c>
      <c r="J8" s="689" t="s">
        <v>327</v>
      </c>
      <c r="K8" s="216"/>
    </row>
    <row r="9" spans="1:11" ht="15">
      <c r="A9" s="691"/>
      <c r="B9" s="691"/>
      <c r="C9" s="691"/>
      <c r="D9" s="686"/>
      <c r="E9" s="691"/>
      <c r="F9" s="691"/>
      <c r="G9" s="691"/>
      <c r="H9" s="678"/>
      <c r="I9" s="216"/>
      <c r="J9" s="216"/>
      <c r="K9" s="216"/>
    </row>
    <row r="10" spans="1:11" ht="15">
      <c r="A10" s="679">
        <v>1</v>
      </c>
      <c r="B10" s="679"/>
      <c r="C10" s="216" t="s">
        <v>362</v>
      </c>
      <c r="D10" s="686"/>
      <c r="E10" s="691"/>
      <c r="F10" s="691"/>
      <c r="G10" s="678"/>
      <c r="H10" s="678"/>
      <c r="I10" s="216"/>
      <c r="J10" s="216"/>
      <c r="K10" s="216"/>
    </row>
    <row r="11" spans="1:11" ht="15">
      <c r="A11" s="679">
        <v>2</v>
      </c>
      <c r="B11" s="679"/>
      <c r="C11" s="216"/>
      <c r="D11" s="686"/>
      <c r="E11" s="692"/>
      <c r="F11" s="693"/>
      <c r="G11" s="694"/>
      <c r="H11" s="695"/>
      <c r="I11" s="696"/>
      <c r="J11" s="696"/>
      <c r="K11" s="216"/>
    </row>
    <row r="12" spans="1:11" ht="15">
      <c r="A12" s="691">
        <v>3</v>
      </c>
      <c r="B12" s="679" t="s">
        <v>402</v>
      </c>
      <c r="C12" s="697" t="s">
        <v>363</v>
      </c>
      <c r="D12" s="686"/>
      <c r="E12" s="692">
        <v>599.53383237438845</v>
      </c>
      <c r="F12" s="693">
        <v>2.9100000000000001E-2</v>
      </c>
      <c r="G12" s="694">
        <f>ROUND(E12*F12,0)</f>
        <v>17</v>
      </c>
      <c r="H12" s="695">
        <v>0</v>
      </c>
      <c r="I12" s="696">
        <f>ROUND(H12*F12/2,0)</f>
        <v>0</v>
      </c>
      <c r="J12" s="696">
        <f>I12+G12</f>
        <v>17</v>
      </c>
      <c r="K12" s="216"/>
    </row>
    <row r="13" spans="1:11" ht="15">
      <c r="A13" s="691">
        <f t="shared" ref="A13:A62" si="0">A12+1</f>
        <v>4</v>
      </c>
      <c r="B13" s="679" t="s">
        <v>403</v>
      </c>
      <c r="C13" s="697" t="s">
        <v>364</v>
      </c>
      <c r="D13" s="686"/>
      <c r="E13" s="692">
        <v>5422.2923146451985</v>
      </c>
      <c r="F13" s="693">
        <v>2.6800000000000001E-2</v>
      </c>
      <c r="G13" s="694">
        <f>ROUND(E13*F13,0)</f>
        <v>145</v>
      </c>
      <c r="H13" s="695">
        <v>0</v>
      </c>
      <c r="I13" s="696">
        <f>ROUND(H13*F13/2,0)</f>
        <v>0</v>
      </c>
      <c r="J13" s="696">
        <f>I13+G13</f>
        <v>145</v>
      </c>
      <c r="K13" s="216"/>
    </row>
    <row r="14" spans="1:11" ht="15">
      <c r="A14" s="691">
        <f t="shared" si="0"/>
        <v>5</v>
      </c>
      <c r="B14" s="679" t="s">
        <v>404</v>
      </c>
      <c r="C14" s="697" t="s">
        <v>365</v>
      </c>
      <c r="D14" s="686"/>
      <c r="E14" s="692">
        <v>6109.6708508772645</v>
      </c>
      <c r="F14" s="693">
        <v>2.8199999999999999E-2</v>
      </c>
      <c r="G14" s="694">
        <f>ROUND(E14*F14,0)</f>
        <v>172</v>
      </c>
      <c r="H14" s="695">
        <v>0</v>
      </c>
      <c r="I14" s="696">
        <f>ROUND(H14*F14/2,0)</f>
        <v>0</v>
      </c>
      <c r="J14" s="696">
        <f>I14+G14</f>
        <v>172</v>
      </c>
      <c r="K14" s="216"/>
    </row>
    <row r="15" spans="1:11" ht="15">
      <c r="A15" s="691">
        <f t="shared" si="0"/>
        <v>6</v>
      </c>
      <c r="B15" s="679" t="s">
        <v>405</v>
      </c>
      <c r="C15" s="697" t="s">
        <v>366</v>
      </c>
      <c r="D15" s="686"/>
      <c r="E15" s="692">
        <v>360.47254968728862</v>
      </c>
      <c r="F15" s="693">
        <v>2.9700000000000001E-2</v>
      </c>
      <c r="G15" s="694">
        <f>ROUND(E15*F15,0)</f>
        <v>11</v>
      </c>
      <c r="H15" s="695">
        <v>0</v>
      </c>
      <c r="I15" s="696">
        <f>ROUND(H15*F15/2,0)</f>
        <v>0</v>
      </c>
      <c r="J15" s="696">
        <f>I15+G15</f>
        <v>11</v>
      </c>
      <c r="K15" s="216"/>
    </row>
    <row r="16" spans="1:11" ht="15">
      <c r="A16" s="691">
        <f t="shared" si="0"/>
        <v>7</v>
      </c>
      <c r="B16" s="679" t="s">
        <v>406</v>
      </c>
      <c r="C16" s="698" t="s">
        <v>367</v>
      </c>
      <c r="D16" s="690"/>
      <c r="E16" s="699">
        <v>156.77311241585977</v>
      </c>
      <c r="F16" s="693">
        <v>4.5100000000000001E-2</v>
      </c>
      <c r="G16" s="694">
        <f>ROUND(E16*F16,0)</f>
        <v>7</v>
      </c>
      <c r="H16" s="700">
        <v>0</v>
      </c>
      <c r="I16" s="701">
        <f>ROUND(H16*F16/2,0)</f>
        <v>0</v>
      </c>
      <c r="J16" s="701">
        <f>I16+G16</f>
        <v>7</v>
      </c>
      <c r="K16" s="216"/>
    </row>
    <row r="17" spans="1:11" ht="15">
      <c r="A17" s="691">
        <f t="shared" si="0"/>
        <v>8</v>
      </c>
      <c r="B17" s="702"/>
      <c r="C17" s="216" t="s">
        <v>389</v>
      </c>
      <c r="D17" s="686"/>
      <c r="E17" s="692">
        <f>SUM(E11:E16)</f>
        <v>12648.74266</v>
      </c>
      <c r="F17" s="703"/>
      <c r="G17" s="704">
        <f>SUM(G11:G16)</f>
        <v>352</v>
      </c>
      <c r="H17" s="695">
        <f>SUM(H11:H16)</f>
        <v>0</v>
      </c>
      <c r="I17" s="695">
        <f>SUM(I11:I16)</f>
        <v>0</v>
      </c>
      <c r="J17" s="695">
        <f>SUM(J11:J16)</f>
        <v>352</v>
      </c>
      <c r="K17" s="216"/>
    </row>
    <row r="18" spans="1:11" ht="15">
      <c r="A18" s="691">
        <f t="shared" si="0"/>
        <v>9</v>
      </c>
      <c r="B18" s="702"/>
      <c r="C18" s="697"/>
      <c r="D18" s="686"/>
      <c r="E18" s="692"/>
      <c r="F18" s="693"/>
      <c r="G18" s="694"/>
      <c r="H18" s="695"/>
      <c r="I18" s="696"/>
      <c r="J18" s="696"/>
      <c r="K18" s="216"/>
    </row>
    <row r="19" spans="1:11" ht="15">
      <c r="A19" s="691">
        <f t="shared" si="0"/>
        <v>10</v>
      </c>
      <c r="B19" s="702"/>
      <c r="C19" s="216" t="s">
        <v>368</v>
      </c>
      <c r="D19" s="686"/>
      <c r="E19" s="692"/>
      <c r="F19" s="693"/>
      <c r="G19" s="694"/>
      <c r="H19" s="695"/>
      <c r="I19" s="696"/>
      <c r="J19" s="696"/>
      <c r="K19" s="216"/>
    </row>
    <row r="20" spans="1:11" ht="15">
      <c r="A20" s="691">
        <f t="shared" si="0"/>
        <v>11</v>
      </c>
      <c r="B20" s="679" t="s">
        <v>250</v>
      </c>
      <c r="C20" s="697" t="s">
        <v>894</v>
      </c>
      <c r="D20" s="686"/>
      <c r="E20" s="692">
        <v>3378.1452366898279</v>
      </c>
      <c r="F20" s="693">
        <v>3.5654971852138881E-2</v>
      </c>
      <c r="G20" s="694">
        <f>ROUND(E20*F20,0)</f>
        <v>120</v>
      </c>
      <c r="H20" s="695">
        <v>797.8143087181503</v>
      </c>
      <c r="I20" s="696">
        <f>ROUND(H20*F20/2,0)</f>
        <v>14</v>
      </c>
      <c r="J20" s="696">
        <f>I20+G20</f>
        <v>134</v>
      </c>
      <c r="K20" s="216"/>
    </row>
    <row r="21" spans="1:11" ht="15">
      <c r="A21" s="691">
        <f t="shared" si="0"/>
        <v>12</v>
      </c>
      <c r="B21" s="679" t="s">
        <v>251</v>
      </c>
      <c r="C21" s="697" t="s">
        <v>889</v>
      </c>
      <c r="D21" s="686"/>
      <c r="E21" s="692">
        <v>4736.0081347792857</v>
      </c>
      <c r="F21" s="693">
        <v>4.5921331613665559E-2</v>
      </c>
      <c r="G21" s="694">
        <f>ROUND(E21*F21,0)</f>
        <v>217</v>
      </c>
      <c r="H21" s="695">
        <v>1118.4998842249006</v>
      </c>
      <c r="I21" s="696">
        <f>ROUND(H21*F21/2,0)</f>
        <v>26</v>
      </c>
      <c r="J21" s="696">
        <f>I21+G21</f>
        <v>243</v>
      </c>
      <c r="K21" s="216"/>
    </row>
    <row r="22" spans="1:11" ht="15">
      <c r="A22" s="691">
        <f t="shared" si="0"/>
        <v>13</v>
      </c>
      <c r="B22" s="679" t="s">
        <v>252</v>
      </c>
      <c r="C22" s="697" t="s">
        <v>253</v>
      </c>
      <c r="D22" s="686"/>
      <c r="E22" s="692">
        <v>10973.494518802707</v>
      </c>
      <c r="F22" s="693">
        <v>5.1139964058915237E-2</v>
      </c>
      <c r="G22" s="694">
        <f>ROUND(E22*F22,0)</f>
        <v>561</v>
      </c>
      <c r="H22" s="695">
        <v>2591.6028857064898</v>
      </c>
      <c r="I22" s="696">
        <f>ROUND(H22*F22/2,0)</f>
        <v>66</v>
      </c>
      <c r="J22" s="696">
        <f>I22+G22</f>
        <v>627</v>
      </c>
      <c r="K22" s="216"/>
    </row>
    <row r="23" spans="1:11" ht="15">
      <c r="A23" s="691">
        <f t="shared" si="0"/>
        <v>14</v>
      </c>
      <c r="B23" s="679" t="s">
        <v>254</v>
      </c>
      <c r="C23" s="697" t="s">
        <v>257</v>
      </c>
      <c r="D23" s="686"/>
      <c r="E23" s="692">
        <v>3134.1242744480364</v>
      </c>
      <c r="F23" s="693">
        <v>3.8602075156261961E-2</v>
      </c>
      <c r="G23" s="694">
        <f>ROUND(E23*F23,0)</f>
        <v>121</v>
      </c>
      <c r="H23" s="695">
        <v>740.18404072693784</v>
      </c>
      <c r="I23" s="696">
        <f>ROUND(H23*F23/2,0)</f>
        <v>14</v>
      </c>
      <c r="J23" s="696">
        <f>I23+G23</f>
        <v>135</v>
      </c>
      <c r="K23" s="216"/>
    </row>
    <row r="24" spans="1:11" ht="15">
      <c r="A24" s="691">
        <f t="shared" si="0"/>
        <v>15</v>
      </c>
      <c r="B24" s="679" t="s">
        <v>255</v>
      </c>
      <c r="C24" s="698" t="s">
        <v>256</v>
      </c>
      <c r="D24" s="690"/>
      <c r="E24" s="699">
        <v>1197.864585280144</v>
      </c>
      <c r="F24" s="693">
        <v>3.0625240602447767E-2</v>
      </c>
      <c r="G24" s="705">
        <f>ROUND(E24*F24,0)</f>
        <v>37</v>
      </c>
      <c r="H24" s="695">
        <v>282.89888062352105</v>
      </c>
      <c r="I24" s="696">
        <f>ROUND(H24*F24/2,0)</f>
        <v>4</v>
      </c>
      <c r="J24" s="696">
        <f>I24+G24</f>
        <v>41</v>
      </c>
      <c r="K24" s="216"/>
    </row>
    <row r="25" spans="1:11" ht="15">
      <c r="A25" s="691">
        <f t="shared" si="0"/>
        <v>16</v>
      </c>
      <c r="B25" s="702"/>
      <c r="C25" s="697" t="s">
        <v>390</v>
      </c>
      <c r="D25" s="686"/>
      <c r="E25" s="692">
        <f>SUM(E20:E24)</f>
        <v>23419.636750000005</v>
      </c>
      <c r="F25" s="703"/>
      <c r="G25" s="695">
        <f>SUM(G20:G24)</f>
        <v>1056</v>
      </c>
      <c r="H25" s="704">
        <f>SUM(H20:H24)</f>
        <v>5531</v>
      </c>
      <c r="I25" s="704">
        <f>SUM(I20:I24)</f>
        <v>124</v>
      </c>
      <c r="J25" s="704">
        <f>SUM(J20:J24)</f>
        <v>1180</v>
      </c>
      <c r="K25" s="216"/>
    </row>
    <row r="26" spans="1:11" ht="15">
      <c r="A26" s="691">
        <f t="shared" si="0"/>
        <v>17</v>
      </c>
      <c r="B26" s="702"/>
      <c r="C26" s="691"/>
      <c r="D26" s="686"/>
      <c r="E26" s="692"/>
      <c r="F26" s="693"/>
      <c r="G26" s="694"/>
      <c r="H26" s="695"/>
      <c r="I26" s="696"/>
      <c r="J26" s="696"/>
      <c r="K26" s="216"/>
    </row>
    <row r="27" spans="1:11" ht="15">
      <c r="A27" s="691">
        <f t="shared" si="0"/>
        <v>18</v>
      </c>
      <c r="B27" s="702"/>
      <c r="C27" s="216" t="s">
        <v>371</v>
      </c>
      <c r="D27" s="686"/>
      <c r="E27" s="692"/>
      <c r="F27" s="693"/>
      <c r="G27" s="694"/>
      <c r="H27" s="695"/>
      <c r="I27" s="696"/>
      <c r="J27" s="696"/>
      <c r="K27" s="216"/>
    </row>
    <row r="28" spans="1:11" ht="15">
      <c r="A28" s="691">
        <f t="shared" si="0"/>
        <v>19</v>
      </c>
      <c r="B28" s="679" t="s">
        <v>258</v>
      </c>
      <c r="C28" s="698" t="s">
        <v>135</v>
      </c>
      <c r="D28" s="690"/>
      <c r="E28" s="706">
        <v>1384</v>
      </c>
      <c r="F28" s="693">
        <v>2.24E-2</v>
      </c>
      <c r="G28" s="705">
        <f>ROUND(E28*F28,0)</f>
        <v>31</v>
      </c>
      <c r="H28" s="700">
        <v>0</v>
      </c>
      <c r="I28" s="701">
        <f>ROUND(H28*F28/2,0)</f>
        <v>0</v>
      </c>
      <c r="J28" s="701">
        <f>I28+G28</f>
        <v>31</v>
      </c>
      <c r="K28" s="216"/>
    </row>
    <row r="29" spans="1:11" ht="15">
      <c r="A29" s="691">
        <f t="shared" si="0"/>
        <v>20</v>
      </c>
      <c r="B29" s="679" t="s">
        <v>27</v>
      </c>
      <c r="C29" s="707" t="s">
        <v>266</v>
      </c>
      <c r="D29" s="686"/>
      <c r="E29" s="692">
        <f>SUM(E28:E28)</f>
        <v>1384</v>
      </c>
      <c r="F29" s="703"/>
      <c r="G29" s="695">
        <f>SUM(G28:G28)</f>
        <v>31</v>
      </c>
      <c r="H29" s="695">
        <f>SUM(H28:H28)</f>
        <v>0</v>
      </c>
      <c r="I29" s="695">
        <f>SUM(I28:I28)</f>
        <v>0</v>
      </c>
      <c r="J29" s="695">
        <f>SUM(J28:J28)</f>
        <v>31</v>
      </c>
      <c r="K29" s="216"/>
    </row>
    <row r="30" spans="1:11" ht="15">
      <c r="A30" s="691">
        <f t="shared" si="0"/>
        <v>21</v>
      </c>
      <c r="B30" s="679" t="s">
        <v>27</v>
      </c>
      <c r="C30" s="691"/>
      <c r="D30" s="686"/>
      <c r="E30" s="692"/>
      <c r="F30" s="693"/>
      <c r="G30" s="694"/>
      <c r="H30" s="695"/>
      <c r="I30" s="696"/>
      <c r="J30" s="696"/>
      <c r="K30" s="216"/>
    </row>
    <row r="31" spans="1:11">
      <c r="A31" s="691">
        <f t="shared" si="0"/>
        <v>22</v>
      </c>
      <c r="B31" s="679"/>
      <c r="C31" s="216" t="s">
        <v>120</v>
      </c>
      <c r="D31" s="708"/>
      <c r="E31" s="692" t="s">
        <v>27</v>
      </c>
      <c r="F31" s="709"/>
      <c r="G31" s="710"/>
      <c r="H31" s="695" t="s">
        <v>27</v>
      </c>
      <c r="I31" s="696"/>
      <c r="J31" s="696"/>
      <c r="K31" s="216"/>
    </row>
    <row r="32" spans="1:11">
      <c r="A32" s="691">
        <f t="shared" si="0"/>
        <v>23</v>
      </c>
      <c r="B32" s="679" t="s">
        <v>121</v>
      </c>
      <c r="C32" s="216" t="s">
        <v>122</v>
      </c>
      <c r="D32" s="708"/>
      <c r="E32" s="692">
        <v>1545.0305832968063</v>
      </c>
      <c r="F32" s="709">
        <v>1.4999999999999999E-2</v>
      </c>
      <c r="G32" s="694">
        <f t="shared" ref="G32:G43" si="1">ROUND(E32*F32,0)</f>
        <v>23</v>
      </c>
      <c r="H32" s="695">
        <v>108.96322710639464</v>
      </c>
      <c r="I32" s="696">
        <f t="shared" ref="I32:I43" si="2">ROUND(H32*F32/2,0)</f>
        <v>1</v>
      </c>
      <c r="J32" s="696">
        <f t="shared" ref="J32:J43" si="3">I32+G32</f>
        <v>24</v>
      </c>
      <c r="K32" s="216"/>
    </row>
    <row r="33" spans="1:11">
      <c r="A33" s="691">
        <f t="shared" si="0"/>
        <v>24</v>
      </c>
      <c r="B33" s="679" t="s">
        <v>123</v>
      </c>
      <c r="C33" s="216" t="s">
        <v>124</v>
      </c>
      <c r="D33" s="708"/>
      <c r="E33" s="692">
        <v>39936.944835725299</v>
      </c>
      <c r="F33" s="709">
        <v>4.2000000000000003E-2</v>
      </c>
      <c r="G33" s="694">
        <f t="shared" si="1"/>
        <v>1677</v>
      </c>
      <c r="H33" s="695">
        <v>2736.4080652016632</v>
      </c>
      <c r="I33" s="696">
        <f t="shared" si="2"/>
        <v>57</v>
      </c>
      <c r="J33" s="696">
        <f t="shared" si="3"/>
        <v>1734</v>
      </c>
      <c r="K33" s="216"/>
    </row>
    <row r="34" spans="1:11">
      <c r="A34" s="691">
        <f t="shared" si="0"/>
        <v>25</v>
      </c>
      <c r="B34" s="679" t="s">
        <v>125</v>
      </c>
      <c r="C34" s="216" t="s">
        <v>126</v>
      </c>
      <c r="D34" s="708"/>
      <c r="E34" s="692">
        <v>25871.786068430956</v>
      </c>
      <c r="F34" s="709">
        <v>4.1599999999999998E-2</v>
      </c>
      <c r="G34" s="694">
        <f t="shared" si="1"/>
        <v>1076</v>
      </c>
      <c r="H34" s="695">
        <v>1824.6067951659081</v>
      </c>
      <c r="I34" s="696">
        <f t="shared" si="2"/>
        <v>38</v>
      </c>
      <c r="J34" s="696">
        <f t="shared" si="3"/>
        <v>1114</v>
      </c>
      <c r="K34" s="216"/>
    </row>
    <row r="35" spans="1:11">
      <c r="A35" s="691">
        <f t="shared" si="0"/>
        <v>26</v>
      </c>
      <c r="B35" s="679" t="s">
        <v>127</v>
      </c>
      <c r="C35" s="216" t="s">
        <v>128</v>
      </c>
      <c r="D35" s="708"/>
      <c r="E35" s="692">
        <v>3458.679161784361</v>
      </c>
      <c r="F35" s="709">
        <v>2.58E-2</v>
      </c>
      <c r="G35" s="694">
        <f t="shared" si="1"/>
        <v>89</v>
      </c>
      <c r="H35" s="695">
        <v>243.9232252538952</v>
      </c>
      <c r="I35" s="696">
        <f t="shared" si="2"/>
        <v>3</v>
      </c>
      <c r="J35" s="696">
        <f t="shared" si="3"/>
        <v>92</v>
      </c>
      <c r="K35" s="216"/>
    </row>
    <row r="36" spans="1:11">
      <c r="A36" s="691">
        <f t="shared" si="0"/>
        <v>27</v>
      </c>
      <c r="B36" s="679" t="s">
        <v>129</v>
      </c>
      <c r="C36" s="216" t="s">
        <v>130</v>
      </c>
      <c r="D36" s="708"/>
      <c r="E36" s="692">
        <v>26533.75971274835</v>
      </c>
      <c r="F36" s="709">
        <v>3.61E-2</v>
      </c>
      <c r="G36" s="694">
        <f t="shared" si="1"/>
        <v>958</v>
      </c>
      <c r="H36" s="695">
        <v>1855.104362960451</v>
      </c>
      <c r="I36" s="696">
        <f t="shared" si="2"/>
        <v>33</v>
      </c>
      <c r="J36" s="696">
        <f t="shared" si="3"/>
        <v>991</v>
      </c>
      <c r="K36" s="216"/>
    </row>
    <row r="37" spans="1:11">
      <c r="A37" s="691">
        <f t="shared" si="0"/>
        <v>28</v>
      </c>
      <c r="B37" s="679" t="s">
        <v>131</v>
      </c>
      <c r="C37" s="216" t="s">
        <v>132</v>
      </c>
      <c r="D37" s="708"/>
      <c r="E37" s="692">
        <v>3596.2795079697371</v>
      </c>
      <c r="F37" s="709">
        <v>2.86E-2</v>
      </c>
      <c r="G37" s="694">
        <f t="shared" si="1"/>
        <v>103</v>
      </c>
      <c r="H37" s="695">
        <v>253.62748478986023</v>
      </c>
      <c r="I37" s="696">
        <f t="shared" si="2"/>
        <v>4</v>
      </c>
      <c r="J37" s="696">
        <f t="shared" si="3"/>
        <v>107</v>
      </c>
      <c r="K37" s="216"/>
    </row>
    <row r="38" spans="1:11">
      <c r="A38" s="691">
        <f t="shared" si="0"/>
        <v>29</v>
      </c>
      <c r="B38" s="679" t="s">
        <v>133</v>
      </c>
      <c r="C38" s="216" t="s">
        <v>110</v>
      </c>
      <c r="D38" s="708"/>
      <c r="E38" s="692">
        <v>2147.9943453333335</v>
      </c>
      <c r="F38" s="709">
        <v>7.3999999999999996E-2</v>
      </c>
      <c r="G38" s="694">
        <f t="shared" si="1"/>
        <v>159</v>
      </c>
      <c r="H38" s="695">
        <v>-377.45012800000001</v>
      </c>
      <c r="I38" s="696">
        <v>0</v>
      </c>
      <c r="J38" s="696">
        <f t="shared" si="3"/>
        <v>159</v>
      </c>
      <c r="K38" s="216"/>
    </row>
    <row r="39" spans="1:11">
      <c r="A39" s="691">
        <f t="shared" si="0"/>
        <v>30</v>
      </c>
      <c r="B39" s="679" t="s">
        <v>400</v>
      </c>
      <c r="C39" s="216" t="s">
        <v>401</v>
      </c>
      <c r="D39" s="708"/>
      <c r="E39" s="692">
        <v>1648.1403500000001</v>
      </c>
      <c r="F39" s="709">
        <v>8.0799999999999997E-2</v>
      </c>
      <c r="G39" s="694">
        <f t="shared" si="1"/>
        <v>133</v>
      </c>
      <c r="H39" s="695">
        <v>2283</v>
      </c>
      <c r="I39" s="696">
        <f t="shared" si="2"/>
        <v>92</v>
      </c>
      <c r="J39" s="696">
        <f t="shared" si="3"/>
        <v>225</v>
      </c>
      <c r="K39" s="216"/>
    </row>
    <row r="40" spans="1:11">
      <c r="A40" s="691">
        <f t="shared" si="0"/>
        <v>31</v>
      </c>
      <c r="B40" s="679" t="s">
        <v>134</v>
      </c>
      <c r="C40" s="216" t="s">
        <v>260</v>
      </c>
      <c r="D40" s="708"/>
      <c r="E40" s="692">
        <v>3635.5401262719556</v>
      </c>
      <c r="F40" s="709">
        <v>2.75E-2</v>
      </c>
      <c r="G40" s="694">
        <f t="shared" si="1"/>
        <v>100</v>
      </c>
      <c r="H40" s="695">
        <v>256.39633850359951</v>
      </c>
      <c r="I40" s="696">
        <f t="shared" si="2"/>
        <v>4</v>
      </c>
      <c r="J40" s="696">
        <f t="shared" si="3"/>
        <v>104</v>
      </c>
      <c r="K40" s="216"/>
    </row>
    <row r="41" spans="1:11">
      <c r="A41" s="691">
        <f t="shared" si="0"/>
        <v>32</v>
      </c>
      <c r="B41" s="679" t="s">
        <v>136</v>
      </c>
      <c r="C41" s="216" t="s">
        <v>137</v>
      </c>
      <c r="D41" s="708"/>
      <c r="E41" s="692">
        <v>10940.776904000002</v>
      </c>
      <c r="F41" s="709">
        <v>3.7600000000000001E-2</v>
      </c>
      <c r="G41" s="694">
        <f t="shared" si="1"/>
        <v>411</v>
      </c>
      <c r="H41" s="695">
        <v>813</v>
      </c>
      <c r="I41" s="696">
        <f t="shared" si="2"/>
        <v>15</v>
      </c>
      <c r="J41" s="696">
        <f t="shared" si="3"/>
        <v>426</v>
      </c>
      <c r="K41" s="216"/>
    </row>
    <row r="42" spans="1:11">
      <c r="A42" s="691">
        <f t="shared" si="0"/>
        <v>33</v>
      </c>
      <c r="B42" s="679" t="s">
        <v>261</v>
      </c>
      <c r="C42" s="216" t="s">
        <v>262</v>
      </c>
      <c r="D42" s="708"/>
      <c r="E42" s="692">
        <v>284.73828000000003</v>
      </c>
      <c r="F42" s="709">
        <v>2.87E-2</v>
      </c>
      <c r="G42" s="694">
        <f t="shared" si="1"/>
        <v>8</v>
      </c>
      <c r="H42" s="695">
        <v>0</v>
      </c>
      <c r="I42" s="696">
        <f t="shared" si="2"/>
        <v>0</v>
      </c>
      <c r="J42" s="696">
        <f t="shared" si="3"/>
        <v>8</v>
      </c>
      <c r="K42" s="216"/>
    </row>
    <row r="43" spans="1:11">
      <c r="A43" s="691">
        <f t="shared" si="0"/>
        <v>34</v>
      </c>
      <c r="B43" s="679" t="s">
        <v>138</v>
      </c>
      <c r="C43" s="711" t="s">
        <v>259</v>
      </c>
      <c r="D43" s="712"/>
      <c r="E43" s="699">
        <v>32454.3069604392</v>
      </c>
      <c r="F43" s="709">
        <v>2.6499999999999999E-2</v>
      </c>
      <c r="G43" s="694">
        <f t="shared" si="1"/>
        <v>860</v>
      </c>
      <c r="H43" s="700">
        <v>2276.8106343515601</v>
      </c>
      <c r="I43" s="701">
        <f t="shared" si="2"/>
        <v>30</v>
      </c>
      <c r="J43" s="701">
        <f t="shared" si="3"/>
        <v>890</v>
      </c>
      <c r="K43" s="216"/>
    </row>
    <row r="44" spans="1:11">
      <c r="A44" s="691">
        <f t="shared" si="0"/>
        <v>35</v>
      </c>
      <c r="B44" s="679"/>
      <c r="C44" s="216" t="s">
        <v>139</v>
      </c>
      <c r="D44" s="708"/>
      <c r="E44" s="692">
        <f>SUM(E32:E43)</f>
        <v>152053.97683600002</v>
      </c>
      <c r="F44" s="703"/>
      <c r="G44" s="704">
        <f>SUM(G32:G43)</f>
        <v>5597</v>
      </c>
      <c r="H44" s="695">
        <f>SUM(H32:H43)</f>
        <v>12274.390005333335</v>
      </c>
      <c r="I44" s="695">
        <f>SUM(I32:I43)</f>
        <v>277</v>
      </c>
      <c r="J44" s="695">
        <f>SUM(J32:J43)</f>
        <v>5874</v>
      </c>
      <c r="K44" s="216"/>
    </row>
    <row r="45" spans="1:11">
      <c r="A45" s="691">
        <f t="shared" si="0"/>
        <v>36</v>
      </c>
      <c r="B45" s="679"/>
      <c r="C45" s="216"/>
      <c r="D45" s="708"/>
      <c r="E45" s="692"/>
      <c r="F45" s="709"/>
      <c r="G45" s="710"/>
      <c r="H45" s="695"/>
      <c r="I45" s="696"/>
      <c r="J45" s="696"/>
      <c r="K45" s="216"/>
    </row>
    <row r="46" spans="1:11">
      <c r="A46" s="691">
        <f t="shared" si="0"/>
        <v>37</v>
      </c>
      <c r="B46" s="679"/>
      <c r="C46" s="216" t="s">
        <v>140</v>
      </c>
      <c r="D46" s="708"/>
      <c r="E46" s="692"/>
      <c r="F46" s="709"/>
      <c r="G46" s="710"/>
      <c r="H46" s="695"/>
      <c r="I46" s="696"/>
      <c r="J46" s="696"/>
      <c r="K46" s="216"/>
    </row>
    <row r="47" spans="1:11">
      <c r="A47" s="691">
        <f t="shared" si="0"/>
        <v>38</v>
      </c>
      <c r="B47" s="679" t="s">
        <v>141</v>
      </c>
      <c r="C47" s="216" t="s">
        <v>142</v>
      </c>
      <c r="D47" s="708"/>
      <c r="E47" s="692">
        <v>5073.18905</v>
      </c>
      <c r="F47" s="709">
        <v>2.6599999999999999E-2</v>
      </c>
      <c r="G47" s="694">
        <f t="shared" ref="G47:G57" si="4">ROUND(E47*F47,0)</f>
        <v>135</v>
      </c>
      <c r="H47" s="695">
        <v>305.28558500000003</v>
      </c>
      <c r="I47" s="696">
        <f t="shared" ref="I47:I57" si="5">ROUND(H47*F47/2,0)</f>
        <v>4</v>
      </c>
      <c r="J47" s="696">
        <f t="shared" ref="J47:J57" si="6">I47+G47</f>
        <v>139</v>
      </c>
      <c r="K47" s="216"/>
    </row>
    <row r="48" spans="1:11">
      <c r="A48" s="691">
        <f t="shared" si="0"/>
        <v>39</v>
      </c>
      <c r="B48" s="679" t="s">
        <v>143</v>
      </c>
      <c r="C48" s="216" t="s">
        <v>144</v>
      </c>
      <c r="D48" s="708"/>
      <c r="E48" s="692">
        <v>214.16683333333333</v>
      </c>
      <c r="F48" s="709">
        <v>6.6699999999999995E-2</v>
      </c>
      <c r="G48" s="694">
        <f t="shared" si="4"/>
        <v>14</v>
      </c>
      <c r="H48" s="695">
        <v>1.5359166666666653</v>
      </c>
      <c r="I48" s="696">
        <v>0</v>
      </c>
      <c r="J48" s="696">
        <f t="shared" si="6"/>
        <v>14</v>
      </c>
      <c r="K48" s="216"/>
    </row>
    <row r="49" spans="1:11">
      <c r="A49" s="691">
        <f t="shared" si="0"/>
        <v>40</v>
      </c>
      <c r="B49" s="725">
        <v>483.2</v>
      </c>
      <c r="C49" s="216" t="s">
        <v>339</v>
      </c>
      <c r="D49" s="708"/>
      <c r="E49" s="692">
        <v>47.030540000000002</v>
      </c>
      <c r="F49" s="709">
        <v>0.2</v>
      </c>
      <c r="G49" s="694">
        <f t="shared" si="4"/>
        <v>9</v>
      </c>
      <c r="H49" s="695">
        <v>0</v>
      </c>
      <c r="I49" s="696">
        <f t="shared" si="5"/>
        <v>0</v>
      </c>
      <c r="J49" s="696">
        <f t="shared" si="6"/>
        <v>9</v>
      </c>
      <c r="K49" s="216"/>
    </row>
    <row r="50" spans="1:11">
      <c r="A50" s="691">
        <f t="shared" si="0"/>
        <v>41</v>
      </c>
      <c r="B50" s="679" t="s">
        <v>263</v>
      </c>
      <c r="C50" s="216" t="s">
        <v>264</v>
      </c>
      <c r="D50" s="708"/>
      <c r="E50" s="692">
        <v>4253.9763966666669</v>
      </c>
      <c r="F50" s="709">
        <v>6.9800000000000001E-2</v>
      </c>
      <c r="G50" s="694">
        <f t="shared" si="4"/>
        <v>297</v>
      </c>
      <c r="H50" s="695">
        <v>730.097668</v>
      </c>
      <c r="I50" s="696">
        <f>ROUND(H50*F50/2,0)</f>
        <v>25</v>
      </c>
      <c r="J50" s="696">
        <f t="shared" si="6"/>
        <v>322</v>
      </c>
      <c r="K50" s="216"/>
    </row>
    <row r="51" spans="1:11">
      <c r="A51" s="691">
        <f t="shared" si="0"/>
        <v>42</v>
      </c>
      <c r="B51" s="679" t="s">
        <v>145</v>
      </c>
      <c r="C51" s="216" t="s">
        <v>146</v>
      </c>
      <c r="D51" s="708"/>
      <c r="E51" s="692">
        <v>1066.2856900000002</v>
      </c>
      <c r="F51" s="709">
        <v>6.6699999999999995E-2</v>
      </c>
      <c r="G51" s="694">
        <f t="shared" si="4"/>
        <v>71</v>
      </c>
      <c r="H51" s="695">
        <v>83.67170999999999</v>
      </c>
      <c r="I51" s="696">
        <f t="shared" si="5"/>
        <v>3</v>
      </c>
      <c r="J51" s="696">
        <f t="shared" si="6"/>
        <v>74</v>
      </c>
      <c r="K51" s="216"/>
    </row>
    <row r="52" spans="1:11">
      <c r="A52" s="691">
        <f t="shared" si="0"/>
        <v>43</v>
      </c>
      <c r="B52" s="679" t="s">
        <v>148</v>
      </c>
      <c r="C52" s="216" t="s">
        <v>265</v>
      </c>
      <c r="D52" s="708"/>
      <c r="E52" s="692">
        <v>1014.1100100000001</v>
      </c>
      <c r="F52" s="709">
        <v>6.6699999999999995E-2</v>
      </c>
      <c r="G52" s="694">
        <f t="shared" si="4"/>
        <v>68</v>
      </c>
      <c r="H52" s="695">
        <v>11.7</v>
      </c>
      <c r="I52" s="696">
        <f t="shared" si="5"/>
        <v>0</v>
      </c>
      <c r="J52" s="696">
        <f t="shared" si="6"/>
        <v>68</v>
      </c>
      <c r="K52" s="216"/>
    </row>
    <row r="53" spans="1:11">
      <c r="A53" s="691">
        <f t="shared" si="0"/>
        <v>44</v>
      </c>
      <c r="B53" s="679" t="s">
        <v>369</v>
      </c>
      <c r="C53" s="216" t="s">
        <v>370</v>
      </c>
      <c r="D53" s="708"/>
      <c r="E53" s="692">
        <v>474.68126000000001</v>
      </c>
      <c r="F53" s="709">
        <v>2.8899999999999999E-2</v>
      </c>
      <c r="G53" s="694">
        <f t="shared" si="4"/>
        <v>14</v>
      </c>
      <c r="H53" s="695">
        <v>0</v>
      </c>
      <c r="I53" s="696">
        <f t="shared" si="5"/>
        <v>0</v>
      </c>
      <c r="J53" s="696">
        <f t="shared" si="6"/>
        <v>14</v>
      </c>
      <c r="K53" s="216"/>
    </row>
    <row r="54" spans="1:11">
      <c r="A54" s="691">
        <f t="shared" si="0"/>
        <v>45</v>
      </c>
      <c r="B54" s="679" t="s">
        <v>640</v>
      </c>
      <c r="C54" s="678" t="s">
        <v>271</v>
      </c>
      <c r="D54" s="708"/>
      <c r="E54" s="692">
        <v>1.4930000000000001</v>
      </c>
      <c r="F54" s="709">
        <v>0</v>
      </c>
      <c r="G54" s="694">
        <f t="shared" si="4"/>
        <v>0</v>
      </c>
      <c r="H54" s="695">
        <v>0</v>
      </c>
      <c r="I54" s="696">
        <f t="shared" si="5"/>
        <v>0</v>
      </c>
      <c r="J54" s="696">
        <f t="shared" si="6"/>
        <v>0</v>
      </c>
      <c r="K54" s="216"/>
    </row>
    <row r="55" spans="1:11">
      <c r="A55" s="691">
        <f t="shared" si="0"/>
        <v>46</v>
      </c>
      <c r="B55" s="679" t="s">
        <v>636</v>
      </c>
      <c r="C55" s="678" t="s">
        <v>784</v>
      </c>
      <c r="D55" s="708"/>
      <c r="E55" s="692">
        <v>1901</v>
      </c>
      <c r="F55" s="709">
        <v>0.04</v>
      </c>
      <c r="G55" s="694">
        <f t="shared" si="4"/>
        <v>76</v>
      </c>
      <c r="H55" s="695">
        <v>0</v>
      </c>
      <c r="I55" s="696">
        <f t="shared" si="5"/>
        <v>0</v>
      </c>
      <c r="J55" s="696">
        <f t="shared" si="6"/>
        <v>76</v>
      </c>
      <c r="K55" s="216"/>
    </row>
    <row r="56" spans="1:11">
      <c r="A56" s="691">
        <f t="shared" si="0"/>
        <v>47</v>
      </c>
      <c r="B56" s="679" t="s">
        <v>637</v>
      </c>
      <c r="C56" s="678" t="s">
        <v>639</v>
      </c>
      <c r="D56" s="708"/>
      <c r="E56" s="692">
        <v>1003.428</v>
      </c>
      <c r="F56" s="709">
        <v>0.1</v>
      </c>
      <c r="G56" s="694">
        <f t="shared" si="4"/>
        <v>100</v>
      </c>
      <c r="H56" s="695">
        <v>730</v>
      </c>
      <c r="I56" s="696">
        <f>ROUND(H56*F56/2,0)</f>
        <v>37</v>
      </c>
      <c r="J56" s="696">
        <f>I56+G56</f>
        <v>137</v>
      </c>
      <c r="K56" s="216"/>
    </row>
    <row r="57" spans="1:11">
      <c r="A57" s="691">
        <f t="shared" si="0"/>
        <v>48</v>
      </c>
      <c r="B57" s="679" t="s">
        <v>638</v>
      </c>
      <c r="C57" s="678" t="s">
        <v>480</v>
      </c>
      <c r="D57" s="712"/>
      <c r="E57" s="706">
        <v>2915.86</v>
      </c>
      <c r="F57" s="714">
        <v>0.1</v>
      </c>
      <c r="G57" s="705">
        <f t="shared" si="4"/>
        <v>292</v>
      </c>
      <c r="H57" s="700">
        <v>57.4</v>
      </c>
      <c r="I57" s="701">
        <f t="shared" si="5"/>
        <v>3</v>
      </c>
      <c r="J57" s="701">
        <f t="shared" si="6"/>
        <v>295</v>
      </c>
      <c r="K57" s="216"/>
    </row>
    <row r="58" spans="1:11">
      <c r="A58" s="691">
        <f t="shared" si="0"/>
        <v>49</v>
      </c>
      <c r="B58" s="679"/>
      <c r="C58" s="216" t="s">
        <v>149</v>
      </c>
      <c r="D58" s="216"/>
      <c r="E58" s="692">
        <f>SUM(E47:E57)</f>
        <v>17965.22078</v>
      </c>
      <c r="F58" s="216"/>
      <c r="G58" s="710">
        <f>SUM(G47:G57)</f>
        <v>1076</v>
      </c>
      <c r="H58" s="710">
        <f>SUM(H47:H57)</f>
        <v>1919.6908796666669</v>
      </c>
      <c r="I58" s="710">
        <f>SUM(I47:I57)</f>
        <v>72</v>
      </c>
      <c r="J58" s="710">
        <f>SUM(J47:J57)</f>
        <v>1148</v>
      </c>
      <c r="K58" s="216"/>
    </row>
    <row r="59" spans="1:11">
      <c r="A59" s="691">
        <f t="shared" si="0"/>
        <v>50</v>
      </c>
      <c r="B59" s="679"/>
      <c r="C59" s="216"/>
      <c r="D59" s="216"/>
      <c r="E59" s="692"/>
      <c r="F59" s="216"/>
      <c r="G59" s="710"/>
      <c r="H59" s="710"/>
      <c r="I59" s="710"/>
      <c r="J59" s="710"/>
      <c r="K59" s="216"/>
    </row>
    <row r="60" spans="1:11" ht="15" thickBot="1">
      <c r="A60" s="691">
        <f t="shared" si="0"/>
        <v>51</v>
      </c>
      <c r="B60" s="679"/>
      <c r="C60" s="216" t="s">
        <v>150</v>
      </c>
      <c r="D60" s="216"/>
      <c r="E60" s="692">
        <f>E58+E44+E29+E25+E17</f>
        <v>207471.57702600001</v>
      </c>
      <c r="F60" s="709"/>
      <c r="G60" s="717">
        <f>G44+G58+G29+G25+G17</f>
        <v>8112</v>
      </c>
      <c r="H60" s="717">
        <f>H44+H58+H29+H25+H17</f>
        <v>19725.080885000003</v>
      </c>
      <c r="I60" s="717">
        <f>I44+I58+I29+I25+I17</f>
        <v>473</v>
      </c>
      <c r="J60" s="717">
        <f>J44+J58+J29+J25+J17</f>
        <v>8585</v>
      </c>
      <c r="K60" s="216"/>
    </row>
    <row r="61" spans="1:11">
      <c r="A61" s="691">
        <f t="shared" si="0"/>
        <v>52</v>
      </c>
      <c r="B61" s="679"/>
      <c r="C61" s="216" t="s">
        <v>433</v>
      </c>
      <c r="D61" s="216"/>
      <c r="E61" s="706">
        <v>380</v>
      </c>
      <c r="F61" s="709"/>
      <c r="G61" s="216"/>
      <c r="H61" s="216"/>
      <c r="I61" s="696"/>
      <c r="J61" s="216"/>
      <c r="K61" s="216"/>
    </row>
    <row r="62" spans="1:11" ht="15">
      <c r="A62" s="691">
        <f t="shared" si="0"/>
        <v>53</v>
      </c>
      <c r="B62" s="679"/>
      <c r="C62" s="216" t="s">
        <v>151</v>
      </c>
      <c r="D62" s="216" t="s">
        <v>633</v>
      </c>
      <c r="E62" s="692">
        <f>E60+E61</f>
        <v>207851.57702600001</v>
      </c>
      <c r="F62" s="216"/>
      <c r="G62" s="719"/>
      <c r="H62" s="719"/>
      <c r="I62" s="719"/>
      <c r="J62" s="719"/>
      <c r="K62" s="720"/>
    </row>
    <row r="63" spans="1:11">
      <c r="A63" s="216"/>
      <c r="B63" s="679"/>
      <c r="C63" s="216"/>
      <c r="D63" s="216"/>
      <c r="E63" s="678"/>
      <c r="F63" s="216"/>
      <c r="G63" s="216"/>
      <c r="H63" s="216"/>
      <c r="I63" s="216"/>
      <c r="J63" s="216"/>
      <c r="K63" s="216"/>
    </row>
    <row r="64" spans="1:11">
      <c r="A64" s="216"/>
      <c r="B64" s="679"/>
      <c r="C64" s="216"/>
      <c r="D64" s="216"/>
      <c r="E64" s="678"/>
      <c r="F64" s="216"/>
      <c r="G64" s="216"/>
      <c r="H64" s="216"/>
      <c r="I64" s="216"/>
      <c r="J64" s="216"/>
      <c r="K64" s="216"/>
    </row>
    <row r="65" spans="1:11">
      <c r="A65" s="216"/>
      <c r="B65" s="679"/>
      <c r="C65" s="216"/>
      <c r="D65" s="216"/>
      <c r="E65" s="678"/>
      <c r="F65" s="216"/>
      <c r="G65" s="216"/>
      <c r="H65" s="216"/>
      <c r="I65" s="216"/>
      <c r="J65" s="216"/>
      <c r="K65" s="216"/>
    </row>
    <row r="66" spans="1:11">
      <c r="A66" s="216"/>
      <c r="B66" s="679"/>
      <c r="C66" s="216"/>
      <c r="D66" s="216"/>
      <c r="E66" s="678"/>
      <c r="F66" s="216"/>
      <c r="G66" s="216"/>
      <c r="H66" s="216"/>
      <c r="I66" s="216"/>
      <c r="J66" s="216"/>
      <c r="K66" s="216"/>
    </row>
  </sheetData>
  <printOptions horizontalCentered="1"/>
  <pageMargins left="0.59" right="0.25" top="0.5" bottom="0.5" header="0.3" footer="0.3"/>
  <pageSetup scale="6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X62"/>
  <sheetViews>
    <sheetView view="pageBreakPreview" topLeftCell="A10" zoomScale="85" zoomScaleNormal="100" zoomScaleSheetLayoutView="85" workbookViewId="0">
      <selection activeCell="V236" sqref="V236"/>
    </sheetView>
  </sheetViews>
  <sheetFormatPr defaultRowHeight="11.25"/>
  <cols>
    <col min="1" max="1" width="5.7109375" style="612" bestFit="1" customWidth="1"/>
    <col min="2" max="2" width="6.5703125" style="612" bestFit="1" customWidth="1"/>
    <col min="3" max="3" width="43.7109375" style="612" bestFit="1" customWidth="1"/>
    <col min="4" max="4" width="8.42578125" style="612" customWidth="1"/>
    <col min="5" max="5" width="8.28515625" style="612" customWidth="1"/>
    <col min="6" max="6" width="6.7109375" style="612" customWidth="1"/>
    <col min="7" max="7" width="9.28515625" style="612" bestFit="1" customWidth="1"/>
    <col min="8" max="8" width="9.140625" style="666"/>
    <col min="9" max="9" width="2.28515625" style="612" customWidth="1"/>
    <col min="10" max="10" width="11.85546875" style="612" customWidth="1"/>
    <col min="11" max="11" width="2.28515625" style="612" customWidth="1"/>
    <col min="12" max="12" width="11.85546875" style="612" customWidth="1"/>
    <col min="13" max="13" width="2.28515625" style="612" customWidth="1"/>
    <col min="14" max="14" width="11.85546875" style="612" customWidth="1"/>
    <col min="15" max="15" width="2.28515625" style="612" customWidth="1"/>
    <col min="16" max="16" width="11.85546875" style="612" customWidth="1"/>
    <col min="17" max="17" width="2.28515625" style="612" customWidth="1"/>
    <col min="18" max="18" width="11.85546875" style="612" customWidth="1"/>
    <col min="19" max="19" width="2.28515625" style="612" customWidth="1"/>
    <col min="20" max="20" width="11.85546875" style="612" customWidth="1"/>
    <col min="21" max="21" width="2.28515625" style="612" customWidth="1"/>
    <col min="22" max="22" width="11.85546875" style="612" customWidth="1"/>
    <col min="23" max="23" width="2.7109375" style="612" customWidth="1"/>
    <col min="24" max="16384" width="9.140625" style="612"/>
  </cols>
  <sheetData>
    <row r="1" spans="1:24" s="216" customFormat="1" ht="15">
      <c r="A1" s="677" t="s">
        <v>540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675" t="s">
        <v>560</v>
      </c>
    </row>
    <row r="2" spans="1:24" s="216" customFormat="1" ht="12.75" customHeight="1">
      <c r="A2" s="677" t="s">
        <v>463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</row>
    <row r="3" spans="1:24" s="216" customFormat="1" ht="12.75" customHeight="1">
      <c r="A3" s="677" t="s">
        <v>329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</row>
    <row r="4" spans="1:24" s="216" customFormat="1" ht="12.75" customHeight="1">
      <c r="A4" s="677" t="s">
        <v>32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677"/>
    </row>
    <row r="5" spans="1:24">
      <c r="E5" s="667"/>
      <c r="F5" s="668" t="s">
        <v>27</v>
      </c>
      <c r="H5" s="669" t="s">
        <v>27</v>
      </c>
    </row>
    <row r="6" spans="1:24" ht="12.75">
      <c r="A6" s="614"/>
      <c r="B6" s="614"/>
      <c r="C6" s="615"/>
      <c r="D6" s="615"/>
      <c r="E6" s="670"/>
      <c r="F6" s="616" t="s">
        <v>27</v>
      </c>
      <c r="G6" s="616"/>
      <c r="H6" s="671" t="s">
        <v>27</v>
      </c>
      <c r="I6" s="614"/>
      <c r="J6" s="614"/>
      <c r="K6" s="614"/>
      <c r="L6" s="614"/>
      <c r="M6" s="614"/>
      <c r="N6" s="672"/>
      <c r="O6" s="672"/>
      <c r="P6" s="672"/>
      <c r="Q6" s="672"/>
      <c r="R6" s="672"/>
      <c r="S6" s="477"/>
      <c r="T6" s="803" t="s">
        <v>459</v>
      </c>
      <c r="U6" s="803"/>
      <c r="V6" s="803" t="s">
        <v>459</v>
      </c>
      <c r="W6" s="475"/>
    </row>
    <row r="7" spans="1:24" ht="12.75">
      <c r="A7" s="635" t="s">
        <v>33</v>
      </c>
      <c r="B7" s="635" t="s">
        <v>27</v>
      </c>
      <c r="C7" s="635"/>
      <c r="D7" s="635" t="s">
        <v>101</v>
      </c>
      <c r="E7" s="727" t="s">
        <v>112</v>
      </c>
      <c r="F7" s="595" t="s">
        <v>27</v>
      </c>
      <c r="G7" s="595" t="s">
        <v>113</v>
      </c>
      <c r="H7" s="728" t="s">
        <v>114</v>
      </c>
      <c r="I7" s="639"/>
      <c r="J7" s="637" t="s">
        <v>25</v>
      </c>
      <c r="K7" s="639"/>
      <c r="L7" s="637" t="s">
        <v>25</v>
      </c>
      <c r="M7" s="639"/>
      <c r="N7" s="825" t="s">
        <v>330</v>
      </c>
      <c r="O7" s="825"/>
      <c r="P7" s="825"/>
      <c r="Q7" s="825"/>
      <c r="R7" s="825"/>
      <c r="S7" s="635"/>
      <c r="T7" s="639" t="s">
        <v>15</v>
      </c>
      <c r="U7" s="637"/>
      <c r="V7" s="639" t="s">
        <v>15</v>
      </c>
      <c r="W7" s="473"/>
    </row>
    <row r="8" spans="1:24" ht="12.75">
      <c r="A8" s="240" t="s">
        <v>35</v>
      </c>
      <c r="B8" s="240" t="s">
        <v>115</v>
      </c>
      <c r="C8" s="240" t="s">
        <v>178</v>
      </c>
      <c r="D8" s="240" t="s">
        <v>36</v>
      </c>
      <c r="E8" s="729" t="s">
        <v>116</v>
      </c>
      <c r="F8" s="240" t="s">
        <v>117</v>
      </c>
      <c r="G8" s="240" t="s">
        <v>118</v>
      </c>
      <c r="H8" s="730" t="s">
        <v>119</v>
      </c>
      <c r="I8" s="242"/>
      <c r="J8" s="638">
        <v>2011</v>
      </c>
      <c r="K8" s="242"/>
      <c r="L8" s="638">
        <v>2012</v>
      </c>
      <c r="M8" s="639"/>
      <c r="N8" s="240">
        <v>2013</v>
      </c>
      <c r="O8" s="635"/>
      <c r="P8" s="240">
        <v>2014</v>
      </c>
      <c r="Q8" s="637"/>
      <c r="R8" s="240">
        <v>2015</v>
      </c>
      <c r="S8" s="240"/>
      <c r="T8" s="638">
        <v>2008</v>
      </c>
      <c r="U8" s="637"/>
      <c r="V8" s="638">
        <v>2009</v>
      </c>
      <c r="W8" s="473"/>
    </row>
    <row r="9" spans="1:24" ht="12.75">
      <c r="A9" s="582"/>
      <c r="B9" s="582"/>
      <c r="C9" s="582"/>
      <c r="D9" s="458"/>
      <c r="E9" s="731"/>
      <c r="F9" s="582"/>
      <c r="G9" s="582"/>
      <c r="H9" s="732"/>
      <c r="I9" s="473"/>
      <c r="J9" s="473"/>
      <c r="K9" s="473"/>
      <c r="L9" s="473"/>
      <c r="M9" s="534"/>
      <c r="N9" s="473"/>
      <c r="O9" s="473"/>
      <c r="P9" s="473"/>
      <c r="Q9" s="473"/>
      <c r="R9" s="473"/>
      <c r="S9" s="473"/>
      <c r="T9" s="473"/>
      <c r="U9" s="473"/>
      <c r="V9" s="473"/>
      <c r="W9" s="473"/>
    </row>
    <row r="10" spans="1:24" ht="12.75">
      <c r="A10" s="565">
        <v>1</v>
      </c>
      <c r="B10" s="473"/>
      <c r="C10" s="473" t="s">
        <v>362</v>
      </c>
      <c r="D10" s="583"/>
      <c r="E10" s="473"/>
      <c r="F10" s="473"/>
      <c r="G10" s="473"/>
      <c r="H10" s="568"/>
      <c r="I10" s="639"/>
      <c r="J10" s="639"/>
      <c r="K10" s="639"/>
      <c r="L10" s="639"/>
      <c r="M10" s="639"/>
      <c r="N10" s="473"/>
      <c r="O10" s="473"/>
      <c r="P10" s="473"/>
      <c r="Q10" s="473"/>
      <c r="R10" s="473"/>
      <c r="S10" s="473"/>
      <c r="T10" s="473"/>
      <c r="U10" s="473"/>
      <c r="V10" s="473"/>
      <c r="W10" s="473"/>
    </row>
    <row r="11" spans="1:24" ht="12.75">
      <c r="A11" s="565">
        <v>2</v>
      </c>
      <c r="B11" s="592"/>
      <c r="C11" s="473"/>
      <c r="D11" s="458"/>
      <c r="E11" s="731"/>
      <c r="F11" s="565"/>
      <c r="G11" s="733"/>
      <c r="H11" s="568"/>
      <c r="I11" s="639"/>
      <c r="J11" s="639"/>
      <c r="K11" s="639"/>
      <c r="L11" s="639"/>
      <c r="M11" s="639"/>
      <c r="N11" s="473"/>
      <c r="O11" s="473"/>
      <c r="P11" s="473"/>
      <c r="Q11" s="473"/>
      <c r="R11" s="473"/>
      <c r="S11" s="473"/>
      <c r="T11" s="473"/>
      <c r="U11" s="473"/>
      <c r="V11" s="473"/>
      <c r="W11" s="473"/>
    </row>
    <row r="12" spans="1:24" ht="12.75">
      <c r="A12" s="582">
        <v>3</v>
      </c>
      <c r="B12" s="473" t="s">
        <v>402</v>
      </c>
      <c r="C12" s="585" t="s">
        <v>363</v>
      </c>
      <c r="D12" s="458"/>
      <c r="E12" s="731" t="s">
        <v>410</v>
      </c>
      <c r="F12" s="582">
        <v>72</v>
      </c>
      <c r="G12" s="733">
        <v>-0.1</v>
      </c>
      <c r="H12" s="734">
        <v>3.3599999999999998E-2</v>
      </c>
      <c r="I12" s="534"/>
      <c r="J12" s="566">
        <v>-14</v>
      </c>
      <c r="K12" s="534"/>
      <c r="L12" s="566">
        <v>-14</v>
      </c>
      <c r="M12" s="534"/>
      <c r="N12" s="566">
        <v>-1.536</v>
      </c>
      <c r="O12" s="473"/>
      <c r="P12" s="566">
        <v>-1.536</v>
      </c>
      <c r="Q12" s="473"/>
      <c r="R12" s="566">
        <v>-1.536</v>
      </c>
      <c r="S12" s="473"/>
      <c r="T12" s="566">
        <v>-14</v>
      </c>
      <c r="U12" s="473"/>
      <c r="V12" s="566">
        <v>-14</v>
      </c>
      <c r="W12" s="473"/>
    </row>
    <row r="13" spans="1:24" ht="12.75">
      <c r="A13" s="582">
        <f t="shared" ref="A13:A60" si="0">A12+1</f>
        <v>4</v>
      </c>
      <c r="B13" s="473" t="s">
        <v>403</v>
      </c>
      <c r="C13" s="585" t="s">
        <v>364</v>
      </c>
      <c r="D13" s="458"/>
      <c r="E13" s="731" t="s">
        <v>407</v>
      </c>
      <c r="F13" s="582">
        <v>103</v>
      </c>
      <c r="G13" s="733">
        <v>-0.1</v>
      </c>
      <c r="H13" s="734">
        <v>3.3599999999999998E-2</v>
      </c>
      <c r="I13" s="534"/>
      <c r="J13" s="566">
        <v>0</v>
      </c>
      <c r="K13" s="534"/>
      <c r="L13" s="566">
        <v>0</v>
      </c>
      <c r="M13" s="534"/>
      <c r="N13" s="566">
        <v>-7.8719999999999999</v>
      </c>
      <c r="O13" s="473"/>
      <c r="P13" s="566">
        <v>-7.8719999999999999</v>
      </c>
      <c r="Q13" s="473"/>
      <c r="R13" s="566">
        <v>-7.8719999999999999</v>
      </c>
      <c r="S13" s="473"/>
      <c r="T13" s="566">
        <v>0</v>
      </c>
      <c r="U13" s="473"/>
      <c r="V13" s="566">
        <v>0</v>
      </c>
      <c r="W13" s="473"/>
    </row>
    <row r="14" spans="1:24" ht="12.75">
      <c r="A14" s="582">
        <f t="shared" si="0"/>
        <v>5</v>
      </c>
      <c r="B14" s="473" t="s">
        <v>404</v>
      </c>
      <c r="C14" s="585" t="s">
        <v>365</v>
      </c>
      <c r="D14" s="458"/>
      <c r="E14" s="731" t="s">
        <v>407</v>
      </c>
      <c r="F14" s="582">
        <v>85</v>
      </c>
      <c r="G14" s="733">
        <v>-0.1</v>
      </c>
      <c r="H14" s="734">
        <v>3.3599999999999998E-2</v>
      </c>
      <c r="I14" s="473"/>
      <c r="J14" s="566">
        <v>0</v>
      </c>
      <c r="K14" s="534"/>
      <c r="L14" s="566">
        <v>0</v>
      </c>
      <c r="M14" s="473"/>
      <c r="N14" s="566">
        <v>-3.6930000000000001</v>
      </c>
      <c r="O14" s="473"/>
      <c r="P14" s="566">
        <v>-3.6930000000000001</v>
      </c>
      <c r="Q14" s="473"/>
      <c r="R14" s="566">
        <v>-3.6930000000000001</v>
      </c>
      <c r="S14" s="473"/>
      <c r="T14" s="566">
        <v>0</v>
      </c>
      <c r="U14" s="473"/>
      <c r="V14" s="566">
        <v>0</v>
      </c>
      <c r="W14" s="473"/>
      <c r="X14" s="581"/>
    </row>
    <row r="15" spans="1:24" ht="12.75">
      <c r="A15" s="582">
        <f t="shared" si="0"/>
        <v>6</v>
      </c>
      <c r="B15" s="473" t="s">
        <v>405</v>
      </c>
      <c r="C15" s="585" t="s">
        <v>366</v>
      </c>
      <c r="D15" s="458"/>
      <c r="E15" s="731" t="s">
        <v>407</v>
      </c>
      <c r="F15" s="582">
        <v>45</v>
      </c>
      <c r="G15" s="733">
        <v>-0.1</v>
      </c>
      <c r="H15" s="734">
        <v>3.3599999999999998E-2</v>
      </c>
      <c r="I15" s="473"/>
      <c r="J15" s="566">
        <v>0</v>
      </c>
      <c r="K15" s="473"/>
      <c r="L15" s="566">
        <v>0</v>
      </c>
      <c r="M15" s="473"/>
      <c r="N15" s="566">
        <v>-1.458</v>
      </c>
      <c r="O15" s="473"/>
      <c r="P15" s="566">
        <v>-1.458</v>
      </c>
      <c r="Q15" s="473"/>
      <c r="R15" s="566">
        <v>-1.458</v>
      </c>
      <c r="S15" s="473"/>
      <c r="T15" s="566">
        <v>0</v>
      </c>
      <c r="U15" s="473"/>
      <c r="V15" s="566">
        <v>0</v>
      </c>
      <c r="W15" s="473"/>
    </row>
    <row r="16" spans="1:24" ht="12.75">
      <c r="A16" s="582">
        <f t="shared" si="0"/>
        <v>7</v>
      </c>
      <c r="B16" s="473" t="s">
        <v>406</v>
      </c>
      <c r="C16" s="586" t="s">
        <v>367</v>
      </c>
      <c r="D16" s="240"/>
      <c r="E16" s="735" t="s">
        <v>410</v>
      </c>
      <c r="F16" s="736">
        <v>30</v>
      </c>
      <c r="G16" s="737">
        <v>-0.1</v>
      </c>
      <c r="H16" s="738">
        <v>3.3599999999999998E-2</v>
      </c>
      <c r="I16" s="473"/>
      <c r="J16" s="566">
        <v>0</v>
      </c>
      <c r="K16" s="473"/>
      <c r="L16" s="566">
        <v>0</v>
      </c>
      <c r="M16" s="473"/>
      <c r="N16" s="566">
        <v>-0.68799999999999994</v>
      </c>
      <c r="O16" s="473"/>
      <c r="P16" s="566">
        <v>-0.68799999999999994</v>
      </c>
      <c r="Q16" s="473"/>
      <c r="R16" s="566">
        <v>-0.68799999999999994</v>
      </c>
      <c r="S16" s="473"/>
      <c r="T16" s="566">
        <v>0</v>
      </c>
      <c r="U16" s="473"/>
      <c r="V16" s="566">
        <v>0</v>
      </c>
      <c r="W16" s="473"/>
    </row>
    <row r="17" spans="1:24" ht="12.75">
      <c r="A17" s="582">
        <f t="shared" si="0"/>
        <v>8</v>
      </c>
      <c r="B17" s="593"/>
      <c r="C17" s="473" t="s">
        <v>389</v>
      </c>
      <c r="D17" s="458"/>
      <c r="E17" s="731"/>
      <c r="F17" s="582"/>
      <c r="G17" s="582"/>
      <c r="H17" s="732"/>
      <c r="I17" s="473"/>
      <c r="J17" s="588">
        <f>SUM(J12:J16)</f>
        <v>-14</v>
      </c>
      <c r="K17" s="473"/>
      <c r="L17" s="588">
        <f>SUM(L12:L16)</f>
        <v>-14</v>
      </c>
      <c r="M17" s="473"/>
      <c r="N17" s="588">
        <f>SUM(N12:N16)</f>
        <v>-15.247</v>
      </c>
      <c r="O17" s="473"/>
      <c r="P17" s="588">
        <f>SUM(P12:P16)</f>
        <v>-15.247</v>
      </c>
      <c r="Q17" s="473"/>
      <c r="R17" s="588">
        <f>SUM(R12:R16)</f>
        <v>-15.247</v>
      </c>
      <c r="S17" s="473"/>
      <c r="T17" s="588">
        <f>SUM(T12:T16)</f>
        <v>-14</v>
      </c>
      <c r="U17" s="473"/>
      <c r="V17" s="588">
        <f>SUM(V12:V16)</f>
        <v>-14</v>
      </c>
      <c r="W17" s="473"/>
    </row>
    <row r="18" spans="1:24" ht="12.75">
      <c r="A18" s="582">
        <f t="shared" si="0"/>
        <v>9</v>
      </c>
      <c r="B18" s="593"/>
      <c r="C18" s="585"/>
      <c r="D18" s="458"/>
      <c r="E18" s="731"/>
      <c r="F18" s="582"/>
      <c r="G18" s="582"/>
      <c r="H18" s="732"/>
      <c r="I18" s="473"/>
      <c r="J18" s="566"/>
      <c r="K18" s="473"/>
      <c r="L18" s="566"/>
      <c r="M18" s="473"/>
      <c r="N18" s="566"/>
      <c r="O18" s="473"/>
      <c r="P18" s="566"/>
      <c r="Q18" s="473"/>
      <c r="R18" s="566"/>
      <c r="S18" s="473"/>
      <c r="T18" s="566"/>
      <c r="U18" s="473"/>
      <c r="V18" s="566"/>
      <c r="W18" s="473"/>
    </row>
    <row r="19" spans="1:24" ht="12.75">
      <c r="A19" s="582">
        <f t="shared" si="0"/>
        <v>10</v>
      </c>
      <c r="B19" s="593"/>
      <c r="C19" s="473" t="s">
        <v>368</v>
      </c>
      <c r="D19" s="458"/>
      <c r="E19" s="731"/>
      <c r="F19" s="582"/>
      <c r="G19" s="582"/>
      <c r="H19" s="732"/>
      <c r="I19" s="473"/>
      <c r="J19" s="566"/>
      <c r="K19" s="473"/>
      <c r="L19" s="566"/>
      <c r="M19" s="473"/>
      <c r="N19" s="566"/>
      <c r="O19" s="473"/>
      <c r="P19" s="566"/>
      <c r="Q19" s="473"/>
      <c r="R19" s="566"/>
      <c r="S19" s="473"/>
      <c r="T19" s="566"/>
      <c r="U19" s="473"/>
      <c r="V19" s="566"/>
      <c r="W19" s="473"/>
    </row>
    <row r="20" spans="1:24" ht="12.75">
      <c r="A20" s="582">
        <f t="shared" si="0"/>
        <v>11</v>
      </c>
      <c r="B20" s="473" t="s">
        <v>250</v>
      </c>
      <c r="C20" s="585" t="s">
        <v>894</v>
      </c>
      <c r="D20" s="458"/>
      <c r="E20" s="731" t="s">
        <v>409</v>
      </c>
      <c r="F20" s="582">
        <v>40</v>
      </c>
      <c r="G20" s="733">
        <v>-0.1</v>
      </c>
      <c r="H20" s="734">
        <v>2.7400000000000001E-2</v>
      </c>
      <c r="I20" s="473"/>
      <c r="J20" s="566">
        <v>-6</v>
      </c>
      <c r="K20" s="473"/>
      <c r="L20" s="566">
        <v>-6</v>
      </c>
      <c r="M20" s="473"/>
      <c r="N20" s="566">
        <v>1.8720000000000001</v>
      </c>
      <c r="O20" s="473"/>
      <c r="P20" s="566">
        <v>1.8720000000000001</v>
      </c>
      <c r="Q20" s="473"/>
      <c r="R20" s="566">
        <v>1.8720000000000001</v>
      </c>
      <c r="S20" s="473"/>
      <c r="T20" s="566">
        <v>-6</v>
      </c>
      <c r="U20" s="473"/>
      <c r="V20" s="566">
        <v>-6</v>
      </c>
      <c r="W20" s="473"/>
      <c r="X20" s="581"/>
    </row>
    <row r="21" spans="1:24" ht="12.75">
      <c r="A21" s="582">
        <f t="shared" si="0"/>
        <v>12</v>
      </c>
      <c r="B21" s="473" t="s">
        <v>251</v>
      </c>
      <c r="C21" s="585" t="s">
        <v>889</v>
      </c>
      <c r="D21" s="458"/>
      <c r="E21" s="731" t="s">
        <v>408</v>
      </c>
      <c r="F21" s="582">
        <v>35</v>
      </c>
      <c r="G21" s="733">
        <v>-0.2</v>
      </c>
      <c r="H21" s="734">
        <v>0.03</v>
      </c>
      <c r="I21" s="473"/>
      <c r="J21" s="566">
        <v>-8</v>
      </c>
      <c r="K21" s="473"/>
      <c r="L21" s="566">
        <v>-8</v>
      </c>
      <c r="M21" s="473"/>
      <c r="N21" s="566">
        <v>-2.548</v>
      </c>
      <c r="O21" s="473"/>
      <c r="P21" s="566">
        <v>-2.548</v>
      </c>
      <c r="Q21" s="473"/>
      <c r="R21" s="566">
        <v>-2.548</v>
      </c>
      <c r="S21" s="473"/>
      <c r="T21" s="566">
        <v>-8</v>
      </c>
      <c r="U21" s="473"/>
      <c r="V21" s="566">
        <v>-8</v>
      </c>
      <c r="W21" s="473"/>
      <c r="X21" s="581"/>
    </row>
    <row r="22" spans="1:24" ht="12.75">
      <c r="A22" s="582">
        <f t="shared" si="0"/>
        <v>13</v>
      </c>
      <c r="B22" s="473" t="s">
        <v>252</v>
      </c>
      <c r="C22" s="585" t="s">
        <v>253</v>
      </c>
      <c r="D22" s="458"/>
      <c r="E22" s="731" t="s">
        <v>409</v>
      </c>
      <c r="F22" s="582">
        <v>26</v>
      </c>
      <c r="G22" s="733">
        <v>-0.1</v>
      </c>
      <c r="H22" s="734">
        <v>3.6900000000000002E-2</v>
      </c>
      <c r="I22" s="473"/>
      <c r="J22" s="566">
        <v>-40</v>
      </c>
      <c r="K22" s="473"/>
      <c r="L22" s="566">
        <v>-40</v>
      </c>
      <c r="M22" s="473"/>
      <c r="N22" s="566">
        <v>34.665999999999997</v>
      </c>
      <c r="O22" s="473"/>
      <c r="P22" s="566">
        <v>34.665999999999997</v>
      </c>
      <c r="Q22" s="473"/>
      <c r="R22" s="566">
        <v>34.665999999999997</v>
      </c>
      <c r="S22" s="473"/>
      <c r="T22" s="566">
        <v>-40</v>
      </c>
      <c r="U22" s="473"/>
      <c r="V22" s="566">
        <v>-40</v>
      </c>
      <c r="W22" s="473"/>
      <c r="X22" s="581"/>
    </row>
    <row r="23" spans="1:24" ht="12.75">
      <c r="A23" s="582">
        <f t="shared" si="0"/>
        <v>14</v>
      </c>
      <c r="B23" s="473" t="s">
        <v>254</v>
      </c>
      <c r="C23" s="585" t="s">
        <v>257</v>
      </c>
      <c r="D23" s="458"/>
      <c r="E23" s="731" t="s">
        <v>407</v>
      </c>
      <c r="F23" s="582">
        <v>35</v>
      </c>
      <c r="G23" s="733">
        <v>0</v>
      </c>
      <c r="H23" s="734">
        <v>0.03</v>
      </c>
      <c r="I23" s="473"/>
      <c r="J23" s="566">
        <v>-15</v>
      </c>
      <c r="K23" s="473"/>
      <c r="L23" s="566">
        <v>-15</v>
      </c>
      <c r="M23" s="473"/>
      <c r="N23" s="566">
        <v>-11.648999999999999</v>
      </c>
      <c r="O23" s="473"/>
      <c r="P23" s="566">
        <v>-11.648999999999999</v>
      </c>
      <c r="Q23" s="473"/>
      <c r="R23" s="566">
        <v>-11.648999999999999</v>
      </c>
      <c r="S23" s="473"/>
      <c r="T23" s="566">
        <v>-15</v>
      </c>
      <c r="U23" s="473"/>
      <c r="V23" s="566">
        <v>-15</v>
      </c>
      <c r="W23" s="473"/>
      <c r="X23" s="581"/>
    </row>
    <row r="24" spans="1:24" ht="12.75">
      <c r="A24" s="582">
        <f t="shared" si="0"/>
        <v>15</v>
      </c>
      <c r="B24" s="473" t="s">
        <v>255</v>
      </c>
      <c r="C24" s="586" t="s">
        <v>256</v>
      </c>
      <c r="D24" s="240"/>
      <c r="E24" s="735" t="s">
        <v>407</v>
      </c>
      <c r="F24" s="736">
        <v>40</v>
      </c>
      <c r="G24" s="737">
        <v>0</v>
      </c>
      <c r="H24" s="738">
        <v>3.15E-2</v>
      </c>
      <c r="I24" s="473"/>
      <c r="J24" s="587">
        <v>-2</v>
      </c>
      <c r="K24" s="473"/>
      <c r="L24" s="587">
        <v>-2</v>
      </c>
      <c r="M24" s="473"/>
      <c r="N24" s="566">
        <v>-2.9580000000000002</v>
      </c>
      <c r="O24" s="473"/>
      <c r="P24" s="566">
        <v>-2.9580000000000002</v>
      </c>
      <c r="Q24" s="473"/>
      <c r="R24" s="566">
        <v>-2.9580000000000002</v>
      </c>
      <c r="S24" s="473"/>
      <c r="T24" s="587">
        <v>-2</v>
      </c>
      <c r="U24" s="473"/>
      <c r="V24" s="587">
        <v>-2</v>
      </c>
      <c r="W24" s="473"/>
      <c r="X24" s="581"/>
    </row>
    <row r="25" spans="1:24" ht="12.75">
      <c r="A25" s="582">
        <f t="shared" si="0"/>
        <v>16</v>
      </c>
      <c r="B25" s="593"/>
      <c r="C25" s="585" t="s">
        <v>390</v>
      </c>
      <c r="D25" s="458"/>
      <c r="E25" s="731"/>
      <c r="F25" s="582"/>
      <c r="G25" s="582"/>
      <c r="H25" s="739"/>
      <c r="I25" s="473"/>
      <c r="J25" s="740">
        <f>SUM(J20:J24)</f>
        <v>-71</v>
      </c>
      <c r="K25" s="473"/>
      <c r="L25" s="740">
        <f>SUM(L20:L24)</f>
        <v>-71</v>
      </c>
      <c r="M25" s="473"/>
      <c r="N25" s="740">
        <f>SUM(N20:N24)</f>
        <v>19.382999999999996</v>
      </c>
      <c r="O25" s="473"/>
      <c r="P25" s="740">
        <f>SUM(P20:P24)</f>
        <v>19.382999999999996</v>
      </c>
      <c r="Q25" s="473"/>
      <c r="R25" s="740">
        <f>SUM(R20:R24)</f>
        <v>19.382999999999996</v>
      </c>
      <c r="S25" s="473"/>
      <c r="T25" s="740">
        <f>SUM(T20:T24)</f>
        <v>-71</v>
      </c>
      <c r="U25" s="473"/>
      <c r="V25" s="740">
        <f>SUM(V20:V24)</f>
        <v>-71</v>
      </c>
      <c r="W25" s="473"/>
    </row>
    <row r="26" spans="1:24" ht="12.75">
      <c r="A26" s="582">
        <f t="shared" si="0"/>
        <v>17</v>
      </c>
      <c r="B26" s="593"/>
      <c r="C26" s="582"/>
      <c r="D26" s="458"/>
      <c r="E26" s="731"/>
      <c r="F26" s="582"/>
      <c r="G26" s="582"/>
      <c r="H26" s="732"/>
      <c r="I26" s="473"/>
      <c r="J26" s="566"/>
      <c r="K26" s="473"/>
      <c r="L26" s="566"/>
      <c r="M26" s="473"/>
      <c r="N26" s="473"/>
      <c r="O26" s="473"/>
      <c r="P26" s="473"/>
      <c r="Q26" s="473"/>
      <c r="R26" s="473"/>
      <c r="S26" s="473"/>
      <c r="T26" s="566"/>
      <c r="U26" s="473"/>
      <c r="V26" s="566"/>
      <c r="W26" s="473"/>
    </row>
    <row r="27" spans="1:24" ht="12.75">
      <c r="A27" s="582">
        <f t="shared" si="0"/>
        <v>18</v>
      </c>
      <c r="B27" s="593"/>
      <c r="C27" s="473" t="s">
        <v>371</v>
      </c>
      <c r="D27" s="458"/>
      <c r="E27" s="731"/>
      <c r="F27" s="582"/>
      <c r="G27" s="582"/>
      <c r="H27" s="732"/>
      <c r="I27" s="473"/>
      <c r="J27" s="566"/>
      <c r="K27" s="473"/>
      <c r="L27" s="566"/>
      <c r="M27" s="473"/>
      <c r="N27" s="473"/>
      <c r="O27" s="473"/>
      <c r="P27" s="473"/>
      <c r="Q27" s="473"/>
      <c r="R27" s="473"/>
      <c r="S27" s="473"/>
      <c r="T27" s="566"/>
      <c r="U27" s="473"/>
      <c r="V27" s="566"/>
      <c r="W27" s="473"/>
    </row>
    <row r="28" spans="1:24" ht="12.75">
      <c r="A28" s="582">
        <f t="shared" si="0"/>
        <v>19</v>
      </c>
      <c r="B28" s="473" t="s">
        <v>258</v>
      </c>
      <c r="C28" s="586" t="s">
        <v>135</v>
      </c>
      <c r="D28" s="240"/>
      <c r="E28" s="735" t="s">
        <v>408</v>
      </c>
      <c r="F28" s="736">
        <v>50</v>
      </c>
      <c r="G28" s="737">
        <v>-0.1</v>
      </c>
      <c r="H28" s="738">
        <v>2.5499999999999998E-2</v>
      </c>
      <c r="I28" s="473"/>
      <c r="J28" s="587">
        <v>-3</v>
      </c>
      <c r="K28" s="473"/>
      <c r="L28" s="587">
        <v>-3</v>
      </c>
      <c r="M28" s="473"/>
      <c r="N28" s="587">
        <v>-5.2210000000000001</v>
      </c>
      <c r="O28" s="473"/>
      <c r="P28" s="587">
        <v>-5.2210000000000001</v>
      </c>
      <c r="Q28" s="473"/>
      <c r="R28" s="587">
        <v>-5.2210000000000001</v>
      </c>
      <c r="S28" s="473"/>
      <c r="T28" s="587">
        <v>-3</v>
      </c>
      <c r="U28" s="473"/>
      <c r="V28" s="587">
        <v>-3</v>
      </c>
      <c r="W28" s="473"/>
      <c r="X28" s="581"/>
    </row>
    <row r="29" spans="1:24" ht="12.75">
      <c r="A29" s="582">
        <f t="shared" si="0"/>
        <v>20</v>
      </c>
      <c r="B29" s="473" t="s">
        <v>27</v>
      </c>
      <c r="C29" s="589" t="s">
        <v>266</v>
      </c>
      <c r="D29" s="458"/>
      <c r="E29" s="731"/>
      <c r="F29" s="582"/>
      <c r="G29" s="582"/>
      <c r="H29" s="732"/>
      <c r="I29" s="473"/>
      <c r="J29" s="584">
        <f>SUM(J28:J28)</f>
        <v>-3</v>
      </c>
      <c r="K29" s="473"/>
      <c r="L29" s="584">
        <f>SUM(L28:L28)</f>
        <v>-3</v>
      </c>
      <c r="M29" s="473"/>
      <c r="N29" s="584">
        <f>SUM(N28:N28)</f>
        <v>-5.2210000000000001</v>
      </c>
      <c r="O29" s="473"/>
      <c r="P29" s="584">
        <f>SUM(P28:P28)</f>
        <v>-5.2210000000000001</v>
      </c>
      <c r="Q29" s="473"/>
      <c r="R29" s="584">
        <f>SUM(R28:R28)</f>
        <v>-5.2210000000000001</v>
      </c>
      <c r="S29" s="473"/>
      <c r="T29" s="584">
        <f>SUM(T28:T28)</f>
        <v>-3</v>
      </c>
      <c r="U29" s="473"/>
      <c r="V29" s="584">
        <f>SUM(V28:V28)</f>
        <v>-3</v>
      </c>
      <c r="W29" s="473"/>
    </row>
    <row r="30" spans="1:24" ht="12.75">
      <c r="A30" s="582">
        <f t="shared" si="0"/>
        <v>21</v>
      </c>
      <c r="B30" s="473" t="s">
        <v>27</v>
      </c>
      <c r="C30" s="582"/>
      <c r="D30" s="458"/>
      <c r="E30" s="731"/>
      <c r="F30" s="582"/>
      <c r="G30" s="582"/>
      <c r="H30" s="732"/>
      <c r="I30" s="473"/>
      <c r="J30" s="566"/>
      <c r="K30" s="473"/>
      <c r="L30" s="566"/>
      <c r="M30" s="473"/>
      <c r="N30" s="473"/>
      <c r="O30" s="473"/>
      <c r="P30" s="473"/>
      <c r="Q30" s="473"/>
      <c r="R30" s="473"/>
      <c r="S30" s="473"/>
      <c r="T30" s="566"/>
      <c r="U30" s="473"/>
      <c r="V30" s="566"/>
      <c r="W30" s="473"/>
    </row>
    <row r="31" spans="1:24" ht="12.75">
      <c r="A31" s="582">
        <f t="shared" si="0"/>
        <v>22</v>
      </c>
      <c r="B31" s="473"/>
      <c r="C31" s="473" t="s">
        <v>120</v>
      </c>
      <c r="D31" s="473"/>
      <c r="E31" s="741"/>
      <c r="F31" s="742"/>
      <c r="G31" s="743"/>
      <c r="H31" s="568"/>
      <c r="I31" s="473"/>
      <c r="J31" s="566"/>
      <c r="K31" s="473"/>
      <c r="L31" s="566"/>
      <c r="M31" s="473"/>
      <c r="N31" s="473"/>
      <c r="O31" s="473"/>
      <c r="P31" s="473"/>
      <c r="Q31" s="473"/>
      <c r="R31" s="473"/>
      <c r="S31" s="473"/>
      <c r="T31" s="566"/>
      <c r="U31" s="473"/>
      <c r="V31" s="566"/>
      <c r="W31" s="473"/>
    </row>
    <row r="32" spans="1:24" ht="12.75">
      <c r="A32" s="582">
        <f t="shared" si="0"/>
        <v>23</v>
      </c>
      <c r="B32" s="473" t="s">
        <v>121</v>
      </c>
      <c r="C32" s="473" t="s">
        <v>122</v>
      </c>
      <c r="D32" s="473"/>
      <c r="E32" s="731" t="s">
        <v>407</v>
      </c>
      <c r="F32" s="744">
        <v>75</v>
      </c>
      <c r="G32" s="745">
        <v>0</v>
      </c>
      <c r="H32" s="746">
        <v>1.52E-2</v>
      </c>
      <c r="I32" s="473"/>
      <c r="J32" s="566">
        <v>0</v>
      </c>
      <c r="K32" s="473"/>
      <c r="L32" s="566">
        <v>0</v>
      </c>
      <c r="M32" s="473"/>
      <c r="N32" s="566">
        <v>0</v>
      </c>
      <c r="O32" s="473"/>
      <c r="P32" s="566">
        <v>0</v>
      </c>
      <c r="Q32" s="473"/>
      <c r="R32" s="566">
        <v>0</v>
      </c>
      <c r="S32" s="473"/>
      <c r="T32" s="566">
        <v>0</v>
      </c>
      <c r="U32" s="473"/>
      <c r="V32" s="566">
        <v>0</v>
      </c>
      <c r="W32" s="473"/>
      <c r="X32" s="581"/>
    </row>
    <row r="33" spans="1:24" ht="12.75">
      <c r="A33" s="582">
        <f t="shared" si="0"/>
        <v>24</v>
      </c>
      <c r="B33" s="473" t="s">
        <v>123</v>
      </c>
      <c r="C33" s="473" t="s">
        <v>124</v>
      </c>
      <c r="D33" s="473"/>
      <c r="E33" s="731" t="s">
        <v>407</v>
      </c>
      <c r="F33" s="744">
        <v>45</v>
      </c>
      <c r="G33" s="747">
        <v>-0.75</v>
      </c>
      <c r="H33" s="568">
        <v>2.6700000000000002E-2</v>
      </c>
      <c r="I33" s="473"/>
      <c r="J33" s="566">
        <v>-75</v>
      </c>
      <c r="K33" s="473"/>
      <c r="L33" s="566">
        <v>-75</v>
      </c>
      <c r="M33" s="473"/>
      <c r="N33" s="566">
        <v>15.858000000000001</v>
      </c>
      <c r="O33" s="473"/>
      <c r="P33" s="566">
        <v>15.858000000000001</v>
      </c>
      <c r="Q33" s="473"/>
      <c r="R33" s="566">
        <v>15.858000000000001</v>
      </c>
      <c r="S33" s="473"/>
      <c r="T33" s="566">
        <v>-75</v>
      </c>
      <c r="U33" s="473"/>
      <c r="V33" s="566">
        <v>-75</v>
      </c>
      <c r="W33" s="473"/>
      <c r="X33" s="581"/>
    </row>
    <row r="34" spans="1:24" ht="12.75">
      <c r="A34" s="582">
        <f t="shared" si="0"/>
        <v>25</v>
      </c>
      <c r="B34" s="473" t="s">
        <v>125</v>
      </c>
      <c r="C34" s="473" t="s">
        <v>126</v>
      </c>
      <c r="D34" s="473"/>
      <c r="E34" s="731" t="s">
        <v>408</v>
      </c>
      <c r="F34" s="744">
        <v>45</v>
      </c>
      <c r="G34" s="747">
        <v>-0.8</v>
      </c>
      <c r="H34" s="568">
        <v>2.69E-2</v>
      </c>
      <c r="I34" s="473"/>
      <c r="J34" s="566">
        <v>-24</v>
      </c>
      <c r="K34" s="473"/>
      <c r="L34" s="566">
        <v>-24</v>
      </c>
      <c r="M34" s="473"/>
      <c r="N34" s="566">
        <v>36.253</v>
      </c>
      <c r="O34" s="473"/>
      <c r="P34" s="566">
        <v>36.253</v>
      </c>
      <c r="Q34" s="473"/>
      <c r="R34" s="566">
        <v>36.253</v>
      </c>
      <c r="S34" s="473"/>
      <c r="T34" s="566">
        <v>-24</v>
      </c>
      <c r="U34" s="473"/>
      <c r="V34" s="566">
        <v>-24</v>
      </c>
      <c r="W34" s="473"/>
      <c r="X34" s="581"/>
    </row>
    <row r="35" spans="1:24" ht="12.75">
      <c r="A35" s="582">
        <f t="shared" si="0"/>
        <v>26</v>
      </c>
      <c r="B35" s="473" t="s">
        <v>127</v>
      </c>
      <c r="C35" s="473" t="s">
        <v>128</v>
      </c>
      <c r="D35" s="473"/>
      <c r="E35" s="731" t="s">
        <v>407</v>
      </c>
      <c r="F35" s="744">
        <v>45</v>
      </c>
      <c r="G35" s="745">
        <v>-0.1</v>
      </c>
      <c r="H35" s="568">
        <v>2.6200000000000001E-2</v>
      </c>
      <c r="I35" s="473"/>
      <c r="J35" s="566">
        <v>-7</v>
      </c>
      <c r="K35" s="473"/>
      <c r="L35" s="566">
        <v>-7</v>
      </c>
      <c r="M35" s="473"/>
      <c r="N35" s="566">
        <v>-6.4210000000000003</v>
      </c>
      <c r="O35" s="473"/>
      <c r="P35" s="566">
        <v>-6.4210000000000003</v>
      </c>
      <c r="Q35" s="473"/>
      <c r="R35" s="566">
        <v>-6.4210000000000003</v>
      </c>
      <c r="S35" s="473"/>
      <c r="T35" s="566">
        <v>-7</v>
      </c>
      <c r="U35" s="473"/>
      <c r="V35" s="566">
        <v>-7</v>
      </c>
      <c r="W35" s="473"/>
      <c r="X35" s="581"/>
    </row>
    <row r="36" spans="1:24" ht="12.75">
      <c r="A36" s="582">
        <f t="shared" si="0"/>
        <v>27</v>
      </c>
      <c r="B36" s="473" t="s">
        <v>129</v>
      </c>
      <c r="C36" s="473" t="s">
        <v>130</v>
      </c>
      <c r="D36" s="473"/>
      <c r="E36" s="731" t="s">
        <v>407</v>
      </c>
      <c r="F36" s="744">
        <v>45</v>
      </c>
      <c r="G36" s="745">
        <v>-0.5</v>
      </c>
      <c r="H36" s="568">
        <v>2.1100000000000001E-2</v>
      </c>
      <c r="I36" s="473"/>
      <c r="J36" s="566">
        <v>-5</v>
      </c>
      <c r="K36" s="473"/>
      <c r="L36" s="566">
        <v>-5</v>
      </c>
      <c r="M36" s="473"/>
      <c r="N36" s="566">
        <v>109.758</v>
      </c>
      <c r="O36" s="473"/>
      <c r="P36" s="566">
        <v>109.758</v>
      </c>
      <c r="Q36" s="473"/>
      <c r="R36" s="566">
        <v>109.758</v>
      </c>
      <c r="S36" s="473"/>
      <c r="T36" s="566">
        <v>-5</v>
      </c>
      <c r="U36" s="473"/>
      <c r="V36" s="566">
        <v>-5</v>
      </c>
      <c r="W36" s="473"/>
      <c r="X36" s="581"/>
    </row>
    <row r="37" spans="1:24" ht="12.75">
      <c r="A37" s="582">
        <f t="shared" si="0"/>
        <v>28</v>
      </c>
      <c r="B37" s="473" t="s">
        <v>131</v>
      </c>
      <c r="C37" s="473" t="s">
        <v>132</v>
      </c>
      <c r="D37" s="473"/>
      <c r="E37" s="731" t="s">
        <v>408</v>
      </c>
      <c r="F37" s="744">
        <v>40</v>
      </c>
      <c r="G37" s="745">
        <v>-0.1</v>
      </c>
      <c r="H37" s="568">
        <v>2.63E-2</v>
      </c>
      <c r="I37" s="473"/>
      <c r="J37" s="566">
        <v>-6</v>
      </c>
      <c r="K37" s="473"/>
      <c r="L37" s="566">
        <v>-6</v>
      </c>
      <c r="M37" s="473"/>
      <c r="N37" s="566">
        <v>-1.2809999999999999</v>
      </c>
      <c r="O37" s="473"/>
      <c r="P37" s="566">
        <v>-1.2809999999999999</v>
      </c>
      <c r="Q37" s="473"/>
      <c r="R37" s="566">
        <v>-1.2809999999999999</v>
      </c>
      <c r="S37" s="473"/>
      <c r="T37" s="566">
        <v>-6</v>
      </c>
      <c r="U37" s="473"/>
      <c r="V37" s="566">
        <v>-6</v>
      </c>
      <c r="W37" s="473"/>
      <c r="X37" s="581"/>
    </row>
    <row r="38" spans="1:24" ht="12.75">
      <c r="A38" s="582">
        <f t="shared" si="0"/>
        <v>29</v>
      </c>
      <c r="B38" s="473" t="s">
        <v>133</v>
      </c>
      <c r="C38" s="473" t="s">
        <v>110</v>
      </c>
      <c r="D38" s="473"/>
      <c r="E38" s="748" t="s">
        <v>886</v>
      </c>
      <c r="F38" s="744">
        <v>15</v>
      </c>
      <c r="G38" s="745">
        <v>0</v>
      </c>
      <c r="H38" s="568">
        <v>4.0599999999999997E-2</v>
      </c>
      <c r="I38" s="473"/>
      <c r="J38" s="566">
        <v>0</v>
      </c>
      <c r="K38" s="473"/>
      <c r="L38" s="566">
        <v>0</v>
      </c>
      <c r="M38" s="473"/>
      <c r="N38" s="566">
        <v>57.872999999999998</v>
      </c>
      <c r="O38" s="473"/>
      <c r="P38" s="566">
        <v>57.872999999999998</v>
      </c>
      <c r="Q38" s="473"/>
      <c r="R38" s="566">
        <v>57.872999999999998</v>
      </c>
      <c r="S38" s="473"/>
      <c r="T38" s="566">
        <v>0</v>
      </c>
      <c r="U38" s="473"/>
      <c r="V38" s="566">
        <v>0</v>
      </c>
      <c r="W38" s="473"/>
      <c r="X38" s="581"/>
    </row>
    <row r="39" spans="1:24" ht="12.75">
      <c r="A39" s="582">
        <f t="shared" si="0"/>
        <v>30</v>
      </c>
      <c r="B39" s="473" t="s">
        <v>400</v>
      </c>
      <c r="C39" s="473" t="s">
        <v>401</v>
      </c>
      <c r="D39" s="473"/>
      <c r="E39" s="748" t="s">
        <v>409</v>
      </c>
      <c r="F39" s="744">
        <v>15</v>
      </c>
      <c r="G39" s="745">
        <v>0</v>
      </c>
      <c r="H39" s="568">
        <v>4.5400000000000003E-2</v>
      </c>
      <c r="I39" s="473"/>
      <c r="J39" s="566"/>
      <c r="K39" s="473"/>
      <c r="L39" s="566"/>
      <c r="M39" s="473"/>
      <c r="N39" s="566">
        <v>1.159</v>
      </c>
      <c r="O39" s="473"/>
      <c r="P39" s="566">
        <v>1.159</v>
      </c>
      <c r="Q39" s="473"/>
      <c r="R39" s="566">
        <v>1.159</v>
      </c>
      <c r="S39" s="473"/>
      <c r="T39" s="566"/>
      <c r="U39" s="473"/>
      <c r="V39" s="566"/>
      <c r="W39" s="473"/>
    </row>
    <row r="40" spans="1:24" ht="12.75">
      <c r="A40" s="582">
        <f t="shared" si="0"/>
        <v>31</v>
      </c>
      <c r="B40" s="473" t="s">
        <v>134</v>
      </c>
      <c r="C40" s="473" t="s">
        <v>260</v>
      </c>
      <c r="D40" s="473"/>
      <c r="E40" s="748" t="s">
        <v>408</v>
      </c>
      <c r="F40" s="744">
        <v>40</v>
      </c>
      <c r="G40" s="745">
        <v>-0.1</v>
      </c>
      <c r="H40" s="568">
        <v>2.92E-2</v>
      </c>
      <c r="I40" s="473"/>
      <c r="J40" s="566">
        <v>-6</v>
      </c>
      <c r="K40" s="473"/>
      <c r="L40" s="566">
        <v>-6</v>
      </c>
      <c r="M40" s="473"/>
      <c r="N40" s="566">
        <v>-2.61</v>
      </c>
      <c r="O40" s="473"/>
      <c r="P40" s="566">
        <v>-2.61</v>
      </c>
      <c r="Q40" s="473"/>
      <c r="R40" s="566">
        <v>-2.61</v>
      </c>
      <c r="S40" s="473"/>
      <c r="T40" s="566">
        <v>-6</v>
      </c>
      <c r="U40" s="473"/>
      <c r="V40" s="566">
        <v>-6</v>
      </c>
      <c r="W40" s="473"/>
      <c r="X40" s="581"/>
    </row>
    <row r="41" spans="1:24" ht="12.75">
      <c r="A41" s="582">
        <f t="shared" si="0"/>
        <v>32</v>
      </c>
      <c r="B41" s="473" t="s">
        <v>136</v>
      </c>
      <c r="C41" s="473" t="s">
        <v>137</v>
      </c>
      <c r="D41" s="473"/>
      <c r="E41" s="748" t="s">
        <v>407</v>
      </c>
      <c r="F41" s="744">
        <v>30</v>
      </c>
      <c r="G41" s="745">
        <v>-0.1</v>
      </c>
      <c r="H41" s="568">
        <v>4.1300000000000003E-2</v>
      </c>
      <c r="I41" s="473"/>
      <c r="J41" s="566">
        <v>-61</v>
      </c>
      <c r="K41" s="473"/>
      <c r="L41" s="566">
        <v>-61</v>
      </c>
      <c r="M41" s="473"/>
      <c r="N41" s="566">
        <v>-33.716999999999999</v>
      </c>
      <c r="O41" s="473"/>
      <c r="P41" s="566">
        <v>-33.716999999999999</v>
      </c>
      <c r="Q41" s="473"/>
      <c r="R41" s="566">
        <v>-33.716999999999999</v>
      </c>
      <c r="S41" s="473"/>
      <c r="T41" s="566">
        <v>-61</v>
      </c>
      <c r="U41" s="473"/>
      <c r="V41" s="566">
        <v>-61</v>
      </c>
      <c r="W41" s="473"/>
      <c r="X41" s="581"/>
    </row>
    <row r="42" spans="1:24" ht="12.75">
      <c r="A42" s="582">
        <f t="shared" si="0"/>
        <v>33</v>
      </c>
      <c r="B42" s="473" t="s">
        <v>261</v>
      </c>
      <c r="C42" s="473" t="s">
        <v>262</v>
      </c>
      <c r="D42" s="473"/>
      <c r="E42" s="748" t="s">
        <v>410</v>
      </c>
      <c r="F42" s="744">
        <v>23</v>
      </c>
      <c r="G42" s="745">
        <v>0</v>
      </c>
      <c r="H42" s="568">
        <v>3.3700000000000001E-2</v>
      </c>
      <c r="I42" s="473"/>
      <c r="J42" s="566">
        <v>0</v>
      </c>
      <c r="K42" s="473"/>
      <c r="L42" s="566">
        <v>0</v>
      </c>
      <c r="M42" s="473"/>
      <c r="N42" s="566">
        <v>8.3759999999999994</v>
      </c>
      <c r="O42" s="473"/>
      <c r="P42" s="566">
        <v>8.3759999999999994</v>
      </c>
      <c r="Q42" s="473"/>
      <c r="R42" s="566">
        <v>8.3759999999999994</v>
      </c>
      <c r="S42" s="473"/>
      <c r="T42" s="566">
        <v>0</v>
      </c>
      <c r="U42" s="473"/>
      <c r="V42" s="566">
        <v>0</v>
      </c>
      <c r="W42" s="473"/>
    </row>
    <row r="43" spans="1:24" ht="12.75">
      <c r="A43" s="582">
        <f t="shared" si="0"/>
        <v>34</v>
      </c>
      <c r="B43" s="473" t="s">
        <v>138</v>
      </c>
      <c r="C43" s="534" t="s">
        <v>259</v>
      </c>
      <c r="D43" s="590"/>
      <c r="E43" s="749" t="s">
        <v>407</v>
      </c>
      <c r="F43" s="749">
        <v>45</v>
      </c>
      <c r="G43" s="750">
        <v>-0.1</v>
      </c>
      <c r="H43" s="751">
        <v>3.04E-2</v>
      </c>
      <c r="I43" s="473"/>
      <c r="J43" s="587">
        <v>-69</v>
      </c>
      <c r="K43" s="473"/>
      <c r="L43" s="587">
        <v>-69</v>
      </c>
      <c r="M43" s="473"/>
      <c r="N43" s="587">
        <v>-74.117000000000004</v>
      </c>
      <c r="O43" s="473"/>
      <c r="P43" s="587">
        <v>-74.117000000000004</v>
      </c>
      <c r="Q43" s="473"/>
      <c r="R43" s="587">
        <v>-74.117000000000004</v>
      </c>
      <c r="S43" s="473"/>
      <c r="T43" s="587">
        <v>-69</v>
      </c>
      <c r="U43" s="473"/>
      <c r="V43" s="587">
        <v>-69</v>
      </c>
      <c r="W43" s="473"/>
      <c r="X43" s="581"/>
    </row>
    <row r="44" spans="1:24" ht="12.75">
      <c r="A44" s="582">
        <f t="shared" si="0"/>
        <v>35</v>
      </c>
      <c r="B44" s="473"/>
      <c r="C44" s="473" t="s">
        <v>139</v>
      </c>
      <c r="D44" s="473"/>
      <c r="E44" s="748"/>
      <c r="F44" s="744"/>
      <c r="G44" s="745"/>
      <c r="H44" s="568"/>
      <c r="I44" s="473"/>
      <c r="J44" s="584">
        <f>SUM(J32:J43)</f>
        <v>-253</v>
      </c>
      <c r="K44" s="473"/>
      <c r="L44" s="584">
        <f>SUM(L32:L43)</f>
        <v>-253</v>
      </c>
      <c r="M44" s="473"/>
      <c r="N44" s="584">
        <f>SUM(N32:N43)</f>
        <v>111.13099999999996</v>
      </c>
      <c r="O44" s="473"/>
      <c r="P44" s="584">
        <f>SUM(P32:P43)</f>
        <v>111.13099999999996</v>
      </c>
      <c r="Q44" s="473"/>
      <c r="R44" s="584">
        <f>SUM(R32:R43)</f>
        <v>111.13099999999996</v>
      </c>
      <c r="S44" s="473"/>
      <c r="T44" s="584">
        <f>SUM(T32:T43)</f>
        <v>-253</v>
      </c>
      <c r="U44" s="473"/>
      <c r="V44" s="584">
        <f>SUM(V32:V43)</f>
        <v>-253</v>
      </c>
      <c r="W44" s="473"/>
    </row>
    <row r="45" spans="1:24" ht="12.75">
      <c r="A45" s="582">
        <f t="shared" si="0"/>
        <v>36</v>
      </c>
      <c r="B45" s="473"/>
      <c r="C45" s="473"/>
      <c r="D45" s="473"/>
      <c r="E45" s="748"/>
      <c r="F45" s="744"/>
      <c r="G45" s="745"/>
      <c r="H45" s="568"/>
      <c r="I45" s="473"/>
      <c r="J45" s="566"/>
      <c r="K45" s="473"/>
      <c r="L45" s="566"/>
      <c r="M45" s="473"/>
      <c r="N45" s="473"/>
      <c r="O45" s="473"/>
      <c r="P45" s="473"/>
      <c r="Q45" s="473"/>
      <c r="R45" s="473"/>
      <c r="S45" s="473"/>
      <c r="T45" s="566"/>
      <c r="U45" s="473"/>
      <c r="V45" s="566"/>
      <c r="W45" s="473"/>
    </row>
    <row r="46" spans="1:24" ht="12.75">
      <c r="A46" s="582">
        <f t="shared" si="0"/>
        <v>37</v>
      </c>
      <c r="B46" s="473"/>
      <c r="C46" s="473" t="s">
        <v>140</v>
      </c>
      <c r="D46" s="473"/>
      <c r="E46" s="748"/>
      <c r="F46" s="744"/>
      <c r="G46" s="745"/>
      <c r="H46" s="568"/>
      <c r="I46" s="473"/>
      <c r="J46" s="566"/>
      <c r="K46" s="473"/>
      <c r="L46" s="566"/>
      <c r="M46" s="473"/>
      <c r="N46" s="473"/>
      <c r="O46" s="473"/>
      <c r="P46" s="473"/>
      <c r="Q46" s="473"/>
      <c r="R46" s="473"/>
      <c r="S46" s="473"/>
      <c r="T46" s="566"/>
      <c r="U46" s="473"/>
      <c r="V46" s="566"/>
      <c r="W46" s="473"/>
    </row>
    <row r="47" spans="1:24" ht="12.75">
      <c r="A47" s="582">
        <f t="shared" si="0"/>
        <v>38</v>
      </c>
      <c r="B47" s="473" t="s">
        <v>141</v>
      </c>
      <c r="C47" s="473" t="s">
        <v>142</v>
      </c>
      <c r="D47" s="473"/>
      <c r="E47" s="748" t="s">
        <v>887</v>
      </c>
      <c r="F47" s="744">
        <v>40</v>
      </c>
      <c r="G47" s="745">
        <v>0</v>
      </c>
      <c r="H47" s="568">
        <v>3.1899999999999998E-2</v>
      </c>
      <c r="I47" s="473"/>
      <c r="J47" s="566">
        <v>0</v>
      </c>
      <c r="K47" s="473"/>
      <c r="L47" s="566">
        <v>0</v>
      </c>
      <c r="M47" s="473"/>
      <c r="N47" s="566">
        <v>-9.6649999999999991</v>
      </c>
      <c r="O47" s="473"/>
      <c r="P47" s="566">
        <v>-9.6649999999999991</v>
      </c>
      <c r="Q47" s="473"/>
      <c r="R47" s="566">
        <v>-9.6649999999999991</v>
      </c>
      <c r="S47" s="473"/>
      <c r="T47" s="566">
        <v>0</v>
      </c>
      <c r="U47" s="473"/>
      <c r="V47" s="566">
        <v>0</v>
      </c>
      <c r="W47" s="473"/>
      <c r="X47" s="581"/>
    </row>
    <row r="48" spans="1:24" ht="12.75">
      <c r="A48" s="582">
        <f t="shared" si="0"/>
        <v>39</v>
      </c>
      <c r="B48" s="473" t="s">
        <v>143</v>
      </c>
      <c r="C48" s="473" t="s">
        <v>144</v>
      </c>
      <c r="D48" s="473"/>
      <c r="E48" s="748" t="s">
        <v>411</v>
      </c>
      <c r="F48" s="744">
        <v>15</v>
      </c>
      <c r="G48" s="745">
        <v>0</v>
      </c>
      <c r="H48" s="568">
        <v>4.4900000000000002E-2</v>
      </c>
      <c r="I48" s="473"/>
      <c r="J48" s="566">
        <v>2</v>
      </c>
      <c r="K48" s="473"/>
      <c r="L48" s="566">
        <v>2</v>
      </c>
      <c r="M48" s="473"/>
      <c r="N48" s="566">
        <v>8.9730000000000008</v>
      </c>
      <c r="O48" s="473"/>
      <c r="P48" s="566">
        <v>8.9730000000000008</v>
      </c>
      <c r="Q48" s="473"/>
      <c r="R48" s="566">
        <v>8.9730000000000008</v>
      </c>
      <c r="S48" s="473"/>
      <c r="T48" s="566">
        <v>2</v>
      </c>
      <c r="U48" s="473"/>
      <c r="V48" s="566">
        <v>2</v>
      </c>
      <c r="W48" s="473"/>
      <c r="X48" s="581"/>
    </row>
    <row r="49" spans="1:24" ht="12.75">
      <c r="A49" s="582">
        <f t="shared" si="0"/>
        <v>40</v>
      </c>
      <c r="B49" s="594">
        <v>483.2</v>
      </c>
      <c r="C49" s="473" t="s">
        <v>267</v>
      </c>
      <c r="D49" s="473"/>
      <c r="E49" s="748" t="s">
        <v>411</v>
      </c>
      <c r="F49" s="744">
        <v>5</v>
      </c>
      <c r="G49" s="745">
        <v>0</v>
      </c>
      <c r="H49" s="568">
        <v>0.2</v>
      </c>
      <c r="I49" s="473"/>
      <c r="J49" s="566">
        <v>0</v>
      </c>
      <c r="K49" s="473"/>
      <c r="L49" s="566">
        <v>0</v>
      </c>
      <c r="M49" s="473"/>
      <c r="N49" s="566">
        <v>6.4</v>
      </c>
      <c r="O49" s="473"/>
      <c r="P49" s="566">
        <v>6.4</v>
      </c>
      <c r="Q49" s="473"/>
      <c r="R49" s="566">
        <v>6.4</v>
      </c>
      <c r="S49" s="473"/>
      <c r="T49" s="566">
        <v>0</v>
      </c>
      <c r="U49" s="473"/>
      <c r="V49" s="566">
        <v>0</v>
      </c>
      <c r="W49" s="473"/>
    </row>
    <row r="50" spans="1:24" ht="12.75">
      <c r="A50" s="582">
        <f t="shared" si="0"/>
        <v>41</v>
      </c>
      <c r="B50" s="473" t="s">
        <v>263</v>
      </c>
      <c r="C50" s="473" t="s">
        <v>264</v>
      </c>
      <c r="D50" s="473"/>
      <c r="E50" s="748" t="s">
        <v>886</v>
      </c>
      <c r="F50" s="744">
        <v>12</v>
      </c>
      <c r="G50" s="745">
        <v>0.25</v>
      </c>
      <c r="H50" s="568">
        <v>0.1082</v>
      </c>
      <c r="I50" s="473"/>
      <c r="J50" s="566">
        <v>-51</v>
      </c>
      <c r="K50" s="473"/>
      <c r="L50" s="566">
        <v>-51</v>
      </c>
      <c r="M50" s="473"/>
      <c r="N50" s="566">
        <v>-32.000999999999998</v>
      </c>
      <c r="O50" s="473"/>
      <c r="P50" s="566">
        <v>-32.000999999999998</v>
      </c>
      <c r="Q50" s="473"/>
      <c r="R50" s="566">
        <v>-32.000999999999998</v>
      </c>
      <c r="S50" s="473"/>
      <c r="T50" s="566">
        <v>-51</v>
      </c>
      <c r="U50" s="473"/>
      <c r="V50" s="566">
        <v>-51</v>
      </c>
      <c r="W50" s="473"/>
      <c r="X50" s="581"/>
    </row>
    <row r="51" spans="1:24" ht="12.75">
      <c r="A51" s="582">
        <f t="shared" si="0"/>
        <v>42</v>
      </c>
      <c r="B51" s="473" t="s">
        <v>145</v>
      </c>
      <c r="C51" s="473" t="s">
        <v>146</v>
      </c>
      <c r="D51" s="473"/>
      <c r="E51" s="748" t="s">
        <v>411</v>
      </c>
      <c r="F51" s="744">
        <v>15</v>
      </c>
      <c r="G51" s="745">
        <v>0</v>
      </c>
      <c r="H51" s="568">
        <v>6.54E-2</v>
      </c>
      <c r="I51" s="473"/>
      <c r="J51" s="566">
        <v>-3</v>
      </c>
      <c r="K51" s="473"/>
      <c r="L51" s="566">
        <v>-3</v>
      </c>
      <c r="M51" s="473"/>
      <c r="N51" s="566">
        <v>3.948</v>
      </c>
      <c r="O51" s="473"/>
      <c r="P51" s="566">
        <v>3.948</v>
      </c>
      <c r="Q51" s="473"/>
      <c r="R51" s="566">
        <v>3.948</v>
      </c>
      <c r="S51" s="473"/>
      <c r="T51" s="566">
        <v>-3</v>
      </c>
      <c r="U51" s="473"/>
      <c r="V51" s="566">
        <v>-3</v>
      </c>
      <c r="W51" s="473"/>
      <c r="X51" s="581"/>
    </row>
    <row r="52" spans="1:24" ht="12.75">
      <c r="A52" s="582">
        <f t="shared" si="0"/>
        <v>43</v>
      </c>
      <c r="B52" s="473" t="s">
        <v>148</v>
      </c>
      <c r="C52" s="473" t="s">
        <v>265</v>
      </c>
      <c r="D52" s="473"/>
      <c r="E52" s="748" t="s">
        <v>411</v>
      </c>
      <c r="F52" s="744">
        <v>15</v>
      </c>
      <c r="G52" s="745">
        <v>0</v>
      </c>
      <c r="H52" s="568">
        <v>5.79E-2</v>
      </c>
      <c r="I52" s="473"/>
      <c r="J52" s="566">
        <v>11</v>
      </c>
      <c r="K52" s="473"/>
      <c r="L52" s="566">
        <v>11</v>
      </c>
      <c r="M52" s="473"/>
      <c r="N52" s="566">
        <v>4.7640000000000002</v>
      </c>
      <c r="O52" s="473"/>
      <c r="P52" s="566">
        <v>4.7640000000000002</v>
      </c>
      <c r="Q52" s="473"/>
      <c r="R52" s="566">
        <v>4.7640000000000002</v>
      </c>
      <c r="S52" s="473"/>
      <c r="T52" s="566">
        <v>11</v>
      </c>
      <c r="U52" s="473"/>
      <c r="V52" s="566">
        <v>11</v>
      </c>
      <c r="W52" s="473"/>
      <c r="X52" s="581"/>
    </row>
    <row r="53" spans="1:24" ht="12.75">
      <c r="A53" s="582">
        <f t="shared" si="0"/>
        <v>44</v>
      </c>
      <c r="B53" s="473" t="s">
        <v>369</v>
      </c>
      <c r="C53" s="473" t="s">
        <v>370</v>
      </c>
      <c r="D53" s="473"/>
      <c r="E53" s="748" t="s">
        <v>407</v>
      </c>
      <c r="F53" s="744">
        <v>40</v>
      </c>
      <c r="G53" s="745">
        <v>0.1</v>
      </c>
      <c r="H53" s="568">
        <v>2.47E-2</v>
      </c>
      <c r="I53" s="473"/>
      <c r="J53" s="566"/>
      <c r="K53" s="473"/>
      <c r="L53" s="566"/>
      <c r="M53" s="473"/>
      <c r="N53" s="566">
        <v>-21.658999999999999</v>
      </c>
      <c r="O53" s="473"/>
      <c r="P53" s="566">
        <v>-21.658999999999999</v>
      </c>
      <c r="Q53" s="473"/>
      <c r="R53" s="566">
        <v>-21.658999999999999</v>
      </c>
      <c r="S53" s="473"/>
      <c r="T53" s="566"/>
      <c r="U53" s="473"/>
      <c r="V53" s="566"/>
      <c r="W53" s="473"/>
    </row>
    <row r="54" spans="1:24" ht="12.75">
      <c r="A54" s="582">
        <f t="shared" si="0"/>
        <v>45</v>
      </c>
      <c r="B54" s="473" t="s">
        <v>640</v>
      </c>
      <c r="C54" s="473" t="s">
        <v>271</v>
      </c>
      <c r="D54" s="534"/>
      <c r="E54" s="748"/>
      <c r="F54" s="752"/>
      <c r="G54" s="753"/>
      <c r="H54" s="754">
        <v>0</v>
      </c>
      <c r="I54" s="473"/>
      <c r="J54" s="566">
        <v>0</v>
      </c>
      <c r="K54" s="473"/>
      <c r="L54" s="566">
        <v>0</v>
      </c>
      <c r="M54" s="473"/>
      <c r="N54" s="566">
        <v>0</v>
      </c>
      <c r="O54" s="473"/>
      <c r="P54" s="566">
        <v>0</v>
      </c>
      <c r="Q54" s="473"/>
      <c r="R54" s="566">
        <v>0</v>
      </c>
      <c r="S54" s="473"/>
      <c r="T54" s="566">
        <v>0</v>
      </c>
      <c r="U54" s="473"/>
      <c r="V54" s="566">
        <v>0</v>
      </c>
      <c r="W54" s="473"/>
    </row>
    <row r="55" spans="1:24" ht="12.75">
      <c r="A55" s="582">
        <f t="shared" si="0"/>
        <v>46</v>
      </c>
      <c r="B55" s="473" t="s">
        <v>636</v>
      </c>
      <c r="C55" s="473" t="s">
        <v>784</v>
      </c>
      <c r="D55" s="534"/>
      <c r="E55" s="748"/>
      <c r="F55" s="752"/>
      <c r="G55" s="753"/>
      <c r="H55" s="754">
        <v>0.1</v>
      </c>
      <c r="I55" s="473"/>
      <c r="J55" s="566"/>
      <c r="K55" s="473"/>
      <c r="L55" s="566"/>
      <c r="M55" s="473"/>
      <c r="N55" s="566">
        <v>0</v>
      </c>
      <c r="O55" s="473"/>
      <c r="P55" s="566">
        <v>0</v>
      </c>
      <c r="Q55" s="473"/>
      <c r="R55" s="566">
        <v>0</v>
      </c>
      <c r="S55" s="473"/>
      <c r="T55" s="566"/>
      <c r="U55" s="473"/>
      <c r="V55" s="566"/>
      <c r="W55" s="473"/>
    </row>
    <row r="56" spans="1:24" ht="12.75">
      <c r="A56" s="582">
        <f t="shared" si="0"/>
        <v>47</v>
      </c>
      <c r="B56" s="473" t="s">
        <v>637</v>
      </c>
      <c r="C56" s="473" t="s">
        <v>639</v>
      </c>
      <c r="D56" s="534"/>
      <c r="E56" s="748"/>
      <c r="F56" s="752"/>
      <c r="G56" s="753"/>
      <c r="H56" s="754"/>
      <c r="I56" s="473"/>
      <c r="J56" s="566"/>
      <c r="K56" s="473"/>
      <c r="L56" s="566"/>
      <c r="M56" s="473"/>
      <c r="N56" s="566"/>
      <c r="O56" s="473"/>
      <c r="P56" s="566"/>
      <c r="Q56" s="473"/>
      <c r="R56" s="566"/>
      <c r="S56" s="473"/>
      <c r="T56" s="566"/>
      <c r="U56" s="473"/>
      <c r="V56" s="566"/>
      <c r="W56" s="473"/>
    </row>
    <row r="57" spans="1:24" ht="12.75">
      <c r="A57" s="582">
        <f t="shared" si="0"/>
        <v>48</v>
      </c>
      <c r="B57" s="473" t="s">
        <v>638</v>
      </c>
      <c r="C57" s="473" t="s">
        <v>480</v>
      </c>
      <c r="D57" s="591"/>
      <c r="E57" s="755" t="s">
        <v>147</v>
      </c>
      <c r="F57" s="749">
        <v>10</v>
      </c>
      <c r="G57" s="750">
        <v>0</v>
      </c>
      <c r="H57" s="751">
        <v>0.1</v>
      </c>
      <c r="I57" s="473"/>
      <c r="J57" s="587">
        <v>0</v>
      </c>
      <c r="K57" s="473"/>
      <c r="L57" s="587">
        <v>0</v>
      </c>
      <c r="M57" s="473"/>
      <c r="N57" s="587">
        <v>0</v>
      </c>
      <c r="O57" s="473"/>
      <c r="P57" s="587">
        <v>0</v>
      </c>
      <c r="Q57" s="473"/>
      <c r="R57" s="587">
        <v>0</v>
      </c>
      <c r="S57" s="473"/>
      <c r="T57" s="587">
        <v>0</v>
      </c>
      <c r="U57" s="473"/>
      <c r="V57" s="587">
        <v>0</v>
      </c>
      <c r="W57" s="473"/>
    </row>
    <row r="58" spans="1:24" ht="12.75">
      <c r="A58" s="582">
        <f t="shared" si="0"/>
        <v>49</v>
      </c>
      <c r="B58" s="473"/>
      <c r="C58" s="473" t="s">
        <v>149</v>
      </c>
      <c r="D58" s="473"/>
      <c r="E58" s="756"/>
      <c r="F58" s="757"/>
      <c r="G58" s="747"/>
      <c r="H58" s="568"/>
      <c r="I58" s="473"/>
      <c r="J58" s="47">
        <f>SUM(J47:J57)</f>
        <v>-41</v>
      </c>
      <c r="K58" s="473"/>
      <c r="L58" s="47">
        <f>SUM(L47:L57)</f>
        <v>-41</v>
      </c>
      <c r="M58" s="473"/>
      <c r="N58" s="47">
        <f>SUM(N47:N57)</f>
        <v>-39.239999999999995</v>
      </c>
      <c r="O58" s="473"/>
      <c r="P58" s="47">
        <f>SUM(P47:P57)</f>
        <v>-39.239999999999995</v>
      </c>
      <c r="Q58" s="473"/>
      <c r="R58" s="47">
        <f>SUM(R47:R57)</f>
        <v>-39.239999999999995</v>
      </c>
      <c r="S58" s="473"/>
      <c r="T58" s="47">
        <f>SUM(T47:T57)</f>
        <v>-41</v>
      </c>
      <c r="U58" s="473"/>
      <c r="V58" s="47">
        <f>SUM(V47:V57)</f>
        <v>-41</v>
      </c>
      <c r="W58" s="473"/>
    </row>
    <row r="59" spans="1:24" ht="12.75">
      <c r="A59" s="582">
        <f t="shared" si="0"/>
        <v>50</v>
      </c>
      <c r="B59" s="473"/>
      <c r="C59" s="473"/>
      <c r="D59" s="473"/>
      <c r="E59" s="758"/>
      <c r="F59" s="743"/>
      <c r="G59" s="747"/>
      <c r="H59" s="759"/>
      <c r="I59" s="473"/>
      <c r="J59" s="566"/>
      <c r="K59" s="473"/>
      <c r="L59" s="566"/>
      <c r="M59" s="473"/>
      <c r="N59" s="566"/>
      <c r="O59" s="473"/>
      <c r="P59" s="566"/>
      <c r="Q59" s="473"/>
      <c r="R59" s="566"/>
      <c r="S59" s="473"/>
      <c r="T59" s="566"/>
      <c r="U59" s="473"/>
      <c r="V59" s="566"/>
      <c r="W59" s="473"/>
    </row>
    <row r="60" spans="1:24" ht="13.5" thickBot="1">
      <c r="A60" s="582">
        <f t="shared" si="0"/>
        <v>51</v>
      </c>
      <c r="B60" s="473"/>
      <c r="C60" s="473" t="s">
        <v>331</v>
      </c>
      <c r="D60" s="473" t="s">
        <v>724</v>
      </c>
      <c r="E60" s="758"/>
      <c r="F60" s="743"/>
      <c r="G60" s="743"/>
      <c r="H60" s="759"/>
      <c r="I60" s="473"/>
      <c r="J60" s="760">
        <f>J44+J58+J29+J25+J17</f>
        <v>-382</v>
      </c>
      <c r="K60" s="473"/>
      <c r="L60" s="760">
        <f>L44+L58+L29+L25+L17</f>
        <v>-382</v>
      </c>
      <c r="M60" s="473"/>
      <c r="N60" s="760">
        <f>N44+N58+N29+N25+N17</f>
        <v>70.805999999999955</v>
      </c>
      <c r="O60" s="473"/>
      <c r="P60" s="760">
        <f>P44+P58+P29+P25+P17</f>
        <v>70.805999999999955</v>
      </c>
      <c r="Q60" s="473"/>
      <c r="R60" s="760">
        <f>R44+R58+R29+R25+R17</f>
        <v>70.805999999999955</v>
      </c>
      <c r="S60" s="473"/>
      <c r="T60" s="760">
        <f>T44+T58+T29+T25+T17</f>
        <v>-382</v>
      </c>
      <c r="U60" s="473"/>
      <c r="V60" s="760">
        <f>V44+V58+V29+V25+V17</f>
        <v>-382</v>
      </c>
      <c r="W60" s="473"/>
    </row>
    <row r="61" spans="1:24">
      <c r="A61" s="613"/>
      <c r="E61" s="673"/>
      <c r="F61" s="673"/>
      <c r="G61" s="673"/>
      <c r="H61" s="674"/>
    </row>
    <row r="62" spans="1:24">
      <c r="A62" s="613"/>
    </row>
  </sheetData>
  <customSheetViews>
    <customSheetView guid="{275E5119-9E8C-43ED-ACD2-DF40CF10B219}" scale="85">
      <selection activeCell="R6" sqref="R6"/>
      <pageMargins left="0.59" right="0.25" top="1" bottom="0.75" header="0.5" footer="0.5"/>
      <pageSetup scale="70" orientation="landscape" r:id="rId1"/>
      <headerFooter alignWithMargins="0"/>
    </customSheetView>
    <customSheetView guid="{D346ECD1-ED60-4F74-8B02-572F89E41ACB}" scale="85" showPageBreaks="1" showRuler="0">
      <selection activeCell="R6" sqref="R6"/>
      <pageMargins left="0.59" right="0.25" top="1" bottom="0.75" header="0.5" footer="0.5"/>
      <pageSetup scale="70" orientation="landscape" r:id="rId2"/>
      <headerFooter alignWithMargins="0"/>
    </customSheetView>
  </customSheetViews>
  <mergeCells count="1">
    <mergeCell ref="N7:R7"/>
  </mergeCells>
  <phoneticPr fontId="10" type="noConversion"/>
  <printOptions horizontalCentered="1"/>
  <pageMargins left="0.59" right="0.25" top="0.5" bottom="0.5" header="0.5" footer="0.5"/>
  <pageSetup scale="64" orientation="landscape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 enableFormatConditionsCalculation="0"/>
  <dimension ref="A1:R158"/>
  <sheetViews>
    <sheetView view="pageBreakPreview" zoomScale="85" zoomScaleNormal="85" zoomScaleSheetLayoutView="85" workbookViewId="0">
      <pane ySplit="8" topLeftCell="A77" activePane="bottomLeft" state="frozen"/>
      <selection activeCell="V236" sqref="V236"/>
      <selection pane="bottomLeft" activeCell="X101" sqref="X101"/>
    </sheetView>
  </sheetViews>
  <sheetFormatPr defaultRowHeight="12.75"/>
  <cols>
    <col min="1" max="1" width="5.140625" style="473" customWidth="1"/>
    <col min="2" max="2" width="2.7109375" style="473" customWidth="1"/>
    <col min="3" max="3" width="23.140625" style="473" customWidth="1"/>
    <col min="4" max="4" width="2.7109375" style="473" customWidth="1"/>
    <col min="5" max="5" width="12.85546875" style="473" customWidth="1"/>
    <col min="6" max="6" width="2.7109375" style="473" customWidth="1"/>
    <col min="7" max="7" width="12.7109375" style="473" customWidth="1"/>
    <col min="8" max="8" width="2.7109375" style="473" customWidth="1"/>
    <col min="9" max="9" width="12.7109375" style="473" customWidth="1"/>
    <col min="10" max="10" width="2.7109375" style="473" customWidth="1"/>
    <col min="11" max="11" width="12.7109375" style="473" customWidth="1"/>
    <col min="12" max="12" width="2.7109375" style="473" customWidth="1"/>
    <col min="13" max="13" width="12.7109375" style="473" customWidth="1"/>
    <col min="14" max="14" width="2.7109375" style="473" customWidth="1"/>
    <col min="15" max="15" width="12.7109375" style="473" customWidth="1"/>
    <col min="16" max="16" width="2.7109375" style="473" customWidth="1"/>
    <col min="17" max="16384" width="9.140625" style="473"/>
  </cols>
  <sheetData>
    <row r="1" spans="1:16" ht="15.75" customHeight="1">
      <c r="A1" s="570" t="s">
        <v>540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37"/>
      <c r="P1" s="227" t="s">
        <v>544</v>
      </c>
    </row>
    <row r="2" spans="1:16">
      <c r="A2" s="570" t="s">
        <v>463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227"/>
    </row>
    <row r="3" spans="1:16">
      <c r="A3" s="570" t="s">
        <v>100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293"/>
    </row>
    <row r="4" spans="1:16">
      <c r="A4" s="570" t="s">
        <v>32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293"/>
    </row>
    <row r="5" spans="1:16">
      <c r="A5" s="647"/>
      <c r="B5" s="648"/>
      <c r="C5" s="648"/>
      <c r="D5" s="648"/>
      <c r="E5" s="648"/>
      <c r="F5" s="648"/>
      <c r="G5" s="648"/>
      <c r="H5" s="648"/>
      <c r="I5" s="648"/>
      <c r="J5" s="648"/>
      <c r="K5" s="537"/>
      <c r="L5" s="537"/>
      <c r="M5" s="537"/>
      <c r="N5" s="537"/>
      <c r="O5" s="537"/>
    </row>
    <row r="6" spans="1:16" s="475" customFormat="1" ht="11.25">
      <c r="A6" s="449"/>
      <c r="B6" s="449"/>
      <c r="C6" s="449"/>
      <c r="D6" s="449"/>
      <c r="E6" s="449"/>
      <c r="F6" s="449"/>
      <c r="H6" s="449"/>
      <c r="I6" s="449"/>
      <c r="J6" s="449"/>
      <c r="K6" s="449" t="s">
        <v>37</v>
      </c>
      <c r="M6" s="449" t="s">
        <v>37</v>
      </c>
      <c r="O6" s="449"/>
      <c r="P6" s="449"/>
    </row>
    <row r="7" spans="1:16" s="475" customFormat="1" ht="11.25">
      <c r="A7" s="449" t="s">
        <v>33</v>
      </c>
      <c r="B7" s="449"/>
      <c r="C7" s="449"/>
      <c r="D7" s="449"/>
      <c r="E7" s="449" t="s">
        <v>34</v>
      </c>
      <c r="F7" s="449"/>
      <c r="G7" s="449" t="s">
        <v>37</v>
      </c>
      <c r="H7" s="449"/>
      <c r="I7" s="449"/>
      <c r="J7" s="449"/>
      <c r="K7" s="449" t="s">
        <v>38</v>
      </c>
      <c r="M7" s="449" t="s">
        <v>39</v>
      </c>
      <c r="O7" s="449"/>
      <c r="P7" s="449"/>
    </row>
    <row r="8" spans="1:16" s="475" customFormat="1" ht="11.25">
      <c r="A8" s="636" t="s">
        <v>35</v>
      </c>
      <c r="B8" s="449"/>
      <c r="C8" s="636" t="s">
        <v>178</v>
      </c>
      <c r="D8" s="449"/>
      <c r="E8" s="636" t="s">
        <v>36</v>
      </c>
      <c r="F8" s="649"/>
      <c r="G8" s="636" t="s">
        <v>40</v>
      </c>
      <c r="H8" s="449"/>
      <c r="I8" s="636" t="s">
        <v>41</v>
      </c>
      <c r="J8" s="449"/>
      <c r="K8" s="636" t="s">
        <v>42</v>
      </c>
      <c r="M8" s="636" t="s">
        <v>38</v>
      </c>
      <c r="O8" s="636" t="s">
        <v>43</v>
      </c>
      <c r="P8" s="649"/>
    </row>
    <row r="9" spans="1:16" s="475" customFormat="1" ht="11.25">
      <c r="E9" s="405"/>
      <c r="F9" s="405"/>
    </row>
    <row r="10" spans="1:16" hidden="1">
      <c r="A10" s="475">
        <v>1</v>
      </c>
      <c r="B10" s="475"/>
      <c r="C10" s="650" t="s">
        <v>311</v>
      </c>
      <c r="D10" s="475"/>
      <c r="E10" s="405"/>
      <c r="F10" s="405"/>
      <c r="G10" s="475"/>
      <c r="H10" s="475"/>
      <c r="I10" s="475"/>
      <c r="J10" s="475"/>
      <c r="K10" s="475"/>
      <c r="L10" s="475"/>
      <c r="M10" s="475"/>
      <c r="N10" s="475"/>
      <c r="O10" s="651"/>
      <c r="P10" s="651"/>
    </row>
    <row r="11" spans="1:16" ht="6.75" hidden="1" customHeight="1">
      <c r="A11" s="475"/>
      <c r="B11" s="475"/>
      <c r="C11" s="475"/>
      <c r="D11" s="475"/>
      <c r="E11" s="405"/>
      <c r="F11" s="405"/>
      <c r="G11" s="475"/>
      <c r="H11" s="475"/>
      <c r="I11" s="475"/>
      <c r="J11" s="475"/>
      <c r="K11" s="475"/>
      <c r="L11" s="475"/>
      <c r="M11" s="475"/>
      <c r="N11" s="475"/>
      <c r="O11" s="651"/>
      <c r="P11" s="651"/>
    </row>
    <row r="12" spans="1:16" hidden="1">
      <c r="A12" s="475">
        <f>A10+1</f>
        <v>2</v>
      </c>
      <c r="B12" s="475"/>
      <c r="C12" s="475" t="s">
        <v>44</v>
      </c>
      <c r="D12" s="475"/>
      <c r="E12" s="405" t="s">
        <v>419</v>
      </c>
      <c r="F12" s="405"/>
      <c r="G12" s="651">
        <v>22475</v>
      </c>
      <c r="H12" s="475"/>
      <c r="I12" s="652" t="e">
        <f>G12/G18</f>
        <v>#REF!</v>
      </c>
      <c r="J12" s="475"/>
      <c r="K12" s="651" t="e">
        <f>K18*I12</f>
        <v>#REF!</v>
      </c>
      <c r="L12" s="475"/>
      <c r="M12" s="652">
        <f>'S8.2 &amp; 8.3'!N25</f>
        <v>7.1440044493882096E-2</v>
      </c>
      <c r="N12" s="475"/>
      <c r="O12" s="651" t="e">
        <f>ROUND(K12*M12,0)</f>
        <v>#REF!</v>
      </c>
      <c r="P12" s="651"/>
    </row>
    <row r="13" spans="1:16" ht="6" hidden="1" customHeight="1">
      <c r="A13" s="475"/>
      <c r="B13" s="475"/>
      <c r="C13" s="475"/>
      <c r="D13" s="475"/>
      <c r="E13" s="405"/>
      <c r="F13" s="405"/>
      <c r="G13" s="651"/>
      <c r="H13" s="475"/>
      <c r="I13" s="652"/>
      <c r="J13" s="475"/>
      <c r="K13" s="651"/>
      <c r="L13" s="475"/>
      <c r="M13" s="652"/>
      <c r="N13" s="475"/>
      <c r="O13" s="651"/>
      <c r="P13" s="651"/>
    </row>
    <row r="14" spans="1:16" hidden="1">
      <c r="A14" s="475">
        <f>A12+1</f>
        <v>3</v>
      </c>
      <c r="B14" s="475"/>
      <c r="C14" s="475" t="s">
        <v>45</v>
      </c>
      <c r="D14" s="475"/>
      <c r="E14" s="565"/>
      <c r="F14" s="565"/>
      <c r="G14" s="651">
        <v>16280</v>
      </c>
      <c r="H14" s="475"/>
      <c r="I14" s="652" t="e">
        <f>G14/G$18</f>
        <v>#REF!</v>
      </c>
      <c r="J14" s="475"/>
      <c r="K14" s="651" t="e">
        <f>K18*I14</f>
        <v>#REF!</v>
      </c>
      <c r="L14" s="475"/>
      <c r="M14" s="652" t="e">
        <f>O14/K14</f>
        <v>#REF!</v>
      </c>
      <c r="N14" s="475"/>
      <c r="O14" s="651" t="e">
        <f>O18-O12-O16</f>
        <v>#REF!</v>
      </c>
      <c r="P14" s="651"/>
    </row>
    <row r="15" spans="1:16" ht="7.5" hidden="1" customHeight="1">
      <c r="A15" s="475"/>
      <c r="B15" s="475"/>
      <c r="C15" s="475"/>
      <c r="D15" s="475"/>
      <c r="E15" s="405"/>
      <c r="F15" s="405"/>
      <c r="G15" s="651"/>
      <c r="H15" s="475"/>
      <c r="I15" s="652"/>
      <c r="J15" s="475"/>
      <c r="K15" s="651"/>
      <c r="L15" s="475"/>
      <c r="M15" s="652"/>
      <c r="N15" s="475"/>
      <c r="O15" s="651"/>
      <c r="P15" s="651"/>
    </row>
    <row r="16" spans="1:16" hidden="1">
      <c r="A16" s="475">
        <f>A14+1</f>
        <v>4</v>
      </c>
      <c r="B16" s="475"/>
      <c r="C16" s="475" t="s">
        <v>83</v>
      </c>
      <c r="D16" s="475"/>
      <c r="E16" s="405" t="s">
        <v>455</v>
      </c>
      <c r="F16" s="405"/>
      <c r="G16" s="653" t="e">
        <f>+'S8.4 '!#REF!</f>
        <v>#REF!</v>
      </c>
      <c r="H16" s="475"/>
      <c r="I16" s="654" t="e">
        <f>G16/G$18</f>
        <v>#REF!</v>
      </c>
      <c r="J16" s="475"/>
      <c r="K16" s="653" t="e">
        <f>K18*I16</f>
        <v>#REF!</v>
      </c>
      <c r="L16" s="475"/>
      <c r="M16" s="654">
        <v>0</v>
      </c>
      <c r="N16" s="475"/>
      <c r="O16" s="655" t="e">
        <f>ROUND(K16*M16,0)</f>
        <v>#REF!</v>
      </c>
      <c r="P16" s="656"/>
    </row>
    <row r="17" spans="1:16" ht="7.5" hidden="1" customHeight="1">
      <c r="A17" s="475"/>
      <c r="B17" s="475"/>
      <c r="C17" s="475"/>
      <c r="D17" s="475"/>
      <c r="E17" s="405"/>
      <c r="F17" s="405"/>
      <c r="G17" s="651"/>
      <c r="H17" s="475"/>
      <c r="I17" s="475"/>
      <c r="J17" s="475"/>
      <c r="K17" s="651"/>
      <c r="L17" s="475"/>
      <c r="M17" s="652"/>
      <c r="N17" s="475"/>
      <c r="O17" s="651"/>
      <c r="P17" s="651"/>
    </row>
    <row r="18" spans="1:16" ht="13.5" hidden="1" thickBot="1">
      <c r="A18" s="475">
        <f>A16+1</f>
        <v>5</v>
      </c>
      <c r="B18" s="475"/>
      <c r="C18" s="475" t="s">
        <v>26</v>
      </c>
      <c r="D18" s="475"/>
      <c r="E18" s="405" t="s">
        <v>273</v>
      </c>
      <c r="F18" s="405"/>
      <c r="G18" s="657" t="e">
        <f>SUM(G12:G16)</f>
        <v>#REF!</v>
      </c>
      <c r="H18" s="475"/>
      <c r="I18" s="658" t="e">
        <f>SUM(I12:I16)</f>
        <v>#REF!</v>
      </c>
      <c r="J18" s="475"/>
      <c r="K18" s="657" t="e">
        <f>S8.5!#REF!</f>
        <v>#REF!</v>
      </c>
      <c r="L18" s="475"/>
      <c r="M18" s="659" t="e">
        <f>O18/K18</f>
        <v>#REF!</v>
      </c>
      <c r="N18" s="475"/>
      <c r="O18" s="657">
        <v>3484</v>
      </c>
      <c r="P18" s="660"/>
    </row>
    <row r="19" spans="1:16" hidden="1">
      <c r="E19" s="405" t="s">
        <v>283</v>
      </c>
      <c r="F19" s="405"/>
    </row>
    <row r="20" spans="1:16" hidden="1">
      <c r="A20" s="475">
        <f>A18+1</f>
        <v>6</v>
      </c>
      <c r="B20" s="475"/>
      <c r="C20" s="650" t="s">
        <v>378</v>
      </c>
      <c r="D20" s="475"/>
      <c r="E20" s="405"/>
      <c r="F20" s="405"/>
      <c r="G20" s="475"/>
      <c r="H20" s="475"/>
      <c r="I20" s="475"/>
      <c r="J20" s="475"/>
      <c r="K20" s="475"/>
      <c r="L20" s="475"/>
      <c r="M20" s="475"/>
      <c r="N20" s="475"/>
      <c r="O20" s="651"/>
      <c r="P20" s="651"/>
    </row>
    <row r="21" spans="1:16" ht="6" hidden="1" customHeight="1">
      <c r="A21" s="475"/>
      <c r="B21" s="475"/>
      <c r="C21" s="475"/>
      <c r="D21" s="475"/>
      <c r="E21" s="405"/>
      <c r="F21" s="405"/>
      <c r="G21" s="475"/>
      <c r="H21" s="475"/>
      <c r="I21" s="475"/>
      <c r="J21" s="475"/>
      <c r="K21" s="475"/>
      <c r="L21" s="475"/>
      <c r="M21" s="475"/>
      <c r="N21" s="475"/>
      <c r="O21" s="651"/>
      <c r="P21" s="651"/>
    </row>
    <row r="22" spans="1:16" hidden="1">
      <c r="A22" s="475">
        <f>A20+1</f>
        <v>7</v>
      </c>
      <c r="B22" s="475"/>
      <c r="C22" s="475" t="s">
        <v>44</v>
      </c>
      <c r="D22" s="475"/>
      <c r="E22" s="405" t="s">
        <v>420</v>
      </c>
      <c r="F22" s="405"/>
      <c r="G22" s="651">
        <f>'S8.2 &amp; 8.3'!L44</f>
        <v>23800</v>
      </c>
      <c r="H22" s="475"/>
      <c r="I22" s="652" t="e">
        <f>G22/G28</f>
        <v>#REF!</v>
      </c>
      <c r="J22" s="475"/>
      <c r="K22" s="651" t="e">
        <f>K28*I22</f>
        <v>#REF!</v>
      </c>
      <c r="L22" s="475"/>
      <c r="M22" s="652">
        <f>'S8.2 &amp; 8.3'!N44</f>
        <v>7.0303781512605037E-2</v>
      </c>
      <c r="N22" s="475"/>
      <c r="O22" s="651" t="e">
        <f>ROUND(K22*M22,0)</f>
        <v>#REF!</v>
      </c>
      <c r="P22" s="651"/>
    </row>
    <row r="23" spans="1:16" ht="6" hidden="1" customHeight="1">
      <c r="A23" s="475"/>
      <c r="B23" s="475"/>
      <c r="C23" s="475"/>
      <c r="D23" s="475"/>
      <c r="E23" s="405"/>
      <c r="F23" s="405"/>
      <c r="G23" s="651"/>
      <c r="H23" s="475"/>
      <c r="I23" s="652"/>
      <c r="J23" s="475"/>
      <c r="K23" s="651"/>
      <c r="L23" s="475"/>
      <c r="M23" s="652"/>
      <c r="N23" s="475"/>
      <c r="O23" s="651"/>
      <c r="P23" s="651"/>
    </row>
    <row r="24" spans="1:16" hidden="1">
      <c r="A24" s="475">
        <f>A22+1</f>
        <v>8</v>
      </c>
      <c r="B24" s="475"/>
      <c r="C24" s="475" t="s">
        <v>45</v>
      </c>
      <c r="D24" s="475"/>
      <c r="E24" s="405"/>
      <c r="F24" s="405"/>
      <c r="G24" s="651">
        <v>16890</v>
      </c>
      <c r="H24" s="475"/>
      <c r="I24" s="652" t="e">
        <f>G24/G$28</f>
        <v>#REF!</v>
      </c>
      <c r="J24" s="475"/>
      <c r="K24" s="651" t="e">
        <f>K28*I24</f>
        <v>#REF!</v>
      </c>
      <c r="L24" s="475"/>
      <c r="M24" s="652" t="e">
        <f>O24/K24</f>
        <v>#REF!</v>
      </c>
      <c r="N24" s="475"/>
      <c r="O24" s="651" t="e">
        <f>O28-O22-O26</f>
        <v>#REF!</v>
      </c>
      <c r="P24" s="651"/>
    </row>
    <row r="25" spans="1:16" ht="6" hidden="1" customHeight="1">
      <c r="A25" s="475"/>
      <c r="B25" s="475"/>
      <c r="C25" s="475"/>
      <c r="D25" s="475"/>
      <c r="E25" s="405"/>
      <c r="F25" s="405"/>
      <c r="G25" s="651"/>
      <c r="H25" s="475"/>
      <c r="I25" s="652"/>
      <c r="J25" s="475"/>
      <c r="K25" s="651"/>
      <c r="L25" s="475"/>
      <c r="M25" s="652"/>
      <c r="N25" s="475"/>
      <c r="O25" s="651"/>
      <c r="P25" s="651"/>
    </row>
    <row r="26" spans="1:16" hidden="1">
      <c r="A26" s="475">
        <f>A24+1</f>
        <v>9</v>
      </c>
      <c r="B26" s="475"/>
      <c r="C26" s="475" t="s">
        <v>83</v>
      </c>
      <c r="D26" s="475"/>
      <c r="E26" s="405" t="s">
        <v>455</v>
      </c>
      <c r="F26" s="405"/>
      <c r="G26" s="653" t="e">
        <f>+'S8.4 '!#REF!</f>
        <v>#REF!</v>
      </c>
      <c r="H26" s="475"/>
      <c r="I26" s="654" t="e">
        <f>G26/G$28</f>
        <v>#REF!</v>
      </c>
      <c r="J26" s="475"/>
      <c r="K26" s="653" t="e">
        <f>K28*I26</f>
        <v>#REF!</v>
      </c>
      <c r="L26" s="475"/>
      <c r="M26" s="654">
        <v>0</v>
      </c>
      <c r="N26" s="475"/>
      <c r="O26" s="655" t="e">
        <f>ROUND(K26*M26,0)</f>
        <v>#REF!</v>
      </c>
      <c r="P26" s="656"/>
    </row>
    <row r="27" spans="1:16" ht="6" hidden="1" customHeight="1">
      <c r="A27" s="475"/>
      <c r="B27" s="475"/>
      <c r="C27" s="475"/>
      <c r="D27" s="475"/>
      <c r="E27" s="405"/>
      <c r="F27" s="405"/>
      <c r="G27" s="651"/>
      <c r="H27" s="475"/>
      <c r="I27" s="475"/>
      <c r="J27" s="475"/>
      <c r="K27" s="651"/>
      <c r="L27" s="475"/>
      <c r="M27" s="652"/>
      <c r="N27" s="475"/>
      <c r="O27" s="651"/>
      <c r="P27" s="651"/>
    </row>
    <row r="28" spans="1:16" ht="13.5" hidden="1" thickBot="1">
      <c r="A28" s="475">
        <f>A26+1</f>
        <v>10</v>
      </c>
      <c r="B28" s="475"/>
      <c r="C28" s="475" t="s">
        <v>26</v>
      </c>
      <c r="D28" s="475"/>
      <c r="E28" s="405" t="s">
        <v>273</v>
      </c>
      <c r="F28" s="405"/>
      <c r="G28" s="657" t="e">
        <f>SUM(G22:G26)</f>
        <v>#REF!</v>
      </c>
      <c r="H28" s="475"/>
      <c r="I28" s="658" t="e">
        <f>SUM(I22:I26)</f>
        <v>#REF!</v>
      </c>
      <c r="J28" s="475"/>
      <c r="K28" s="657" t="e">
        <f>S8.5!#REF!</f>
        <v>#REF!</v>
      </c>
      <c r="L28" s="475"/>
      <c r="M28" s="659" t="e">
        <f>O28/K28</f>
        <v>#REF!</v>
      </c>
      <c r="N28" s="475"/>
      <c r="O28" s="657">
        <v>3614</v>
      </c>
      <c r="P28" s="660"/>
    </row>
    <row r="29" spans="1:16">
      <c r="E29" s="405"/>
      <c r="F29" s="405"/>
    </row>
    <row r="30" spans="1:16">
      <c r="A30" s="664">
        <v>1</v>
      </c>
      <c r="B30" s="475"/>
      <c r="C30" s="650" t="s">
        <v>8</v>
      </c>
      <c r="D30" s="475"/>
      <c r="E30" s="405"/>
      <c r="F30" s="405"/>
      <c r="G30" s="475"/>
      <c r="H30" s="475"/>
      <c r="I30" s="475"/>
      <c r="J30" s="475"/>
      <c r="K30" s="475"/>
      <c r="L30" s="475"/>
      <c r="M30" s="475"/>
      <c r="N30" s="475"/>
      <c r="O30" s="651"/>
      <c r="P30" s="651"/>
    </row>
    <row r="31" spans="1:16" ht="6" customHeight="1">
      <c r="A31" s="664"/>
      <c r="B31" s="475"/>
      <c r="C31" s="475"/>
      <c r="D31" s="475"/>
      <c r="E31" s="405"/>
      <c r="F31" s="405"/>
      <c r="G31" s="475"/>
      <c r="H31" s="475"/>
      <c r="I31" s="475"/>
      <c r="J31" s="475"/>
      <c r="K31" s="475"/>
      <c r="L31" s="475"/>
      <c r="M31" s="475"/>
      <c r="N31" s="475"/>
      <c r="O31" s="651"/>
      <c r="P31" s="651"/>
    </row>
    <row r="32" spans="1:16">
      <c r="A32" s="664">
        <f>A30+1</f>
        <v>2</v>
      </c>
      <c r="B32" s="475"/>
      <c r="C32" s="475" t="s">
        <v>710</v>
      </c>
      <c r="D32" s="475"/>
      <c r="E32" s="405" t="s">
        <v>712</v>
      </c>
      <c r="F32" s="405"/>
      <c r="G32" s="651">
        <f>'S8.2 &amp; 8.3'!L64</f>
        <v>24575</v>
      </c>
      <c r="H32" s="475"/>
      <c r="I32" s="652">
        <f>G32/G38</f>
        <v>0.56805704841487237</v>
      </c>
      <c r="J32" s="475"/>
      <c r="K32" s="651">
        <f>K38*I32</f>
        <v>26099.665117945518</v>
      </c>
      <c r="L32" s="475"/>
      <c r="M32" s="652">
        <f>'S8.2 &amp; 8.3'!N64</f>
        <v>6.9682685656154625E-2</v>
      </c>
      <c r="N32" s="475"/>
      <c r="O32" s="651">
        <f>ROUND(K32*M32,0)</f>
        <v>1819</v>
      </c>
      <c r="P32" s="651"/>
    </row>
    <row r="33" spans="1:16" ht="6" customHeight="1">
      <c r="A33" s="664"/>
      <c r="B33" s="475"/>
      <c r="C33" s="475"/>
      <c r="D33" s="475"/>
      <c r="E33" s="405"/>
      <c r="F33" s="405"/>
      <c r="G33" s="651"/>
      <c r="H33" s="475"/>
      <c r="I33" s="652"/>
      <c r="J33" s="475"/>
      <c r="K33" s="651"/>
      <c r="L33" s="475"/>
      <c r="M33" s="652"/>
      <c r="N33" s="475"/>
      <c r="O33" s="651"/>
      <c r="P33" s="651"/>
    </row>
    <row r="34" spans="1:16">
      <c r="A34" s="664">
        <f>A32+1</f>
        <v>3</v>
      </c>
      <c r="B34" s="475"/>
      <c r="C34" s="475" t="s">
        <v>711</v>
      </c>
      <c r="D34" s="475"/>
      <c r="E34" s="405"/>
      <c r="F34" s="405"/>
      <c r="G34" s="651">
        <v>17994</v>
      </c>
      <c r="H34" s="475"/>
      <c r="I34" s="652">
        <f>G34/G$38</f>
        <v>0.41593564716896086</v>
      </c>
      <c r="J34" s="475"/>
      <c r="K34" s="651">
        <f>K38*I34</f>
        <v>19110.37127700149</v>
      </c>
      <c r="L34" s="475"/>
      <c r="M34" s="652">
        <f>O34/K34</f>
        <v>7.0328303962228417E-2</v>
      </c>
      <c r="N34" s="475"/>
      <c r="O34" s="651">
        <f>O38-O32-O36</f>
        <v>1344</v>
      </c>
      <c r="P34" s="651"/>
    </row>
    <row r="35" spans="1:16" ht="6" customHeight="1">
      <c r="A35" s="664"/>
      <c r="B35" s="475"/>
      <c r="C35" s="475"/>
      <c r="D35" s="475"/>
      <c r="E35" s="405"/>
      <c r="F35" s="405"/>
      <c r="G35" s="651"/>
      <c r="H35" s="475"/>
      <c r="I35" s="652"/>
      <c r="J35" s="475"/>
      <c r="K35" s="651"/>
      <c r="L35" s="475"/>
      <c r="M35" s="652"/>
      <c r="N35" s="475"/>
      <c r="O35" s="651"/>
      <c r="P35" s="651"/>
    </row>
    <row r="36" spans="1:16">
      <c r="A36" s="664">
        <f>A34+1</f>
        <v>4</v>
      </c>
      <c r="B36" s="475"/>
      <c r="C36" s="475" t="s">
        <v>83</v>
      </c>
      <c r="D36" s="475"/>
      <c r="E36" s="405" t="s">
        <v>455</v>
      </c>
      <c r="F36" s="405"/>
      <c r="G36" s="653">
        <f>+'S8.4 '!G17</f>
        <v>692.5</v>
      </c>
      <c r="H36" s="475"/>
      <c r="I36" s="654">
        <f>G36/G$38</f>
        <v>1.6007304416166799E-2</v>
      </c>
      <c r="J36" s="475"/>
      <c r="K36" s="653">
        <f>K38*I36</f>
        <v>735.46360505299162</v>
      </c>
      <c r="L36" s="475"/>
      <c r="M36" s="654">
        <v>0</v>
      </c>
      <c r="N36" s="475"/>
      <c r="O36" s="655">
        <f>ROUND(K36*M36,0)</f>
        <v>0</v>
      </c>
      <c r="P36" s="656"/>
    </row>
    <row r="37" spans="1:16" ht="6" customHeight="1">
      <c r="A37" s="664"/>
      <c r="B37" s="475"/>
      <c r="C37" s="475"/>
      <c r="D37" s="475"/>
      <c r="E37" s="405"/>
      <c r="F37" s="405"/>
      <c r="G37" s="651"/>
      <c r="H37" s="475"/>
      <c r="I37" s="475"/>
      <c r="J37" s="475"/>
      <c r="K37" s="651"/>
      <c r="L37" s="475"/>
      <c r="M37" s="652"/>
      <c r="N37" s="475"/>
      <c r="O37" s="651"/>
      <c r="P37" s="651"/>
    </row>
    <row r="38" spans="1:16" ht="13.5" thickBot="1">
      <c r="A38" s="664">
        <f>A36+1</f>
        <v>5</v>
      </c>
      <c r="B38" s="475"/>
      <c r="C38" s="475" t="s">
        <v>26</v>
      </c>
      <c r="D38" s="475"/>
      <c r="E38" s="405" t="s">
        <v>273</v>
      </c>
      <c r="F38" s="405"/>
      <c r="G38" s="657">
        <f>SUM(G32:G36)</f>
        <v>43261.5</v>
      </c>
      <c r="H38" s="475"/>
      <c r="I38" s="661">
        <f>SUM(I32:I36)</f>
        <v>1</v>
      </c>
      <c r="J38" s="475"/>
      <c r="K38" s="657">
        <f>S8.5!G37</f>
        <v>45945.5</v>
      </c>
      <c r="L38" s="475"/>
      <c r="M38" s="659">
        <f>O38/K38</f>
        <v>6.8842432882436799E-2</v>
      </c>
      <c r="N38" s="475"/>
      <c r="O38" s="657">
        <v>3163</v>
      </c>
      <c r="P38" s="660"/>
    </row>
    <row r="39" spans="1:16">
      <c r="A39" s="665"/>
      <c r="E39" s="405" t="s">
        <v>283</v>
      </c>
      <c r="F39" s="405"/>
    </row>
    <row r="40" spans="1:16">
      <c r="A40" s="664">
        <f>A38+1</f>
        <v>6</v>
      </c>
      <c r="B40" s="475"/>
      <c r="C40" s="650" t="s">
        <v>12</v>
      </c>
      <c r="D40" s="475"/>
      <c r="E40" s="405"/>
      <c r="F40" s="405"/>
      <c r="G40" s="475"/>
      <c r="H40" s="475"/>
      <c r="I40" s="475"/>
      <c r="J40" s="475"/>
      <c r="K40" s="475"/>
      <c r="L40" s="475"/>
      <c r="M40" s="475"/>
      <c r="N40" s="475"/>
      <c r="O40" s="651"/>
      <c r="P40" s="651"/>
    </row>
    <row r="41" spans="1:16" ht="6" customHeight="1">
      <c r="A41" s="664"/>
      <c r="B41" s="475"/>
      <c r="C41" s="475"/>
      <c r="D41" s="475"/>
      <c r="E41" s="405"/>
      <c r="F41" s="405"/>
      <c r="G41" s="475"/>
      <c r="H41" s="475"/>
      <c r="I41" s="475"/>
      <c r="J41" s="475"/>
      <c r="K41" s="475"/>
      <c r="L41" s="475"/>
      <c r="M41" s="475"/>
      <c r="N41" s="475"/>
      <c r="O41" s="651"/>
      <c r="P41" s="651"/>
    </row>
    <row r="42" spans="1:16">
      <c r="A42" s="664">
        <f>A40+1</f>
        <v>7</v>
      </c>
      <c r="B42" s="475"/>
      <c r="C42" s="475" t="s">
        <v>710</v>
      </c>
      <c r="D42" s="475"/>
      <c r="E42" s="405" t="s">
        <v>713</v>
      </c>
      <c r="F42" s="405"/>
      <c r="G42" s="651">
        <f>'S8.2 &amp; 8.3'!L87</f>
        <v>27650</v>
      </c>
      <c r="H42" s="475"/>
      <c r="I42" s="652">
        <f>G42/G48</f>
        <v>0.57344919841549657</v>
      </c>
      <c r="J42" s="475"/>
      <c r="K42" s="651">
        <f>K48*I42</f>
        <v>28165.53082937553</v>
      </c>
      <c r="L42" s="475"/>
      <c r="M42" s="652">
        <f>'S8.2 &amp; 8.3'!N87</f>
        <v>6.7291464737793849E-2</v>
      </c>
      <c r="N42" s="475"/>
      <c r="O42" s="651">
        <f>ROUND(K42*M42,0)</f>
        <v>1895</v>
      </c>
      <c r="P42" s="651"/>
    </row>
    <row r="43" spans="1:16" ht="6" customHeight="1">
      <c r="A43" s="664"/>
      <c r="B43" s="475"/>
      <c r="C43" s="475"/>
      <c r="D43" s="475"/>
      <c r="E43" s="405"/>
      <c r="F43" s="405"/>
      <c r="G43" s="651"/>
      <c r="H43" s="475"/>
      <c r="I43" s="652"/>
      <c r="J43" s="475"/>
      <c r="K43" s="651"/>
      <c r="L43" s="475"/>
      <c r="M43" s="652"/>
      <c r="N43" s="475"/>
      <c r="O43" s="651"/>
      <c r="P43" s="651"/>
    </row>
    <row r="44" spans="1:16">
      <c r="A44" s="664">
        <f>A42+1</f>
        <v>8</v>
      </c>
      <c r="B44" s="475"/>
      <c r="C44" s="475" t="s">
        <v>711</v>
      </c>
      <c r="D44" s="475"/>
      <c r="E44" s="405"/>
      <c r="F44" s="405"/>
      <c r="G44" s="651">
        <v>19865.5</v>
      </c>
      <c r="H44" s="475"/>
      <c r="I44" s="652">
        <f>G44/G48</f>
        <v>0.41200199099902524</v>
      </c>
      <c r="J44" s="475"/>
      <c r="K44" s="651">
        <f>K48*I44</f>
        <v>20235.889789908124</v>
      </c>
      <c r="L44" s="475"/>
      <c r="M44" s="652">
        <f>O44/K44</f>
        <v>0.11346177627163409</v>
      </c>
      <c r="N44" s="475"/>
      <c r="O44" s="651">
        <f>O48-O42-O46</f>
        <v>2296</v>
      </c>
      <c r="P44" s="651"/>
    </row>
    <row r="45" spans="1:16" ht="6" customHeight="1">
      <c r="A45" s="664"/>
      <c r="B45" s="475"/>
      <c r="C45" s="475"/>
      <c r="D45" s="475"/>
      <c r="E45" s="405"/>
      <c r="F45" s="405"/>
      <c r="G45" s="651"/>
      <c r="H45" s="475"/>
      <c r="I45" s="652"/>
      <c r="J45" s="475"/>
      <c r="K45" s="651"/>
      <c r="L45" s="475"/>
      <c r="M45" s="652"/>
      <c r="N45" s="475"/>
      <c r="O45" s="651"/>
      <c r="P45" s="651"/>
    </row>
    <row r="46" spans="1:16">
      <c r="A46" s="664">
        <f>A44+1</f>
        <v>9</v>
      </c>
      <c r="B46" s="475"/>
      <c r="C46" s="475" t="s">
        <v>83</v>
      </c>
      <c r="D46" s="475"/>
      <c r="E46" s="405" t="s">
        <v>455</v>
      </c>
      <c r="F46" s="405"/>
      <c r="G46" s="653">
        <f>'S8.4 '!I17</f>
        <v>701.5</v>
      </c>
      <c r="H46" s="475"/>
      <c r="I46" s="654">
        <f>G46/G48</f>
        <v>1.4548810585478151E-2</v>
      </c>
      <c r="J46" s="475"/>
      <c r="K46" s="653">
        <f>K48*I46</f>
        <v>714.57938071634487</v>
      </c>
      <c r="L46" s="475"/>
      <c r="M46" s="654">
        <v>0</v>
      </c>
      <c r="N46" s="475"/>
      <c r="O46" s="655">
        <f>ROUND(K46*M46,0)</f>
        <v>0</v>
      </c>
      <c r="P46" s="656"/>
    </row>
    <row r="47" spans="1:16" ht="6" customHeight="1">
      <c r="A47" s="664"/>
      <c r="B47" s="475"/>
      <c r="C47" s="475"/>
      <c r="D47" s="475"/>
      <c r="E47" s="405"/>
      <c r="F47" s="405"/>
      <c r="G47" s="651"/>
      <c r="H47" s="475"/>
      <c r="I47" s="475"/>
      <c r="J47" s="475"/>
      <c r="K47" s="651"/>
      <c r="L47" s="475"/>
      <c r="M47" s="652"/>
      <c r="N47" s="475"/>
      <c r="O47" s="651"/>
      <c r="P47" s="651"/>
    </row>
    <row r="48" spans="1:16" ht="13.5" thickBot="1">
      <c r="A48" s="664">
        <f>A46+1</f>
        <v>10</v>
      </c>
      <c r="B48" s="475"/>
      <c r="C48" s="475" t="s">
        <v>26</v>
      </c>
      <c r="D48" s="475"/>
      <c r="E48" s="405" t="s">
        <v>273</v>
      </c>
      <c r="F48" s="405"/>
      <c r="G48" s="657">
        <f>SUM(G42:G46)</f>
        <v>48217</v>
      </c>
      <c r="H48" s="475"/>
      <c r="I48" s="661">
        <f>SUM(I42:I46)</f>
        <v>1</v>
      </c>
      <c r="J48" s="475"/>
      <c r="K48" s="657">
        <f>S8.5!I37</f>
        <v>49116</v>
      </c>
      <c r="L48" s="475"/>
      <c r="M48" s="659">
        <f>O48/K48</f>
        <v>8.5328609821646709E-2</v>
      </c>
      <c r="N48" s="475"/>
      <c r="O48" s="657">
        <v>4191</v>
      </c>
      <c r="P48" s="660"/>
    </row>
    <row r="49" spans="1:16">
      <c r="A49" s="665"/>
      <c r="E49" s="405" t="s">
        <v>283</v>
      </c>
      <c r="F49" s="405"/>
    </row>
    <row r="50" spans="1:16">
      <c r="A50" s="664">
        <f>A48+1</f>
        <v>11</v>
      </c>
      <c r="B50" s="475"/>
      <c r="C50" s="650" t="s">
        <v>10</v>
      </c>
      <c r="D50" s="475"/>
      <c r="E50" s="405"/>
      <c r="F50" s="405"/>
      <c r="G50" s="475"/>
      <c r="H50" s="475"/>
      <c r="I50" s="475"/>
      <c r="J50" s="475"/>
      <c r="K50" s="475"/>
      <c r="L50" s="475"/>
      <c r="M50" s="475"/>
      <c r="N50" s="475"/>
      <c r="O50" s="651"/>
      <c r="P50" s="651"/>
    </row>
    <row r="51" spans="1:16" ht="6" customHeight="1">
      <c r="A51" s="664"/>
      <c r="B51" s="475"/>
      <c r="C51" s="475"/>
      <c r="D51" s="475"/>
      <c r="E51" s="405"/>
      <c r="F51" s="405"/>
      <c r="G51" s="475"/>
      <c r="H51" s="475"/>
      <c r="I51" s="475"/>
      <c r="J51" s="475"/>
      <c r="K51" s="475"/>
      <c r="L51" s="475"/>
      <c r="M51" s="475"/>
      <c r="N51" s="475"/>
      <c r="O51" s="651"/>
      <c r="P51" s="651"/>
    </row>
    <row r="52" spans="1:16">
      <c r="A52" s="664">
        <f>A50+1</f>
        <v>12</v>
      </c>
      <c r="B52" s="475"/>
      <c r="C52" s="475" t="s">
        <v>710</v>
      </c>
      <c r="D52" s="475"/>
      <c r="E52" s="405" t="s">
        <v>714</v>
      </c>
      <c r="F52" s="405"/>
      <c r="G52" s="651">
        <f>'S8.2 &amp; 8.3'!L115</f>
        <v>29950</v>
      </c>
      <c r="H52" s="475"/>
      <c r="I52" s="652">
        <f>G52/G58</f>
        <v>0.57268511879152928</v>
      </c>
      <c r="J52" s="475"/>
      <c r="K52" s="651">
        <f>K58*I52</f>
        <v>28649.145752665045</v>
      </c>
      <c r="L52" s="475"/>
      <c r="M52" s="652">
        <f>'S8.2 &amp; 8.3'!N115</f>
        <v>6.5761068447412349E-2</v>
      </c>
      <c r="N52" s="475"/>
      <c r="O52" s="651">
        <f>ROUND(K52*M52,0)</f>
        <v>1884</v>
      </c>
      <c r="P52" s="651"/>
    </row>
    <row r="53" spans="1:16" ht="6" customHeight="1">
      <c r="A53" s="664"/>
      <c r="B53" s="475"/>
      <c r="C53" s="475"/>
      <c r="D53" s="475"/>
      <c r="E53" s="405"/>
      <c r="F53" s="405"/>
      <c r="G53" s="651"/>
      <c r="H53" s="475"/>
      <c r="I53" s="652"/>
      <c r="J53" s="475"/>
      <c r="K53" s="651"/>
      <c r="L53" s="475"/>
      <c r="M53" s="652"/>
      <c r="N53" s="475"/>
      <c r="O53" s="651"/>
      <c r="P53" s="651"/>
    </row>
    <row r="54" spans="1:16">
      <c r="A54" s="664">
        <f>A52+1</f>
        <v>13</v>
      </c>
      <c r="B54" s="475"/>
      <c r="C54" s="475" t="s">
        <v>711</v>
      </c>
      <c r="D54" s="475"/>
      <c r="E54" s="405"/>
      <c r="F54" s="405"/>
      <c r="G54" s="651">
        <v>21682</v>
      </c>
      <c r="H54" s="475"/>
      <c r="I54" s="652">
        <f>G54/G58</f>
        <v>0.4145896075338209</v>
      </c>
      <c r="J54" s="475"/>
      <c r="K54" s="651">
        <f>K58*I54</f>
        <v>20740.259706486926</v>
      </c>
      <c r="L54" s="475"/>
      <c r="M54" s="652">
        <f>O54/K54</f>
        <v>0.10544708846225163</v>
      </c>
      <c r="N54" s="475"/>
      <c r="O54" s="651">
        <f>O58-O52-O56</f>
        <v>2187</v>
      </c>
      <c r="P54" s="651"/>
    </row>
    <row r="55" spans="1:16" ht="6" customHeight="1">
      <c r="A55" s="664"/>
      <c r="B55" s="475"/>
      <c r="C55" s="475"/>
      <c r="D55" s="475"/>
      <c r="E55" s="405"/>
      <c r="F55" s="405"/>
      <c r="G55" s="651"/>
      <c r="H55" s="475"/>
      <c r="I55" s="652"/>
      <c r="J55" s="475"/>
      <c r="K55" s="651"/>
      <c r="L55" s="475"/>
      <c r="M55" s="652"/>
      <c r="N55" s="475"/>
      <c r="O55" s="651"/>
      <c r="P55" s="651"/>
    </row>
    <row r="56" spans="1:16">
      <c r="A56" s="664">
        <f>A54+1</f>
        <v>14</v>
      </c>
      <c r="B56" s="475"/>
      <c r="C56" s="475" t="s">
        <v>83</v>
      </c>
      <c r="D56" s="475"/>
      <c r="E56" s="405" t="s">
        <v>455</v>
      </c>
      <c r="F56" s="405"/>
      <c r="G56" s="653">
        <f>'S8.4 '!K17</f>
        <v>665.5</v>
      </c>
      <c r="H56" s="475"/>
      <c r="I56" s="654">
        <f>G56/G58</f>
        <v>1.272527367464984E-2</v>
      </c>
      <c r="J56" s="475"/>
      <c r="K56" s="653">
        <f>K58*I56</f>
        <v>636.59454084803292</v>
      </c>
      <c r="L56" s="475"/>
      <c r="M56" s="654">
        <v>0</v>
      </c>
      <c r="N56" s="475"/>
      <c r="O56" s="655">
        <f>ROUND(K56*M56,0)</f>
        <v>0</v>
      </c>
      <c r="P56" s="656"/>
    </row>
    <row r="57" spans="1:16" ht="6" customHeight="1">
      <c r="A57" s="664"/>
      <c r="B57" s="475"/>
      <c r="C57" s="475"/>
      <c r="D57" s="475"/>
      <c r="E57" s="405"/>
      <c r="F57" s="405"/>
      <c r="G57" s="651"/>
      <c r="H57" s="475"/>
      <c r="I57" s="475"/>
      <c r="J57" s="475"/>
      <c r="K57" s="651"/>
      <c r="L57" s="475"/>
      <c r="M57" s="652"/>
      <c r="N57" s="475"/>
      <c r="O57" s="651"/>
      <c r="P57" s="651"/>
    </row>
    <row r="58" spans="1:16" ht="13.5" thickBot="1">
      <c r="A58" s="664">
        <f>A56+1</f>
        <v>15</v>
      </c>
      <c r="B58" s="475"/>
      <c r="C58" s="475" t="s">
        <v>26</v>
      </c>
      <c r="D58" s="475"/>
      <c r="E58" s="405" t="s">
        <v>273</v>
      </c>
      <c r="F58" s="405"/>
      <c r="G58" s="657">
        <f>SUM(G52:G56)</f>
        <v>52297.5</v>
      </c>
      <c r="H58" s="475"/>
      <c r="I58" s="661">
        <f>SUM(I52:I56)</f>
        <v>1</v>
      </c>
      <c r="J58" s="475"/>
      <c r="K58" s="657">
        <f>S8.5!K37</f>
        <v>50026</v>
      </c>
      <c r="L58" s="475"/>
      <c r="M58" s="659">
        <f>O58/K58</f>
        <v>8.1377683604525644E-2</v>
      </c>
      <c r="N58" s="475"/>
      <c r="O58" s="657">
        <v>4071</v>
      </c>
      <c r="P58" s="660"/>
    </row>
    <row r="59" spans="1:16">
      <c r="A59" s="665"/>
      <c r="E59" s="405" t="s">
        <v>283</v>
      </c>
      <c r="F59" s="405"/>
    </row>
    <row r="60" spans="1:16">
      <c r="A60" s="664">
        <f>A58+1</f>
        <v>16</v>
      </c>
      <c r="B60" s="475"/>
      <c r="C60" s="650" t="s">
        <v>0</v>
      </c>
      <c r="D60" s="475"/>
      <c r="E60" s="405"/>
      <c r="F60" s="405"/>
      <c r="G60" s="475"/>
      <c r="H60" s="475"/>
      <c r="I60" s="475"/>
      <c r="J60" s="475"/>
      <c r="K60" s="475"/>
      <c r="L60" s="475"/>
      <c r="M60" s="475"/>
      <c r="N60" s="475"/>
      <c r="O60" s="651"/>
      <c r="P60" s="651"/>
    </row>
    <row r="61" spans="1:16" ht="6" customHeight="1">
      <c r="A61" s="664"/>
      <c r="B61" s="475"/>
      <c r="C61" s="475"/>
      <c r="D61" s="475"/>
      <c r="E61" s="405"/>
      <c r="F61" s="405"/>
      <c r="G61" s="475"/>
      <c r="H61" s="475"/>
      <c r="I61" s="475"/>
      <c r="J61" s="475"/>
      <c r="K61" s="475"/>
      <c r="L61" s="475"/>
      <c r="M61" s="475"/>
      <c r="N61" s="475"/>
      <c r="O61" s="651"/>
      <c r="P61" s="651"/>
    </row>
    <row r="62" spans="1:16">
      <c r="A62" s="664">
        <f>A60+1</f>
        <v>17</v>
      </c>
      <c r="B62" s="475"/>
      <c r="C62" s="475" t="s">
        <v>710</v>
      </c>
      <c r="D62" s="475"/>
      <c r="E62" s="405" t="s">
        <v>715</v>
      </c>
      <c r="F62" s="405"/>
      <c r="G62" s="651">
        <f>+'S8.2 &amp; 8.3'!L137</f>
        <v>32450</v>
      </c>
      <c r="H62" s="475"/>
      <c r="I62" s="652">
        <f>G62/G68</f>
        <v>0.57362052659955276</v>
      </c>
      <c r="J62" s="475"/>
      <c r="K62" s="651">
        <f>K68*I62</f>
        <v>30062.304558029362</v>
      </c>
      <c r="L62" s="475"/>
      <c r="M62" s="652">
        <f>+'S8.2 &amp; 8.3'!N137</f>
        <v>6.4223235747303542E-2</v>
      </c>
      <c r="N62" s="475"/>
      <c r="O62" s="651">
        <f>+M62*K62</f>
        <v>1930.6984727375575</v>
      </c>
      <c r="P62" s="651"/>
    </row>
    <row r="63" spans="1:16" ht="6" customHeight="1">
      <c r="A63" s="664"/>
      <c r="B63" s="475"/>
      <c r="C63" s="475"/>
      <c r="D63" s="475"/>
      <c r="E63" s="405"/>
      <c r="F63" s="405"/>
      <c r="G63" s="651"/>
      <c r="H63" s="475"/>
      <c r="I63" s="652"/>
      <c r="J63" s="475"/>
      <c r="K63" s="651"/>
      <c r="L63" s="475"/>
      <c r="M63" s="652"/>
      <c r="N63" s="475"/>
      <c r="O63" s="651"/>
      <c r="P63" s="651"/>
    </row>
    <row r="64" spans="1:16">
      <c r="A64" s="664">
        <f>A62+1</f>
        <v>18</v>
      </c>
      <c r="B64" s="475"/>
      <c r="C64" s="475" t="s">
        <v>711</v>
      </c>
      <c r="D64" s="475"/>
      <c r="E64" s="405"/>
      <c r="F64" s="405"/>
      <c r="G64" s="651">
        <f>+(22384+(22384+2476-300))/2</f>
        <v>23472</v>
      </c>
      <c r="H64" s="475"/>
      <c r="I64" s="652">
        <f>G64/G68</f>
        <v>0.41491590139737144</v>
      </c>
      <c r="J64" s="475"/>
      <c r="K64" s="651">
        <f>K68*I64</f>
        <v>21744.912560433444</v>
      </c>
      <c r="L64" s="475"/>
      <c r="M64" s="652">
        <f>O64/K64</f>
        <v>0.10739530548914254</v>
      </c>
      <c r="N64" s="475"/>
      <c r="O64" s="651">
        <f>O68-O62-O66</f>
        <v>2335.3015272624425</v>
      </c>
      <c r="P64" s="651"/>
    </row>
    <row r="65" spans="1:16" ht="6" customHeight="1">
      <c r="A65" s="664"/>
      <c r="B65" s="475"/>
      <c r="C65" s="475"/>
      <c r="D65" s="475"/>
      <c r="E65" s="405"/>
      <c r="F65" s="405"/>
      <c r="G65" s="651"/>
      <c r="H65" s="475"/>
      <c r="I65" s="652"/>
      <c r="J65" s="475"/>
      <c r="K65" s="651"/>
      <c r="L65" s="475"/>
      <c r="M65" s="652"/>
      <c r="N65" s="475"/>
      <c r="O65" s="651"/>
      <c r="P65" s="651"/>
    </row>
    <row r="66" spans="1:16">
      <c r="A66" s="664">
        <f>A64+1</f>
        <v>19</v>
      </c>
      <c r="B66" s="475"/>
      <c r="C66" s="475" t="s">
        <v>83</v>
      </c>
      <c r="D66" s="475"/>
      <c r="E66" s="405" t="s">
        <v>455</v>
      </c>
      <c r="F66" s="405"/>
      <c r="G66" s="653">
        <f>+'S8.4 '!M17</f>
        <v>648.5</v>
      </c>
      <c r="H66" s="475"/>
      <c r="I66" s="654">
        <f>G66/G68</f>
        <v>1.1463572003075809E-2</v>
      </c>
      <c r="J66" s="475"/>
      <c r="K66" s="653">
        <f>K68*I66</f>
        <v>600.782881537197</v>
      </c>
      <c r="L66" s="475"/>
      <c r="M66" s="654">
        <v>0</v>
      </c>
      <c r="N66" s="475"/>
      <c r="O66" s="655">
        <f>ROUND(K66*M66,0)</f>
        <v>0</v>
      </c>
      <c r="P66" s="656"/>
    </row>
    <row r="67" spans="1:16" ht="6" customHeight="1">
      <c r="A67" s="664"/>
      <c r="B67" s="475"/>
      <c r="C67" s="475"/>
      <c r="D67" s="475"/>
      <c r="E67" s="405"/>
      <c r="F67" s="405"/>
      <c r="G67" s="651"/>
      <c r="H67" s="475"/>
      <c r="I67" s="475"/>
      <c r="J67" s="475"/>
      <c r="K67" s="651"/>
      <c r="L67" s="475"/>
      <c r="M67" s="652"/>
      <c r="N67" s="475"/>
      <c r="O67" s="651"/>
      <c r="P67" s="651"/>
    </row>
    <row r="68" spans="1:16" ht="13.5" thickBot="1">
      <c r="A68" s="664">
        <f>A66+1</f>
        <v>20</v>
      </c>
      <c r="B68" s="475"/>
      <c r="C68" s="475" t="s">
        <v>26</v>
      </c>
      <c r="D68" s="475"/>
      <c r="E68" s="405" t="s">
        <v>273</v>
      </c>
      <c r="F68" s="405"/>
      <c r="G68" s="657">
        <f>SUM(G62:G66)</f>
        <v>56570.5</v>
      </c>
      <c r="H68" s="475"/>
      <c r="I68" s="661">
        <f>SUM(I62:I66)</f>
        <v>1</v>
      </c>
      <c r="J68" s="475"/>
      <c r="K68" s="657">
        <f>+S8.5!M37</f>
        <v>52408</v>
      </c>
      <c r="L68" s="475"/>
      <c r="M68" s="659">
        <f>O68/K68</f>
        <v>8.1399786292169138E-2</v>
      </c>
      <c r="N68" s="475"/>
      <c r="O68" s="657">
        <v>4266</v>
      </c>
      <c r="P68" s="660"/>
    </row>
    <row r="69" spans="1:16">
      <c r="A69" s="665"/>
      <c r="E69" s="405" t="s">
        <v>283</v>
      </c>
      <c r="F69" s="405"/>
    </row>
    <row r="70" spans="1:16">
      <c r="A70" s="664">
        <f>A68+1</f>
        <v>21</v>
      </c>
      <c r="B70" s="475"/>
      <c r="C70" s="650" t="s">
        <v>460</v>
      </c>
      <c r="D70" s="475"/>
      <c r="E70" s="405"/>
      <c r="F70" s="405"/>
      <c r="G70" s="475"/>
      <c r="H70" s="475"/>
      <c r="I70" s="475"/>
      <c r="J70" s="475"/>
      <c r="K70" s="475"/>
      <c r="L70" s="475"/>
      <c r="M70" s="475"/>
      <c r="N70" s="475"/>
      <c r="O70" s="651"/>
      <c r="P70" s="651"/>
    </row>
    <row r="71" spans="1:16" ht="6" customHeight="1">
      <c r="A71" s="664"/>
      <c r="B71" s="475"/>
      <c r="C71" s="475"/>
      <c r="D71" s="475"/>
      <c r="E71" s="405"/>
      <c r="F71" s="405"/>
      <c r="G71" s="475"/>
      <c r="H71" s="475"/>
      <c r="I71" s="475"/>
      <c r="J71" s="475"/>
      <c r="K71" s="475"/>
      <c r="L71" s="475"/>
      <c r="M71" s="475"/>
      <c r="N71" s="475"/>
      <c r="O71" s="651"/>
      <c r="P71" s="651"/>
    </row>
    <row r="72" spans="1:16">
      <c r="A72" s="664">
        <f>A70+1</f>
        <v>22</v>
      </c>
      <c r="B72" s="475"/>
      <c r="C72" s="475" t="s">
        <v>710</v>
      </c>
      <c r="D72" s="475"/>
      <c r="E72" s="405" t="s">
        <v>716</v>
      </c>
      <c r="F72" s="405"/>
      <c r="G72" s="651">
        <f>+'S8.2 &amp; 8.3'!L166</f>
        <v>36950</v>
      </c>
      <c r="H72" s="475"/>
      <c r="I72" s="652">
        <f>G72/G78</f>
        <v>0.58353468833404398</v>
      </c>
      <c r="J72" s="475"/>
      <c r="K72" s="651">
        <f>K78*I72</f>
        <v>35031.337944757659</v>
      </c>
      <c r="L72" s="475"/>
      <c r="M72" s="652">
        <f>+'S8.2 &amp; 8.3'!N166</f>
        <v>6.1606062246278757E-2</v>
      </c>
      <c r="N72" s="475"/>
      <c r="O72" s="651">
        <f>+M72*K72</f>
        <v>2158.1427859951673</v>
      </c>
      <c r="P72" s="651"/>
    </row>
    <row r="73" spans="1:16" ht="6" customHeight="1">
      <c r="A73" s="664"/>
      <c r="B73" s="475"/>
      <c r="C73" s="475"/>
      <c r="D73" s="475"/>
      <c r="E73" s="405"/>
      <c r="F73" s="405"/>
      <c r="G73" s="651"/>
      <c r="H73" s="475"/>
      <c r="I73" s="652"/>
      <c r="J73" s="475"/>
      <c r="K73" s="651"/>
      <c r="L73" s="475"/>
      <c r="M73" s="652"/>
      <c r="N73" s="475"/>
      <c r="O73" s="651"/>
      <c r="P73" s="651"/>
    </row>
    <row r="74" spans="1:16">
      <c r="A74" s="664">
        <f>A72+1</f>
        <v>23</v>
      </c>
      <c r="B74" s="475"/>
      <c r="C74" s="475" t="s">
        <v>711</v>
      </c>
      <c r="D74" s="475"/>
      <c r="E74" s="405"/>
      <c r="F74" s="405"/>
      <c r="G74" s="651">
        <v>25740</v>
      </c>
      <c r="H74" s="475"/>
      <c r="I74" s="652">
        <f>G74/G78</f>
        <v>0.40650021319941254</v>
      </c>
      <c r="J74" s="475"/>
      <c r="K74" s="651">
        <f>K78*I74</f>
        <v>24403.427299000334</v>
      </c>
      <c r="L74" s="475"/>
      <c r="M74" s="652">
        <f>O74/K74</f>
        <v>0.10178313003217306</v>
      </c>
      <c r="N74" s="475"/>
      <c r="O74" s="651">
        <f>O78-O72-O76</f>
        <v>2483.8572140048327</v>
      </c>
      <c r="P74" s="651"/>
    </row>
    <row r="75" spans="1:16" ht="6" customHeight="1">
      <c r="A75" s="664"/>
      <c r="B75" s="475"/>
      <c r="C75" s="475"/>
      <c r="D75" s="475"/>
      <c r="E75" s="405"/>
      <c r="F75" s="405"/>
      <c r="G75" s="651"/>
      <c r="H75" s="475"/>
      <c r="I75" s="652"/>
      <c r="J75" s="475"/>
      <c r="K75" s="651"/>
      <c r="L75" s="475"/>
      <c r="M75" s="652"/>
      <c r="N75" s="475"/>
      <c r="O75" s="651"/>
      <c r="P75" s="651"/>
    </row>
    <row r="76" spans="1:16">
      <c r="A76" s="664">
        <f>A74+1</f>
        <v>24</v>
      </c>
      <c r="B76" s="475"/>
      <c r="C76" s="475" t="s">
        <v>83</v>
      </c>
      <c r="D76" s="475"/>
      <c r="E76" s="405" t="s">
        <v>455</v>
      </c>
      <c r="F76" s="405"/>
      <c r="G76" s="653">
        <f>+'S8.4 '!O17</f>
        <v>631</v>
      </c>
      <c r="H76" s="475"/>
      <c r="I76" s="654">
        <f>G76/G78</f>
        <v>9.9650984665434848E-3</v>
      </c>
      <c r="J76" s="475"/>
      <c r="K76" s="653">
        <f>K78*I76</f>
        <v>598.23475624200501</v>
      </c>
      <c r="L76" s="475"/>
      <c r="M76" s="654">
        <v>0</v>
      </c>
      <c r="N76" s="475"/>
      <c r="O76" s="655">
        <f>ROUND(K76*M76,0)</f>
        <v>0</v>
      </c>
      <c r="P76" s="656"/>
    </row>
    <row r="77" spans="1:16" ht="6" customHeight="1">
      <c r="A77" s="664"/>
      <c r="B77" s="475"/>
      <c r="C77" s="475"/>
      <c r="D77" s="475"/>
      <c r="E77" s="405"/>
      <c r="F77" s="405"/>
      <c r="G77" s="651"/>
      <c r="H77" s="475"/>
      <c r="I77" s="475"/>
      <c r="J77" s="475"/>
      <c r="K77" s="651"/>
      <c r="L77" s="475"/>
      <c r="M77" s="652"/>
      <c r="N77" s="475"/>
      <c r="O77" s="651"/>
      <c r="P77" s="651"/>
    </row>
    <row r="78" spans="1:16" ht="13.5" thickBot="1">
      <c r="A78" s="664">
        <f>A76+1</f>
        <v>25</v>
      </c>
      <c r="B78" s="475"/>
      <c r="C78" s="475" t="s">
        <v>26</v>
      </c>
      <c r="D78" s="475"/>
      <c r="E78" s="405" t="s">
        <v>273</v>
      </c>
      <c r="F78" s="405"/>
      <c r="G78" s="657">
        <f>SUM(G72:G76)</f>
        <v>63321</v>
      </c>
      <c r="H78" s="475"/>
      <c r="I78" s="661">
        <f>SUM(I72:I76)</f>
        <v>1</v>
      </c>
      <c r="J78" s="475"/>
      <c r="K78" s="657">
        <f>+S8.5!O37</f>
        <v>60033</v>
      </c>
      <c r="L78" s="475"/>
      <c r="M78" s="659">
        <f>O78/K78</f>
        <v>7.7324138390551869E-2</v>
      </c>
      <c r="N78" s="475"/>
      <c r="O78" s="657">
        <v>4642</v>
      </c>
      <c r="P78" s="660"/>
    </row>
    <row r="79" spans="1:16">
      <c r="A79" s="665"/>
      <c r="E79" s="405" t="s">
        <v>283</v>
      </c>
      <c r="F79" s="405"/>
    </row>
    <row r="80" spans="1:16">
      <c r="A80" s="664">
        <f>A78+1</f>
        <v>26</v>
      </c>
      <c r="B80" s="475"/>
      <c r="C80" s="650" t="s">
        <v>545</v>
      </c>
      <c r="D80" s="475"/>
      <c r="E80" s="405"/>
      <c r="F80" s="405"/>
      <c r="G80" s="475"/>
      <c r="H80" s="475"/>
      <c r="I80" s="475"/>
      <c r="J80" s="475"/>
      <c r="K80" s="475"/>
      <c r="L80" s="475"/>
      <c r="M80" s="475"/>
      <c r="N80" s="475"/>
      <c r="O80" s="651"/>
      <c r="P80" s="651"/>
    </row>
    <row r="81" spans="1:18" ht="6" customHeight="1">
      <c r="A81" s="664"/>
      <c r="B81" s="475"/>
      <c r="C81" s="475"/>
      <c r="D81" s="475"/>
      <c r="E81" s="405"/>
      <c r="F81" s="405"/>
      <c r="G81" s="475"/>
      <c r="H81" s="475"/>
      <c r="I81" s="475"/>
      <c r="J81" s="475"/>
      <c r="K81" s="475"/>
      <c r="L81" s="475"/>
      <c r="M81" s="475"/>
      <c r="N81" s="475"/>
      <c r="O81" s="651"/>
      <c r="P81" s="651"/>
    </row>
    <row r="82" spans="1:18">
      <c r="A82" s="664">
        <f>A80+1</f>
        <v>27</v>
      </c>
      <c r="B82" s="475"/>
      <c r="C82" s="475" t="s">
        <v>710</v>
      </c>
      <c r="D82" s="475"/>
      <c r="E82" s="405" t="s">
        <v>717</v>
      </c>
      <c r="F82" s="405"/>
      <c r="G82" s="651">
        <f>+'S8.2 &amp; 8.3'!L244</f>
        <v>40150</v>
      </c>
      <c r="H82" s="475"/>
      <c r="I82" s="652">
        <f>G82/G88</f>
        <v>0.55515637855702882</v>
      </c>
      <c r="J82" s="475"/>
      <c r="K82" s="651">
        <f>K88*I82</f>
        <v>40153.919583560797</v>
      </c>
      <c r="L82" s="475"/>
      <c r="M82" s="652">
        <f>+'S8.2 &amp; 8.3'!N244</f>
        <v>5.9876562889165624E-2</v>
      </c>
      <c r="N82" s="475"/>
      <c r="O82" s="651">
        <f>+M82*K82</f>
        <v>2404.2786911915773</v>
      </c>
      <c r="P82" s="651"/>
    </row>
    <row r="83" spans="1:18" ht="6" customHeight="1">
      <c r="A83" s="664"/>
      <c r="B83" s="475"/>
      <c r="C83" s="475"/>
      <c r="D83" s="475"/>
      <c r="E83" s="405"/>
      <c r="F83" s="405"/>
      <c r="G83" s="651"/>
      <c r="H83" s="475"/>
      <c r="I83" s="652"/>
      <c r="J83" s="475"/>
      <c r="K83" s="651"/>
      <c r="L83" s="475"/>
      <c r="M83" s="652"/>
      <c r="N83" s="475"/>
      <c r="O83" s="651"/>
      <c r="P83" s="651"/>
    </row>
    <row r="84" spans="1:18">
      <c r="A84" s="664">
        <f>A82+1</f>
        <v>28</v>
      </c>
      <c r="B84" s="475"/>
      <c r="C84" s="475" t="s">
        <v>711</v>
      </c>
      <c r="D84" s="475"/>
      <c r="E84" s="662"/>
      <c r="F84" s="662"/>
      <c r="G84" s="651">
        <f>31583.4646766169-263-50+50+25+5+5-50-40+275</f>
        <v>31540.464676616899</v>
      </c>
      <c r="H84" s="475"/>
      <c r="I84" s="652">
        <f>G84/G88</f>
        <v>0.43611183431821987</v>
      </c>
      <c r="J84" s="475"/>
      <c r="K84" s="651">
        <f>K88*I84</f>
        <v>31543.543767198382</v>
      </c>
      <c r="L84" s="475"/>
      <c r="M84" s="652">
        <f>O84/K84</f>
        <v>9.2054378234697753E-2</v>
      </c>
      <c r="N84" s="475"/>
      <c r="O84" s="651">
        <f>O88-O82-O86</f>
        <v>2903.7213088084227</v>
      </c>
      <c r="P84" s="651"/>
      <c r="R84" s="818"/>
    </row>
    <row r="85" spans="1:18" ht="6" customHeight="1">
      <c r="A85" s="664"/>
      <c r="B85" s="475"/>
      <c r="C85" s="475"/>
      <c r="D85" s="475"/>
      <c r="E85" s="405"/>
      <c r="F85" s="405"/>
      <c r="G85" s="651"/>
      <c r="H85" s="475"/>
      <c r="I85" s="652"/>
      <c r="J85" s="475"/>
      <c r="K85" s="651"/>
      <c r="L85" s="475"/>
      <c r="M85" s="652"/>
      <c r="N85" s="475"/>
      <c r="O85" s="651"/>
      <c r="P85" s="651"/>
    </row>
    <row r="86" spans="1:18">
      <c r="A86" s="664">
        <f>A84+1</f>
        <v>29</v>
      </c>
      <c r="B86" s="475"/>
      <c r="C86" s="475" t="s">
        <v>83</v>
      </c>
      <c r="D86" s="475"/>
      <c r="E86" s="405" t="s">
        <v>455</v>
      </c>
      <c r="F86" s="405"/>
      <c r="G86" s="653">
        <f>+'S8.4 '!Q17</f>
        <v>631.5</v>
      </c>
      <c r="H86" s="475"/>
      <c r="I86" s="654">
        <f>G86/G88</f>
        <v>8.7317871247512748E-3</v>
      </c>
      <c r="J86" s="475"/>
      <c r="K86" s="653">
        <f>K88*I86</f>
        <v>631.56164924081304</v>
      </c>
      <c r="L86" s="475"/>
      <c r="M86" s="654">
        <v>0</v>
      </c>
      <c r="N86" s="475"/>
      <c r="O86" s="655">
        <f>ROUND(K86*M86,0)</f>
        <v>0</v>
      </c>
      <c r="P86" s="656"/>
    </row>
    <row r="87" spans="1:18" ht="6" customHeight="1">
      <c r="A87" s="664"/>
      <c r="B87" s="475"/>
      <c r="C87" s="475"/>
      <c r="D87" s="475"/>
      <c r="E87" s="405"/>
      <c r="F87" s="405"/>
      <c r="G87" s="651"/>
      <c r="H87" s="475"/>
      <c r="I87" s="475"/>
      <c r="J87" s="475"/>
      <c r="K87" s="651"/>
      <c r="L87" s="475"/>
      <c r="M87" s="652"/>
      <c r="N87" s="475"/>
      <c r="O87" s="651"/>
      <c r="P87" s="651"/>
    </row>
    <row r="88" spans="1:18" ht="13.5" thickBot="1">
      <c r="A88" s="664">
        <f>A86+1</f>
        <v>30</v>
      </c>
      <c r="B88" s="475"/>
      <c r="C88" s="475" t="s">
        <v>26</v>
      </c>
      <c r="D88" s="475"/>
      <c r="E88" s="405" t="s">
        <v>273</v>
      </c>
      <c r="F88" s="405"/>
      <c r="G88" s="657">
        <f>SUM(G82:G86)</f>
        <v>72321.964676616903</v>
      </c>
      <c r="H88" s="475"/>
      <c r="I88" s="661">
        <f>SUM(I82:I86)</f>
        <v>1</v>
      </c>
      <c r="J88" s="475"/>
      <c r="K88" s="657">
        <f>+S8.5!Q37</f>
        <v>72329.024999999994</v>
      </c>
      <c r="L88" s="475"/>
      <c r="M88" s="659">
        <f>O88/K88</f>
        <v>7.3386859562948631E-2</v>
      </c>
      <c r="N88" s="475"/>
      <c r="O88" s="657">
        <v>5308</v>
      </c>
      <c r="P88" s="660"/>
    </row>
    <row r="89" spans="1:18">
      <c r="A89" s="665"/>
      <c r="E89" s="405" t="s">
        <v>283</v>
      </c>
      <c r="F89" s="405"/>
    </row>
    <row r="90" spans="1:18">
      <c r="A90" s="664">
        <f>A88+1</f>
        <v>31</v>
      </c>
      <c r="B90" s="475"/>
      <c r="C90" s="650" t="s">
        <v>546</v>
      </c>
      <c r="D90" s="475"/>
      <c r="E90" s="405"/>
      <c r="F90" s="405"/>
      <c r="G90" s="475"/>
      <c r="H90" s="475"/>
      <c r="I90" s="475"/>
      <c r="J90" s="475"/>
      <c r="K90" s="765"/>
      <c r="L90" s="475"/>
      <c r="M90" s="475"/>
      <c r="N90" s="475"/>
      <c r="O90" s="651"/>
      <c r="P90" s="651"/>
    </row>
    <row r="91" spans="1:18" ht="6" customHeight="1">
      <c r="A91" s="664"/>
      <c r="B91" s="475"/>
      <c r="C91" s="475"/>
      <c r="D91" s="475"/>
      <c r="E91" s="405"/>
      <c r="F91" s="405"/>
      <c r="G91" s="475"/>
      <c r="H91" s="475"/>
      <c r="I91" s="475"/>
      <c r="J91" s="475"/>
      <c r="K91" s="475"/>
      <c r="L91" s="475"/>
      <c r="M91" s="475"/>
      <c r="N91" s="475"/>
      <c r="O91" s="651"/>
      <c r="P91" s="651"/>
    </row>
    <row r="92" spans="1:18">
      <c r="A92" s="664">
        <f>A90+1</f>
        <v>32</v>
      </c>
      <c r="B92" s="475"/>
      <c r="C92" s="475" t="s">
        <v>710</v>
      </c>
      <c r="D92" s="475"/>
      <c r="E92" s="405" t="s">
        <v>718</v>
      </c>
      <c r="F92" s="405"/>
      <c r="G92" s="651">
        <f>+'S8.2 &amp; 8.3'!L269</f>
        <v>47950</v>
      </c>
      <c r="H92" s="475"/>
      <c r="I92" s="652">
        <f>G92/G98</f>
        <v>0.55580992343848712</v>
      </c>
      <c r="J92" s="475"/>
      <c r="K92" s="651">
        <f>K98*I92</f>
        <v>47834.711126630777</v>
      </c>
      <c r="L92" s="475"/>
      <c r="M92" s="652">
        <f>+'S8.2 &amp; 8.3'!N269</f>
        <v>5.8391428571428566E-2</v>
      </c>
      <c r="N92" s="475"/>
      <c r="O92" s="651">
        <f>+M92*K92</f>
        <v>2793.1371179855801</v>
      </c>
      <c r="P92" s="651"/>
    </row>
    <row r="93" spans="1:18" ht="6" customHeight="1">
      <c r="A93" s="664"/>
      <c r="B93" s="475"/>
      <c r="C93" s="475"/>
      <c r="D93" s="475"/>
      <c r="E93" s="405"/>
      <c r="F93" s="405"/>
      <c r="G93" s="651"/>
      <c r="H93" s="475"/>
      <c r="I93" s="652"/>
      <c r="J93" s="475"/>
      <c r="K93" s="651"/>
      <c r="L93" s="475"/>
      <c r="M93" s="652"/>
      <c r="N93" s="475"/>
      <c r="O93" s="651"/>
      <c r="P93" s="651"/>
    </row>
    <row r="94" spans="1:18">
      <c r="A94" s="664">
        <f>A92+1</f>
        <v>33</v>
      </c>
      <c r="B94" s="475"/>
      <c r="C94" s="475" t="s">
        <v>711</v>
      </c>
      <c r="D94" s="475"/>
      <c r="E94" s="405"/>
      <c r="F94" s="405"/>
      <c r="G94" s="651">
        <f>37000+429+40+50+60-20-20-5-100-50-20+250+56</f>
        <v>37670</v>
      </c>
      <c r="H94" s="475"/>
      <c r="I94" s="652">
        <f>G94/G98</f>
        <v>0.43664983974823374</v>
      </c>
      <c r="J94" s="475"/>
      <c r="K94" s="651">
        <f>K98*I94</f>
        <v>37579.427906990219</v>
      </c>
      <c r="L94" s="475"/>
      <c r="M94" s="652">
        <f>O94/K94</f>
        <v>9.2121223627528198E-2</v>
      </c>
      <c r="N94" s="475"/>
      <c r="O94" s="651">
        <f>O98-O92-O96</f>
        <v>3461.8628820144199</v>
      </c>
      <c r="P94" s="651"/>
      <c r="R94" s="818"/>
    </row>
    <row r="95" spans="1:18" ht="6" customHeight="1">
      <c r="A95" s="664"/>
      <c r="B95" s="475"/>
      <c r="C95" s="475"/>
      <c r="D95" s="475"/>
      <c r="E95" s="405"/>
      <c r="F95" s="405"/>
      <c r="G95" s="651"/>
      <c r="H95" s="475"/>
      <c r="I95" s="652"/>
      <c r="J95" s="475"/>
      <c r="K95" s="651"/>
      <c r="L95" s="475"/>
      <c r="M95" s="652"/>
      <c r="N95" s="475"/>
      <c r="O95" s="651"/>
      <c r="P95" s="651"/>
    </row>
    <row r="96" spans="1:18">
      <c r="A96" s="664">
        <f>A94+1</f>
        <v>34</v>
      </c>
      <c r="B96" s="475"/>
      <c r="C96" s="475" t="s">
        <v>83</v>
      </c>
      <c r="D96" s="475"/>
      <c r="E96" s="405" t="s">
        <v>455</v>
      </c>
      <c r="F96" s="405"/>
      <c r="G96" s="653">
        <f>+'S8.4 '!S17</f>
        <v>650.5</v>
      </c>
      <c r="H96" s="475"/>
      <c r="I96" s="654">
        <f>G96/G98</f>
        <v>7.5402368132791624E-3</v>
      </c>
      <c r="J96" s="475"/>
      <c r="K96" s="653">
        <f>K98*I96</f>
        <v>648.93596637900555</v>
      </c>
      <c r="L96" s="475"/>
      <c r="M96" s="654">
        <v>0</v>
      </c>
      <c r="N96" s="475"/>
      <c r="O96" s="655">
        <f>ROUND(K96*M96,0)</f>
        <v>0</v>
      </c>
      <c r="P96" s="656"/>
    </row>
    <row r="97" spans="1:18" ht="6" customHeight="1">
      <c r="A97" s="664"/>
      <c r="B97" s="475"/>
      <c r="C97" s="475"/>
      <c r="D97" s="475"/>
      <c r="E97" s="405"/>
      <c r="F97" s="405"/>
      <c r="G97" s="651"/>
      <c r="H97" s="475"/>
      <c r="I97" s="475"/>
      <c r="J97" s="475"/>
      <c r="K97" s="651"/>
      <c r="L97" s="475"/>
      <c r="M97" s="652"/>
      <c r="N97" s="475"/>
      <c r="O97" s="651"/>
      <c r="P97" s="651"/>
    </row>
    <row r="98" spans="1:18" ht="13.5" thickBot="1">
      <c r="A98" s="664">
        <f>A96+1</f>
        <v>35</v>
      </c>
      <c r="B98" s="475"/>
      <c r="C98" s="475" t="s">
        <v>26</v>
      </c>
      <c r="D98" s="475"/>
      <c r="E98" s="405" t="s">
        <v>273</v>
      </c>
      <c r="F98" s="405"/>
      <c r="G98" s="657">
        <f>SUM(G92:G96)</f>
        <v>86270.5</v>
      </c>
      <c r="H98" s="475"/>
      <c r="I98" s="661">
        <f>SUM(I92:I96)</f>
        <v>1</v>
      </c>
      <c r="J98" s="475"/>
      <c r="K98" s="657">
        <f>+S8.5!S37</f>
        <v>86063.074999999997</v>
      </c>
      <c r="L98" s="475"/>
      <c r="M98" s="659">
        <f>O98/K98</f>
        <v>7.2679252978120987E-2</v>
      </c>
      <c r="N98" s="475"/>
      <c r="O98" s="657">
        <v>6255</v>
      </c>
      <c r="P98" s="660"/>
    </row>
    <row r="99" spans="1:18">
      <c r="A99" s="665"/>
      <c r="E99" s="405" t="s">
        <v>283</v>
      </c>
      <c r="F99" s="405"/>
    </row>
    <row r="100" spans="1:18">
      <c r="A100" s="664">
        <f>A98+1</f>
        <v>36</v>
      </c>
      <c r="B100" s="475"/>
      <c r="C100" s="650" t="s">
        <v>547</v>
      </c>
      <c r="D100" s="475"/>
      <c r="E100" s="405"/>
      <c r="F100" s="405"/>
      <c r="G100" s="475"/>
      <c r="H100" s="475"/>
      <c r="I100" s="475"/>
      <c r="J100" s="475"/>
      <c r="K100" s="765"/>
      <c r="L100" s="475"/>
      <c r="M100" s="475"/>
      <c r="N100" s="475"/>
      <c r="O100" s="651"/>
      <c r="P100" s="651"/>
    </row>
    <row r="101" spans="1:18" ht="6" customHeight="1">
      <c r="A101" s="664"/>
      <c r="B101" s="475"/>
      <c r="C101" s="475"/>
      <c r="D101" s="475"/>
      <c r="E101" s="405"/>
      <c r="F101" s="405"/>
      <c r="G101" s="475"/>
      <c r="H101" s="475"/>
      <c r="I101" s="475"/>
      <c r="J101" s="475"/>
      <c r="K101" s="475"/>
      <c r="L101" s="475"/>
      <c r="M101" s="475"/>
      <c r="N101" s="475"/>
      <c r="O101" s="651"/>
      <c r="P101" s="651"/>
    </row>
    <row r="102" spans="1:18">
      <c r="A102" s="664">
        <f>A100+1</f>
        <v>37</v>
      </c>
      <c r="B102" s="475"/>
      <c r="C102" s="475" t="s">
        <v>710</v>
      </c>
      <c r="D102" s="475"/>
      <c r="E102" s="405" t="s">
        <v>719</v>
      </c>
      <c r="F102" s="405"/>
      <c r="G102" s="651">
        <f>+'S8.2 &amp; 8.3'!L301</f>
        <v>54550</v>
      </c>
      <c r="H102" s="475"/>
      <c r="I102" s="652">
        <f>G102/G108</f>
        <v>0.55618022823064828</v>
      </c>
      <c r="J102" s="475"/>
      <c r="K102" s="651">
        <f>K108*I102</f>
        <v>53844.92025546552</v>
      </c>
      <c r="L102" s="475"/>
      <c r="M102" s="652">
        <f>+'S8.2 &amp; 8.3'!N301</f>
        <v>5.7668084326306136E-2</v>
      </c>
      <c r="N102" s="475"/>
      <c r="O102" s="651">
        <f>+M102*K102</f>
        <v>3105.133401835415</v>
      </c>
      <c r="P102" s="651"/>
    </row>
    <row r="103" spans="1:18" ht="6" customHeight="1">
      <c r="A103" s="664"/>
      <c r="B103" s="475"/>
      <c r="C103" s="475"/>
      <c r="D103" s="475"/>
      <c r="E103" s="405"/>
      <c r="F103" s="405"/>
      <c r="G103" s="651"/>
      <c r="H103" s="475"/>
      <c r="I103" s="652"/>
      <c r="J103" s="475"/>
      <c r="K103" s="651"/>
      <c r="L103" s="475"/>
      <c r="M103" s="652"/>
      <c r="N103" s="475"/>
      <c r="O103" s="651"/>
      <c r="P103" s="651"/>
    </row>
    <row r="104" spans="1:18">
      <c r="A104" s="664">
        <f>A102+1</f>
        <v>38</v>
      </c>
      <c r="B104" s="475"/>
      <c r="C104" s="475" t="s">
        <v>711</v>
      </c>
      <c r="D104" s="475"/>
      <c r="E104" s="405"/>
      <c r="F104" s="405"/>
      <c r="G104" s="651">
        <f>42914.2181042151-1962+2000-20-10-10+20+20+10-50-120+68</f>
        <v>42860.218104215099</v>
      </c>
      <c r="H104" s="475"/>
      <c r="I104" s="652">
        <f>G104/G108</f>
        <v>0.43699369179134218</v>
      </c>
      <c r="J104" s="475"/>
      <c r="K104" s="651">
        <f>K108*I104</f>
        <v>42306.233289703421</v>
      </c>
      <c r="L104" s="475"/>
      <c r="M104" s="652">
        <f>O104/K104</f>
        <v>9.2134569661942833E-2</v>
      </c>
      <c r="N104" s="475"/>
      <c r="O104" s="651">
        <f>O108-O102-O106</f>
        <v>3897.866598164585</v>
      </c>
      <c r="P104" s="651"/>
      <c r="R104" s="818"/>
    </row>
    <row r="105" spans="1:18" ht="6" customHeight="1">
      <c r="A105" s="664"/>
      <c r="B105" s="475"/>
      <c r="C105" s="475"/>
      <c r="D105" s="475"/>
      <c r="E105" s="405"/>
      <c r="F105" s="405"/>
      <c r="G105" s="651"/>
      <c r="H105" s="475"/>
      <c r="I105" s="652"/>
      <c r="J105" s="475"/>
      <c r="K105" s="651"/>
      <c r="L105" s="475"/>
      <c r="M105" s="652"/>
      <c r="N105" s="475"/>
      <c r="O105" s="651"/>
      <c r="P105" s="651"/>
    </row>
    <row r="106" spans="1:18">
      <c r="A106" s="664">
        <f>A104+1</f>
        <v>39</v>
      </c>
      <c r="B106" s="475"/>
      <c r="C106" s="475" t="s">
        <v>83</v>
      </c>
      <c r="D106" s="475"/>
      <c r="E106" s="405" t="s">
        <v>455</v>
      </c>
      <c r="F106" s="405"/>
      <c r="G106" s="653">
        <f>+'S8.4 '!U17</f>
        <v>669.5</v>
      </c>
      <c r="H106" s="475"/>
      <c r="I106" s="654">
        <f>G106/G108</f>
        <v>6.8260799780095142E-3</v>
      </c>
      <c r="J106" s="475"/>
      <c r="K106" s="653">
        <f>K108*I106</f>
        <v>660.84645483105703</v>
      </c>
      <c r="L106" s="475"/>
      <c r="M106" s="654">
        <v>0</v>
      </c>
      <c r="N106" s="475"/>
      <c r="O106" s="655">
        <f>ROUND(K106*M106,0)</f>
        <v>0</v>
      </c>
      <c r="P106" s="656"/>
    </row>
    <row r="107" spans="1:18" ht="6" customHeight="1">
      <c r="A107" s="664"/>
      <c r="B107" s="475"/>
      <c r="C107" s="475"/>
      <c r="D107" s="475"/>
      <c r="E107" s="405"/>
      <c r="F107" s="405"/>
      <c r="G107" s="651"/>
      <c r="H107" s="475"/>
      <c r="I107" s="475"/>
      <c r="J107" s="475"/>
      <c r="K107" s="651"/>
      <c r="L107" s="475"/>
      <c r="M107" s="652"/>
      <c r="N107" s="475"/>
      <c r="O107" s="651"/>
      <c r="P107" s="651"/>
    </row>
    <row r="108" spans="1:18" ht="13.5" thickBot="1">
      <c r="A108" s="664">
        <f>A106+1</f>
        <v>40</v>
      </c>
      <c r="B108" s="475"/>
      <c r="C108" s="475" t="s">
        <v>26</v>
      </c>
      <c r="D108" s="475"/>
      <c r="E108" s="405" t="s">
        <v>273</v>
      </c>
      <c r="F108" s="405"/>
      <c r="G108" s="657">
        <f>SUM(G102:G106)</f>
        <v>98079.718104215106</v>
      </c>
      <c r="H108" s="475"/>
      <c r="I108" s="661">
        <f>SUM(I102:I106)</f>
        <v>1</v>
      </c>
      <c r="J108" s="475"/>
      <c r="K108" s="657">
        <f>+S8.5!U37</f>
        <v>96812</v>
      </c>
      <c r="L108" s="475"/>
      <c r="M108" s="659">
        <f>O108/K108</f>
        <v>7.2336074040408219E-2</v>
      </c>
      <c r="N108" s="475"/>
      <c r="O108" s="657">
        <v>7003</v>
      </c>
      <c r="P108" s="660"/>
    </row>
    <row r="109" spans="1:18">
      <c r="A109" s="665"/>
      <c r="E109" s="405" t="s">
        <v>283</v>
      </c>
      <c r="F109" s="405"/>
    </row>
    <row r="110" spans="1:18">
      <c r="A110" s="665"/>
      <c r="E110" s="405"/>
      <c r="F110" s="405"/>
      <c r="K110" s="765"/>
    </row>
    <row r="111" spans="1:18">
      <c r="A111" s="665"/>
      <c r="E111" s="405"/>
      <c r="F111" s="405"/>
    </row>
    <row r="112" spans="1:18">
      <c r="A112" s="664">
        <f>A108+1</f>
        <v>41</v>
      </c>
      <c r="B112" s="475"/>
      <c r="C112" s="650" t="s">
        <v>548</v>
      </c>
      <c r="D112" s="475"/>
      <c r="E112" s="405"/>
      <c r="F112" s="405"/>
      <c r="G112" s="475"/>
      <c r="H112" s="475"/>
      <c r="I112" s="475"/>
      <c r="J112" s="475"/>
      <c r="K112" s="475"/>
      <c r="L112" s="475"/>
      <c r="M112" s="475"/>
      <c r="N112" s="475"/>
      <c r="O112" s="651"/>
      <c r="P112" s="651"/>
    </row>
    <row r="113" spans="1:16" ht="6" customHeight="1">
      <c r="A113" s="664"/>
      <c r="B113" s="475"/>
      <c r="C113" s="475"/>
      <c r="D113" s="475"/>
      <c r="E113" s="405"/>
      <c r="F113" s="405"/>
      <c r="G113" s="475"/>
      <c r="H113" s="475"/>
      <c r="I113" s="475"/>
      <c r="J113" s="475"/>
      <c r="K113" s="475"/>
      <c r="L113" s="475"/>
      <c r="M113" s="475"/>
      <c r="N113" s="475"/>
      <c r="O113" s="651"/>
      <c r="P113" s="651"/>
    </row>
    <row r="114" spans="1:16">
      <c r="A114" s="664">
        <f>A112+1</f>
        <v>42</v>
      </c>
      <c r="B114" s="475"/>
      <c r="C114" s="475" t="s">
        <v>710</v>
      </c>
      <c r="D114" s="475"/>
      <c r="E114" s="405" t="s">
        <v>720</v>
      </c>
      <c r="F114" s="405"/>
      <c r="G114" s="651">
        <f>'S8.2 &amp; 8.3'!L192</f>
        <v>26621</v>
      </c>
      <c r="H114" s="475"/>
      <c r="I114" s="652">
        <f>G114/G120</f>
        <v>0.59109176898994165</v>
      </c>
      <c r="J114" s="475"/>
      <c r="K114" s="651">
        <f>K120*I114</f>
        <v>27243.124086861917</v>
      </c>
      <c r="L114" s="475"/>
      <c r="M114" s="652">
        <f>'S8.2 &amp; 8.3'!N192</f>
        <v>6.8651584463393561E-2</v>
      </c>
      <c r="N114" s="475"/>
      <c r="O114" s="651">
        <f>ROUND(K114*M114,0)</f>
        <v>1870</v>
      </c>
      <c r="P114" s="651"/>
    </row>
    <row r="115" spans="1:16" ht="6" customHeight="1">
      <c r="A115" s="664"/>
      <c r="B115" s="475"/>
      <c r="C115" s="475"/>
      <c r="D115" s="475"/>
      <c r="E115" s="405"/>
      <c r="F115" s="405"/>
      <c r="G115" s="651"/>
      <c r="H115" s="475"/>
      <c r="I115" s="652"/>
      <c r="J115" s="475"/>
      <c r="K115" s="651"/>
      <c r="L115" s="475"/>
      <c r="M115" s="652"/>
      <c r="N115" s="475"/>
      <c r="O115" s="651"/>
      <c r="P115" s="651"/>
    </row>
    <row r="116" spans="1:16">
      <c r="A116" s="664">
        <f>A114+1</f>
        <v>43</v>
      </c>
      <c r="B116" s="475"/>
      <c r="C116" s="475" t="s">
        <v>711</v>
      </c>
      <c r="D116" s="475"/>
      <c r="E116" s="405"/>
      <c r="F116" s="405"/>
      <c r="G116" s="651">
        <v>17747</v>
      </c>
      <c r="H116" s="475"/>
      <c r="I116" s="652">
        <f>G116/G$120</f>
        <v>0.39405377800475166</v>
      </c>
      <c r="J116" s="475"/>
      <c r="K116" s="651">
        <f>K120*I116</f>
        <v>18161.741601350001</v>
      </c>
      <c r="L116" s="475"/>
      <c r="M116" s="652">
        <f>O116/K116</f>
        <v>9.0795257205808194E-2</v>
      </c>
      <c r="N116" s="475"/>
      <c r="O116" s="651">
        <f>O120-O114-O118</f>
        <v>1649</v>
      </c>
      <c r="P116" s="651"/>
    </row>
    <row r="117" spans="1:16" ht="6" customHeight="1">
      <c r="A117" s="664"/>
      <c r="B117" s="475"/>
      <c r="C117" s="475"/>
      <c r="D117" s="475"/>
      <c r="E117" s="405"/>
      <c r="F117" s="405"/>
      <c r="G117" s="651"/>
      <c r="H117" s="475"/>
      <c r="I117" s="652"/>
      <c r="J117" s="475"/>
      <c r="K117" s="651"/>
      <c r="L117" s="475"/>
      <c r="M117" s="652"/>
      <c r="N117" s="475"/>
      <c r="O117" s="651"/>
      <c r="P117" s="651"/>
    </row>
    <row r="118" spans="1:16">
      <c r="A118" s="664">
        <f>A116+1</f>
        <v>44</v>
      </c>
      <c r="B118" s="475"/>
      <c r="C118" s="475" t="s">
        <v>83</v>
      </c>
      <c r="D118" s="475"/>
      <c r="E118" s="405" t="s">
        <v>455</v>
      </c>
      <c r="F118" s="405"/>
      <c r="G118" s="653">
        <f>+'S8.4 '!W17</f>
        <v>669</v>
      </c>
      <c r="H118" s="475"/>
      <c r="I118" s="654">
        <f>G118/G$120</f>
        <v>1.4854453005306748E-2</v>
      </c>
      <c r="J118" s="475"/>
      <c r="K118" s="653">
        <f>K120*I118</f>
        <v>684.63431178808537</v>
      </c>
      <c r="L118" s="475"/>
      <c r="M118" s="654">
        <v>0</v>
      </c>
      <c r="N118" s="475"/>
      <c r="O118" s="655">
        <f>ROUND(K118*M118,0)</f>
        <v>0</v>
      </c>
      <c r="P118" s="656"/>
    </row>
    <row r="119" spans="1:16" ht="6" customHeight="1">
      <c r="A119" s="664"/>
      <c r="B119" s="475"/>
      <c r="C119" s="475"/>
      <c r="D119" s="475"/>
      <c r="E119" s="405"/>
      <c r="F119" s="405"/>
      <c r="G119" s="651"/>
      <c r="H119" s="475"/>
      <c r="I119" s="475"/>
      <c r="J119" s="475"/>
      <c r="K119" s="651"/>
      <c r="L119" s="475"/>
      <c r="M119" s="652"/>
      <c r="N119" s="475"/>
      <c r="O119" s="651"/>
      <c r="P119" s="651"/>
    </row>
    <row r="120" spans="1:16" ht="13.5" thickBot="1">
      <c r="A120" s="664">
        <f>A118+1</f>
        <v>45</v>
      </c>
      <c r="B120" s="475"/>
      <c r="C120" s="475" t="s">
        <v>26</v>
      </c>
      <c r="D120" s="475"/>
      <c r="E120" s="405" t="s">
        <v>273</v>
      </c>
      <c r="F120" s="405"/>
      <c r="G120" s="657">
        <f>SUM(G114:G118)</f>
        <v>45037</v>
      </c>
      <c r="H120" s="475"/>
      <c r="I120" s="658">
        <f>SUM(I114:I118)</f>
        <v>1</v>
      </c>
      <c r="J120" s="475"/>
      <c r="K120" s="657">
        <f>S8.5!W37</f>
        <v>46089.5</v>
      </c>
      <c r="L120" s="475"/>
      <c r="M120" s="659">
        <f>O120/K120</f>
        <v>7.635144664185986E-2</v>
      </c>
      <c r="N120" s="475"/>
      <c r="O120" s="657">
        <v>3519</v>
      </c>
      <c r="P120" s="660"/>
    </row>
    <row r="121" spans="1:16">
      <c r="A121" s="665"/>
      <c r="E121" s="405" t="s">
        <v>283</v>
      </c>
      <c r="F121" s="405"/>
    </row>
    <row r="122" spans="1:16">
      <c r="A122" s="664">
        <f>A120+1</f>
        <v>46</v>
      </c>
      <c r="B122" s="475"/>
      <c r="C122" s="650" t="s">
        <v>549</v>
      </c>
      <c r="D122" s="475"/>
      <c r="E122" s="405"/>
      <c r="F122" s="405"/>
      <c r="G122" s="475"/>
      <c r="H122" s="475"/>
      <c r="I122" s="475"/>
      <c r="J122" s="475"/>
      <c r="K122" s="475"/>
      <c r="L122" s="475"/>
      <c r="M122" s="475"/>
      <c r="N122" s="475"/>
      <c r="O122" s="651"/>
      <c r="P122" s="651"/>
    </row>
    <row r="123" spans="1:16" ht="6" customHeight="1">
      <c r="A123" s="664"/>
      <c r="B123" s="475"/>
      <c r="C123" s="475"/>
      <c r="D123" s="475"/>
      <c r="E123" s="405"/>
      <c r="F123" s="405"/>
      <c r="G123" s="475"/>
      <c r="H123" s="475"/>
      <c r="I123" s="475"/>
      <c r="J123" s="475"/>
      <c r="K123" s="475"/>
      <c r="L123" s="475"/>
      <c r="M123" s="475"/>
      <c r="N123" s="475"/>
      <c r="O123" s="651"/>
      <c r="P123" s="651"/>
    </row>
    <row r="124" spans="1:16">
      <c r="A124" s="664">
        <f>A122+1</f>
        <v>47</v>
      </c>
      <c r="B124" s="475"/>
      <c r="C124" s="475" t="s">
        <v>710</v>
      </c>
      <c r="D124" s="475"/>
      <c r="E124" s="405" t="s">
        <v>721</v>
      </c>
      <c r="F124" s="405"/>
      <c r="G124" s="651">
        <f>'S8.2 &amp; 8.3'!L214</f>
        <v>29730</v>
      </c>
      <c r="H124" s="475"/>
      <c r="I124" s="652">
        <f>G124/G130</f>
        <v>0.59170066673300825</v>
      </c>
      <c r="J124" s="475"/>
      <c r="K124" s="651">
        <f>K130*I124</f>
        <v>29275.869738282418</v>
      </c>
      <c r="L124" s="475"/>
      <c r="M124" s="652">
        <f>'S8.2 &amp; 8.3'!N214</f>
        <v>6.6048626303397237E-2</v>
      </c>
      <c r="N124" s="475"/>
      <c r="O124" s="651">
        <f>ROUND(K124*M124,0)</f>
        <v>1934</v>
      </c>
      <c r="P124" s="651"/>
    </row>
    <row r="125" spans="1:16" ht="6" customHeight="1">
      <c r="A125" s="664"/>
      <c r="B125" s="475"/>
      <c r="C125" s="475"/>
      <c r="D125" s="475"/>
      <c r="E125" s="405"/>
      <c r="F125" s="405"/>
      <c r="G125" s="651"/>
      <c r="H125" s="475"/>
      <c r="I125" s="652"/>
      <c r="J125" s="475"/>
      <c r="K125" s="651"/>
      <c r="L125" s="475"/>
      <c r="M125" s="652"/>
      <c r="N125" s="475"/>
      <c r="O125" s="651"/>
      <c r="P125" s="651"/>
    </row>
    <row r="126" spans="1:16">
      <c r="A126" s="664">
        <f>A124+1</f>
        <v>48</v>
      </c>
      <c r="B126" s="475"/>
      <c r="C126" s="475" t="s">
        <v>711</v>
      </c>
      <c r="D126" s="475"/>
      <c r="E126" s="405"/>
      <c r="F126" s="405"/>
      <c r="G126" s="651">
        <v>19820</v>
      </c>
      <c r="H126" s="475"/>
      <c r="I126" s="652">
        <f>G126/G$130</f>
        <v>0.39446711115533883</v>
      </c>
      <c r="J126" s="475"/>
      <c r="K126" s="651">
        <f>K130*I126</f>
        <v>19517.246492188278</v>
      </c>
      <c r="L126" s="475"/>
      <c r="M126" s="652">
        <f>O126/K126</f>
        <v>8.9203156843708983E-2</v>
      </c>
      <c r="N126" s="475"/>
      <c r="O126" s="651">
        <f>O130-O124-O128</f>
        <v>1741</v>
      </c>
      <c r="P126" s="651"/>
    </row>
    <row r="127" spans="1:16" ht="6" customHeight="1">
      <c r="A127" s="664"/>
      <c r="B127" s="475"/>
      <c r="C127" s="475"/>
      <c r="D127" s="475"/>
      <c r="E127" s="405"/>
      <c r="F127" s="405"/>
      <c r="G127" s="651"/>
      <c r="H127" s="475"/>
      <c r="I127" s="652"/>
      <c r="J127" s="475"/>
      <c r="K127" s="651"/>
      <c r="L127" s="475"/>
      <c r="M127" s="652"/>
      <c r="N127" s="475"/>
      <c r="O127" s="651"/>
      <c r="P127" s="651"/>
    </row>
    <row r="128" spans="1:16">
      <c r="A128" s="664">
        <f>A126+1</f>
        <v>49</v>
      </c>
      <c r="B128" s="475"/>
      <c r="C128" s="475" t="s">
        <v>83</v>
      </c>
      <c r="D128" s="475"/>
      <c r="E128" s="405" t="s">
        <v>455</v>
      </c>
      <c r="F128" s="405"/>
      <c r="G128" s="653">
        <f>+'S8.4 '!Y17</f>
        <v>695</v>
      </c>
      <c r="H128" s="475"/>
      <c r="I128" s="654">
        <f>G128/G$130</f>
        <v>1.38322221116529E-2</v>
      </c>
      <c r="J128" s="475"/>
      <c r="K128" s="653">
        <f>K130*I128</f>
        <v>684.38376952930639</v>
      </c>
      <c r="L128" s="475"/>
      <c r="M128" s="654">
        <v>0</v>
      </c>
      <c r="N128" s="475"/>
      <c r="O128" s="655">
        <f>ROUND(K128*M128,0)</f>
        <v>0</v>
      </c>
      <c r="P128" s="656"/>
    </row>
    <row r="129" spans="1:16" ht="6" customHeight="1">
      <c r="A129" s="664"/>
      <c r="B129" s="475"/>
      <c r="C129" s="475"/>
      <c r="D129" s="475"/>
      <c r="E129" s="405"/>
      <c r="F129" s="405"/>
      <c r="G129" s="651"/>
      <c r="H129" s="475"/>
      <c r="I129" s="475"/>
      <c r="J129" s="475"/>
      <c r="K129" s="651"/>
      <c r="L129" s="475"/>
      <c r="M129" s="652"/>
      <c r="N129" s="475"/>
      <c r="O129" s="651"/>
      <c r="P129" s="651"/>
    </row>
    <row r="130" spans="1:16" ht="13.5" thickBot="1">
      <c r="A130" s="664">
        <f>A128+1</f>
        <v>50</v>
      </c>
      <c r="B130" s="475"/>
      <c r="C130" s="475" t="s">
        <v>26</v>
      </c>
      <c r="D130" s="475"/>
      <c r="E130" s="405" t="s">
        <v>273</v>
      </c>
      <c r="F130" s="405"/>
      <c r="G130" s="657">
        <f>SUM(G124:G128)</f>
        <v>50245</v>
      </c>
      <c r="H130" s="475"/>
      <c r="I130" s="658">
        <f>SUM(I124:I128)</f>
        <v>1</v>
      </c>
      <c r="J130" s="475"/>
      <c r="K130" s="657">
        <f>S8.5!Y37</f>
        <v>49477.5</v>
      </c>
      <c r="L130" s="475"/>
      <c r="M130" s="659">
        <f>O130/K130</f>
        <v>7.4276186145217526E-2</v>
      </c>
      <c r="N130" s="475"/>
      <c r="O130" s="657">
        <v>3675</v>
      </c>
      <c r="P130" s="660"/>
    </row>
    <row r="131" spans="1:16">
      <c r="A131" s="665"/>
      <c r="E131" s="405" t="s">
        <v>283</v>
      </c>
      <c r="F131" s="405"/>
    </row>
    <row r="132" spans="1:16">
      <c r="A132" s="665"/>
      <c r="E132" s="565"/>
      <c r="F132" s="565"/>
      <c r="I132" s="663"/>
    </row>
    <row r="133" spans="1:16">
      <c r="A133" s="565"/>
      <c r="E133" s="565"/>
      <c r="F133" s="565"/>
    </row>
    <row r="134" spans="1:16">
      <c r="A134" s="565"/>
      <c r="E134" s="565"/>
      <c r="F134" s="565"/>
    </row>
    <row r="135" spans="1:16">
      <c r="A135" s="565"/>
      <c r="E135" s="565"/>
      <c r="F135" s="565"/>
    </row>
    <row r="136" spans="1:16">
      <c r="A136" s="565"/>
      <c r="E136" s="565"/>
      <c r="F136" s="565"/>
    </row>
    <row r="137" spans="1:16">
      <c r="A137" s="565"/>
      <c r="E137" s="565"/>
      <c r="F137" s="565"/>
    </row>
    <row r="138" spans="1:16">
      <c r="A138" s="565"/>
      <c r="E138" s="565"/>
      <c r="F138" s="565"/>
    </row>
    <row r="139" spans="1:16">
      <c r="A139" s="565"/>
      <c r="E139" s="565"/>
      <c r="F139" s="565"/>
    </row>
    <row r="140" spans="1:16">
      <c r="A140" s="565"/>
      <c r="E140" s="565"/>
      <c r="F140" s="565"/>
    </row>
    <row r="141" spans="1:16">
      <c r="A141" s="565"/>
      <c r="E141" s="565"/>
      <c r="F141" s="565"/>
    </row>
    <row r="142" spans="1:16">
      <c r="A142" s="565"/>
      <c r="E142" s="565"/>
      <c r="F142" s="565"/>
    </row>
    <row r="143" spans="1:16">
      <c r="A143" s="565"/>
      <c r="E143" s="565"/>
      <c r="F143" s="565"/>
    </row>
    <row r="144" spans="1:16">
      <c r="A144" s="565"/>
      <c r="E144" s="565"/>
      <c r="F144" s="565"/>
    </row>
    <row r="145" spans="1:6">
      <c r="A145" s="565"/>
      <c r="E145" s="565"/>
      <c r="F145" s="565"/>
    </row>
    <row r="146" spans="1:6">
      <c r="A146" s="565"/>
      <c r="E146" s="565"/>
      <c r="F146" s="565"/>
    </row>
    <row r="147" spans="1:6">
      <c r="A147" s="565"/>
      <c r="E147" s="565"/>
      <c r="F147" s="565"/>
    </row>
    <row r="148" spans="1:6">
      <c r="A148" s="565"/>
      <c r="E148" s="565"/>
      <c r="F148" s="565"/>
    </row>
    <row r="149" spans="1:6">
      <c r="A149" s="565"/>
      <c r="E149" s="565"/>
      <c r="F149" s="565"/>
    </row>
    <row r="150" spans="1:6">
      <c r="A150" s="565"/>
      <c r="E150" s="565"/>
      <c r="F150" s="565"/>
    </row>
    <row r="151" spans="1:6">
      <c r="A151" s="565"/>
      <c r="E151" s="565"/>
      <c r="F151" s="565"/>
    </row>
    <row r="152" spans="1:6">
      <c r="A152" s="565"/>
      <c r="E152" s="565"/>
      <c r="F152" s="565"/>
    </row>
    <row r="153" spans="1:6">
      <c r="A153" s="565"/>
      <c r="E153" s="565"/>
      <c r="F153" s="565"/>
    </row>
    <row r="154" spans="1:6">
      <c r="A154" s="565"/>
      <c r="E154" s="565"/>
      <c r="F154" s="565"/>
    </row>
    <row r="155" spans="1:6">
      <c r="A155" s="565"/>
      <c r="E155" s="565"/>
      <c r="F155" s="565"/>
    </row>
    <row r="156" spans="1:6">
      <c r="E156" s="565"/>
      <c r="F156" s="565"/>
    </row>
    <row r="157" spans="1:6">
      <c r="E157" s="565"/>
      <c r="F157" s="565"/>
    </row>
    <row r="158" spans="1:6">
      <c r="E158" s="565"/>
      <c r="F158" s="565"/>
    </row>
  </sheetData>
  <customSheetViews>
    <customSheetView guid="{275E5119-9E8C-43ED-ACD2-DF40CF10B219}" topLeftCell="D16">
      <selection activeCell="Q34" sqref="Q34"/>
      <pageMargins left="0.81" right="0.64" top="1" bottom="0.5" header="0.5" footer="0.5"/>
      <pageSetup scale="70" orientation="landscape" horizontalDpi="4294967292" verticalDpi="4294967292" r:id="rId1"/>
      <headerFooter alignWithMargins="0"/>
    </customSheetView>
    <customSheetView guid="{D346ECD1-ED60-4F74-8B02-572F89E41ACB}" showPageBreaks="1" showRuler="0" topLeftCell="D16">
      <selection activeCell="Q50" sqref="Q50"/>
      <pageMargins left="0.81" right="0.64" top="1" bottom="0.5" header="0.5" footer="0.5"/>
      <pageSetup scale="70" orientation="landscape" horizontalDpi="4294967292" verticalDpi="4294967292" r:id="rId2"/>
      <headerFooter alignWithMargins="0"/>
    </customSheetView>
  </customSheetViews>
  <phoneticPr fontId="11" type="noConversion"/>
  <printOptions horizontalCentered="1"/>
  <pageMargins left="0.6" right="0.64" top="0.36" bottom="0.75" header="0.26" footer="0.28999999999999998"/>
  <pageSetup scale="80" orientation="landscape" r:id="rId3"/>
  <headerFooter alignWithMargins="0"/>
  <rowBreaks count="1" manualBreakCount="1">
    <brk id="79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 enableFormatConditionsCalculation="0"/>
  <dimension ref="A1:P306"/>
  <sheetViews>
    <sheetView view="pageBreakPreview" topLeftCell="A252" zoomScale="85" zoomScaleNormal="85" zoomScaleSheetLayoutView="85" workbookViewId="0">
      <selection activeCell="O217" sqref="O217"/>
    </sheetView>
  </sheetViews>
  <sheetFormatPr defaultRowHeight="12.75"/>
  <cols>
    <col min="1" max="1" width="4.42578125" style="27" bestFit="1" customWidth="1"/>
    <col min="2" max="2" width="2" style="492" customWidth="1"/>
    <col min="3" max="3" width="14.140625" style="492" customWidth="1"/>
    <col min="4" max="4" width="6.28515625" style="492" customWidth="1"/>
    <col min="5" max="5" width="11.42578125" style="492" customWidth="1"/>
    <col min="6" max="6" width="8" style="492" customWidth="1"/>
    <col min="7" max="7" width="12" style="492" customWidth="1"/>
    <col min="8" max="8" width="9.7109375" style="492" customWidth="1"/>
    <col min="9" max="9" width="8.85546875" style="492" customWidth="1"/>
    <col min="10" max="10" width="12.7109375" style="492" bestFit="1" customWidth="1"/>
    <col min="11" max="11" width="12" style="492" customWidth="1"/>
    <col min="12" max="12" width="14.42578125" style="492" customWidth="1"/>
    <col min="13" max="13" width="12.140625" style="492" customWidth="1"/>
    <col min="14" max="14" width="15.140625" style="492" customWidth="1"/>
    <col min="15" max="15" width="2.28515625" style="492" customWidth="1"/>
    <col min="16" max="16384" width="9.140625" style="492"/>
  </cols>
  <sheetData>
    <row r="1" spans="1:16" s="473" customFormat="1" ht="15.75" customHeight="1">
      <c r="A1" s="570" t="s">
        <v>540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227" t="s">
        <v>550</v>
      </c>
    </row>
    <row r="2" spans="1:16" s="473" customFormat="1">
      <c r="A2" s="570" t="s">
        <v>463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227" t="s">
        <v>901</v>
      </c>
      <c r="P2" s="227"/>
    </row>
    <row r="3" spans="1:16" s="473" customFormat="1">
      <c r="A3" s="570" t="s">
        <v>551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293"/>
      <c r="P3" s="227"/>
    </row>
    <row r="4" spans="1:16" s="473" customFormat="1">
      <c r="A4" s="570" t="s">
        <v>32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293"/>
      <c r="P4" s="537"/>
    </row>
    <row r="5" spans="1:16">
      <c r="A5" s="467" t="s">
        <v>33</v>
      </c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62"/>
      <c r="O5" s="637"/>
    </row>
    <row r="6" spans="1:16">
      <c r="A6" s="35" t="s">
        <v>35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62"/>
      <c r="O6" s="637"/>
    </row>
    <row r="7" spans="1:16" ht="7.5" customHeight="1">
      <c r="K7" s="485"/>
    </row>
    <row r="8" spans="1:16" hidden="1">
      <c r="A8" s="27">
        <v>1</v>
      </c>
      <c r="B8" s="32" t="s">
        <v>311</v>
      </c>
      <c r="C8" s="485"/>
      <c r="D8" s="485"/>
      <c r="E8" s="485"/>
      <c r="F8" s="485"/>
      <c r="G8" s="485"/>
      <c r="H8" s="485"/>
      <c r="I8" s="33" t="s">
        <v>60</v>
      </c>
      <c r="J8" s="26"/>
      <c r="K8" s="485"/>
      <c r="L8" s="485"/>
      <c r="M8" s="485"/>
    </row>
    <row r="9" spans="1:16" hidden="1">
      <c r="A9" s="27">
        <f>A8+1</f>
        <v>2</v>
      </c>
      <c r="C9" s="467"/>
      <c r="D9" s="467"/>
      <c r="E9" s="467"/>
      <c r="F9" s="467"/>
      <c r="G9" s="467"/>
      <c r="H9" s="467" t="s">
        <v>61</v>
      </c>
      <c r="I9" s="467" t="s">
        <v>27</v>
      </c>
      <c r="J9" s="467" t="s">
        <v>62</v>
      </c>
      <c r="L9" s="467" t="s">
        <v>61</v>
      </c>
      <c r="M9" s="467" t="s">
        <v>27</v>
      </c>
      <c r="N9" s="467" t="s">
        <v>63</v>
      </c>
    </row>
    <row r="10" spans="1:16" hidden="1">
      <c r="A10" s="27">
        <f t="shared" ref="A10:A44" si="0">A9+1</f>
        <v>3</v>
      </c>
      <c r="B10" s="34"/>
      <c r="C10" s="467"/>
      <c r="D10" s="467"/>
      <c r="E10" s="467" t="s">
        <v>64</v>
      </c>
      <c r="F10" s="467" t="s">
        <v>65</v>
      </c>
      <c r="G10" s="467" t="s">
        <v>66</v>
      </c>
      <c r="H10" s="467" t="s">
        <v>67</v>
      </c>
      <c r="I10" s="467" t="s">
        <v>26</v>
      </c>
      <c r="J10" s="467" t="s">
        <v>61</v>
      </c>
      <c r="K10" s="467" t="s">
        <v>73</v>
      </c>
      <c r="L10" s="467" t="s">
        <v>74</v>
      </c>
      <c r="M10" s="467" t="s">
        <v>75</v>
      </c>
      <c r="N10" s="467" t="s">
        <v>76</v>
      </c>
      <c r="O10" s="473"/>
    </row>
    <row r="11" spans="1:16" hidden="1">
      <c r="A11" s="27">
        <f t="shared" si="0"/>
        <v>4</v>
      </c>
      <c r="B11" s="34"/>
      <c r="C11" s="35" t="s">
        <v>178</v>
      </c>
      <c r="D11" s="35" t="s">
        <v>77</v>
      </c>
      <c r="E11" s="35" t="s">
        <v>78</v>
      </c>
      <c r="F11" s="35" t="s">
        <v>38</v>
      </c>
      <c r="G11" s="35" t="s">
        <v>78</v>
      </c>
      <c r="H11" s="35" t="s">
        <v>79</v>
      </c>
      <c r="I11" s="35" t="s">
        <v>67</v>
      </c>
      <c r="J11" s="35" t="s">
        <v>67</v>
      </c>
      <c r="K11" s="35" t="s">
        <v>103</v>
      </c>
      <c r="L11" s="36">
        <v>39082</v>
      </c>
      <c r="M11" s="35" t="s">
        <v>39</v>
      </c>
      <c r="N11" s="35" t="s">
        <v>80</v>
      </c>
      <c r="O11" s="473"/>
    </row>
    <row r="12" spans="1:16" hidden="1">
      <c r="A12" s="27">
        <f t="shared" si="0"/>
        <v>5</v>
      </c>
      <c r="B12" s="118"/>
      <c r="C12" s="485"/>
      <c r="D12" s="39" t="s">
        <v>376</v>
      </c>
      <c r="E12" s="40">
        <v>32842</v>
      </c>
      <c r="F12" s="37">
        <v>0.1028</v>
      </c>
      <c r="G12" s="122">
        <v>2009</v>
      </c>
      <c r="H12" s="30">
        <v>2000</v>
      </c>
      <c r="I12" s="30">
        <f t="shared" ref="I12:I21" si="1">H12</f>
        <v>2000</v>
      </c>
      <c r="J12" s="31">
        <f t="shared" ref="J12:J21" si="2">I12/H12*100</f>
        <v>100</v>
      </c>
      <c r="K12" s="155">
        <v>0.1033</v>
      </c>
      <c r="L12" s="131">
        <f t="shared" ref="L12:L21" si="3">I12</f>
        <v>2000</v>
      </c>
      <c r="M12" s="30">
        <f t="shared" ref="M12:M21" si="4">L12*K12</f>
        <v>206.6</v>
      </c>
      <c r="O12" s="473"/>
    </row>
    <row r="13" spans="1:16" hidden="1">
      <c r="A13" s="27">
        <f t="shared" si="0"/>
        <v>6</v>
      </c>
      <c r="B13" s="118"/>
      <c r="C13" s="485"/>
      <c r="D13" s="39" t="s">
        <v>379</v>
      </c>
      <c r="E13" s="40">
        <v>33205</v>
      </c>
      <c r="F13" s="37">
        <v>0.11849999999999999</v>
      </c>
      <c r="G13" s="122">
        <v>2020</v>
      </c>
      <c r="H13" s="131">
        <v>1500</v>
      </c>
      <c r="I13" s="131">
        <f t="shared" si="1"/>
        <v>1500</v>
      </c>
      <c r="J13" s="224">
        <f t="shared" si="2"/>
        <v>100</v>
      </c>
      <c r="K13" s="155">
        <v>0.1191</v>
      </c>
      <c r="L13" s="131">
        <f t="shared" si="3"/>
        <v>1500</v>
      </c>
      <c r="M13" s="131">
        <f t="shared" si="4"/>
        <v>178.65</v>
      </c>
      <c r="N13" s="483"/>
      <c r="O13" s="473"/>
    </row>
    <row r="14" spans="1:16" hidden="1">
      <c r="A14" s="27">
        <f t="shared" si="0"/>
        <v>7</v>
      </c>
      <c r="B14" s="118"/>
      <c r="D14" s="39" t="s">
        <v>380</v>
      </c>
      <c r="E14" s="40">
        <v>33732</v>
      </c>
      <c r="F14" s="37">
        <v>9.4600000000000004E-2</v>
      </c>
      <c r="G14" s="122">
        <v>2023</v>
      </c>
      <c r="H14" s="131">
        <v>2500</v>
      </c>
      <c r="I14" s="30">
        <f t="shared" si="1"/>
        <v>2500</v>
      </c>
      <c r="J14" s="31">
        <f t="shared" si="2"/>
        <v>100</v>
      </c>
      <c r="K14" s="155">
        <v>9.5100000000000004E-2</v>
      </c>
      <c r="L14" s="131">
        <f t="shared" si="3"/>
        <v>2500</v>
      </c>
      <c r="M14" s="131">
        <f t="shared" si="4"/>
        <v>237.75</v>
      </c>
      <c r="O14" s="473"/>
    </row>
    <row r="15" spans="1:16" hidden="1">
      <c r="A15" s="27">
        <f t="shared" si="0"/>
        <v>8</v>
      </c>
      <c r="B15" s="118"/>
      <c r="C15" s="485"/>
      <c r="D15" s="39" t="s">
        <v>102</v>
      </c>
      <c r="E15" s="40">
        <v>36385</v>
      </c>
      <c r="F15" s="37">
        <v>6.8000000000000005E-2</v>
      </c>
      <c r="G15" s="154">
        <v>2019</v>
      </c>
      <c r="H15" s="30">
        <v>4500</v>
      </c>
      <c r="I15" s="30">
        <f t="shared" si="1"/>
        <v>4500</v>
      </c>
      <c r="J15" s="31">
        <f t="shared" si="2"/>
        <v>100</v>
      </c>
      <c r="K15" s="37">
        <v>6.8500000000000005E-2</v>
      </c>
      <c r="L15" s="131">
        <f t="shared" si="3"/>
        <v>4500</v>
      </c>
      <c r="M15" s="131">
        <f t="shared" si="4"/>
        <v>308.25</v>
      </c>
      <c r="O15" s="473"/>
    </row>
    <row r="16" spans="1:16" hidden="1">
      <c r="A16" s="27">
        <f t="shared" si="0"/>
        <v>9</v>
      </c>
      <c r="B16" s="118"/>
      <c r="C16" s="485"/>
      <c r="D16" s="39" t="s">
        <v>381</v>
      </c>
      <c r="E16" s="40">
        <v>36679</v>
      </c>
      <c r="F16" s="37">
        <v>7.0000000000000007E-2</v>
      </c>
      <c r="G16" s="154">
        <v>2008</v>
      </c>
      <c r="H16" s="30">
        <v>600</v>
      </c>
      <c r="I16" s="30">
        <f t="shared" si="1"/>
        <v>600</v>
      </c>
      <c r="J16" s="31">
        <f t="shared" si="2"/>
        <v>100</v>
      </c>
      <c r="K16" s="37">
        <v>7.0499999999999993E-2</v>
      </c>
      <c r="L16" s="131">
        <f t="shared" si="3"/>
        <v>600</v>
      </c>
      <c r="M16" s="131">
        <f t="shared" si="4"/>
        <v>42.3</v>
      </c>
      <c r="O16" s="473"/>
    </row>
    <row r="17" spans="1:15" hidden="1">
      <c r="A17" s="27">
        <f t="shared" si="0"/>
        <v>10</v>
      </c>
      <c r="B17" s="118"/>
      <c r="C17" s="485"/>
      <c r="D17" s="39" t="s">
        <v>382</v>
      </c>
      <c r="E17" s="40">
        <v>37582</v>
      </c>
      <c r="F17" s="37">
        <v>6.1600000000000002E-2</v>
      </c>
      <c r="G17" s="154">
        <v>2017</v>
      </c>
      <c r="H17" s="30">
        <v>3900</v>
      </c>
      <c r="I17" s="30">
        <f t="shared" si="1"/>
        <v>3900</v>
      </c>
      <c r="J17" s="31">
        <f t="shared" si="2"/>
        <v>100</v>
      </c>
      <c r="K17" s="37">
        <v>6.2100000000000002E-2</v>
      </c>
      <c r="L17" s="131">
        <f t="shared" si="3"/>
        <v>3900</v>
      </c>
      <c r="M17" s="131">
        <f t="shared" si="4"/>
        <v>242.19</v>
      </c>
      <c r="O17" s="473"/>
    </row>
    <row r="18" spans="1:15" hidden="1">
      <c r="A18" s="27">
        <f t="shared" si="0"/>
        <v>11</v>
      </c>
      <c r="B18" s="118"/>
      <c r="C18" s="485"/>
      <c r="D18" s="39" t="s">
        <v>383</v>
      </c>
      <c r="E18" s="40">
        <v>38009</v>
      </c>
      <c r="F18" s="37">
        <v>5.4199999999999998E-2</v>
      </c>
      <c r="G18" s="154">
        <v>2019</v>
      </c>
      <c r="H18" s="30">
        <v>1000</v>
      </c>
      <c r="I18" s="30">
        <f t="shared" si="1"/>
        <v>1000</v>
      </c>
      <c r="J18" s="31">
        <f t="shared" si="2"/>
        <v>100</v>
      </c>
      <c r="K18" s="37">
        <v>5.4699999999999999E-2</v>
      </c>
      <c r="L18" s="131">
        <f t="shared" si="3"/>
        <v>1000</v>
      </c>
      <c r="M18" s="131">
        <f t="shared" si="4"/>
        <v>54.699999999999996</v>
      </c>
      <c r="O18" s="473"/>
    </row>
    <row r="19" spans="1:15" hidden="1">
      <c r="A19" s="27">
        <f t="shared" si="0"/>
        <v>12</v>
      </c>
      <c r="B19" s="118"/>
      <c r="C19" s="485"/>
      <c r="D19" s="39" t="s">
        <v>384</v>
      </c>
      <c r="E19" s="40">
        <v>38309</v>
      </c>
      <c r="F19" s="37">
        <v>5.11E-2</v>
      </c>
      <c r="G19" s="154">
        <v>2014</v>
      </c>
      <c r="H19" s="30">
        <v>500</v>
      </c>
      <c r="I19" s="30">
        <f t="shared" si="1"/>
        <v>500</v>
      </c>
      <c r="J19" s="31">
        <f t="shared" si="2"/>
        <v>100</v>
      </c>
      <c r="K19" s="37">
        <v>5.16E-2</v>
      </c>
      <c r="L19" s="131">
        <f t="shared" si="3"/>
        <v>500</v>
      </c>
      <c r="M19" s="131">
        <f t="shared" si="4"/>
        <v>25.8</v>
      </c>
      <c r="O19" s="473"/>
    </row>
    <row r="20" spans="1:15" hidden="1">
      <c r="A20" s="27">
        <f t="shared" si="0"/>
        <v>13</v>
      </c>
      <c r="B20" s="118"/>
      <c r="C20" s="485"/>
      <c r="D20" s="39" t="s">
        <v>385</v>
      </c>
      <c r="E20" s="40">
        <v>38677</v>
      </c>
      <c r="F20" s="37">
        <v>5.1799999999999999E-2</v>
      </c>
      <c r="G20" s="154">
        <v>2035</v>
      </c>
      <c r="H20" s="30">
        <v>4300</v>
      </c>
      <c r="I20" s="30">
        <f t="shared" si="1"/>
        <v>4300</v>
      </c>
      <c r="J20" s="31">
        <f t="shared" si="2"/>
        <v>100</v>
      </c>
      <c r="K20" s="37">
        <v>5.2299999999999999E-2</v>
      </c>
      <c r="L20" s="131">
        <f t="shared" si="3"/>
        <v>4300</v>
      </c>
      <c r="M20" s="131">
        <f t="shared" si="4"/>
        <v>224.89</v>
      </c>
      <c r="O20" s="473"/>
    </row>
    <row r="21" spans="1:15" hidden="1">
      <c r="A21" s="27">
        <f t="shared" si="0"/>
        <v>14</v>
      </c>
      <c r="B21" s="118"/>
      <c r="C21" s="485"/>
      <c r="D21" s="39" t="s">
        <v>386</v>
      </c>
      <c r="E21" s="40">
        <v>39041</v>
      </c>
      <c r="F21" s="37">
        <v>5.0200000000000002E-2</v>
      </c>
      <c r="G21" s="154">
        <v>2036</v>
      </c>
      <c r="H21" s="46">
        <v>3000</v>
      </c>
      <c r="I21" s="30">
        <f t="shared" si="1"/>
        <v>3000</v>
      </c>
      <c r="J21" s="31">
        <f t="shared" si="2"/>
        <v>100</v>
      </c>
      <c r="K21" s="37">
        <v>5.0700000000000002E-2</v>
      </c>
      <c r="L21" s="46">
        <f t="shared" si="3"/>
        <v>3000</v>
      </c>
      <c r="M21" s="46">
        <f t="shared" si="4"/>
        <v>152.1</v>
      </c>
      <c r="O21" s="473"/>
    </row>
    <row r="22" spans="1:15" hidden="1">
      <c r="A22" s="27">
        <f t="shared" si="0"/>
        <v>15</v>
      </c>
      <c r="B22" s="118"/>
      <c r="C22" s="485" t="s">
        <v>26</v>
      </c>
      <c r="D22" s="27"/>
      <c r="E22" s="28"/>
      <c r="F22" s="29"/>
      <c r="G22" s="28"/>
      <c r="H22" s="38">
        <f>SUM(H12:H21)</f>
        <v>23800</v>
      </c>
      <c r="I22" s="30"/>
      <c r="J22" s="31"/>
      <c r="K22" s="29"/>
      <c r="L22" s="38">
        <f>SUM(L12:L21)</f>
        <v>23800</v>
      </c>
      <c r="M22" s="38">
        <f>SUM(M12:M21)</f>
        <v>1673.23</v>
      </c>
      <c r="N22" s="42">
        <f>M22/L22</f>
        <v>7.0303781512605037E-2</v>
      </c>
      <c r="O22" s="473"/>
    </row>
    <row r="23" spans="1:15" hidden="1">
      <c r="A23" s="27">
        <f t="shared" si="0"/>
        <v>16</v>
      </c>
      <c r="B23" s="118"/>
      <c r="C23" s="485" t="s">
        <v>81</v>
      </c>
      <c r="D23" s="27"/>
      <c r="E23" s="28"/>
      <c r="F23" s="29"/>
      <c r="G23" s="28"/>
      <c r="H23" s="30"/>
      <c r="I23" s="30"/>
      <c r="J23" s="31"/>
      <c r="K23" s="29"/>
      <c r="L23" s="46">
        <v>21150</v>
      </c>
      <c r="M23" s="46">
        <v>1538</v>
      </c>
      <c r="N23" s="43">
        <f>M23/L23</f>
        <v>7.2718676122931439E-2</v>
      </c>
      <c r="O23" s="473"/>
    </row>
    <row r="24" spans="1:15" hidden="1">
      <c r="A24" s="27">
        <f t="shared" si="0"/>
        <v>17</v>
      </c>
      <c r="B24" s="118"/>
      <c r="C24" s="485" t="s">
        <v>26</v>
      </c>
      <c r="D24" s="27"/>
      <c r="E24" s="28"/>
      <c r="F24" s="29"/>
      <c r="G24" s="28"/>
      <c r="H24" s="30"/>
      <c r="I24" s="30"/>
      <c r="J24" s="31"/>
      <c r="K24" s="29"/>
      <c r="L24" s="41">
        <f>SUM(L22:L23)</f>
        <v>44950</v>
      </c>
      <c r="M24" s="41">
        <f>SUM(M22:M23)</f>
        <v>3211.23</v>
      </c>
      <c r="N24" s="790"/>
      <c r="O24" s="473"/>
    </row>
    <row r="25" spans="1:15" ht="13.5" hidden="1" thickBot="1">
      <c r="A25" s="27">
        <f t="shared" si="0"/>
        <v>18</v>
      </c>
      <c r="B25" s="118"/>
      <c r="C25" s="485" t="s">
        <v>37</v>
      </c>
      <c r="D25" s="27"/>
      <c r="E25" s="28"/>
      <c r="F25" s="29"/>
      <c r="G25" s="28"/>
      <c r="H25" s="30"/>
      <c r="I25" s="30"/>
      <c r="J25" s="31"/>
      <c r="K25" s="29"/>
      <c r="L25" s="44">
        <f>L24/2</f>
        <v>22475</v>
      </c>
      <c r="M25" s="44">
        <f>M24/2</f>
        <v>1605.615</v>
      </c>
      <c r="N25" s="45">
        <f>M25/L25</f>
        <v>7.1440044493882096E-2</v>
      </c>
      <c r="O25" s="473"/>
    </row>
    <row r="26" spans="1:15" ht="6" hidden="1" customHeight="1" thickTop="1">
      <c r="B26" s="483"/>
      <c r="O26" s="473"/>
    </row>
    <row r="27" spans="1:15" hidden="1">
      <c r="A27" s="27">
        <f>A25+1</f>
        <v>19</v>
      </c>
      <c r="B27" s="32" t="s">
        <v>378</v>
      </c>
      <c r="C27" s="485"/>
      <c r="D27" s="485"/>
      <c r="E27" s="485"/>
      <c r="F27" s="485"/>
      <c r="G27" s="485"/>
      <c r="H27" s="485"/>
      <c r="I27" s="33" t="s">
        <v>60</v>
      </c>
      <c r="J27" s="26"/>
      <c r="K27" s="485"/>
      <c r="L27" s="485"/>
      <c r="M27" s="485"/>
      <c r="O27" s="473"/>
    </row>
    <row r="28" spans="1:15" hidden="1">
      <c r="A28" s="27">
        <f t="shared" si="0"/>
        <v>20</v>
      </c>
      <c r="C28" s="467"/>
      <c r="D28" s="467"/>
      <c r="E28" s="467"/>
      <c r="F28" s="467"/>
      <c r="G28" s="467"/>
      <c r="H28" s="467" t="s">
        <v>61</v>
      </c>
      <c r="I28" s="467" t="s">
        <v>27</v>
      </c>
      <c r="J28" s="467" t="s">
        <v>62</v>
      </c>
      <c r="L28" s="467" t="s">
        <v>61</v>
      </c>
      <c r="M28" s="467" t="s">
        <v>27</v>
      </c>
      <c r="N28" s="467" t="s">
        <v>63</v>
      </c>
      <c r="O28" s="473"/>
    </row>
    <row r="29" spans="1:15" hidden="1">
      <c r="A29" s="27">
        <f t="shared" si="0"/>
        <v>21</v>
      </c>
      <c r="B29" s="34"/>
      <c r="C29" s="467"/>
      <c r="D29" s="467"/>
      <c r="E29" s="467" t="s">
        <v>64</v>
      </c>
      <c r="F29" s="467" t="s">
        <v>65</v>
      </c>
      <c r="G29" s="467" t="s">
        <v>66</v>
      </c>
      <c r="H29" s="467" t="s">
        <v>67</v>
      </c>
      <c r="I29" s="467" t="s">
        <v>26</v>
      </c>
      <c r="J29" s="467" t="s">
        <v>61</v>
      </c>
      <c r="K29" s="467" t="s">
        <v>73</v>
      </c>
      <c r="L29" s="467" t="s">
        <v>74</v>
      </c>
      <c r="M29" s="467" t="s">
        <v>75</v>
      </c>
      <c r="N29" s="467" t="s">
        <v>76</v>
      </c>
      <c r="O29" s="473"/>
    </row>
    <row r="30" spans="1:15" hidden="1">
      <c r="A30" s="27">
        <f t="shared" si="0"/>
        <v>22</v>
      </c>
      <c r="B30" s="34"/>
      <c r="C30" s="35" t="s">
        <v>178</v>
      </c>
      <c r="D30" s="35" t="s">
        <v>77</v>
      </c>
      <c r="E30" s="35" t="s">
        <v>78</v>
      </c>
      <c r="F30" s="35" t="s">
        <v>38</v>
      </c>
      <c r="G30" s="35" t="s">
        <v>78</v>
      </c>
      <c r="H30" s="35" t="s">
        <v>79</v>
      </c>
      <c r="I30" s="35" t="s">
        <v>67</v>
      </c>
      <c r="J30" s="35" t="s">
        <v>67</v>
      </c>
      <c r="K30" s="35" t="s">
        <v>103</v>
      </c>
      <c r="L30" s="36">
        <v>39447</v>
      </c>
      <c r="M30" s="35" t="s">
        <v>39</v>
      </c>
      <c r="N30" s="35" t="s">
        <v>80</v>
      </c>
      <c r="O30" s="473"/>
    </row>
    <row r="31" spans="1:15" hidden="1">
      <c r="A31" s="27">
        <f t="shared" si="0"/>
        <v>23</v>
      </c>
      <c r="B31" s="118"/>
      <c r="C31" s="485"/>
      <c r="D31" s="39" t="s">
        <v>376</v>
      </c>
      <c r="E31" s="40">
        <v>32842</v>
      </c>
      <c r="F31" s="37">
        <v>0.1028</v>
      </c>
      <c r="G31" s="122">
        <v>2009</v>
      </c>
      <c r="H31" s="30">
        <v>2000</v>
      </c>
      <c r="I31" s="30">
        <f>H31</f>
        <v>2000</v>
      </c>
      <c r="J31" s="31">
        <f>I31/H31*100</f>
        <v>100</v>
      </c>
      <c r="K31" s="155">
        <v>0.1033</v>
      </c>
      <c r="L31" s="131">
        <f t="shared" ref="L31:L40" si="5">I31</f>
        <v>2000</v>
      </c>
      <c r="M31" s="30">
        <f t="shared" ref="M31:M40" si="6">L31*K31</f>
        <v>206.6</v>
      </c>
      <c r="O31" s="473"/>
    </row>
    <row r="32" spans="1:15" hidden="1">
      <c r="A32" s="27">
        <f t="shared" si="0"/>
        <v>24</v>
      </c>
      <c r="B32" s="118"/>
      <c r="C32" s="485"/>
      <c r="D32" s="39" t="s">
        <v>379</v>
      </c>
      <c r="E32" s="40">
        <v>33205</v>
      </c>
      <c r="F32" s="37">
        <v>0.11849999999999999</v>
      </c>
      <c r="G32" s="122">
        <v>2020</v>
      </c>
      <c r="H32" s="131">
        <v>1500</v>
      </c>
      <c r="I32" s="131">
        <f>H32</f>
        <v>1500</v>
      </c>
      <c r="J32" s="224">
        <f>I32/H32*100</f>
        <v>100</v>
      </c>
      <c r="K32" s="155">
        <v>0.1191</v>
      </c>
      <c r="L32" s="131">
        <f t="shared" si="5"/>
        <v>1500</v>
      </c>
      <c r="M32" s="131">
        <f t="shared" si="6"/>
        <v>178.65</v>
      </c>
      <c r="N32" s="483"/>
      <c r="O32" s="473"/>
    </row>
    <row r="33" spans="1:15" hidden="1">
      <c r="A33" s="27">
        <f t="shared" si="0"/>
        <v>25</v>
      </c>
      <c r="B33" s="118"/>
      <c r="D33" s="39" t="s">
        <v>380</v>
      </c>
      <c r="E33" s="40">
        <v>33732</v>
      </c>
      <c r="F33" s="37">
        <v>9.4600000000000004E-2</v>
      </c>
      <c r="G33" s="122">
        <v>2023</v>
      </c>
      <c r="H33" s="131">
        <v>2500</v>
      </c>
      <c r="I33" s="30">
        <f>H33</f>
        <v>2500</v>
      </c>
      <c r="J33" s="31">
        <f>I33/H33*100</f>
        <v>100</v>
      </c>
      <c r="K33" s="155">
        <v>9.5100000000000004E-2</v>
      </c>
      <c r="L33" s="131">
        <f t="shared" si="5"/>
        <v>2500</v>
      </c>
      <c r="M33" s="131">
        <f t="shared" si="6"/>
        <v>237.75</v>
      </c>
      <c r="O33" s="473"/>
    </row>
    <row r="34" spans="1:15" hidden="1">
      <c r="A34" s="27">
        <f t="shared" si="0"/>
        <v>26</v>
      </c>
      <c r="B34" s="118"/>
      <c r="C34" s="485"/>
      <c r="D34" s="39" t="s">
        <v>102</v>
      </c>
      <c r="E34" s="40">
        <v>36385</v>
      </c>
      <c r="F34" s="37">
        <v>6.8000000000000005E-2</v>
      </c>
      <c r="G34" s="154">
        <v>2019</v>
      </c>
      <c r="H34" s="30">
        <v>4500</v>
      </c>
      <c r="I34" s="30">
        <f>H34</f>
        <v>4500</v>
      </c>
      <c r="J34" s="31">
        <f>I34/H34*100</f>
        <v>100</v>
      </c>
      <c r="K34" s="37">
        <v>6.8500000000000005E-2</v>
      </c>
      <c r="L34" s="131">
        <f t="shared" si="5"/>
        <v>4500</v>
      </c>
      <c r="M34" s="131">
        <f t="shared" si="6"/>
        <v>308.25</v>
      </c>
      <c r="O34" s="473"/>
    </row>
    <row r="35" spans="1:15" hidden="1">
      <c r="A35" s="27">
        <f t="shared" si="0"/>
        <v>27</v>
      </c>
      <c r="B35" s="118"/>
      <c r="C35" s="485"/>
      <c r="D35" s="39" t="s">
        <v>381</v>
      </c>
      <c r="E35" s="40">
        <v>36679</v>
      </c>
      <c r="F35" s="37">
        <v>7.0000000000000007E-2</v>
      </c>
      <c r="G35" s="154">
        <v>2008</v>
      </c>
      <c r="H35" s="30">
        <v>600</v>
      </c>
      <c r="I35" s="30">
        <f t="shared" ref="I35:I40" si="7">H35</f>
        <v>600</v>
      </c>
      <c r="J35" s="31">
        <f t="shared" ref="J35:J40" si="8">I35/H35*100</f>
        <v>100</v>
      </c>
      <c r="K35" s="37">
        <v>7.0499999999999993E-2</v>
      </c>
      <c r="L35" s="131">
        <f t="shared" si="5"/>
        <v>600</v>
      </c>
      <c r="M35" s="131">
        <f t="shared" si="6"/>
        <v>42.3</v>
      </c>
      <c r="O35" s="473"/>
    </row>
    <row r="36" spans="1:15" hidden="1">
      <c r="A36" s="27">
        <f t="shared" si="0"/>
        <v>28</v>
      </c>
      <c r="B36" s="118"/>
      <c r="C36" s="485"/>
      <c r="D36" s="39" t="s">
        <v>382</v>
      </c>
      <c r="E36" s="40">
        <v>37582</v>
      </c>
      <c r="F36" s="37">
        <v>6.1600000000000002E-2</v>
      </c>
      <c r="G36" s="154">
        <v>2017</v>
      </c>
      <c r="H36" s="30">
        <v>3900</v>
      </c>
      <c r="I36" s="30">
        <f t="shared" si="7"/>
        <v>3900</v>
      </c>
      <c r="J36" s="31">
        <f t="shared" si="8"/>
        <v>100</v>
      </c>
      <c r="K36" s="37">
        <v>6.2100000000000002E-2</v>
      </c>
      <c r="L36" s="131">
        <f t="shared" si="5"/>
        <v>3900</v>
      </c>
      <c r="M36" s="131">
        <f t="shared" si="6"/>
        <v>242.19</v>
      </c>
      <c r="O36" s="473"/>
    </row>
    <row r="37" spans="1:15" hidden="1">
      <c r="A37" s="27">
        <f t="shared" si="0"/>
        <v>29</v>
      </c>
      <c r="B37" s="118"/>
      <c r="C37" s="485"/>
      <c r="D37" s="39" t="s">
        <v>383</v>
      </c>
      <c r="E37" s="40">
        <v>38009</v>
      </c>
      <c r="F37" s="37">
        <v>5.4199999999999998E-2</v>
      </c>
      <c r="G37" s="154">
        <v>2019</v>
      </c>
      <c r="H37" s="30">
        <v>1000</v>
      </c>
      <c r="I37" s="30">
        <f t="shared" si="7"/>
        <v>1000</v>
      </c>
      <c r="J37" s="31">
        <f t="shared" si="8"/>
        <v>100</v>
      </c>
      <c r="K37" s="37">
        <v>5.4699999999999999E-2</v>
      </c>
      <c r="L37" s="131">
        <f t="shared" si="5"/>
        <v>1000</v>
      </c>
      <c r="M37" s="131">
        <f t="shared" si="6"/>
        <v>54.699999999999996</v>
      </c>
      <c r="O37" s="473"/>
    </row>
    <row r="38" spans="1:15" hidden="1">
      <c r="A38" s="27">
        <f t="shared" si="0"/>
        <v>30</v>
      </c>
      <c r="B38" s="118"/>
      <c r="C38" s="485"/>
      <c r="D38" s="39" t="s">
        <v>384</v>
      </c>
      <c r="E38" s="40">
        <v>38309</v>
      </c>
      <c r="F38" s="37">
        <v>5.11E-2</v>
      </c>
      <c r="G38" s="154">
        <v>2014</v>
      </c>
      <c r="H38" s="30">
        <v>500</v>
      </c>
      <c r="I38" s="30">
        <f t="shared" si="7"/>
        <v>500</v>
      </c>
      <c r="J38" s="31">
        <f t="shared" si="8"/>
        <v>100</v>
      </c>
      <c r="K38" s="37">
        <v>5.16E-2</v>
      </c>
      <c r="L38" s="131">
        <f t="shared" si="5"/>
        <v>500</v>
      </c>
      <c r="M38" s="131">
        <f t="shared" si="6"/>
        <v>25.8</v>
      </c>
      <c r="O38" s="473"/>
    </row>
    <row r="39" spans="1:15" hidden="1">
      <c r="A39" s="27">
        <f t="shared" si="0"/>
        <v>31</v>
      </c>
      <c r="B39" s="118"/>
      <c r="C39" s="485"/>
      <c r="D39" s="39" t="s">
        <v>385</v>
      </c>
      <c r="E39" s="40">
        <v>38677</v>
      </c>
      <c r="F39" s="37">
        <v>5.1799999999999999E-2</v>
      </c>
      <c r="G39" s="154">
        <v>2035</v>
      </c>
      <c r="H39" s="30">
        <v>4300</v>
      </c>
      <c r="I39" s="30">
        <f t="shared" si="7"/>
        <v>4300</v>
      </c>
      <c r="J39" s="31">
        <f t="shared" si="8"/>
        <v>100</v>
      </c>
      <c r="K39" s="37">
        <v>5.2299999999999999E-2</v>
      </c>
      <c r="L39" s="131">
        <f t="shared" si="5"/>
        <v>4300</v>
      </c>
      <c r="M39" s="131">
        <f t="shared" si="6"/>
        <v>224.89</v>
      </c>
    </row>
    <row r="40" spans="1:15" hidden="1">
      <c r="A40" s="27">
        <f t="shared" si="0"/>
        <v>32</v>
      </c>
      <c r="B40" s="118"/>
      <c r="C40" s="485"/>
      <c r="D40" s="39" t="s">
        <v>386</v>
      </c>
      <c r="E40" s="40">
        <v>39041</v>
      </c>
      <c r="F40" s="37">
        <v>5.0200000000000002E-2</v>
      </c>
      <c r="G40" s="154">
        <v>2036</v>
      </c>
      <c r="H40" s="46">
        <v>3000</v>
      </c>
      <c r="I40" s="30">
        <f t="shared" si="7"/>
        <v>3000</v>
      </c>
      <c r="J40" s="31">
        <f t="shared" si="8"/>
        <v>100</v>
      </c>
      <c r="K40" s="37">
        <v>5.0700000000000002E-2</v>
      </c>
      <c r="L40" s="46">
        <f t="shared" si="5"/>
        <v>3000</v>
      </c>
      <c r="M40" s="46">
        <f t="shared" si="6"/>
        <v>152.1</v>
      </c>
    </row>
    <row r="41" spans="1:15" hidden="1">
      <c r="A41" s="27">
        <f t="shared" si="0"/>
        <v>33</v>
      </c>
      <c r="B41" s="118"/>
      <c r="C41" s="485" t="s">
        <v>26</v>
      </c>
      <c r="D41" s="27"/>
      <c r="E41" s="28"/>
      <c r="F41" s="29"/>
      <c r="G41" s="28"/>
      <c r="H41" s="38">
        <f>SUM(H31:H40)</f>
        <v>23800</v>
      </c>
      <c r="I41" s="30"/>
      <c r="J41" s="31"/>
      <c r="K41" s="29"/>
      <c r="L41" s="38">
        <f>SUM(L31:L40)</f>
        <v>23800</v>
      </c>
      <c r="M41" s="38">
        <f>SUM(M31:M40)</f>
        <v>1673.23</v>
      </c>
      <c r="N41" s="42">
        <f>M41/L41</f>
        <v>7.0303781512605037E-2</v>
      </c>
    </row>
    <row r="42" spans="1:15" hidden="1">
      <c r="A42" s="27">
        <f t="shared" si="0"/>
        <v>34</v>
      </c>
      <c r="B42" s="118"/>
      <c r="C42" s="485" t="s">
        <v>81</v>
      </c>
      <c r="D42" s="27"/>
      <c r="E42" s="28"/>
      <c r="F42" s="29"/>
      <c r="G42" s="28"/>
      <c r="H42" s="30"/>
      <c r="I42" s="30"/>
      <c r="J42" s="31"/>
      <c r="K42" s="29"/>
      <c r="L42" s="46">
        <f>L22</f>
        <v>23800</v>
      </c>
      <c r="M42" s="46">
        <f>M22</f>
        <v>1673.23</v>
      </c>
      <c r="N42" s="43">
        <f>M42/L42</f>
        <v>7.0303781512605037E-2</v>
      </c>
    </row>
    <row r="43" spans="1:15" hidden="1">
      <c r="A43" s="27">
        <f t="shared" si="0"/>
        <v>35</v>
      </c>
      <c r="B43" s="118"/>
      <c r="C43" s="485" t="s">
        <v>26</v>
      </c>
      <c r="D43" s="27"/>
      <c r="E43" s="28"/>
      <c r="F43" s="29"/>
      <c r="G43" s="28"/>
      <c r="H43" s="30"/>
      <c r="I43" s="30"/>
      <c r="J43" s="31"/>
      <c r="K43" s="29"/>
      <c r="L43" s="41">
        <f>SUM(L41:L42)</f>
        <v>47600</v>
      </c>
      <c r="M43" s="41">
        <f>SUM(M41:M42)</f>
        <v>3346.46</v>
      </c>
      <c r="N43" s="790"/>
    </row>
    <row r="44" spans="1:15" ht="13.5" hidden="1" thickBot="1">
      <c r="A44" s="27">
        <f t="shared" si="0"/>
        <v>36</v>
      </c>
      <c r="B44" s="118"/>
      <c r="C44" s="485" t="s">
        <v>37</v>
      </c>
      <c r="D44" s="27"/>
      <c r="E44" s="28"/>
      <c r="F44" s="29"/>
      <c r="G44" s="28"/>
      <c r="H44" s="30"/>
      <c r="I44" s="30"/>
      <c r="J44" s="31"/>
      <c r="K44" s="29"/>
      <c r="L44" s="44">
        <f>L43/2</f>
        <v>23800</v>
      </c>
      <c r="M44" s="44">
        <f>M43/2</f>
        <v>1673.23</v>
      </c>
      <c r="N44" s="45">
        <f>M44/L44</f>
        <v>7.0303781512605037E-2</v>
      </c>
    </row>
    <row r="45" spans="1:15">
      <c r="B45" s="118"/>
      <c r="C45" s="485"/>
      <c r="D45" s="27"/>
      <c r="E45" s="28"/>
      <c r="F45" s="29"/>
      <c r="G45" s="28"/>
      <c r="H45" s="30"/>
      <c r="I45" s="30"/>
      <c r="J45" s="31"/>
      <c r="K45" s="29"/>
      <c r="L45" s="344"/>
      <c r="M45" s="344"/>
    </row>
    <row r="46" spans="1:15">
      <c r="A46" s="27">
        <v>1</v>
      </c>
      <c r="B46" s="32" t="s">
        <v>8</v>
      </c>
      <c r="C46" s="485"/>
      <c r="D46" s="485"/>
      <c r="E46" s="485"/>
      <c r="F46" s="485"/>
      <c r="G46" s="485"/>
      <c r="H46" s="485"/>
      <c r="I46" s="33" t="s">
        <v>60</v>
      </c>
      <c r="J46" s="26"/>
      <c r="K46" s="485"/>
      <c r="L46" s="485"/>
      <c r="M46" s="485"/>
    </row>
    <row r="47" spans="1:15">
      <c r="A47" s="27">
        <f t="shared" ref="A47:A58" si="9">A46+1</f>
        <v>2</v>
      </c>
      <c r="C47" s="467"/>
      <c r="D47" s="467"/>
      <c r="E47" s="467"/>
      <c r="F47" s="467"/>
      <c r="G47" s="467"/>
      <c r="H47" s="467" t="s">
        <v>61</v>
      </c>
      <c r="I47" s="467" t="s">
        <v>27</v>
      </c>
      <c r="J47" s="467" t="s">
        <v>62</v>
      </c>
      <c r="L47" s="467" t="s">
        <v>61</v>
      </c>
      <c r="M47" s="467" t="s">
        <v>27</v>
      </c>
      <c r="N47" s="467" t="s">
        <v>63</v>
      </c>
    </row>
    <row r="48" spans="1:15">
      <c r="A48" s="27">
        <f t="shared" si="9"/>
        <v>3</v>
      </c>
      <c r="B48" s="34"/>
      <c r="C48" s="467"/>
      <c r="D48" s="467"/>
      <c r="E48" s="467" t="s">
        <v>64</v>
      </c>
      <c r="F48" s="467" t="s">
        <v>65</v>
      </c>
      <c r="G48" s="467" t="s">
        <v>66</v>
      </c>
      <c r="H48" s="467" t="s">
        <v>67</v>
      </c>
      <c r="I48" s="467" t="s">
        <v>26</v>
      </c>
      <c r="J48" s="467" t="s">
        <v>61</v>
      </c>
      <c r="K48" s="467" t="s">
        <v>73</v>
      </c>
      <c r="L48" s="467" t="s">
        <v>74</v>
      </c>
      <c r="M48" s="467" t="s">
        <v>75</v>
      </c>
      <c r="N48" s="467" t="s">
        <v>76</v>
      </c>
    </row>
    <row r="49" spans="1:14">
      <c r="A49" s="27">
        <f t="shared" si="9"/>
        <v>4</v>
      </c>
      <c r="B49" s="34"/>
      <c r="C49" s="35" t="s">
        <v>178</v>
      </c>
      <c r="D49" s="35" t="s">
        <v>77</v>
      </c>
      <c r="E49" s="35" t="s">
        <v>78</v>
      </c>
      <c r="F49" s="35" t="s">
        <v>38</v>
      </c>
      <c r="G49" s="35" t="s">
        <v>78</v>
      </c>
      <c r="H49" s="35" t="s">
        <v>79</v>
      </c>
      <c r="I49" s="35" t="s">
        <v>67</v>
      </c>
      <c r="J49" s="35" t="s">
        <v>67</v>
      </c>
      <c r="K49" s="35" t="s">
        <v>103</v>
      </c>
      <c r="L49" s="36">
        <v>39813</v>
      </c>
      <c r="M49" s="35" t="s">
        <v>39</v>
      </c>
      <c r="N49" s="35" t="s">
        <v>80</v>
      </c>
    </row>
    <row r="50" spans="1:14">
      <c r="A50" s="27">
        <f t="shared" si="9"/>
        <v>5</v>
      </c>
      <c r="B50" s="118"/>
      <c r="C50" s="485"/>
      <c r="D50" s="39" t="s">
        <v>376</v>
      </c>
      <c r="E50" s="40">
        <v>32842</v>
      </c>
      <c r="F50" s="37">
        <v>0.1028</v>
      </c>
      <c r="G50" s="384">
        <v>2009</v>
      </c>
      <c r="H50" s="791">
        <v>2000</v>
      </c>
      <c r="I50" s="791">
        <f>H50</f>
        <v>2000</v>
      </c>
      <c r="J50" s="799">
        <f t="shared" ref="J50:J60" si="10">I50/H50*100</f>
        <v>100</v>
      </c>
      <c r="K50" s="155">
        <v>0.1033</v>
      </c>
      <c r="L50" s="792">
        <f t="shared" ref="L50:L58" si="11">I50</f>
        <v>2000</v>
      </c>
      <c r="M50" s="791">
        <f t="shared" ref="M50:M58" si="12">L50*K50</f>
        <v>206.6</v>
      </c>
    </row>
    <row r="51" spans="1:14">
      <c r="A51" s="27">
        <f t="shared" si="9"/>
        <v>6</v>
      </c>
      <c r="B51" s="118"/>
      <c r="C51" s="485"/>
      <c r="D51" s="39" t="s">
        <v>379</v>
      </c>
      <c r="E51" s="40">
        <v>33205</v>
      </c>
      <c r="F51" s="37">
        <v>0.11849999999999999</v>
      </c>
      <c r="G51" s="384">
        <v>2020</v>
      </c>
      <c r="H51" s="792">
        <v>1500</v>
      </c>
      <c r="I51" s="792">
        <f>H51</f>
        <v>1500</v>
      </c>
      <c r="J51" s="800">
        <f t="shared" si="10"/>
        <v>100</v>
      </c>
      <c r="K51" s="155">
        <v>0.1191</v>
      </c>
      <c r="L51" s="792">
        <f t="shared" si="11"/>
        <v>1500</v>
      </c>
      <c r="M51" s="792">
        <f t="shared" si="12"/>
        <v>178.65</v>
      </c>
      <c r="N51" s="483"/>
    </row>
    <row r="52" spans="1:14">
      <c r="A52" s="27">
        <f t="shared" si="9"/>
        <v>7</v>
      </c>
      <c r="B52" s="118"/>
      <c r="D52" s="39" t="s">
        <v>380</v>
      </c>
      <c r="E52" s="40">
        <v>33732</v>
      </c>
      <c r="F52" s="37">
        <v>9.4600000000000004E-2</v>
      </c>
      <c r="G52" s="384">
        <v>2023</v>
      </c>
      <c r="H52" s="792">
        <v>2500</v>
      </c>
      <c r="I52" s="791">
        <f>H52</f>
        <v>2500</v>
      </c>
      <c r="J52" s="799">
        <f t="shared" si="10"/>
        <v>100</v>
      </c>
      <c r="K52" s="155">
        <v>9.5100000000000004E-2</v>
      </c>
      <c r="L52" s="792">
        <f t="shared" si="11"/>
        <v>2500</v>
      </c>
      <c r="M52" s="792">
        <f t="shared" si="12"/>
        <v>237.75</v>
      </c>
    </row>
    <row r="53" spans="1:14">
      <c r="A53" s="27">
        <f t="shared" si="9"/>
        <v>8</v>
      </c>
      <c r="B53" s="118"/>
      <c r="C53" s="485"/>
      <c r="D53" s="39" t="s">
        <v>102</v>
      </c>
      <c r="E53" s="40">
        <v>36385</v>
      </c>
      <c r="F53" s="37">
        <v>6.8000000000000005E-2</v>
      </c>
      <c r="G53" s="39">
        <v>2019</v>
      </c>
      <c r="H53" s="791">
        <v>4500</v>
      </c>
      <c r="I53" s="791">
        <f>H53</f>
        <v>4500</v>
      </c>
      <c r="J53" s="799">
        <f t="shared" si="10"/>
        <v>100</v>
      </c>
      <c r="K53" s="37">
        <v>6.8500000000000005E-2</v>
      </c>
      <c r="L53" s="792">
        <f t="shared" si="11"/>
        <v>4500</v>
      </c>
      <c r="M53" s="792">
        <f t="shared" si="12"/>
        <v>308.25</v>
      </c>
    </row>
    <row r="54" spans="1:14">
      <c r="A54" s="27">
        <f t="shared" si="9"/>
        <v>9</v>
      </c>
      <c r="B54" s="118"/>
      <c r="C54" s="485"/>
      <c r="D54" s="39" t="s">
        <v>382</v>
      </c>
      <c r="E54" s="40">
        <v>37582</v>
      </c>
      <c r="F54" s="37">
        <v>6.1600000000000002E-2</v>
      </c>
      <c r="G54" s="39">
        <v>2017</v>
      </c>
      <c r="H54" s="791">
        <v>3900</v>
      </c>
      <c r="I54" s="791">
        <f t="shared" ref="I54:I60" si="13">H54</f>
        <v>3900</v>
      </c>
      <c r="J54" s="799">
        <f t="shared" si="10"/>
        <v>100</v>
      </c>
      <c r="K54" s="37">
        <v>6.2100000000000002E-2</v>
      </c>
      <c r="L54" s="792">
        <f t="shared" si="11"/>
        <v>3900</v>
      </c>
      <c r="M54" s="792">
        <f t="shared" si="12"/>
        <v>242.19</v>
      </c>
    </row>
    <row r="55" spans="1:14">
      <c r="A55" s="27">
        <f t="shared" si="9"/>
        <v>10</v>
      </c>
      <c r="B55" s="118"/>
      <c r="C55" s="485"/>
      <c r="D55" s="39" t="s">
        <v>383</v>
      </c>
      <c r="E55" s="40">
        <v>38009</v>
      </c>
      <c r="F55" s="37">
        <v>5.4199999999999998E-2</v>
      </c>
      <c r="G55" s="39">
        <v>2019</v>
      </c>
      <c r="H55" s="791">
        <v>1000</v>
      </c>
      <c r="I55" s="791">
        <f t="shared" si="13"/>
        <v>1000</v>
      </c>
      <c r="J55" s="799">
        <f t="shared" si="10"/>
        <v>100</v>
      </c>
      <c r="K55" s="37">
        <v>5.4699999999999999E-2</v>
      </c>
      <c r="L55" s="792">
        <f t="shared" si="11"/>
        <v>1000</v>
      </c>
      <c r="M55" s="792">
        <f t="shared" si="12"/>
        <v>54.699999999999996</v>
      </c>
    </row>
    <row r="56" spans="1:14">
      <c r="A56" s="27">
        <f t="shared" si="9"/>
        <v>11</v>
      </c>
      <c r="B56" s="118"/>
      <c r="C56" s="485"/>
      <c r="D56" s="39" t="s">
        <v>384</v>
      </c>
      <c r="E56" s="40">
        <v>38309</v>
      </c>
      <c r="F56" s="37">
        <v>5.11E-2</v>
      </c>
      <c r="G56" s="39">
        <v>2014</v>
      </c>
      <c r="H56" s="791">
        <v>500</v>
      </c>
      <c r="I56" s="791">
        <f t="shared" si="13"/>
        <v>500</v>
      </c>
      <c r="J56" s="799">
        <f t="shared" si="10"/>
        <v>100</v>
      </c>
      <c r="K56" s="37">
        <v>5.16E-2</v>
      </c>
      <c r="L56" s="792">
        <f t="shared" si="11"/>
        <v>500</v>
      </c>
      <c r="M56" s="792">
        <f t="shared" si="12"/>
        <v>25.8</v>
      </c>
    </row>
    <row r="57" spans="1:14">
      <c r="A57" s="27">
        <f t="shared" si="9"/>
        <v>12</v>
      </c>
      <c r="B57" s="118"/>
      <c r="C57" s="485"/>
      <c r="D57" s="39" t="s">
        <v>385</v>
      </c>
      <c r="E57" s="40">
        <v>38677</v>
      </c>
      <c r="F57" s="37">
        <v>5.1799999999999999E-2</v>
      </c>
      <c r="G57" s="39">
        <v>2035</v>
      </c>
      <c r="H57" s="791">
        <v>4300</v>
      </c>
      <c r="I57" s="791">
        <f t="shared" si="13"/>
        <v>4300</v>
      </c>
      <c r="J57" s="799">
        <f t="shared" si="10"/>
        <v>100</v>
      </c>
      <c r="K57" s="37">
        <v>5.2299999999999999E-2</v>
      </c>
      <c r="L57" s="792">
        <f t="shared" si="11"/>
        <v>4300</v>
      </c>
      <c r="M57" s="792">
        <f t="shared" si="12"/>
        <v>224.89</v>
      </c>
    </row>
    <row r="58" spans="1:14">
      <c r="A58" s="27">
        <f t="shared" si="9"/>
        <v>13</v>
      </c>
      <c r="B58" s="118"/>
      <c r="C58" s="485"/>
      <c r="D58" s="39" t="s">
        <v>386</v>
      </c>
      <c r="E58" s="40">
        <v>39041</v>
      </c>
      <c r="F58" s="37">
        <v>5.0200000000000002E-2</v>
      </c>
      <c r="G58" s="39">
        <v>2036</v>
      </c>
      <c r="H58" s="792">
        <v>3000</v>
      </c>
      <c r="I58" s="791">
        <f t="shared" si="13"/>
        <v>3000</v>
      </c>
      <c r="J58" s="799">
        <f t="shared" si="10"/>
        <v>100</v>
      </c>
      <c r="K58" s="37">
        <v>5.0700000000000002E-2</v>
      </c>
      <c r="L58" s="792">
        <f t="shared" si="11"/>
        <v>3000</v>
      </c>
      <c r="M58" s="792">
        <f t="shared" si="12"/>
        <v>152.1</v>
      </c>
    </row>
    <row r="59" spans="1:14">
      <c r="A59" s="27">
        <f t="shared" ref="A59:A87" si="14">A58+1</f>
        <v>14</v>
      </c>
      <c r="B59" s="118"/>
      <c r="C59" s="485"/>
      <c r="D59" s="39" t="s">
        <v>9</v>
      </c>
      <c r="E59" s="361">
        <v>39594</v>
      </c>
      <c r="F59" s="37">
        <f>+K59-0.0005</f>
        <v>5.57E-2</v>
      </c>
      <c r="G59" s="384">
        <v>2038</v>
      </c>
      <c r="H59" s="792">
        <v>1290</v>
      </c>
      <c r="I59" s="791">
        <f t="shared" si="13"/>
        <v>1290</v>
      </c>
      <c r="J59" s="799">
        <f t="shared" si="10"/>
        <v>100</v>
      </c>
      <c r="K59" s="37">
        <v>5.62E-2</v>
      </c>
      <c r="L59" s="792">
        <f>I59</f>
        <v>1290</v>
      </c>
      <c r="M59" s="792">
        <f>L59*K59</f>
        <v>72.498000000000005</v>
      </c>
    </row>
    <row r="60" spans="1:14">
      <c r="A60" s="27">
        <f t="shared" si="14"/>
        <v>15</v>
      </c>
      <c r="B60" s="118"/>
      <c r="C60" s="485"/>
      <c r="D60" s="39" t="s">
        <v>417</v>
      </c>
      <c r="E60" s="361">
        <v>39594</v>
      </c>
      <c r="F60" s="37">
        <f>+K60-0.0005</f>
        <v>5.5599999999999997E-2</v>
      </c>
      <c r="G60" s="384">
        <v>2028</v>
      </c>
      <c r="H60" s="793">
        <v>860</v>
      </c>
      <c r="I60" s="791">
        <f t="shared" si="13"/>
        <v>860</v>
      </c>
      <c r="J60" s="799">
        <f t="shared" si="10"/>
        <v>100</v>
      </c>
      <c r="K60" s="37">
        <v>5.6099999999999997E-2</v>
      </c>
      <c r="L60" s="793">
        <f>I60</f>
        <v>860</v>
      </c>
      <c r="M60" s="793">
        <f>L60*K60</f>
        <v>48.245999999999995</v>
      </c>
    </row>
    <row r="61" spans="1:14">
      <c r="A61" s="27">
        <f t="shared" si="14"/>
        <v>16</v>
      </c>
      <c r="B61" s="118"/>
      <c r="C61" s="485" t="s">
        <v>26</v>
      </c>
      <c r="D61" s="27"/>
      <c r="E61" s="28"/>
      <c r="F61" s="29"/>
      <c r="G61" s="28"/>
      <c r="H61" s="794">
        <f>SUM(H50:H60)</f>
        <v>25350</v>
      </c>
      <c r="I61" s="791"/>
      <c r="J61" s="31"/>
      <c r="K61" s="29"/>
      <c r="L61" s="794">
        <f>SUM(L50:L60)</f>
        <v>25350</v>
      </c>
      <c r="M61" s="794">
        <f>SUM(M50:M60)</f>
        <v>1751.674</v>
      </c>
      <c r="N61" s="42">
        <f>M61/L61</f>
        <v>6.9099566074950686E-2</v>
      </c>
    </row>
    <row r="62" spans="1:14">
      <c r="A62" s="27">
        <f t="shared" si="14"/>
        <v>17</v>
      </c>
      <c r="B62" s="118"/>
      <c r="C62" s="485" t="s">
        <v>81</v>
      </c>
      <c r="D62" s="27"/>
      <c r="E62" s="28"/>
      <c r="F62" s="29"/>
      <c r="G62" s="28"/>
      <c r="H62" s="30"/>
      <c r="I62" s="30"/>
      <c r="J62" s="31"/>
      <c r="K62" s="29"/>
      <c r="L62" s="793">
        <f>L41</f>
        <v>23800</v>
      </c>
      <c r="M62" s="793">
        <f>M41</f>
        <v>1673.23</v>
      </c>
      <c r="N62" s="43">
        <f>M62/L62</f>
        <v>7.0303781512605037E-2</v>
      </c>
    </row>
    <row r="63" spans="1:14">
      <c r="A63" s="27">
        <f t="shared" si="14"/>
        <v>18</v>
      </c>
      <c r="B63" s="118"/>
      <c r="C63" s="485" t="s">
        <v>26</v>
      </c>
      <c r="D63" s="27"/>
      <c r="E63" s="28"/>
      <c r="F63" s="29"/>
      <c r="G63" s="28"/>
      <c r="H63" s="30"/>
      <c r="I63" s="30"/>
      <c r="J63" s="31"/>
      <c r="K63" s="29"/>
      <c r="L63" s="795">
        <f>SUM(L61:L62)</f>
        <v>49150</v>
      </c>
      <c r="M63" s="795">
        <f>SUM(M61:M62)</f>
        <v>3424.904</v>
      </c>
      <c r="N63" s="790"/>
    </row>
    <row r="64" spans="1:14" ht="13.5" thickBot="1">
      <c r="A64" s="27">
        <f t="shared" si="14"/>
        <v>19</v>
      </c>
      <c r="B64" s="118"/>
      <c r="C64" s="485" t="s">
        <v>37</v>
      </c>
      <c r="D64" s="27"/>
      <c r="E64" s="28"/>
      <c r="F64" s="29"/>
      <c r="G64" s="28"/>
      <c r="H64" s="30"/>
      <c r="I64" s="30"/>
      <c r="J64" s="31"/>
      <c r="K64" s="29"/>
      <c r="L64" s="796">
        <f>L63/2</f>
        <v>24575</v>
      </c>
      <c r="M64" s="796">
        <f>M63/2</f>
        <v>1712.452</v>
      </c>
      <c r="N64" s="45">
        <f>M64/L64</f>
        <v>6.9682685656154625E-2</v>
      </c>
    </row>
    <row r="65" spans="1:14" ht="13.5" thickTop="1">
      <c r="A65" s="27">
        <f t="shared" si="14"/>
        <v>20</v>
      </c>
      <c r="B65" s="118"/>
      <c r="C65" s="485"/>
      <c r="D65" s="27"/>
      <c r="E65" s="28"/>
      <c r="F65" s="29"/>
      <c r="G65" s="28"/>
      <c r="H65" s="30"/>
      <c r="I65" s="30"/>
      <c r="J65" s="31"/>
      <c r="K65" s="29"/>
      <c r="L65" s="344"/>
      <c r="M65" s="344"/>
      <c r="N65" s="107"/>
    </row>
    <row r="66" spans="1:14">
      <c r="A66" s="27">
        <f t="shared" si="14"/>
        <v>21</v>
      </c>
      <c r="B66" s="32" t="s">
        <v>12</v>
      </c>
      <c r="C66" s="485"/>
      <c r="D66" s="485"/>
      <c r="E66" s="485"/>
      <c r="F66" s="485"/>
      <c r="G66" s="485"/>
      <c r="H66" s="485"/>
      <c r="I66" s="33" t="s">
        <v>60</v>
      </c>
      <c r="J66" s="26"/>
      <c r="K66" s="485"/>
      <c r="L66" s="485"/>
      <c r="M66" s="485"/>
    </row>
    <row r="67" spans="1:14">
      <c r="A67" s="27">
        <f t="shared" si="14"/>
        <v>22</v>
      </c>
      <c r="C67" s="467"/>
      <c r="D67" s="467"/>
      <c r="E67" s="467"/>
      <c r="F67" s="467"/>
      <c r="G67" s="467"/>
      <c r="H67" s="467" t="s">
        <v>61</v>
      </c>
      <c r="I67" s="467" t="s">
        <v>27</v>
      </c>
      <c r="J67" s="467" t="s">
        <v>62</v>
      </c>
      <c r="L67" s="467" t="s">
        <v>61</v>
      </c>
      <c r="M67" s="467" t="s">
        <v>27</v>
      </c>
      <c r="N67" s="467" t="s">
        <v>63</v>
      </c>
    </row>
    <row r="68" spans="1:14">
      <c r="A68" s="27">
        <f t="shared" si="14"/>
        <v>23</v>
      </c>
      <c r="B68" s="34"/>
      <c r="C68" s="467"/>
      <c r="D68" s="467"/>
      <c r="E68" s="467" t="s">
        <v>64</v>
      </c>
      <c r="F68" s="467" t="s">
        <v>65</v>
      </c>
      <c r="G68" s="467" t="s">
        <v>66</v>
      </c>
      <c r="H68" s="467" t="s">
        <v>67</v>
      </c>
      <c r="I68" s="467" t="s">
        <v>26</v>
      </c>
      <c r="J68" s="467" t="s">
        <v>61</v>
      </c>
      <c r="K68" s="467" t="s">
        <v>73</v>
      </c>
      <c r="L68" s="467" t="s">
        <v>74</v>
      </c>
      <c r="M68" s="467" t="s">
        <v>75</v>
      </c>
      <c r="N68" s="467" t="s">
        <v>76</v>
      </c>
    </row>
    <row r="69" spans="1:14">
      <c r="A69" s="27">
        <f t="shared" si="14"/>
        <v>24</v>
      </c>
      <c r="B69" s="34"/>
      <c r="C69" s="35" t="s">
        <v>178</v>
      </c>
      <c r="D69" s="35" t="s">
        <v>77</v>
      </c>
      <c r="E69" s="35" t="s">
        <v>78</v>
      </c>
      <c r="F69" s="35" t="s">
        <v>38</v>
      </c>
      <c r="G69" s="35" t="s">
        <v>78</v>
      </c>
      <c r="H69" s="35" t="s">
        <v>79</v>
      </c>
      <c r="I69" s="35" t="s">
        <v>67</v>
      </c>
      <c r="J69" s="35" t="s">
        <v>67</v>
      </c>
      <c r="K69" s="35" t="s">
        <v>103</v>
      </c>
      <c r="L69" s="36">
        <v>40178</v>
      </c>
      <c r="M69" s="35" t="s">
        <v>39</v>
      </c>
      <c r="N69" s="35" t="s">
        <v>80</v>
      </c>
    </row>
    <row r="70" spans="1:14">
      <c r="A70" s="27">
        <f t="shared" si="14"/>
        <v>25</v>
      </c>
      <c r="B70" s="118"/>
      <c r="C70" s="485"/>
      <c r="D70" s="39" t="s">
        <v>376</v>
      </c>
      <c r="E70" s="40">
        <v>32842</v>
      </c>
      <c r="F70" s="37">
        <v>0.1028</v>
      </c>
      <c r="G70" s="384">
        <v>2009</v>
      </c>
      <c r="H70" s="791">
        <v>2000</v>
      </c>
      <c r="I70" s="791">
        <v>2000</v>
      </c>
      <c r="J70" s="799">
        <v>100</v>
      </c>
      <c r="K70" s="155">
        <v>0.1033</v>
      </c>
      <c r="L70" s="792">
        <v>0</v>
      </c>
      <c r="M70" s="791">
        <v>0</v>
      </c>
    </row>
    <row r="71" spans="1:14">
      <c r="A71" s="27">
        <f t="shared" si="14"/>
        <v>26</v>
      </c>
      <c r="B71" s="118"/>
      <c r="C71" s="485"/>
      <c r="D71" s="39" t="s">
        <v>379</v>
      </c>
      <c r="E71" s="40">
        <v>33205</v>
      </c>
      <c r="F71" s="37">
        <v>0.11849999999999999</v>
      </c>
      <c r="G71" s="384">
        <v>2020</v>
      </c>
      <c r="H71" s="792">
        <v>1500</v>
      </c>
      <c r="I71" s="792">
        <v>1500</v>
      </c>
      <c r="J71" s="800">
        <v>100</v>
      </c>
      <c r="K71" s="155">
        <v>0.1191</v>
      </c>
      <c r="L71" s="792">
        <v>1500</v>
      </c>
      <c r="M71" s="792">
        <v>178.65</v>
      </c>
      <c r="N71" s="483"/>
    </row>
    <row r="72" spans="1:14">
      <c r="A72" s="27">
        <f t="shared" si="14"/>
        <v>27</v>
      </c>
      <c r="B72" s="118"/>
      <c r="D72" s="39" t="s">
        <v>380</v>
      </c>
      <c r="E72" s="40">
        <v>33732</v>
      </c>
      <c r="F72" s="37">
        <v>9.4600000000000004E-2</v>
      </c>
      <c r="G72" s="384">
        <v>2023</v>
      </c>
      <c r="H72" s="792">
        <v>2500</v>
      </c>
      <c r="I72" s="791">
        <v>2500</v>
      </c>
      <c r="J72" s="799">
        <v>100</v>
      </c>
      <c r="K72" s="155">
        <v>9.5100000000000004E-2</v>
      </c>
      <c r="L72" s="792">
        <v>2500</v>
      </c>
      <c r="M72" s="792">
        <v>237.75</v>
      </c>
    </row>
    <row r="73" spans="1:14">
      <c r="A73" s="27">
        <f t="shared" si="14"/>
        <v>28</v>
      </c>
      <c r="B73" s="118"/>
      <c r="C73" s="485"/>
      <c r="D73" s="39" t="s">
        <v>102</v>
      </c>
      <c r="E73" s="40">
        <v>36385</v>
      </c>
      <c r="F73" s="37">
        <v>6.8000000000000005E-2</v>
      </c>
      <c r="G73" s="39">
        <v>2019</v>
      </c>
      <c r="H73" s="791">
        <v>4500</v>
      </c>
      <c r="I73" s="791">
        <v>4500</v>
      </c>
      <c r="J73" s="799">
        <v>100</v>
      </c>
      <c r="K73" s="37">
        <v>6.8500000000000005E-2</v>
      </c>
      <c r="L73" s="792">
        <v>4500</v>
      </c>
      <c r="M73" s="792">
        <v>308.25</v>
      </c>
    </row>
    <row r="74" spans="1:14">
      <c r="A74" s="27">
        <f t="shared" si="14"/>
        <v>29</v>
      </c>
      <c r="B74" s="118"/>
      <c r="C74" s="485"/>
      <c r="D74" s="39" t="s">
        <v>381</v>
      </c>
      <c r="E74" s="40">
        <v>36679</v>
      </c>
      <c r="F74" s="37">
        <v>7.0000000000000007E-2</v>
      </c>
      <c r="G74" s="39">
        <v>2008</v>
      </c>
      <c r="H74" s="791">
        <v>0</v>
      </c>
      <c r="I74" s="791">
        <v>0</v>
      </c>
      <c r="J74" s="799">
        <v>0</v>
      </c>
      <c r="K74" s="37">
        <v>7.0499999999999993E-2</v>
      </c>
      <c r="L74" s="792">
        <v>0</v>
      </c>
      <c r="M74" s="792">
        <v>0</v>
      </c>
    </row>
    <row r="75" spans="1:14">
      <c r="A75" s="27">
        <f t="shared" si="14"/>
        <v>30</v>
      </c>
      <c r="B75" s="118"/>
      <c r="C75" s="485"/>
      <c r="D75" s="39" t="s">
        <v>382</v>
      </c>
      <c r="E75" s="40">
        <v>37582</v>
      </c>
      <c r="F75" s="37">
        <v>6.1600000000000002E-2</v>
      </c>
      <c r="G75" s="39">
        <v>2017</v>
      </c>
      <c r="H75" s="791">
        <v>3900</v>
      </c>
      <c r="I75" s="791">
        <v>3900</v>
      </c>
      <c r="J75" s="799">
        <v>100</v>
      </c>
      <c r="K75" s="37">
        <v>6.2100000000000002E-2</v>
      </c>
      <c r="L75" s="792">
        <v>3900</v>
      </c>
      <c r="M75" s="792">
        <v>242.19</v>
      </c>
    </row>
    <row r="76" spans="1:14">
      <c r="A76" s="27">
        <f t="shared" si="14"/>
        <v>31</v>
      </c>
      <c r="B76" s="118"/>
      <c r="C76" s="485"/>
      <c r="D76" s="39" t="s">
        <v>383</v>
      </c>
      <c r="E76" s="40">
        <v>38009</v>
      </c>
      <c r="F76" s="37">
        <v>5.4199999999999998E-2</v>
      </c>
      <c r="G76" s="39">
        <v>2019</v>
      </c>
      <c r="H76" s="791">
        <v>1000</v>
      </c>
      <c r="I76" s="791">
        <v>1000</v>
      </c>
      <c r="J76" s="799">
        <v>100</v>
      </c>
      <c r="K76" s="37">
        <v>5.4699999999999999E-2</v>
      </c>
      <c r="L76" s="792">
        <v>1000</v>
      </c>
      <c r="M76" s="792">
        <v>54.7</v>
      </c>
    </row>
    <row r="77" spans="1:14">
      <c r="A77" s="27">
        <f t="shared" si="14"/>
        <v>32</v>
      </c>
      <c r="B77" s="118"/>
      <c r="C77" s="485"/>
      <c r="D77" s="39" t="s">
        <v>384</v>
      </c>
      <c r="E77" s="40">
        <v>38309</v>
      </c>
      <c r="F77" s="37">
        <v>5.11E-2</v>
      </c>
      <c r="G77" s="39">
        <v>2014</v>
      </c>
      <c r="H77" s="791">
        <v>500</v>
      </c>
      <c r="I77" s="791">
        <v>500</v>
      </c>
      <c r="J77" s="799">
        <v>100</v>
      </c>
      <c r="K77" s="37">
        <v>5.16E-2</v>
      </c>
      <c r="L77" s="792">
        <v>500</v>
      </c>
      <c r="M77" s="792">
        <v>25.8</v>
      </c>
    </row>
    <row r="78" spans="1:14">
      <c r="A78" s="27">
        <f t="shared" si="14"/>
        <v>33</v>
      </c>
      <c r="B78" s="118"/>
      <c r="C78" s="485"/>
      <c r="D78" s="39" t="s">
        <v>385</v>
      </c>
      <c r="E78" s="40">
        <v>38677</v>
      </c>
      <c r="F78" s="37">
        <v>5.1799999999999999E-2</v>
      </c>
      <c r="G78" s="39">
        <v>2035</v>
      </c>
      <c r="H78" s="792">
        <v>4300</v>
      </c>
      <c r="I78" s="791">
        <v>4300</v>
      </c>
      <c r="J78" s="799">
        <v>100</v>
      </c>
      <c r="K78" s="37">
        <v>5.2299999999999999E-2</v>
      </c>
      <c r="L78" s="792">
        <v>4300</v>
      </c>
      <c r="M78" s="792">
        <v>224.89</v>
      </c>
    </row>
    <row r="79" spans="1:14">
      <c r="A79" s="27">
        <f t="shared" si="14"/>
        <v>34</v>
      </c>
      <c r="B79" s="118"/>
      <c r="C79" s="485"/>
      <c r="D79" s="39" t="s">
        <v>386</v>
      </c>
      <c r="E79" s="361">
        <v>39041</v>
      </c>
      <c r="F79" s="37">
        <v>5.0200000000000002E-2</v>
      </c>
      <c r="G79" s="39">
        <v>2036</v>
      </c>
      <c r="H79" s="792">
        <v>3000</v>
      </c>
      <c r="I79" s="791">
        <v>3000</v>
      </c>
      <c r="J79" s="799">
        <v>100</v>
      </c>
      <c r="K79" s="37">
        <v>5.0700000000000002E-2</v>
      </c>
      <c r="L79" s="792">
        <v>3000</v>
      </c>
      <c r="M79" s="792">
        <v>152.1</v>
      </c>
    </row>
    <row r="80" spans="1:14">
      <c r="A80" s="27">
        <f t="shared" si="14"/>
        <v>35</v>
      </c>
      <c r="B80" s="118"/>
      <c r="C80" s="485"/>
      <c r="D80" s="39" t="s">
        <v>13</v>
      </c>
      <c r="E80" s="361">
        <v>39594</v>
      </c>
      <c r="F80" s="37">
        <v>5.6599999999999998E-2</v>
      </c>
      <c r="G80" s="39">
        <v>2028</v>
      </c>
      <c r="H80" s="792">
        <v>860</v>
      </c>
      <c r="I80" s="791">
        <v>860</v>
      </c>
      <c r="J80" s="799">
        <v>100</v>
      </c>
      <c r="K80" s="37">
        <v>5.6099999999999997E-2</v>
      </c>
      <c r="L80" s="792">
        <v>860</v>
      </c>
      <c r="M80" s="792">
        <v>48.245999999999995</v>
      </c>
      <c r="N80" s="483"/>
    </row>
    <row r="81" spans="1:16">
      <c r="A81" s="27">
        <f t="shared" si="14"/>
        <v>36</v>
      </c>
      <c r="B81" s="118"/>
      <c r="C81" s="485"/>
      <c r="D81" s="27" t="s">
        <v>417</v>
      </c>
      <c r="E81" s="28">
        <v>39594</v>
      </c>
      <c r="F81" s="37">
        <v>5.67E-2</v>
      </c>
      <c r="G81" s="27">
        <v>2038</v>
      </c>
      <c r="H81" s="794">
        <v>1290</v>
      </c>
      <c r="I81" s="791">
        <v>1290</v>
      </c>
      <c r="J81" s="799">
        <v>100</v>
      </c>
      <c r="K81" s="37">
        <v>5.62E-2</v>
      </c>
      <c r="L81" s="797">
        <v>1290</v>
      </c>
      <c r="M81" s="797">
        <v>72.498000000000005</v>
      </c>
      <c r="N81" s="396"/>
    </row>
    <row r="82" spans="1:16">
      <c r="A82" s="27">
        <f t="shared" si="14"/>
        <v>37</v>
      </c>
      <c r="B82" s="118"/>
      <c r="C82" s="485"/>
      <c r="D82" s="27" t="s">
        <v>418</v>
      </c>
      <c r="E82" s="28">
        <v>39878</v>
      </c>
      <c r="F82" s="37"/>
      <c r="G82" s="27">
        <v>2024</v>
      </c>
      <c r="H82" s="791">
        <v>2900</v>
      </c>
      <c r="I82" s="791">
        <v>2900</v>
      </c>
      <c r="J82" s="799">
        <v>100</v>
      </c>
      <c r="K82" s="37">
        <v>6.2799999999999995E-2</v>
      </c>
      <c r="L82" s="792">
        <v>2900</v>
      </c>
      <c r="M82" s="792">
        <v>182.12</v>
      </c>
      <c r="N82" s="396"/>
    </row>
    <row r="83" spans="1:16">
      <c r="A83" s="27">
        <f t="shared" si="14"/>
        <v>38</v>
      </c>
      <c r="B83" s="118"/>
      <c r="C83" s="485"/>
      <c r="D83" s="27" t="s">
        <v>14</v>
      </c>
      <c r="E83" s="28">
        <v>39878</v>
      </c>
      <c r="F83" s="37"/>
      <c r="G83" s="27">
        <v>2039</v>
      </c>
      <c r="H83" s="793">
        <v>3700</v>
      </c>
      <c r="I83" s="791">
        <v>3700</v>
      </c>
      <c r="J83" s="799">
        <v>100</v>
      </c>
      <c r="K83" s="37">
        <v>6.5500000000000003E-2</v>
      </c>
      <c r="L83" s="795">
        <v>3700</v>
      </c>
      <c r="M83" s="795">
        <v>242.35</v>
      </c>
    </row>
    <row r="84" spans="1:16">
      <c r="A84" s="27">
        <f t="shared" si="14"/>
        <v>39</v>
      </c>
      <c r="B84" s="118"/>
      <c r="C84" s="485" t="s">
        <v>26</v>
      </c>
      <c r="D84" s="27"/>
      <c r="E84" s="28"/>
      <c r="F84" s="29"/>
      <c r="G84" s="28"/>
      <c r="H84" s="791">
        <f>SUM(H70:H83)</f>
        <v>31950</v>
      </c>
      <c r="I84" s="791"/>
      <c r="J84" s="31"/>
      <c r="K84" s="29"/>
      <c r="L84" s="794">
        <f>SUM(L70:L83)</f>
        <v>29950</v>
      </c>
      <c r="M84" s="794">
        <f>SUM(M70:M83)</f>
        <v>1969.5439999999999</v>
      </c>
      <c r="N84" s="42">
        <v>6.5761068447412349E-2</v>
      </c>
    </row>
    <row r="85" spans="1:16">
      <c r="A85" s="27">
        <f t="shared" si="14"/>
        <v>40</v>
      </c>
      <c r="B85" s="118"/>
      <c r="C85" s="485" t="s">
        <v>81</v>
      </c>
      <c r="D85" s="27"/>
      <c r="E85" s="28"/>
      <c r="F85" s="29"/>
      <c r="G85" s="28"/>
      <c r="H85" s="30"/>
      <c r="I85" s="30"/>
      <c r="J85" s="31"/>
      <c r="K85" s="29"/>
      <c r="L85" s="793">
        <v>25350</v>
      </c>
      <c r="M85" s="793">
        <v>1751.674</v>
      </c>
      <c r="N85" s="43">
        <v>6.9099566074950686E-2</v>
      </c>
    </row>
    <row r="86" spans="1:16">
      <c r="A86" s="27">
        <f t="shared" si="14"/>
        <v>41</v>
      </c>
      <c r="B86" s="118"/>
      <c r="C86" s="485" t="s">
        <v>26</v>
      </c>
      <c r="D86" s="27"/>
      <c r="E86" s="28"/>
      <c r="F86" s="29"/>
      <c r="G86" s="28"/>
      <c r="H86" s="30"/>
      <c r="I86" s="30"/>
      <c r="J86" s="31"/>
      <c r="K86" s="29"/>
      <c r="L86" s="795">
        <v>55300</v>
      </c>
      <c r="M86" s="795">
        <v>3721.2179999999998</v>
      </c>
      <c r="N86" s="790"/>
    </row>
    <row r="87" spans="1:16" ht="13.5" thickBot="1">
      <c r="A87" s="27">
        <f t="shared" si="14"/>
        <v>42</v>
      </c>
      <c r="B87" s="118"/>
      <c r="C87" s="485" t="s">
        <v>37</v>
      </c>
      <c r="D87" s="27"/>
      <c r="E87" s="28"/>
      <c r="F87" s="29"/>
      <c r="G87" s="28"/>
      <c r="H87" s="30"/>
      <c r="I87" s="30"/>
      <c r="J87" s="31"/>
      <c r="K87" s="29"/>
      <c r="L87" s="796">
        <v>27650</v>
      </c>
      <c r="M87" s="796">
        <v>1860.6089999999999</v>
      </c>
      <c r="N87" s="45">
        <v>6.7291464737793849E-2</v>
      </c>
    </row>
    <row r="88" spans="1:16" s="473" customFormat="1" ht="15.75" customHeight="1" thickTop="1">
      <c r="A88" s="570" t="s">
        <v>540</v>
      </c>
      <c r="B88" s="570"/>
      <c r="C88" s="570"/>
      <c r="D88" s="570"/>
      <c r="E88" s="570"/>
      <c r="F88" s="570"/>
      <c r="G88" s="570"/>
      <c r="H88" s="570"/>
      <c r="I88" s="570"/>
      <c r="J88" s="570"/>
      <c r="K88" s="570"/>
      <c r="L88" s="570"/>
      <c r="M88" s="570"/>
      <c r="N88" s="570"/>
      <c r="O88" s="227" t="s">
        <v>550</v>
      </c>
    </row>
    <row r="89" spans="1:16" s="473" customFormat="1">
      <c r="A89" s="570" t="s">
        <v>463</v>
      </c>
      <c r="B89" s="570"/>
      <c r="C89" s="570"/>
      <c r="D89" s="570"/>
      <c r="E89" s="570"/>
      <c r="F89" s="570"/>
      <c r="G89" s="570"/>
      <c r="H89" s="570"/>
      <c r="I89" s="570"/>
      <c r="J89" s="570"/>
      <c r="K89" s="570"/>
      <c r="L89" s="570"/>
      <c r="M89" s="570"/>
      <c r="N89" s="570"/>
      <c r="O89" s="227" t="s">
        <v>900</v>
      </c>
      <c r="P89" s="227"/>
    </row>
    <row r="90" spans="1:16" s="473" customFormat="1">
      <c r="A90" s="570" t="s">
        <v>551</v>
      </c>
      <c r="B90" s="570"/>
      <c r="C90" s="570"/>
      <c r="D90" s="570"/>
      <c r="E90" s="570"/>
      <c r="F90" s="570"/>
      <c r="G90" s="570"/>
      <c r="H90" s="570"/>
      <c r="I90" s="570"/>
      <c r="J90" s="570"/>
      <c r="K90" s="570"/>
      <c r="L90" s="570"/>
      <c r="M90" s="570"/>
      <c r="N90" s="570"/>
      <c r="O90" s="293"/>
      <c r="P90" s="227"/>
    </row>
    <row r="91" spans="1:16" s="473" customFormat="1">
      <c r="A91" s="570" t="s">
        <v>32</v>
      </c>
      <c r="B91" s="570"/>
      <c r="C91" s="570"/>
      <c r="D91" s="570"/>
      <c r="E91" s="570"/>
      <c r="F91" s="570"/>
      <c r="G91" s="570"/>
      <c r="H91" s="570"/>
      <c r="I91" s="570"/>
      <c r="J91" s="570"/>
      <c r="K91" s="570"/>
      <c r="L91" s="570"/>
      <c r="M91" s="570"/>
      <c r="N91" s="570"/>
      <c r="O91" s="293"/>
      <c r="P91" s="537"/>
    </row>
    <row r="92" spans="1:16">
      <c r="A92" s="467" t="s">
        <v>33</v>
      </c>
      <c r="B92" s="25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462"/>
      <c r="O92" s="637"/>
    </row>
    <row r="93" spans="1:16">
      <c r="A93" s="35" t="s">
        <v>35</v>
      </c>
      <c r="B93" s="118"/>
      <c r="C93" s="485"/>
      <c r="D93" s="27"/>
      <c r="E93" s="28"/>
      <c r="F93" s="29"/>
      <c r="G93" s="28"/>
      <c r="H93" s="30"/>
      <c r="I93" s="30"/>
      <c r="J93" s="31"/>
      <c r="K93" s="29"/>
      <c r="L93" s="344"/>
      <c r="M93" s="344"/>
      <c r="N93" s="107"/>
    </row>
    <row r="94" spans="1:16">
      <c r="B94" s="118"/>
      <c r="C94" s="485"/>
      <c r="D94" s="27"/>
      <c r="E94" s="28"/>
      <c r="F94" s="29"/>
      <c r="G94" s="28"/>
      <c r="H94" s="30"/>
      <c r="I94" s="30"/>
      <c r="J94" s="31"/>
      <c r="K94" s="29"/>
      <c r="L94" s="344"/>
      <c r="M94" s="344"/>
      <c r="N94" s="107"/>
    </row>
    <row r="95" spans="1:16">
      <c r="A95" s="27">
        <f>A87+1</f>
        <v>43</v>
      </c>
      <c r="B95" s="32" t="s">
        <v>10</v>
      </c>
      <c r="C95" s="485"/>
      <c r="D95" s="485"/>
      <c r="E95" s="485"/>
      <c r="F95" s="485"/>
      <c r="G95" s="485"/>
      <c r="H95" s="485"/>
      <c r="I95" s="33" t="s">
        <v>60</v>
      </c>
      <c r="J95" s="26"/>
      <c r="K95" s="485"/>
      <c r="L95" s="485"/>
      <c r="M95" s="485"/>
    </row>
    <row r="96" spans="1:16">
      <c r="A96" s="27">
        <f>A95+1</f>
        <v>44</v>
      </c>
      <c r="C96" s="467"/>
      <c r="D96" s="467"/>
      <c r="E96" s="467"/>
      <c r="F96" s="467"/>
      <c r="G96" s="467"/>
      <c r="H96" s="467" t="s">
        <v>61</v>
      </c>
      <c r="I96" s="467" t="s">
        <v>27</v>
      </c>
      <c r="J96" s="467" t="s">
        <v>62</v>
      </c>
      <c r="L96" s="467" t="s">
        <v>61</v>
      </c>
      <c r="M96" s="467" t="s">
        <v>27</v>
      </c>
      <c r="N96" s="467" t="s">
        <v>63</v>
      </c>
    </row>
    <row r="97" spans="1:14">
      <c r="A97" s="27">
        <f t="shared" ref="A97:A137" si="15">A96+1</f>
        <v>45</v>
      </c>
      <c r="B97" s="34"/>
      <c r="C97" s="467"/>
      <c r="D97" s="467"/>
      <c r="E97" s="467" t="s">
        <v>64</v>
      </c>
      <c r="F97" s="467" t="s">
        <v>65</v>
      </c>
      <c r="G97" s="467" t="s">
        <v>66</v>
      </c>
      <c r="H97" s="467" t="s">
        <v>67</v>
      </c>
      <c r="I97" s="467" t="s">
        <v>26</v>
      </c>
      <c r="J97" s="467" t="s">
        <v>61</v>
      </c>
      <c r="K97" s="467" t="s">
        <v>73</v>
      </c>
      <c r="L97" s="467" t="s">
        <v>74</v>
      </c>
      <c r="M97" s="467" t="s">
        <v>75</v>
      </c>
      <c r="N97" s="467" t="s">
        <v>76</v>
      </c>
    </row>
    <row r="98" spans="1:14">
      <c r="A98" s="27">
        <f t="shared" si="15"/>
        <v>46</v>
      </c>
      <c r="B98" s="34"/>
      <c r="C98" s="35" t="s">
        <v>178</v>
      </c>
      <c r="D98" s="35" t="s">
        <v>77</v>
      </c>
      <c r="E98" s="35" t="s">
        <v>78</v>
      </c>
      <c r="F98" s="35" t="s">
        <v>38</v>
      </c>
      <c r="G98" s="35" t="s">
        <v>78</v>
      </c>
      <c r="H98" s="35" t="s">
        <v>79</v>
      </c>
      <c r="I98" s="35" t="s">
        <v>67</v>
      </c>
      <c r="J98" s="35" t="s">
        <v>67</v>
      </c>
      <c r="K98" s="35" t="s">
        <v>103</v>
      </c>
      <c r="L98" s="36">
        <v>40543</v>
      </c>
      <c r="M98" s="35" t="s">
        <v>39</v>
      </c>
      <c r="N98" s="35" t="s">
        <v>80</v>
      </c>
    </row>
    <row r="99" spans="1:14">
      <c r="A99" s="27">
        <f t="shared" si="15"/>
        <v>47</v>
      </c>
      <c r="B99" s="118"/>
      <c r="C99" s="485"/>
      <c r="D99" s="39" t="s">
        <v>379</v>
      </c>
      <c r="E99" s="40">
        <v>33205</v>
      </c>
      <c r="F99" s="37">
        <v>0.11849999999999999</v>
      </c>
      <c r="G99" s="384">
        <v>2020</v>
      </c>
      <c r="H99" s="792">
        <v>1500</v>
      </c>
      <c r="I99" s="792">
        <v>1500</v>
      </c>
      <c r="J99" s="800">
        <v>100</v>
      </c>
      <c r="K99" s="155">
        <v>0.1191</v>
      </c>
      <c r="L99" s="792">
        <v>1500</v>
      </c>
      <c r="M99" s="792">
        <v>178.65</v>
      </c>
      <c r="N99" s="483"/>
    </row>
    <row r="100" spans="1:14">
      <c r="A100" s="27">
        <f t="shared" si="15"/>
        <v>48</v>
      </c>
      <c r="B100" s="118"/>
      <c r="D100" s="39" t="s">
        <v>380</v>
      </c>
      <c r="E100" s="40">
        <v>33732</v>
      </c>
      <c r="F100" s="37">
        <v>9.4600000000000004E-2</v>
      </c>
      <c r="G100" s="384">
        <v>2023</v>
      </c>
      <c r="H100" s="792">
        <v>2500</v>
      </c>
      <c r="I100" s="791">
        <v>2500</v>
      </c>
      <c r="J100" s="799">
        <v>100</v>
      </c>
      <c r="K100" s="155">
        <v>9.5100000000000004E-2</v>
      </c>
      <c r="L100" s="792">
        <v>2500</v>
      </c>
      <c r="M100" s="792">
        <v>237.75</v>
      </c>
    </row>
    <row r="101" spans="1:14">
      <c r="A101" s="27">
        <f t="shared" si="15"/>
        <v>49</v>
      </c>
      <c r="B101" s="118"/>
      <c r="C101" s="485"/>
      <c r="D101" s="39" t="s">
        <v>102</v>
      </c>
      <c r="E101" s="40">
        <v>36385</v>
      </c>
      <c r="F101" s="37">
        <v>6.8000000000000005E-2</v>
      </c>
      <c r="G101" s="39">
        <v>2019</v>
      </c>
      <c r="H101" s="791">
        <v>4500</v>
      </c>
      <c r="I101" s="791">
        <v>4500</v>
      </c>
      <c r="J101" s="799">
        <v>100</v>
      </c>
      <c r="K101" s="37">
        <v>6.8500000000000005E-2</v>
      </c>
      <c r="L101" s="792">
        <v>4500</v>
      </c>
      <c r="M101" s="792">
        <v>308.25</v>
      </c>
    </row>
    <row r="102" spans="1:14">
      <c r="A102" s="27">
        <f t="shared" si="15"/>
        <v>50</v>
      </c>
      <c r="B102" s="118"/>
      <c r="C102" s="485"/>
      <c r="D102" s="39" t="s">
        <v>381</v>
      </c>
      <c r="E102" s="40">
        <v>36679</v>
      </c>
      <c r="F102" s="37">
        <v>7.0000000000000007E-2</v>
      </c>
      <c r="G102" s="39">
        <v>2008</v>
      </c>
      <c r="H102" s="791">
        <v>0</v>
      </c>
      <c r="I102" s="791">
        <v>0</v>
      </c>
      <c r="J102" s="799">
        <v>0</v>
      </c>
      <c r="K102" s="37">
        <v>7.0499999999999993E-2</v>
      </c>
      <c r="L102" s="792">
        <v>0</v>
      </c>
      <c r="M102" s="792">
        <v>0</v>
      </c>
    </row>
    <row r="103" spans="1:14">
      <c r="A103" s="27">
        <f t="shared" si="15"/>
        <v>51</v>
      </c>
      <c r="B103" s="118"/>
      <c r="C103" s="485"/>
      <c r="D103" s="39" t="s">
        <v>382</v>
      </c>
      <c r="E103" s="40">
        <v>37582</v>
      </c>
      <c r="F103" s="37">
        <v>6.1600000000000002E-2</v>
      </c>
      <c r="G103" s="39">
        <v>2017</v>
      </c>
      <c r="H103" s="791">
        <v>3900</v>
      </c>
      <c r="I103" s="791">
        <v>3900</v>
      </c>
      <c r="J103" s="799">
        <v>100</v>
      </c>
      <c r="K103" s="37">
        <v>6.2100000000000002E-2</v>
      </c>
      <c r="L103" s="792">
        <v>3900</v>
      </c>
      <c r="M103" s="792">
        <v>242.19</v>
      </c>
    </row>
    <row r="104" spans="1:14">
      <c r="A104" s="27">
        <f t="shared" si="15"/>
        <v>52</v>
      </c>
      <c r="B104" s="118"/>
      <c r="C104" s="485"/>
      <c r="D104" s="39" t="s">
        <v>383</v>
      </c>
      <c r="E104" s="40">
        <v>38009</v>
      </c>
      <c r="F104" s="37">
        <v>5.4199999999999998E-2</v>
      </c>
      <c r="G104" s="39">
        <v>2019</v>
      </c>
      <c r="H104" s="791">
        <v>1000</v>
      </c>
      <c r="I104" s="791">
        <v>1000</v>
      </c>
      <c r="J104" s="799">
        <v>100</v>
      </c>
      <c r="K104" s="37">
        <v>5.4699999999999999E-2</v>
      </c>
      <c r="L104" s="792">
        <v>1000</v>
      </c>
      <c r="M104" s="792">
        <v>54.7</v>
      </c>
    </row>
    <row r="105" spans="1:14">
      <c r="A105" s="27">
        <f t="shared" si="15"/>
        <v>53</v>
      </c>
      <c r="B105" s="118"/>
      <c r="C105" s="485"/>
      <c r="D105" s="39" t="s">
        <v>384</v>
      </c>
      <c r="E105" s="40">
        <v>38309</v>
      </c>
      <c r="F105" s="37">
        <v>5.11E-2</v>
      </c>
      <c r="G105" s="39">
        <v>2014</v>
      </c>
      <c r="H105" s="791">
        <v>500</v>
      </c>
      <c r="I105" s="791">
        <v>500</v>
      </c>
      <c r="J105" s="799">
        <v>100</v>
      </c>
      <c r="K105" s="37">
        <v>5.16E-2</v>
      </c>
      <c r="L105" s="792">
        <v>500</v>
      </c>
      <c r="M105" s="792">
        <v>25.8</v>
      </c>
    </row>
    <row r="106" spans="1:14">
      <c r="A106" s="27">
        <f t="shared" si="15"/>
        <v>54</v>
      </c>
      <c r="B106" s="118"/>
      <c r="C106" s="485"/>
      <c r="D106" s="39" t="s">
        <v>385</v>
      </c>
      <c r="E106" s="40">
        <v>38677</v>
      </c>
      <c r="F106" s="37">
        <v>5.1799999999999999E-2</v>
      </c>
      <c r="G106" s="39">
        <v>2035</v>
      </c>
      <c r="H106" s="792">
        <v>4300</v>
      </c>
      <c r="I106" s="791">
        <v>4300</v>
      </c>
      <c r="J106" s="799">
        <v>100</v>
      </c>
      <c r="K106" s="37">
        <v>5.2299999999999999E-2</v>
      </c>
      <c r="L106" s="792">
        <v>4300</v>
      </c>
      <c r="M106" s="792">
        <v>224.89</v>
      </c>
    </row>
    <row r="107" spans="1:14">
      <c r="A107" s="27">
        <f t="shared" si="15"/>
        <v>55</v>
      </c>
      <c r="B107" s="118"/>
      <c r="C107" s="485"/>
      <c r="D107" s="39" t="s">
        <v>386</v>
      </c>
      <c r="E107" s="361">
        <v>39041</v>
      </c>
      <c r="F107" s="37">
        <v>5.0200000000000002E-2</v>
      </c>
      <c r="G107" s="39">
        <v>2036</v>
      </c>
      <c r="H107" s="792">
        <v>3000</v>
      </c>
      <c r="I107" s="791">
        <v>3000</v>
      </c>
      <c r="J107" s="799">
        <v>100</v>
      </c>
      <c r="K107" s="37">
        <v>5.0700000000000002E-2</v>
      </c>
      <c r="L107" s="792">
        <v>3000</v>
      </c>
      <c r="M107" s="792">
        <v>152.1</v>
      </c>
    </row>
    <row r="108" spans="1:14">
      <c r="A108" s="27">
        <f t="shared" si="15"/>
        <v>56</v>
      </c>
      <c r="B108" s="118"/>
      <c r="C108" s="485"/>
      <c r="D108" s="39" t="s">
        <v>13</v>
      </c>
      <c r="E108" s="361">
        <v>39594</v>
      </c>
      <c r="F108" s="37">
        <v>5.6599999999999998E-2</v>
      </c>
      <c r="G108" s="39">
        <v>2028</v>
      </c>
      <c r="H108" s="792">
        <v>860</v>
      </c>
      <c r="I108" s="791">
        <v>860</v>
      </c>
      <c r="J108" s="799">
        <v>100</v>
      </c>
      <c r="K108" s="37">
        <v>5.6099999999999997E-2</v>
      </c>
      <c r="L108" s="792">
        <v>860</v>
      </c>
      <c r="M108" s="792">
        <v>48.245999999999995</v>
      </c>
      <c r="N108" s="483"/>
    </row>
    <row r="109" spans="1:14">
      <c r="A109" s="27">
        <f t="shared" si="15"/>
        <v>57</v>
      </c>
      <c r="B109" s="118"/>
      <c r="C109" s="485"/>
      <c r="D109" s="27" t="s">
        <v>417</v>
      </c>
      <c r="E109" s="28">
        <v>39594</v>
      </c>
      <c r="F109" s="37">
        <v>5.67E-2</v>
      </c>
      <c r="G109" s="27">
        <v>2038</v>
      </c>
      <c r="H109" s="794">
        <v>1290</v>
      </c>
      <c r="I109" s="791">
        <v>1290</v>
      </c>
      <c r="J109" s="799">
        <v>100</v>
      </c>
      <c r="K109" s="37">
        <v>5.62E-2</v>
      </c>
      <c r="L109" s="797">
        <v>1290</v>
      </c>
      <c r="M109" s="797">
        <v>72.498000000000005</v>
      </c>
      <c r="N109" s="396"/>
    </row>
    <row r="110" spans="1:14">
      <c r="A110" s="27">
        <f t="shared" si="15"/>
        <v>58</v>
      </c>
      <c r="B110" s="118"/>
      <c r="C110" s="485"/>
      <c r="D110" s="27" t="s">
        <v>418</v>
      </c>
      <c r="E110" s="28">
        <v>39878</v>
      </c>
      <c r="F110" s="37">
        <f>+K110+0.005</f>
        <v>6.7799999999999999E-2</v>
      </c>
      <c r="G110" s="27">
        <v>2024</v>
      </c>
      <c r="H110" s="791">
        <v>2900</v>
      </c>
      <c r="I110" s="791">
        <v>2900</v>
      </c>
      <c r="J110" s="799">
        <v>100</v>
      </c>
      <c r="K110" s="37">
        <v>6.2799999999999995E-2</v>
      </c>
      <c r="L110" s="792">
        <v>2900</v>
      </c>
      <c r="M110" s="792">
        <v>182.12</v>
      </c>
      <c r="N110" s="396"/>
    </row>
    <row r="111" spans="1:14">
      <c r="A111" s="27">
        <f t="shared" si="15"/>
        <v>59</v>
      </c>
      <c r="B111" s="118"/>
      <c r="C111" s="485"/>
      <c r="D111" s="27" t="s">
        <v>14</v>
      </c>
      <c r="E111" s="28">
        <v>39878</v>
      </c>
      <c r="F111" s="37">
        <f>+K111+0.005</f>
        <v>7.0500000000000007E-2</v>
      </c>
      <c r="G111" s="27">
        <v>2039</v>
      </c>
      <c r="H111" s="793">
        <v>3700</v>
      </c>
      <c r="I111" s="791">
        <v>3700</v>
      </c>
      <c r="J111" s="799">
        <v>100</v>
      </c>
      <c r="K111" s="37">
        <v>6.5500000000000003E-2</v>
      </c>
      <c r="L111" s="795">
        <v>3700</v>
      </c>
      <c r="M111" s="795">
        <v>242.35</v>
      </c>
    </row>
    <row r="112" spans="1:14">
      <c r="A112" s="27">
        <f t="shared" si="15"/>
        <v>60</v>
      </c>
      <c r="B112" s="118"/>
      <c r="C112" s="485" t="s">
        <v>26</v>
      </c>
      <c r="D112" s="27"/>
      <c r="E112" s="28"/>
      <c r="F112" s="29"/>
      <c r="G112" s="28"/>
      <c r="H112" s="791">
        <f>SUM(H99:H111)</f>
        <v>29950</v>
      </c>
      <c r="I112" s="791"/>
      <c r="J112" s="31"/>
      <c r="K112" s="29"/>
      <c r="L112" s="794">
        <f>SUM(L99:L111)</f>
        <v>29950</v>
      </c>
      <c r="M112" s="794">
        <f>SUM(M99:M111)</f>
        <v>1969.5439999999999</v>
      </c>
      <c r="N112" s="42">
        <f>M112/L112</f>
        <v>6.5761068447412349E-2</v>
      </c>
    </row>
    <row r="113" spans="1:14">
      <c r="A113" s="27">
        <f t="shared" si="15"/>
        <v>61</v>
      </c>
      <c r="B113" s="118"/>
      <c r="C113" s="485" t="s">
        <v>81</v>
      </c>
      <c r="D113" s="27"/>
      <c r="E113" s="28"/>
      <c r="F113" s="29"/>
      <c r="G113" s="28"/>
      <c r="H113" s="30"/>
      <c r="I113" s="30"/>
      <c r="J113" s="31"/>
      <c r="K113" s="29"/>
      <c r="L113" s="793">
        <f>L84</f>
        <v>29950</v>
      </c>
      <c r="M113" s="793">
        <f>M84</f>
        <v>1969.5439999999999</v>
      </c>
      <c r="N113" s="43">
        <f>N84</f>
        <v>6.5761068447412349E-2</v>
      </c>
    </row>
    <row r="114" spans="1:14">
      <c r="A114" s="27">
        <f t="shared" si="15"/>
        <v>62</v>
      </c>
      <c r="B114" s="118"/>
      <c r="C114" s="485" t="s">
        <v>26</v>
      </c>
      <c r="D114" s="27"/>
      <c r="E114" s="28"/>
      <c r="F114" s="29"/>
      <c r="G114" s="28"/>
      <c r="H114" s="30"/>
      <c r="I114" s="30"/>
      <c r="J114" s="31"/>
      <c r="K114" s="29"/>
      <c r="L114" s="795">
        <f>L112+L113</f>
        <v>59900</v>
      </c>
      <c r="M114" s="795">
        <f>M112+M113</f>
        <v>3939.0879999999997</v>
      </c>
      <c r="N114" s="790"/>
    </row>
    <row r="115" spans="1:14" ht="13.5" thickBot="1">
      <c r="A115" s="27">
        <f t="shared" si="15"/>
        <v>63</v>
      </c>
      <c r="B115" s="118"/>
      <c r="C115" s="485" t="s">
        <v>37</v>
      </c>
      <c r="D115" s="27"/>
      <c r="E115" s="28"/>
      <c r="F115" s="29"/>
      <c r="G115" s="28"/>
      <c r="H115" s="30"/>
      <c r="I115" s="30"/>
      <c r="J115" s="31"/>
      <c r="K115" s="29"/>
      <c r="L115" s="796">
        <f>L114/2</f>
        <v>29950</v>
      </c>
      <c r="M115" s="796">
        <f>M114/2</f>
        <v>1969.5439999999999</v>
      </c>
      <c r="N115" s="45">
        <f>M115/L115</f>
        <v>6.5761068447412349E-2</v>
      </c>
    </row>
    <row r="116" spans="1:14" ht="13.5" thickTop="1">
      <c r="A116" s="27">
        <f t="shared" si="15"/>
        <v>64</v>
      </c>
      <c r="B116" s="118"/>
      <c r="C116" s="485"/>
      <c r="D116" s="27"/>
      <c r="E116" s="28"/>
      <c r="F116" s="29"/>
      <c r="G116" s="28"/>
      <c r="H116" s="30"/>
      <c r="I116" s="30"/>
      <c r="J116" s="31"/>
      <c r="K116" s="29"/>
      <c r="L116" s="344"/>
      <c r="M116" s="344"/>
      <c r="N116" s="107"/>
    </row>
    <row r="117" spans="1:14">
      <c r="A117" s="27">
        <f t="shared" si="15"/>
        <v>65</v>
      </c>
      <c r="B117" s="32" t="s">
        <v>0</v>
      </c>
      <c r="C117" s="485"/>
      <c r="D117" s="485"/>
      <c r="E117" s="485"/>
      <c r="F117" s="485"/>
      <c r="G117" s="485"/>
      <c r="H117" s="485"/>
      <c r="I117" s="33" t="s">
        <v>60</v>
      </c>
      <c r="J117" s="26"/>
      <c r="K117" s="485"/>
      <c r="L117" s="485"/>
      <c r="M117" s="485"/>
    </row>
    <row r="118" spans="1:14">
      <c r="A118" s="27">
        <f t="shared" si="15"/>
        <v>66</v>
      </c>
      <c r="C118" s="467"/>
      <c r="D118" s="467"/>
      <c r="E118" s="467"/>
      <c r="F118" s="467"/>
      <c r="G118" s="467"/>
      <c r="H118" s="467" t="s">
        <v>61</v>
      </c>
      <c r="I118" s="467" t="s">
        <v>27</v>
      </c>
      <c r="J118" s="467" t="s">
        <v>62</v>
      </c>
      <c r="L118" s="467" t="s">
        <v>61</v>
      </c>
      <c r="M118" s="467" t="s">
        <v>27</v>
      </c>
      <c r="N118" s="467" t="s">
        <v>63</v>
      </c>
    </row>
    <row r="119" spans="1:14">
      <c r="A119" s="27">
        <f t="shared" si="15"/>
        <v>67</v>
      </c>
      <c r="B119" s="34"/>
      <c r="C119" s="467"/>
      <c r="D119" s="467"/>
      <c r="E119" s="467" t="s">
        <v>64</v>
      </c>
      <c r="F119" s="467" t="s">
        <v>65</v>
      </c>
      <c r="G119" s="467" t="s">
        <v>66</v>
      </c>
      <c r="H119" s="467" t="s">
        <v>67</v>
      </c>
      <c r="I119" s="467" t="s">
        <v>26</v>
      </c>
      <c r="J119" s="467" t="s">
        <v>61</v>
      </c>
      <c r="K119" s="467" t="s">
        <v>73</v>
      </c>
      <c r="L119" s="467" t="s">
        <v>74</v>
      </c>
      <c r="M119" s="467" t="s">
        <v>75</v>
      </c>
      <c r="N119" s="467" t="s">
        <v>76</v>
      </c>
    </row>
    <row r="120" spans="1:14">
      <c r="A120" s="27">
        <f t="shared" si="15"/>
        <v>68</v>
      </c>
      <c r="B120" s="34"/>
      <c r="C120" s="35" t="s">
        <v>178</v>
      </c>
      <c r="D120" s="35" t="s">
        <v>77</v>
      </c>
      <c r="E120" s="35" t="s">
        <v>78</v>
      </c>
      <c r="F120" s="35" t="s">
        <v>38</v>
      </c>
      <c r="G120" s="35" t="s">
        <v>78</v>
      </c>
      <c r="H120" s="35" t="s">
        <v>79</v>
      </c>
      <c r="I120" s="35" t="s">
        <v>67</v>
      </c>
      <c r="J120" s="35" t="s">
        <v>67</v>
      </c>
      <c r="K120" s="35" t="s">
        <v>103</v>
      </c>
      <c r="L120" s="36">
        <v>40908</v>
      </c>
      <c r="M120" s="35" t="s">
        <v>39</v>
      </c>
      <c r="N120" s="35" t="s">
        <v>80</v>
      </c>
    </row>
    <row r="121" spans="1:14">
      <c r="A121" s="27">
        <f t="shared" si="15"/>
        <v>69</v>
      </c>
      <c r="B121" s="118"/>
      <c r="C121" s="485"/>
      <c r="D121" s="39" t="s">
        <v>379</v>
      </c>
      <c r="E121" s="40">
        <v>33205</v>
      </c>
      <c r="F121" s="37">
        <v>0.11849999999999999</v>
      </c>
      <c r="G121" s="384">
        <v>2020</v>
      </c>
      <c r="H121" s="792">
        <v>1500</v>
      </c>
      <c r="I121" s="792">
        <v>1500</v>
      </c>
      <c r="J121" s="800">
        <v>100</v>
      </c>
      <c r="K121" s="155">
        <v>0.1191</v>
      </c>
      <c r="L121" s="792">
        <v>1500</v>
      </c>
      <c r="M121" s="792">
        <v>178.65</v>
      </c>
      <c r="N121" s="483"/>
    </row>
    <row r="122" spans="1:14">
      <c r="A122" s="27">
        <f t="shared" si="15"/>
        <v>70</v>
      </c>
      <c r="B122" s="118"/>
      <c r="D122" s="39" t="s">
        <v>380</v>
      </c>
      <c r="E122" s="40">
        <v>33732</v>
      </c>
      <c r="F122" s="37">
        <v>9.4600000000000004E-2</v>
      </c>
      <c r="G122" s="384">
        <v>2023</v>
      </c>
      <c r="H122" s="792">
        <v>2500</v>
      </c>
      <c r="I122" s="791">
        <v>2500</v>
      </c>
      <c r="J122" s="799">
        <v>100</v>
      </c>
      <c r="K122" s="155">
        <v>9.5100000000000004E-2</v>
      </c>
      <c r="L122" s="792">
        <v>2500</v>
      </c>
      <c r="M122" s="792">
        <v>237.75</v>
      </c>
    </row>
    <row r="123" spans="1:14">
      <c r="A123" s="27">
        <f t="shared" si="15"/>
        <v>71</v>
      </c>
      <c r="B123" s="118"/>
      <c r="C123" s="485"/>
      <c r="D123" s="39" t="s">
        <v>102</v>
      </c>
      <c r="E123" s="40">
        <v>36385</v>
      </c>
      <c r="F123" s="37">
        <v>6.8000000000000005E-2</v>
      </c>
      <c r="G123" s="39">
        <v>2019</v>
      </c>
      <c r="H123" s="791">
        <v>4500</v>
      </c>
      <c r="I123" s="791">
        <v>4500</v>
      </c>
      <c r="J123" s="799">
        <v>100</v>
      </c>
      <c r="K123" s="37">
        <v>6.8500000000000005E-2</v>
      </c>
      <c r="L123" s="792">
        <v>4500</v>
      </c>
      <c r="M123" s="792">
        <v>308.25</v>
      </c>
    </row>
    <row r="124" spans="1:14">
      <c r="A124" s="27">
        <f t="shared" si="15"/>
        <v>72</v>
      </c>
      <c r="B124" s="118"/>
      <c r="C124" s="485"/>
      <c r="D124" s="39" t="s">
        <v>382</v>
      </c>
      <c r="E124" s="40">
        <v>37582</v>
      </c>
      <c r="F124" s="37">
        <v>6.1600000000000002E-2</v>
      </c>
      <c r="G124" s="39">
        <v>2017</v>
      </c>
      <c r="H124" s="791">
        <v>3900</v>
      </c>
      <c r="I124" s="791">
        <v>3900</v>
      </c>
      <c r="J124" s="799">
        <v>100</v>
      </c>
      <c r="K124" s="37">
        <v>6.2100000000000002E-2</v>
      </c>
      <c r="L124" s="792">
        <v>3900</v>
      </c>
      <c r="M124" s="792">
        <v>242.19</v>
      </c>
    </row>
    <row r="125" spans="1:14">
      <c r="A125" s="27">
        <f t="shared" si="15"/>
        <v>73</v>
      </c>
      <c r="B125" s="118"/>
      <c r="C125" s="485"/>
      <c r="D125" s="39" t="s">
        <v>383</v>
      </c>
      <c r="E125" s="40">
        <v>38009</v>
      </c>
      <c r="F125" s="37">
        <v>5.4199999999999998E-2</v>
      </c>
      <c r="G125" s="39">
        <v>2019</v>
      </c>
      <c r="H125" s="791">
        <v>1000</v>
      </c>
      <c r="I125" s="791">
        <v>1000</v>
      </c>
      <c r="J125" s="799">
        <v>100</v>
      </c>
      <c r="K125" s="37">
        <v>5.4699999999999999E-2</v>
      </c>
      <c r="L125" s="792">
        <v>1000</v>
      </c>
      <c r="M125" s="792">
        <v>54.7</v>
      </c>
    </row>
    <row r="126" spans="1:14">
      <c r="A126" s="27">
        <f t="shared" si="15"/>
        <v>74</v>
      </c>
      <c r="B126" s="118"/>
      <c r="C126" s="485"/>
      <c r="D126" s="39" t="s">
        <v>384</v>
      </c>
      <c r="E126" s="40">
        <v>38309</v>
      </c>
      <c r="F126" s="37">
        <v>5.11E-2</v>
      </c>
      <c r="G126" s="39">
        <v>2014</v>
      </c>
      <c r="H126" s="791">
        <v>500</v>
      </c>
      <c r="I126" s="791">
        <v>500</v>
      </c>
      <c r="J126" s="799">
        <v>100</v>
      </c>
      <c r="K126" s="37">
        <v>5.16E-2</v>
      </c>
      <c r="L126" s="792">
        <v>500</v>
      </c>
      <c r="M126" s="792">
        <v>25.8</v>
      </c>
    </row>
    <row r="127" spans="1:14">
      <c r="A127" s="27">
        <f t="shared" si="15"/>
        <v>75</v>
      </c>
      <c r="B127" s="118"/>
      <c r="C127" s="485"/>
      <c r="D127" s="39" t="s">
        <v>385</v>
      </c>
      <c r="E127" s="40">
        <v>38677</v>
      </c>
      <c r="F127" s="37">
        <v>5.1799999999999999E-2</v>
      </c>
      <c r="G127" s="39">
        <v>2035</v>
      </c>
      <c r="H127" s="792">
        <v>4300</v>
      </c>
      <c r="I127" s="791">
        <v>4300</v>
      </c>
      <c r="J127" s="799">
        <v>100</v>
      </c>
      <c r="K127" s="37">
        <v>5.2299999999999999E-2</v>
      </c>
      <c r="L127" s="792">
        <v>4300</v>
      </c>
      <c r="M127" s="792">
        <v>224.89</v>
      </c>
    </row>
    <row r="128" spans="1:14">
      <c r="A128" s="27">
        <f t="shared" si="15"/>
        <v>76</v>
      </c>
      <c r="B128" s="118"/>
      <c r="C128" s="485"/>
      <c r="D128" s="39" t="s">
        <v>386</v>
      </c>
      <c r="E128" s="40">
        <v>39041</v>
      </c>
      <c r="F128" s="37">
        <v>5.0200000000000002E-2</v>
      </c>
      <c r="G128" s="39">
        <v>2036</v>
      </c>
      <c r="H128" s="792">
        <v>3000</v>
      </c>
      <c r="I128" s="791">
        <v>3000</v>
      </c>
      <c r="J128" s="799">
        <v>100</v>
      </c>
      <c r="K128" s="37">
        <v>5.0700000000000002E-2</v>
      </c>
      <c r="L128" s="792">
        <v>3000</v>
      </c>
      <c r="M128" s="792">
        <v>152.1</v>
      </c>
    </row>
    <row r="129" spans="1:16">
      <c r="A129" s="27">
        <f t="shared" si="15"/>
        <v>77</v>
      </c>
      <c r="B129" s="118"/>
      <c r="C129" s="485"/>
      <c r="D129" s="39" t="s">
        <v>13</v>
      </c>
      <c r="E129" s="40">
        <v>39594</v>
      </c>
      <c r="F129" s="37">
        <v>5.6599999999999998E-2</v>
      </c>
      <c r="G129" s="39">
        <v>2028</v>
      </c>
      <c r="H129" s="792">
        <v>860</v>
      </c>
      <c r="I129" s="791">
        <v>860</v>
      </c>
      <c r="J129" s="799">
        <v>100</v>
      </c>
      <c r="K129" s="37">
        <v>5.6099999999999997E-2</v>
      </c>
      <c r="L129" s="792">
        <v>860</v>
      </c>
      <c r="M129" s="792">
        <v>48.245999999999995</v>
      </c>
      <c r="N129" s="483"/>
    </row>
    <row r="130" spans="1:16">
      <c r="A130" s="27">
        <f t="shared" si="15"/>
        <v>78</v>
      </c>
      <c r="B130" s="118"/>
      <c r="C130" s="485"/>
      <c r="D130" s="27" t="s">
        <v>417</v>
      </c>
      <c r="E130" s="40">
        <v>39594</v>
      </c>
      <c r="F130" s="37">
        <v>5.67E-2</v>
      </c>
      <c r="G130" s="27">
        <v>2038</v>
      </c>
      <c r="H130" s="794">
        <v>1290</v>
      </c>
      <c r="I130" s="791">
        <v>1290</v>
      </c>
      <c r="J130" s="799">
        <v>100</v>
      </c>
      <c r="K130" s="37">
        <v>5.62E-2</v>
      </c>
      <c r="L130" s="797">
        <v>1290</v>
      </c>
      <c r="M130" s="797">
        <v>72.498000000000005</v>
      </c>
      <c r="N130" s="396"/>
    </row>
    <row r="131" spans="1:16">
      <c r="A131" s="27">
        <f t="shared" si="15"/>
        <v>79</v>
      </c>
      <c r="B131" s="118"/>
      <c r="C131" s="485"/>
      <c r="D131" s="27" t="s">
        <v>418</v>
      </c>
      <c r="E131" s="28">
        <v>39878</v>
      </c>
      <c r="F131" s="37">
        <f>+K131+0.005</f>
        <v>6.7799999999999999E-2</v>
      </c>
      <c r="G131" s="27">
        <v>2024</v>
      </c>
      <c r="H131" s="791">
        <v>2900</v>
      </c>
      <c r="I131" s="791">
        <v>2900</v>
      </c>
      <c r="J131" s="799">
        <v>100</v>
      </c>
      <c r="K131" s="37">
        <v>6.2799999999999995E-2</v>
      </c>
      <c r="L131" s="792">
        <v>2900</v>
      </c>
      <c r="M131" s="792">
        <v>182.12</v>
      </c>
      <c r="N131" s="396"/>
    </row>
    <row r="132" spans="1:16">
      <c r="A132" s="27">
        <f t="shared" si="15"/>
        <v>80</v>
      </c>
      <c r="B132" s="118"/>
      <c r="C132" s="485"/>
      <c r="D132" s="27" t="s">
        <v>14</v>
      </c>
      <c r="E132" s="28">
        <v>39878</v>
      </c>
      <c r="F132" s="37">
        <f>+K132+0.005</f>
        <v>7.0500000000000007E-2</v>
      </c>
      <c r="G132" s="27">
        <v>2039</v>
      </c>
      <c r="H132" s="792">
        <v>3700</v>
      </c>
      <c r="I132" s="791">
        <v>3700</v>
      </c>
      <c r="J132" s="799">
        <v>100</v>
      </c>
      <c r="K132" s="37">
        <v>6.5500000000000003E-2</v>
      </c>
      <c r="L132" s="797">
        <v>3700</v>
      </c>
      <c r="M132" s="797">
        <v>242.35</v>
      </c>
      <c r="N132" s="483"/>
    </row>
    <row r="133" spans="1:16">
      <c r="A133" s="27">
        <f t="shared" si="15"/>
        <v>81</v>
      </c>
      <c r="B133" s="118"/>
      <c r="C133" s="485"/>
      <c r="D133" s="27" t="s">
        <v>736</v>
      </c>
      <c r="E133" s="28">
        <v>40840</v>
      </c>
      <c r="F133" s="37">
        <f>+K133+0.005</f>
        <v>5.0799999999999998E-2</v>
      </c>
      <c r="G133" s="27">
        <v>2041</v>
      </c>
      <c r="H133" s="793">
        <v>5000</v>
      </c>
      <c r="I133" s="791">
        <v>5000</v>
      </c>
      <c r="J133" s="799">
        <v>100</v>
      </c>
      <c r="K133" s="37">
        <v>4.58E-2</v>
      </c>
      <c r="L133" s="795">
        <f>+I133</f>
        <v>5000</v>
      </c>
      <c r="M133" s="795">
        <f>+L133*K133</f>
        <v>229</v>
      </c>
      <c r="N133" s="483"/>
    </row>
    <row r="134" spans="1:16">
      <c r="A134" s="27">
        <f t="shared" si="15"/>
        <v>82</v>
      </c>
      <c r="B134" s="118"/>
      <c r="C134" s="485" t="s">
        <v>26</v>
      </c>
      <c r="D134" s="27"/>
      <c r="E134" s="28"/>
      <c r="F134" s="29"/>
      <c r="G134" s="28"/>
      <c r="H134" s="791">
        <f>SUM(H121:H133)</f>
        <v>34950</v>
      </c>
      <c r="I134" s="791"/>
      <c r="J134" s="31"/>
      <c r="K134" s="29"/>
      <c r="L134" s="794">
        <f>SUM(L121:L133)</f>
        <v>34950</v>
      </c>
      <c r="M134" s="794">
        <f>SUM(M121:M133)</f>
        <v>2198.5439999999999</v>
      </c>
      <c r="N134" s="353">
        <f>M134/L134</f>
        <v>6.2905407725321882E-2</v>
      </c>
    </row>
    <row r="135" spans="1:16">
      <c r="A135" s="27">
        <f t="shared" si="15"/>
        <v>83</v>
      </c>
      <c r="B135" s="118"/>
      <c r="C135" s="485" t="s">
        <v>81</v>
      </c>
      <c r="D135" s="27"/>
      <c r="E135" s="28"/>
      <c r="F135" s="29"/>
      <c r="G135" s="28"/>
      <c r="H135" s="30"/>
      <c r="I135" s="30"/>
      <c r="J135" s="31"/>
      <c r="K135" s="29"/>
      <c r="L135" s="793">
        <f>L112</f>
        <v>29950</v>
      </c>
      <c r="M135" s="793">
        <f>M112</f>
        <v>1969.5439999999999</v>
      </c>
      <c r="N135" s="43">
        <f>N112</f>
        <v>6.5761068447412349E-2</v>
      </c>
    </row>
    <row r="136" spans="1:16">
      <c r="A136" s="27">
        <f t="shared" si="15"/>
        <v>84</v>
      </c>
      <c r="B136" s="118"/>
      <c r="C136" s="485" t="s">
        <v>26</v>
      </c>
      <c r="D136" s="27"/>
      <c r="E136" s="28"/>
      <c r="F136" s="29"/>
      <c r="G136" s="28"/>
      <c r="H136" s="30"/>
      <c r="I136" s="30"/>
      <c r="J136" s="31"/>
      <c r="K136" s="29"/>
      <c r="L136" s="795">
        <f>L134+L135</f>
        <v>64900</v>
      </c>
      <c r="M136" s="795">
        <f>M134+M135</f>
        <v>4168.0879999999997</v>
      </c>
      <c r="N136" s="790"/>
    </row>
    <row r="137" spans="1:16" ht="13.5" thickBot="1">
      <c r="A137" s="27">
        <f t="shared" si="15"/>
        <v>85</v>
      </c>
      <c r="B137" s="118"/>
      <c r="C137" s="485" t="s">
        <v>37</v>
      </c>
      <c r="D137" s="27"/>
      <c r="E137" s="28"/>
      <c r="F137" s="29"/>
      <c r="G137" s="28"/>
      <c r="H137" s="30"/>
      <c r="I137" s="30"/>
      <c r="J137" s="31"/>
      <c r="K137" s="29"/>
      <c r="L137" s="796">
        <f>L136/2</f>
        <v>32450</v>
      </c>
      <c r="M137" s="796">
        <f>M136/2</f>
        <v>2084.0439999999999</v>
      </c>
      <c r="N137" s="45">
        <f>M137/L137</f>
        <v>6.4223235747303542E-2</v>
      </c>
    </row>
    <row r="138" spans="1:16" s="473" customFormat="1" ht="15.75" customHeight="1" thickTop="1">
      <c r="A138" s="570" t="s">
        <v>540</v>
      </c>
      <c r="B138" s="570"/>
      <c r="C138" s="570"/>
      <c r="D138" s="570"/>
      <c r="E138" s="570"/>
      <c r="F138" s="570"/>
      <c r="G138" s="570"/>
      <c r="H138" s="570"/>
      <c r="I138" s="570"/>
      <c r="J138" s="570"/>
      <c r="K138" s="570"/>
      <c r="L138" s="570"/>
      <c r="M138" s="570"/>
      <c r="N138" s="570"/>
      <c r="O138" s="227" t="s">
        <v>550</v>
      </c>
    </row>
    <row r="139" spans="1:16" s="473" customFormat="1">
      <c r="A139" s="570" t="s">
        <v>463</v>
      </c>
      <c r="B139" s="570"/>
      <c r="C139" s="570"/>
      <c r="D139" s="570"/>
      <c r="E139" s="570"/>
      <c r="F139" s="570"/>
      <c r="G139" s="570"/>
      <c r="H139" s="570"/>
      <c r="I139" s="570"/>
      <c r="J139" s="570"/>
      <c r="K139" s="570"/>
      <c r="L139" s="570"/>
      <c r="M139" s="570"/>
      <c r="N139" s="570"/>
      <c r="O139" s="227" t="s">
        <v>899</v>
      </c>
      <c r="P139" s="227"/>
    </row>
    <row r="140" spans="1:16" s="473" customFormat="1">
      <c r="A140" s="570" t="s">
        <v>551</v>
      </c>
      <c r="B140" s="570"/>
      <c r="C140" s="570"/>
      <c r="D140" s="570"/>
      <c r="E140" s="570"/>
      <c r="F140" s="570"/>
      <c r="G140" s="570"/>
      <c r="H140" s="570"/>
      <c r="I140" s="570"/>
      <c r="J140" s="570"/>
      <c r="K140" s="570"/>
      <c r="L140" s="570"/>
      <c r="M140" s="570"/>
      <c r="N140" s="570"/>
      <c r="O140" s="293"/>
      <c r="P140" s="227"/>
    </row>
    <row r="141" spans="1:16" s="473" customFormat="1">
      <c r="A141" s="570" t="s">
        <v>32</v>
      </c>
      <c r="B141" s="570"/>
      <c r="C141" s="570"/>
      <c r="D141" s="570"/>
      <c r="E141" s="570"/>
      <c r="F141" s="570"/>
      <c r="G141" s="570"/>
      <c r="H141" s="570"/>
      <c r="I141" s="570"/>
      <c r="J141" s="570"/>
      <c r="K141" s="570"/>
      <c r="L141" s="570"/>
      <c r="M141" s="570"/>
      <c r="N141" s="570"/>
      <c r="O141" s="293"/>
      <c r="P141" s="537"/>
    </row>
    <row r="142" spans="1:16">
      <c r="A142" s="467" t="s">
        <v>33</v>
      </c>
      <c r="B142" s="118"/>
      <c r="C142" s="485"/>
      <c r="D142" s="27"/>
      <c r="E142" s="28"/>
      <c r="F142" s="29"/>
      <c r="G142" s="28"/>
      <c r="H142" s="30"/>
      <c r="I142" s="30"/>
      <c r="J142" s="31"/>
      <c r="K142" s="29"/>
      <c r="L142" s="344"/>
      <c r="M142" s="344"/>
      <c r="N142" s="107"/>
    </row>
    <row r="143" spans="1:16">
      <c r="A143" s="35" t="s">
        <v>35</v>
      </c>
      <c r="B143" s="118"/>
      <c r="C143" s="485"/>
      <c r="D143" s="27"/>
      <c r="E143" s="28"/>
      <c r="F143" s="29"/>
      <c r="G143" s="28"/>
      <c r="H143" s="30"/>
      <c r="I143" s="30"/>
      <c r="J143" s="31"/>
      <c r="K143" s="29"/>
      <c r="L143" s="344"/>
      <c r="M143" s="344"/>
      <c r="N143" s="107"/>
    </row>
    <row r="144" spans="1:16">
      <c r="B144" s="118"/>
      <c r="C144" s="485"/>
      <c r="D144" s="27"/>
      <c r="E144" s="28"/>
      <c r="F144" s="29"/>
      <c r="G144" s="28"/>
      <c r="H144" s="30"/>
      <c r="I144" s="30"/>
      <c r="J144" s="31"/>
      <c r="K144" s="29"/>
      <c r="L144" s="344"/>
      <c r="M144" s="344"/>
      <c r="N144" s="107"/>
    </row>
    <row r="145" spans="1:15">
      <c r="A145" s="27">
        <f>A137+1</f>
        <v>86</v>
      </c>
      <c r="B145" s="32" t="s">
        <v>460</v>
      </c>
      <c r="C145" s="485"/>
      <c r="D145" s="485"/>
      <c r="E145" s="485"/>
      <c r="F145" s="485"/>
      <c r="G145" s="485"/>
      <c r="H145" s="485"/>
      <c r="I145" s="33" t="s">
        <v>60</v>
      </c>
      <c r="J145" s="26"/>
      <c r="K145" s="485"/>
      <c r="L145" s="485"/>
      <c r="M145" s="485"/>
    </row>
    <row r="146" spans="1:15">
      <c r="A146" s="27">
        <f>A145+1</f>
        <v>87</v>
      </c>
      <c r="C146" s="467"/>
      <c r="D146" s="467"/>
      <c r="E146" s="467"/>
      <c r="F146" s="467"/>
      <c r="G146" s="467"/>
      <c r="H146" s="467" t="s">
        <v>61</v>
      </c>
      <c r="I146" s="467" t="s">
        <v>27</v>
      </c>
      <c r="J146" s="467" t="s">
        <v>62</v>
      </c>
      <c r="L146" s="467" t="s">
        <v>61</v>
      </c>
      <c r="M146" s="467" t="s">
        <v>27</v>
      </c>
      <c r="N146" s="467" t="s">
        <v>63</v>
      </c>
    </row>
    <row r="147" spans="1:15">
      <c r="A147" s="27">
        <f t="shared" ref="A147:A166" si="16">A146+1</f>
        <v>88</v>
      </c>
      <c r="B147" s="34"/>
      <c r="C147" s="467"/>
      <c r="D147" s="467"/>
      <c r="E147" s="467" t="s">
        <v>64</v>
      </c>
      <c r="F147" s="467" t="s">
        <v>65</v>
      </c>
      <c r="G147" s="467" t="s">
        <v>66</v>
      </c>
      <c r="H147" s="467" t="s">
        <v>67</v>
      </c>
      <c r="I147" s="467" t="s">
        <v>26</v>
      </c>
      <c r="J147" s="467" t="s">
        <v>61</v>
      </c>
      <c r="K147" s="467" t="s">
        <v>73</v>
      </c>
      <c r="L147" s="467" t="s">
        <v>74</v>
      </c>
      <c r="M147" s="467" t="s">
        <v>75</v>
      </c>
      <c r="N147" s="467" t="s">
        <v>76</v>
      </c>
    </row>
    <row r="148" spans="1:15">
      <c r="A148" s="27">
        <f t="shared" si="16"/>
        <v>89</v>
      </c>
      <c r="B148" s="34"/>
      <c r="C148" s="35" t="s">
        <v>178</v>
      </c>
      <c r="D148" s="35" t="s">
        <v>77</v>
      </c>
      <c r="E148" s="35" t="s">
        <v>78</v>
      </c>
      <c r="F148" s="35" t="s">
        <v>38</v>
      </c>
      <c r="G148" s="35" t="s">
        <v>78</v>
      </c>
      <c r="H148" s="35" t="s">
        <v>79</v>
      </c>
      <c r="I148" s="35" t="s">
        <v>67</v>
      </c>
      <c r="J148" s="35" t="s">
        <v>67</v>
      </c>
      <c r="K148" s="35" t="s">
        <v>103</v>
      </c>
      <c r="L148" s="36">
        <v>41274</v>
      </c>
      <c r="M148" s="35" t="s">
        <v>39</v>
      </c>
      <c r="N148" s="35" t="s">
        <v>80</v>
      </c>
    </row>
    <row r="149" spans="1:15">
      <c r="A149" s="27">
        <f t="shared" si="16"/>
        <v>90</v>
      </c>
      <c r="B149" s="118"/>
      <c r="C149" s="485"/>
      <c r="D149" s="39" t="s">
        <v>379</v>
      </c>
      <c r="E149" s="40">
        <v>33205</v>
      </c>
      <c r="F149" s="37">
        <v>0.11849999999999999</v>
      </c>
      <c r="G149" s="384">
        <v>2020</v>
      </c>
      <c r="H149" s="792">
        <v>1500</v>
      </c>
      <c r="I149" s="792">
        <v>1500</v>
      </c>
      <c r="J149" s="800">
        <v>100</v>
      </c>
      <c r="K149" s="155">
        <v>0.1191</v>
      </c>
      <c r="L149" s="792">
        <v>1500</v>
      </c>
      <c r="M149" s="792">
        <v>178.65</v>
      </c>
      <c r="N149" s="483"/>
    </row>
    <row r="150" spans="1:15">
      <c r="A150" s="27">
        <f t="shared" si="16"/>
        <v>91</v>
      </c>
      <c r="B150" s="118"/>
      <c r="D150" s="39" t="s">
        <v>380</v>
      </c>
      <c r="E150" s="40">
        <v>33732</v>
      </c>
      <c r="F150" s="37">
        <v>9.4600000000000004E-2</v>
      </c>
      <c r="G150" s="384">
        <v>2023</v>
      </c>
      <c r="H150" s="792">
        <v>2500</v>
      </c>
      <c r="I150" s="791">
        <v>2500</v>
      </c>
      <c r="J150" s="799">
        <v>100</v>
      </c>
      <c r="K150" s="155">
        <v>9.5100000000000004E-2</v>
      </c>
      <c r="L150" s="792">
        <v>2500</v>
      </c>
      <c r="M150" s="792">
        <v>237.75</v>
      </c>
    </row>
    <row r="151" spans="1:15">
      <c r="A151" s="27">
        <f t="shared" si="16"/>
        <v>92</v>
      </c>
      <c r="B151" s="118"/>
      <c r="C151" s="485"/>
      <c r="D151" s="39" t="s">
        <v>102</v>
      </c>
      <c r="E151" s="40">
        <v>36385</v>
      </c>
      <c r="F151" s="37">
        <v>6.8000000000000005E-2</v>
      </c>
      <c r="G151" s="39">
        <v>2019</v>
      </c>
      <c r="H151" s="791">
        <v>4500</v>
      </c>
      <c r="I151" s="791">
        <v>4500</v>
      </c>
      <c r="J151" s="799">
        <v>100</v>
      </c>
      <c r="K151" s="37">
        <v>6.8500000000000005E-2</v>
      </c>
      <c r="L151" s="792">
        <v>4500</v>
      </c>
      <c r="M151" s="792">
        <v>308.25</v>
      </c>
    </row>
    <row r="152" spans="1:15">
      <c r="A152" s="27">
        <f t="shared" si="16"/>
        <v>93</v>
      </c>
      <c r="B152" s="118"/>
      <c r="C152" s="485"/>
      <c r="D152" s="39" t="s">
        <v>382</v>
      </c>
      <c r="E152" s="40">
        <v>37582</v>
      </c>
      <c r="F152" s="37">
        <v>6.1600000000000002E-2</v>
      </c>
      <c r="G152" s="39">
        <v>2017</v>
      </c>
      <c r="H152" s="791">
        <v>3900</v>
      </c>
      <c r="I152" s="791">
        <v>3900</v>
      </c>
      <c r="J152" s="799">
        <v>100</v>
      </c>
      <c r="K152" s="37">
        <v>6.2100000000000002E-2</v>
      </c>
      <c r="L152" s="792">
        <v>3900</v>
      </c>
      <c r="M152" s="792">
        <v>242.19</v>
      </c>
    </row>
    <row r="153" spans="1:15">
      <c r="A153" s="27">
        <f t="shared" si="16"/>
        <v>94</v>
      </c>
      <c r="B153" s="118"/>
      <c r="C153" s="485"/>
      <c r="D153" s="39" t="s">
        <v>383</v>
      </c>
      <c r="E153" s="40">
        <v>38009</v>
      </c>
      <c r="F153" s="37">
        <v>5.4199999999999998E-2</v>
      </c>
      <c r="G153" s="39">
        <v>2019</v>
      </c>
      <c r="H153" s="791">
        <v>1000</v>
      </c>
      <c r="I153" s="791">
        <v>1000</v>
      </c>
      <c r="J153" s="799">
        <v>100</v>
      </c>
      <c r="K153" s="37">
        <v>5.4699999999999999E-2</v>
      </c>
      <c r="L153" s="792">
        <v>1000</v>
      </c>
      <c r="M153" s="792">
        <v>54.7</v>
      </c>
    </row>
    <row r="154" spans="1:15">
      <c r="A154" s="27">
        <f t="shared" si="16"/>
        <v>95</v>
      </c>
      <c r="B154" s="118"/>
      <c r="C154" s="485"/>
      <c r="D154" s="39" t="s">
        <v>384</v>
      </c>
      <c r="E154" s="40">
        <v>38309</v>
      </c>
      <c r="F154" s="37">
        <v>5.11E-2</v>
      </c>
      <c r="G154" s="39">
        <v>2014</v>
      </c>
      <c r="H154" s="791">
        <v>500</v>
      </c>
      <c r="I154" s="791">
        <v>500</v>
      </c>
      <c r="J154" s="799">
        <v>100</v>
      </c>
      <c r="K154" s="37">
        <v>5.16E-2</v>
      </c>
      <c r="L154" s="792">
        <v>500</v>
      </c>
      <c r="M154" s="792">
        <v>25.8</v>
      </c>
    </row>
    <row r="155" spans="1:15">
      <c r="A155" s="27">
        <f t="shared" si="16"/>
        <v>96</v>
      </c>
      <c r="B155" s="118"/>
      <c r="C155" s="485"/>
      <c r="D155" s="39" t="s">
        <v>385</v>
      </c>
      <c r="E155" s="40">
        <v>38677</v>
      </c>
      <c r="F155" s="37">
        <v>5.1799999999999999E-2</v>
      </c>
      <c r="G155" s="39">
        <v>2035</v>
      </c>
      <c r="H155" s="792">
        <v>4300</v>
      </c>
      <c r="I155" s="791">
        <v>4300</v>
      </c>
      <c r="J155" s="799">
        <v>100</v>
      </c>
      <c r="K155" s="37">
        <v>5.2299999999999999E-2</v>
      </c>
      <c r="L155" s="792">
        <v>4300</v>
      </c>
      <c r="M155" s="792">
        <v>224.89</v>
      </c>
    </row>
    <row r="156" spans="1:15">
      <c r="A156" s="27">
        <f t="shared" si="16"/>
        <v>97</v>
      </c>
      <c r="B156" s="118"/>
      <c r="C156" s="485"/>
      <c r="D156" s="39" t="s">
        <v>386</v>
      </c>
      <c r="E156" s="40">
        <v>39041</v>
      </c>
      <c r="F156" s="37">
        <v>5.0200000000000002E-2</v>
      </c>
      <c r="G156" s="39">
        <v>2036</v>
      </c>
      <c r="H156" s="792">
        <v>3000</v>
      </c>
      <c r="I156" s="791">
        <v>3000</v>
      </c>
      <c r="J156" s="799">
        <v>100</v>
      </c>
      <c r="K156" s="37">
        <v>5.0700000000000002E-2</v>
      </c>
      <c r="L156" s="792">
        <v>3000</v>
      </c>
      <c r="M156" s="792">
        <v>152.1</v>
      </c>
    </row>
    <row r="157" spans="1:15">
      <c r="A157" s="27">
        <f t="shared" si="16"/>
        <v>98</v>
      </c>
      <c r="B157" s="118"/>
      <c r="C157" s="485"/>
      <c r="D157" s="39" t="s">
        <v>13</v>
      </c>
      <c r="E157" s="40">
        <v>39594</v>
      </c>
      <c r="F157" s="37">
        <f t="shared" ref="F157:F162" si="17">+K157-0.0005</f>
        <v>5.5599999999999997E-2</v>
      </c>
      <c r="G157" s="39">
        <v>2028</v>
      </c>
      <c r="H157" s="792">
        <v>860</v>
      </c>
      <c r="I157" s="791">
        <v>860</v>
      </c>
      <c r="J157" s="799">
        <v>100</v>
      </c>
      <c r="K157" s="37">
        <v>5.6099999999999997E-2</v>
      </c>
      <c r="L157" s="792">
        <v>860</v>
      </c>
      <c r="M157" s="792">
        <v>48.245999999999995</v>
      </c>
      <c r="N157" s="483"/>
    </row>
    <row r="158" spans="1:15">
      <c r="A158" s="27">
        <f t="shared" si="16"/>
        <v>99</v>
      </c>
      <c r="B158" s="118"/>
      <c r="C158" s="485"/>
      <c r="D158" s="27" t="s">
        <v>417</v>
      </c>
      <c r="E158" s="40">
        <v>39594</v>
      </c>
      <c r="F158" s="37">
        <f t="shared" si="17"/>
        <v>5.57E-2</v>
      </c>
      <c r="G158" s="27">
        <v>2038</v>
      </c>
      <c r="H158" s="794">
        <v>1290</v>
      </c>
      <c r="I158" s="791">
        <v>1290</v>
      </c>
      <c r="J158" s="799">
        <v>100</v>
      </c>
      <c r="K158" s="37">
        <v>5.62E-2</v>
      </c>
      <c r="L158" s="797">
        <v>1290</v>
      </c>
      <c r="M158" s="797">
        <v>72.498000000000005</v>
      </c>
      <c r="N158" s="396"/>
    </row>
    <row r="159" spans="1:15">
      <c r="A159" s="27">
        <f t="shared" si="16"/>
        <v>100</v>
      </c>
      <c r="B159" s="118"/>
      <c r="C159" s="485"/>
      <c r="D159" s="27" t="s">
        <v>418</v>
      </c>
      <c r="E159" s="28">
        <v>39878</v>
      </c>
      <c r="F159" s="37">
        <f t="shared" si="17"/>
        <v>6.2299999999999994E-2</v>
      </c>
      <c r="G159" s="27">
        <v>2024</v>
      </c>
      <c r="H159" s="791">
        <v>2900</v>
      </c>
      <c r="I159" s="791">
        <v>2900</v>
      </c>
      <c r="J159" s="799">
        <v>100</v>
      </c>
      <c r="K159" s="37">
        <v>6.2799999999999995E-2</v>
      </c>
      <c r="L159" s="792">
        <v>2900</v>
      </c>
      <c r="M159" s="792">
        <v>182.12</v>
      </c>
      <c r="N159" s="396"/>
    </row>
    <row r="160" spans="1:15">
      <c r="A160" s="27">
        <f t="shared" si="16"/>
        <v>101</v>
      </c>
      <c r="B160" s="118"/>
      <c r="C160" s="485"/>
      <c r="D160" s="27" t="s">
        <v>14</v>
      </c>
      <c r="E160" s="28">
        <v>39878</v>
      </c>
      <c r="F160" s="37">
        <f t="shared" si="17"/>
        <v>6.5000000000000002E-2</v>
      </c>
      <c r="G160" s="27">
        <v>2039</v>
      </c>
      <c r="H160" s="792">
        <v>3700</v>
      </c>
      <c r="I160" s="792">
        <v>3700</v>
      </c>
      <c r="J160" s="800">
        <v>100</v>
      </c>
      <c r="K160" s="471">
        <v>6.5500000000000003E-2</v>
      </c>
      <c r="L160" s="797">
        <v>3700</v>
      </c>
      <c r="M160" s="797">
        <v>242.35</v>
      </c>
      <c r="N160" s="483"/>
      <c r="O160" s="483"/>
    </row>
    <row r="161" spans="1:16">
      <c r="A161" s="27">
        <f t="shared" si="16"/>
        <v>102</v>
      </c>
      <c r="B161" s="118"/>
      <c r="C161" s="485"/>
      <c r="D161" s="27" t="s">
        <v>736</v>
      </c>
      <c r="E161" s="28">
        <v>40840</v>
      </c>
      <c r="F161" s="37">
        <f t="shared" si="17"/>
        <v>4.53E-2</v>
      </c>
      <c r="G161" s="27">
        <v>2041</v>
      </c>
      <c r="H161" s="792">
        <v>5000</v>
      </c>
      <c r="I161" s="792">
        <v>5000</v>
      </c>
      <c r="J161" s="800">
        <v>100</v>
      </c>
      <c r="K161" s="471">
        <v>4.58E-2</v>
      </c>
      <c r="L161" s="797">
        <f>+I161</f>
        <v>5000</v>
      </c>
      <c r="M161" s="797">
        <f>+L161*K161</f>
        <v>229</v>
      </c>
      <c r="N161" s="483"/>
      <c r="O161" s="483"/>
    </row>
    <row r="162" spans="1:16">
      <c r="A162" s="27">
        <f t="shared" si="16"/>
        <v>103</v>
      </c>
      <c r="B162" s="118"/>
      <c r="C162" s="485"/>
      <c r="D162" s="27" t="s">
        <v>737</v>
      </c>
      <c r="E162" s="28">
        <v>41214</v>
      </c>
      <c r="F162" s="37">
        <f t="shared" si="17"/>
        <v>3.8399999999999997E-2</v>
      </c>
      <c r="G162" s="27">
        <v>2052</v>
      </c>
      <c r="H162" s="793">
        <v>4000</v>
      </c>
      <c r="I162" s="791">
        <f>+H162</f>
        <v>4000</v>
      </c>
      <c r="J162" s="800">
        <v>100</v>
      </c>
      <c r="K162" s="37">
        <v>3.8899999999999997E-2</v>
      </c>
      <c r="L162" s="795">
        <f>+I162</f>
        <v>4000</v>
      </c>
      <c r="M162" s="795">
        <f>+L162*K162</f>
        <v>155.6</v>
      </c>
      <c r="N162" s="483"/>
    </row>
    <row r="163" spans="1:16">
      <c r="A163" s="27">
        <f t="shared" si="16"/>
        <v>104</v>
      </c>
      <c r="B163" s="118"/>
      <c r="C163" s="485" t="s">
        <v>26</v>
      </c>
      <c r="D163" s="27"/>
      <c r="E163" s="28"/>
      <c r="F163" s="29"/>
      <c r="G163" s="28"/>
      <c r="H163" s="791">
        <f>SUM(H149:H162)</f>
        <v>38950</v>
      </c>
      <c r="I163" s="791"/>
      <c r="J163" s="31"/>
      <c r="K163" s="29"/>
      <c r="L163" s="794">
        <f>SUM(L149:L162)</f>
        <v>38950</v>
      </c>
      <c r="M163" s="794">
        <f>SUM(M149:M162)</f>
        <v>2354.1439999999998</v>
      </c>
      <c r="N163" s="353">
        <f>M163/L163</f>
        <v>6.0440154043645694E-2</v>
      </c>
    </row>
    <row r="164" spans="1:16">
      <c r="A164" s="27">
        <f t="shared" si="16"/>
        <v>105</v>
      </c>
      <c r="B164" s="118"/>
      <c r="C164" s="485" t="s">
        <v>81</v>
      </c>
      <c r="D164" s="27"/>
      <c r="E164" s="28"/>
      <c r="F164" s="29"/>
      <c r="G164" s="28"/>
      <c r="H164" s="30"/>
      <c r="I164" s="30"/>
      <c r="J164" s="31"/>
      <c r="K164" s="29"/>
      <c r="L164" s="793">
        <f>+L134</f>
        <v>34950</v>
      </c>
      <c r="M164" s="793">
        <f>+M134</f>
        <v>2198.5439999999999</v>
      </c>
      <c r="N164" s="472">
        <f>+N134</f>
        <v>6.2905407725321882E-2</v>
      </c>
    </row>
    <row r="165" spans="1:16">
      <c r="A165" s="27">
        <f t="shared" si="16"/>
        <v>106</v>
      </c>
      <c r="B165" s="118"/>
      <c r="C165" s="485" t="s">
        <v>26</v>
      </c>
      <c r="D165" s="27"/>
      <c r="E165" s="28"/>
      <c r="F165" s="29"/>
      <c r="G165" s="28"/>
      <c r="H165" s="30"/>
      <c r="I165" s="30"/>
      <c r="J165" s="31"/>
      <c r="K165" s="29"/>
      <c r="L165" s="795">
        <f>L163+L164</f>
        <v>73900</v>
      </c>
      <c r="M165" s="795">
        <f>M163+M164</f>
        <v>4552.6880000000001</v>
      </c>
      <c r="N165" s="790"/>
    </row>
    <row r="166" spans="1:16" ht="13.5" thickBot="1">
      <c r="A166" s="27">
        <f t="shared" si="16"/>
        <v>107</v>
      </c>
      <c r="B166" s="118"/>
      <c r="C166" s="485" t="s">
        <v>37</v>
      </c>
      <c r="D166" s="27"/>
      <c r="E166" s="28"/>
      <c r="F166" s="29"/>
      <c r="G166" s="28"/>
      <c r="H166" s="30"/>
      <c r="I166" s="30"/>
      <c r="J166" s="31"/>
      <c r="K166" s="29"/>
      <c r="L166" s="796">
        <f>L165/2</f>
        <v>36950</v>
      </c>
      <c r="M166" s="796">
        <f>M165/2</f>
        <v>2276.3440000000001</v>
      </c>
      <c r="N166" s="45">
        <f>M166/L166</f>
        <v>6.1606062246278757E-2</v>
      </c>
    </row>
    <row r="167" spans="1:16" s="473" customFormat="1" ht="15.75" customHeight="1" thickTop="1">
      <c r="A167" s="570" t="s">
        <v>540</v>
      </c>
      <c r="B167" s="570"/>
      <c r="C167" s="570"/>
      <c r="D167" s="570"/>
      <c r="E167" s="570"/>
      <c r="F167" s="570"/>
      <c r="G167" s="570"/>
      <c r="H167" s="570"/>
      <c r="I167" s="570"/>
      <c r="J167" s="570"/>
      <c r="K167" s="570"/>
      <c r="L167" s="570"/>
      <c r="M167" s="570"/>
      <c r="N167" s="570"/>
      <c r="O167" s="227" t="s">
        <v>550</v>
      </c>
    </row>
    <row r="168" spans="1:16" s="473" customFormat="1">
      <c r="A168" s="570" t="s">
        <v>463</v>
      </c>
      <c r="B168" s="570"/>
      <c r="C168" s="570"/>
      <c r="D168" s="570"/>
      <c r="E168" s="570"/>
      <c r="F168" s="570"/>
      <c r="G168" s="570"/>
      <c r="H168" s="570"/>
      <c r="I168" s="570"/>
      <c r="J168" s="570"/>
      <c r="K168" s="570"/>
      <c r="L168" s="570"/>
      <c r="M168" s="570"/>
      <c r="N168" s="570"/>
      <c r="O168" s="227" t="s">
        <v>898</v>
      </c>
      <c r="P168" s="227"/>
    </row>
    <row r="169" spans="1:16" s="473" customFormat="1">
      <c r="A169" s="570" t="s">
        <v>551</v>
      </c>
      <c r="B169" s="570"/>
      <c r="C169" s="570"/>
      <c r="D169" s="570"/>
      <c r="E169" s="570"/>
      <c r="F169" s="570"/>
      <c r="G169" s="570"/>
      <c r="H169" s="570"/>
      <c r="I169" s="570"/>
      <c r="J169" s="570"/>
      <c r="K169" s="570"/>
      <c r="L169" s="570"/>
      <c r="M169" s="570"/>
      <c r="N169" s="570"/>
      <c r="O169" s="293"/>
      <c r="P169" s="227"/>
    </row>
    <row r="170" spans="1:16" s="473" customFormat="1">
      <c r="A170" s="570" t="s">
        <v>32</v>
      </c>
      <c r="B170" s="570"/>
      <c r="C170" s="570"/>
      <c r="D170" s="570"/>
      <c r="E170" s="570"/>
      <c r="F170" s="570"/>
      <c r="G170" s="570"/>
      <c r="H170" s="570"/>
      <c r="I170" s="570"/>
      <c r="J170" s="570"/>
      <c r="K170" s="570"/>
      <c r="L170" s="570"/>
      <c r="M170" s="570"/>
      <c r="N170" s="570"/>
      <c r="O170" s="293"/>
      <c r="P170" s="537"/>
    </row>
    <row r="171" spans="1:16">
      <c r="A171" s="467" t="s">
        <v>33</v>
      </c>
      <c r="B171" s="118"/>
      <c r="C171" s="485"/>
      <c r="D171" s="27"/>
      <c r="E171" s="28"/>
      <c r="F171" s="29"/>
      <c r="G171" s="28"/>
      <c r="H171" s="30"/>
      <c r="I171" s="30"/>
      <c r="J171" s="31"/>
      <c r="K171" s="29"/>
      <c r="L171" s="344"/>
      <c r="M171" s="344"/>
      <c r="N171" s="107"/>
    </row>
    <row r="172" spans="1:16">
      <c r="A172" s="35" t="s">
        <v>35</v>
      </c>
      <c r="B172" s="118"/>
      <c r="C172" s="485"/>
      <c r="D172" s="27"/>
      <c r="E172" s="28"/>
      <c r="F172" s="29"/>
      <c r="G172" s="28"/>
      <c r="H172" s="30"/>
      <c r="I172" s="30"/>
      <c r="J172" s="31"/>
      <c r="K172" s="29"/>
      <c r="L172" s="344"/>
      <c r="M172" s="344"/>
      <c r="N172" s="107"/>
    </row>
    <row r="173" spans="1:16">
      <c r="B173" s="25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462"/>
      <c r="O173" s="637"/>
    </row>
    <row r="174" spans="1:16">
      <c r="A174" s="27">
        <f>A166+1</f>
        <v>108</v>
      </c>
      <c r="B174" s="32" t="s">
        <v>548</v>
      </c>
      <c r="C174" s="485"/>
      <c r="D174" s="485"/>
      <c r="E174" s="485"/>
      <c r="F174" s="485"/>
      <c r="G174" s="485"/>
      <c r="H174" s="485"/>
      <c r="I174" s="33" t="s">
        <v>60</v>
      </c>
      <c r="J174" s="26"/>
      <c r="K174" s="485"/>
      <c r="L174" s="485"/>
      <c r="M174" s="485"/>
    </row>
    <row r="175" spans="1:16">
      <c r="A175" s="27">
        <f>A174+1</f>
        <v>109</v>
      </c>
      <c r="C175" s="467"/>
      <c r="D175" s="467"/>
      <c r="E175" s="467"/>
      <c r="F175" s="467"/>
      <c r="G175" s="467"/>
      <c r="H175" s="467" t="s">
        <v>61</v>
      </c>
      <c r="I175" s="467" t="s">
        <v>27</v>
      </c>
      <c r="J175" s="467" t="s">
        <v>62</v>
      </c>
      <c r="L175" s="467" t="s">
        <v>61</v>
      </c>
      <c r="M175" s="467" t="s">
        <v>27</v>
      </c>
      <c r="N175" s="467" t="s">
        <v>63</v>
      </c>
    </row>
    <row r="176" spans="1:16">
      <c r="A176" s="27">
        <f t="shared" ref="A176:A214" si="18">A175+1</f>
        <v>110</v>
      </c>
      <c r="B176" s="34"/>
      <c r="C176" s="467"/>
      <c r="D176" s="467"/>
      <c r="E176" s="467" t="s">
        <v>64</v>
      </c>
      <c r="F176" s="467" t="s">
        <v>65</v>
      </c>
      <c r="G176" s="467" t="s">
        <v>66</v>
      </c>
      <c r="H176" s="467" t="s">
        <v>67</v>
      </c>
      <c r="I176" s="467" t="s">
        <v>26</v>
      </c>
      <c r="J176" s="467" t="s">
        <v>61</v>
      </c>
      <c r="K176" s="467" t="s">
        <v>73</v>
      </c>
      <c r="L176" s="467" t="s">
        <v>74</v>
      </c>
      <c r="M176" s="467" t="s">
        <v>75</v>
      </c>
      <c r="N176" s="467" t="s">
        <v>76</v>
      </c>
    </row>
    <row r="177" spans="1:14">
      <c r="A177" s="27">
        <f t="shared" si="18"/>
        <v>111</v>
      </c>
      <c r="B177" s="34"/>
      <c r="C177" s="35" t="s">
        <v>178</v>
      </c>
      <c r="D177" s="35" t="s">
        <v>77</v>
      </c>
      <c r="E177" s="35" t="s">
        <v>78</v>
      </c>
      <c r="F177" s="35" t="s">
        <v>38</v>
      </c>
      <c r="G177" s="35" t="s">
        <v>78</v>
      </c>
      <c r="H177" s="35" t="s">
        <v>79</v>
      </c>
      <c r="I177" s="35" t="s">
        <v>67</v>
      </c>
      <c r="J177" s="35" t="s">
        <v>67</v>
      </c>
      <c r="K177" s="35" t="s">
        <v>103</v>
      </c>
      <c r="L177" s="36">
        <v>39813</v>
      </c>
      <c r="M177" s="35" t="s">
        <v>39</v>
      </c>
      <c r="N177" s="35" t="s">
        <v>80</v>
      </c>
    </row>
    <row r="178" spans="1:14">
      <c r="A178" s="27">
        <f t="shared" si="18"/>
        <v>112</v>
      </c>
      <c r="B178" s="118"/>
      <c r="C178" s="485"/>
      <c r="D178" s="39" t="s">
        <v>376</v>
      </c>
      <c r="E178" s="40">
        <v>32842</v>
      </c>
      <c r="F178" s="37">
        <v>0.1028</v>
      </c>
      <c r="G178" s="39">
        <v>2009</v>
      </c>
      <c r="H178" s="791">
        <v>2000</v>
      </c>
      <c r="I178" s="792">
        <f>H178</f>
        <v>2000</v>
      </c>
      <c r="J178" s="800">
        <f>I178/H178*100</f>
        <v>100</v>
      </c>
      <c r="K178" s="155">
        <v>0.1033</v>
      </c>
      <c r="L178" s="792">
        <f>I178</f>
        <v>2000</v>
      </c>
      <c r="M178" s="792">
        <f>L178*K178</f>
        <v>206.6</v>
      </c>
      <c r="N178" s="483"/>
    </row>
    <row r="179" spans="1:14">
      <c r="A179" s="27">
        <f t="shared" si="18"/>
        <v>113</v>
      </c>
      <c r="B179" s="118"/>
      <c r="C179" s="485"/>
      <c r="D179" s="39" t="s">
        <v>379</v>
      </c>
      <c r="E179" s="40">
        <v>33205</v>
      </c>
      <c r="F179" s="37">
        <v>0.11849999999999999</v>
      </c>
      <c r="G179" s="39">
        <v>2020</v>
      </c>
      <c r="H179" s="792">
        <v>1500</v>
      </c>
      <c r="I179" s="792">
        <f t="shared" ref="I179:I184" si="19">H179</f>
        <v>1500</v>
      </c>
      <c r="J179" s="800">
        <f t="shared" ref="J179:J184" si="20">I179/H179*100</f>
        <v>100</v>
      </c>
      <c r="K179" s="155">
        <v>0.1191</v>
      </c>
      <c r="L179" s="792">
        <f t="shared" ref="L179:L185" si="21">I179</f>
        <v>1500</v>
      </c>
      <c r="M179" s="792">
        <f t="shared" ref="M179:M185" si="22">L179*K179</f>
        <v>178.65</v>
      </c>
      <c r="N179" s="483"/>
    </row>
    <row r="180" spans="1:14">
      <c r="A180" s="27">
        <f t="shared" si="18"/>
        <v>114</v>
      </c>
      <c r="B180" s="118"/>
      <c r="C180" s="485"/>
      <c r="D180" s="39" t="s">
        <v>380</v>
      </c>
      <c r="E180" s="40">
        <v>33732</v>
      </c>
      <c r="F180" s="37">
        <v>9.4600000000000004E-2</v>
      </c>
      <c r="G180" s="39">
        <v>2023</v>
      </c>
      <c r="H180" s="792">
        <v>2500</v>
      </c>
      <c r="I180" s="792">
        <f t="shared" si="19"/>
        <v>2500</v>
      </c>
      <c r="J180" s="800">
        <f t="shared" si="20"/>
        <v>100</v>
      </c>
      <c r="K180" s="155">
        <v>9.5100000000000004E-2</v>
      </c>
      <c r="L180" s="792">
        <f t="shared" si="21"/>
        <v>2500</v>
      </c>
      <c r="M180" s="792">
        <f t="shared" si="22"/>
        <v>237.75</v>
      </c>
      <c r="N180" s="483"/>
    </row>
    <row r="181" spans="1:14">
      <c r="A181" s="27">
        <f t="shared" si="18"/>
        <v>115</v>
      </c>
      <c r="B181" s="118"/>
      <c r="C181" s="485"/>
      <c r="D181" s="39" t="s">
        <v>102</v>
      </c>
      <c r="E181" s="40">
        <v>36385</v>
      </c>
      <c r="F181" s="37">
        <v>6.8000000000000005E-2</v>
      </c>
      <c r="G181" s="39">
        <v>2019</v>
      </c>
      <c r="H181" s="791">
        <v>4500</v>
      </c>
      <c r="I181" s="792">
        <f t="shared" si="19"/>
        <v>4500</v>
      </c>
      <c r="J181" s="800">
        <f t="shared" si="20"/>
        <v>100</v>
      </c>
      <c r="K181" s="37">
        <v>6.8500000000000005E-2</v>
      </c>
      <c r="L181" s="792">
        <f t="shared" si="21"/>
        <v>4500</v>
      </c>
      <c r="M181" s="792">
        <f t="shared" si="22"/>
        <v>308.25</v>
      </c>
      <c r="N181" s="483"/>
    </row>
    <row r="182" spans="1:14">
      <c r="A182" s="27">
        <f t="shared" si="18"/>
        <v>116</v>
      </c>
      <c r="B182" s="118"/>
      <c r="C182" s="485"/>
      <c r="D182" s="39" t="s">
        <v>381</v>
      </c>
      <c r="E182" s="40">
        <v>36679</v>
      </c>
      <c r="F182" s="37">
        <v>7.0000000000000007E-2</v>
      </c>
      <c r="G182" s="39">
        <v>2008</v>
      </c>
      <c r="H182" s="791">
        <v>0</v>
      </c>
      <c r="I182" s="792">
        <f t="shared" si="19"/>
        <v>0</v>
      </c>
      <c r="J182" s="800">
        <v>0</v>
      </c>
      <c r="K182" s="37">
        <v>7.0499999999999993E-2</v>
      </c>
      <c r="L182" s="792">
        <v>0</v>
      </c>
      <c r="M182" s="792">
        <f t="shared" si="22"/>
        <v>0</v>
      </c>
      <c r="N182" s="483"/>
    </row>
    <row r="183" spans="1:14">
      <c r="A183" s="27">
        <f t="shared" si="18"/>
        <v>117</v>
      </c>
      <c r="B183" s="118"/>
      <c r="C183" s="485"/>
      <c r="D183" s="39" t="s">
        <v>382</v>
      </c>
      <c r="E183" s="40">
        <v>37582</v>
      </c>
      <c r="F183" s="37">
        <v>6.1600000000000002E-2</v>
      </c>
      <c r="G183" s="39">
        <v>2017</v>
      </c>
      <c r="H183" s="791">
        <v>3900</v>
      </c>
      <c r="I183" s="792">
        <f t="shared" si="19"/>
        <v>3900</v>
      </c>
      <c r="J183" s="800">
        <f t="shared" si="20"/>
        <v>100</v>
      </c>
      <c r="K183" s="37">
        <v>6.2100000000000002E-2</v>
      </c>
      <c r="L183" s="792">
        <f t="shared" si="21"/>
        <v>3900</v>
      </c>
      <c r="M183" s="792">
        <f t="shared" si="22"/>
        <v>242.19</v>
      </c>
      <c r="N183" s="483"/>
    </row>
    <row r="184" spans="1:14">
      <c r="A184" s="27">
        <f t="shared" si="18"/>
        <v>118</v>
      </c>
      <c r="B184" s="118"/>
      <c r="C184" s="485"/>
      <c r="D184" s="39" t="s">
        <v>383</v>
      </c>
      <c r="E184" s="40">
        <v>38009</v>
      </c>
      <c r="F184" s="37">
        <v>5.4199999999999998E-2</v>
      </c>
      <c r="G184" s="39">
        <v>2019</v>
      </c>
      <c r="H184" s="791">
        <v>1000</v>
      </c>
      <c r="I184" s="792">
        <f t="shared" si="19"/>
        <v>1000</v>
      </c>
      <c r="J184" s="800">
        <f t="shared" si="20"/>
        <v>100</v>
      </c>
      <c r="K184" s="37">
        <v>5.4699999999999999E-2</v>
      </c>
      <c r="L184" s="792">
        <f t="shared" si="21"/>
        <v>1000</v>
      </c>
      <c r="M184" s="792">
        <f t="shared" si="22"/>
        <v>54.699999999999996</v>
      </c>
      <c r="N184" s="483"/>
    </row>
    <row r="185" spans="1:14">
      <c r="A185" s="27">
        <f t="shared" si="18"/>
        <v>119</v>
      </c>
      <c r="B185" s="118"/>
      <c r="D185" s="39" t="s">
        <v>384</v>
      </c>
      <c r="E185" s="40">
        <v>38309</v>
      </c>
      <c r="F185" s="37">
        <v>5.11E-2</v>
      </c>
      <c r="G185" s="39">
        <v>2014</v>
      </c>
      <c r="H185" s="791">
        <v>500</v>
      </c>
      <c r="I185" s="791">
        <f>H185</f>
        <v>500</v>
      </c>
      <c r="J185" s="799">
        <f>I185/H185*100</f>
        <v>100</v>
      </c>
      <c r="K185" s="37">
        <v>5.16E-2</v>
      </c>
      <c r="L185" s="792">
        <f t="shared" si="21"/>
        <v>500</v>
      </c>
      <c r="M185" s="792">
        <f t="shared" si="22"/>
        <v>25.8</v>
      </c>
    </row>
    <row r="186" spans="1:14">
      <c r="A186" s="27">
        <f t="shared" si="18"/>
        <v>120</v>
      </c>
      <c r="B186" s="118"/>
      <c r="C186" s="485"/>
      <c r="D186" s="39" t="s">
        <v>385</v>
      </c>
      <c r="E186" s="40">
        <v>38677</v>
      </c>
      <c r="F186" s="37">
        <v>5.1799999999999999E-2</v>
      </c>
      <c r="G186" s="39">
        <v>2035</v>
      </c>
      <c r="H186" s="791">
        <v>4300</v>
      </c>
      <c r="I186" s="791">
        <f>H186</f>
        <v>4300</v>
      </c>
      <c r="J186" s="799">
        <f>I186/H186*100</f>
        <v>100</v>
      </c>
      <c r="K186" s="37">
        <v>5.2299999999999999E-2</v>
      </c>
      <c r="L186" s="792">
        <f>I186</f>
        <v>4300</v>
      </c>
      <c r="M186" s="792">
        <f>L186*K186</f>
        <v>224.89</v>
      </c>
    </row>
    <row r="187" spans="1:14">
      <c r="A187" s="27">
        <f t="shared" si="18"/>
        <v>121</v>
      </c>
      <c r="B187" s="118"/>
      <c r="C187" s="485"/>
      <c r="D187" s="39" t="s">
        <v>386</v>
      </c>
      <c r="E187" s="40">
        <v>39041</v>
      </c>
      <c r="F187" s="37">
        <v>5.0200000000000002E-2</v>
      </c>
      <c r="G187" s="39">
        <v>2036</v>
      </c>
      <c r="H187" s="797">
        <v>3000</v>
      </c>
      <c r="I187" s="797">
        <f>H187</f>
        <v>3000</v>
      </c>
      <c r="J187" s="801">
        <f>I187/H187*100</f>
        <v>100</v>
      </c>
      <c r="K187" s="345">
        <v>5.0700000000000002E-2</v>
      </c>
      <c r="L187" s="792">
        <f>I187</f>
        <v>3000</v>
      </c>
      <c r="M187" s="792">
        <f>L187*K187</f>
        <v>152.1</v>
      </c>
    </row>
    <row r="188" spans="1:14">
      <c r="A188" s="27">
        <f t="shared" si="18"/>
        <v>122</v>
      </c>
      <c r="B188" s="118"/>
      <c r="C188" s="485"/>
      <c r="D188" s="39" t="s">
        <v>417</v>
      </c>
      <c r="E188" s="40">
        <v>39772</v>
      </c>
      <c r="F188" s="37">
        <f>+K188-0.005</f>
        <v>5.1230000000000005E-2</v>
      </c>
      <c r="G188" s="39">
        <v>2038</v>
      </c>
      <c r="H188" s="795">
        <v>6242</v>
      </c>
      <c r="I188" s="797">
        <f>H188</f>
        <v>6242</v>
      </c>
      <c r="J188" s="801">
        <f>I188/H188*100</f>
        <v>100</v>
      </c>
      <c r="K188" s="346">
        <v>5.6230000000000002E-2</v>
      </c>
      <c r="L188" s="793">
        <f>I188</f>
        <v>6242</v>
      </c>
      <c r="M188" s="793">
        <f>L188*K188</f>
        <v>350.98766000000001</v>
      </c>
    </row>
    <row r="189" spans="1:14">
      <c r="A189" s="27">
        <f t="shared" si="18"/>
        <v>123</v>
      </c>
      <c r="B189" s="118"/>
      <c r="C189" s="485" t="s">
        <v>26</v>
      </c>
      <c r="D189" s="27"/>
      <c r="E189" s="28"/>
      <c r="F189" s="29"/>
      <c r="G189" s="40"/>
      <c r="H189" s="794">
        <f>SUM(H178:H188)</f>
        <v>29442</v>
      </c>
      <c r="I189" s="794"/>
      <c r="J189" s="347"/>
      <c r="K189" s="346"/>
      <c r="L189" s="794">
        <f>SUM(L178:L188)</f>
        <v>29442</v>
      </c>
      <c r="M189" s="794">
        <f>SUM(M178:M188)</f>
        <v>1981.9176599999998</v>
      </c>
      <c r="N189" s="42">
        <f>M189/L189</f>
        <v>6.731599959241899E-2</v>
      </c>
    </row>
    <row r="190" spans="1:14">
      <c r="A190" s="27">
        <f t="shared" si="18"/>
        <v>124</v>
      </c>
      <c r="B190" s="118"/>
      <c r="C190" s="485" t="s">
        <v>81</v>
      </c>
      <c r="D190" s="27"/>
      <c r="E190" s="28"/>
      <c r="F190" s="29"/>
      <c r="G190" s="40"/>
      <c r="H190" s="38"/>
      <c r="I190" s="38"/>
      <c r="J190" s="347"/>
      <c r="K190" s="346"/>
      <c r="L190" s="793">
        <f>L41</f>
        <v>23800</v>
      </c>
      <c r="M190" s="793">
        <f>M41</f>
        <v>1673.23</v>
      </c>
      <c r="N190" s="43">
        <f>M190/L190</f>
        <v>7.0303781512605037E-2</v>
      </c>
    </row>
    <row r="191" spans="1:14">
      <c r="A191" s="27">
        <f t="shared" si="18"/>
        <v>125</v>
      </c>
      <c r="B191" s="118"/>
      <c r="C191" s="485" t="s">
        <v>26</v>
      </c>
      <c r="D191" s="27"/>
      <c r="E191" s="28"/>
      <c r="F191" s="29"/>
      <c r="G191" s="40"/>
      <c r="H191" s="38"/>
      <c r="I191" s="38"/>
      <c r="J191" s="347"/>
      <c r="K191" s="346"/>
      <c r="L191" s="795">
        <f>SUM(L189:L190)</f>
        <v>53242</v>
      </c>
      <c r="M191" s="795">
        <f>SUM(M189:M190)</f>
        <v>3655.1476599999996</v>
      </c>
      <c r="N191" s="790"/>
    </row>
    <row r="192" spans="1:14" ht="13.5" thickBot="1">
      <c r="A192" s="27">
        <f t="shared" si="18"/>
        <v>126</v>
      </c>
      <c r="B192" s="118"/>
      <c r="C192" s="485" t="s">
        <v>37</v>
      </c>
      <c r="D192" s="27"/>
      <c r="E192" s="28"/>
      <c r="F192" s="29"/>
      <c r="G192" s="40"/>
      <c r="H192" s="38"/>
      <c r="I192" s="38"/>
      <c r="J192" s="347"/>
      <c r="K192" s="346"/>
      <c r="L192" s="796">
        <f>L191/2</f>
        <v>26621</v>
      </c>
      <c r="M192" s="796">
        <f>M191/2</f>
        <v>1827.5738299999998</v>
      </c>
      <c r="N192" s="45">
        <f>M192/L192</f>
        <v>6.8651584463393561E-2</v>
      </c>
    </row>
    <row r="193" spans="1:14" ht="13.5" thickTop="1">
      <c r="A193" s="27">
        <f t="shared" si="18"/>
        <v>127</v>
      </c>
      <c r="G193" s="473"/>
      <c r="H193" s="473"/>
      <c r="I193" s="473"/>
      <c r="J193" s="473"/>
      <c r="K193" s="473"/>
    </row>
    <row r="194" spans="1:14">
      <c r="A194" s="27">
        <f t="shared" si="18"/>
        <v>128</v>
      </c>
      <c r="G194" s="473"/>
      <c r="H194" s="473"/>
      <c r="I194" s="473"/>
      <c r="J194" s="473"/>
      <c r="K194" s="473"/>
    </row>
    <row r="195" spans="1:14">
      <c r="A195" s="27">
        <f t="shared" si="18"/>
        <v>129</v>
      </c>
      <c r="G195" s="473"/>
      <c r="H195" s="473"/>
      <c r="I195" s="473"/>
      <c r="J195" s="473"/>
      <c r="K195" s="473"/>
    </row>
    <row r="196" spans="1:14">
      <c r="A196" s="27">
        <f t="shared" si="18"/>
        <v>130</v>
      </c>
      <c r="B196" s="32" t="s">
        <v>549</v>
      </c>
      <c r="C196" s="485"/>
      <c r="D196" s="485"/>
      <c r="E196" s="485"/>
      <c r="F196" s="485"/>
      <c r="G196" s="348"/>
      <c r="H196" s="348"/>
      <c r="I196" s="349" t="s">
        <v>60</v>
      </c>
      <c r="J196" s="350"/>
      <c r="K196" s="348"/>
      <c r="L196" s="485"/>
      <c r="M196" s="485"/>
    </row>
    <row r="197" spans="1:14">
      <c r="A197" s="27">
        <f t="shared" si="18"/>
        <v>131</v>
      </c>
      <c r="C197" s="467"/>
      <c r="D197" s="467"/>
      <c r="E197" s="467"/>
      <c r="F197" s="467"/>
      <c r="G197" s="343"/>
      <c r="H197" s="343" t="s">
        <v>61</v>
      </c>
      <c r="I197" s="343" t="s">
        <v>27</v>
      </c>
      <c r="J197" s="343" t="s">
        <v>62</v>
      </c>
      <c r="K197" s="473"/>
      <c r="L197" s="467" t="s">
        <v>61</v>
      </c>
      <c r="M197" s="467" t="s">
        <v>27</v>
      </c>
      <c r="N197" s="467" t="s">
        <v>63</v>
      </c>
    </row>
    <row r="198" spans="1:14">
      <c r="A198" s="27">
        <f t="shared" si="18"/>
        <v>132</v>
      </c>
      <c r="B198" s="34"/>
      <c r="C198" s="467"/>
      <c r="D198" s="467"/>
      <c r="E198" s="467" t="s">
        <v>64</v>
      </c>
      <c r="F198" s="467" t="s">
        <v>65</v>
      </c>
      <c r="G198" s="343" t="s">
        <v>66</v>
      </c>
      <c r="H198" s="343" t="s">
        <v>67</v>
      </c>
      <c r="I198" s="343" t="s">
        <v>26</v>
      </c>
      <c r="J198" s="343" t="s">
        <v>61</v>
      </c>
      <c r="K198" s="343" t="s">
        <v>73</v>
      </c>
      <c r="L198" s="467" t="s">
        <v>74</v>
      </c>
      <c r="M198" s="467" t="s">
        <v>75</v>
      </c>
      <c r="N198" s="467" t="s">
        <v>76</v>
      </c>
    </row>
    <row r="199" spans="1:14">
      <c r="A199" s="27">
        <f t="shared" si="18"/>
        <v>133</v>
      </c>
      <c r="B199" s="34"/>
      <c r="C199" s="35" t="s">
        <v>178</v>
      </c>
      <c r="D199" s="35" t="s">
        <v>77</v>
      </c>
      <c r="E199" s="35" t="s">
        <v>78</v>
      </c>
      <c r="F199" s="35" t="s">
        <v>38</v>
      </c>
      <c r="G199" s="351" t="s">
        <v>78</v>
      </c>
      <c r="H199" s="351" t="s">
        <v>79</v>
      </c>
      <c r="I199" s="351" t="s">
        <v>67</v>
      </c>
      <c r="J199" s="351" t="s">
        <v>67</v>
      </c>
      <c r="K199" s="351" t="s">
        <v>103</v>
      </c>
      <c r="L199" s="36">
        <v>40178</v>
      </c>
      <c r="M199" s="35" t="s">
        <v>39</v>
      </c>
      <c r="N199" s="35" t="s">
        <v>80</v>
      </c>
    </row>
    <row r="200" spans="1:14">
      <c r="A200" s="27">
        <f t="shared" si="18"/>
        <v>134</v>
      </c>
      <c r="B200" s="118"/>
      <c r="C200" s="485"/>
      <c r="D200" s="39" t="s">
        <v>379</v>
      </c>
      <c r="E200" s="40">
        <v>33205</v>
      </c>
      <c r="F200" s="37">
        <v>0.11849999999999999</v>
      </c>
      <c r="G200" s="39">
        <v>2020</v>
      </c>
      <c r="H200" s="797">
        <v>1500</v>
      </c>
      <c r="I200" s="797">
        <f t="shared" ref="I200:I207" si="23">H200</f>
        <v>1500</v>
      </c>
      <c r="J200" s="801">
        <f t="shared" ref="J200:J207" si="24">I200/H200*100</f>
        <v>100</v>
      </c>
      <c r="K200" s="352">
        <v>0.1191</v>
      </c>
      <c r="L200" s="792">
        <f t="shared" ref="L200:L206" si="25">I200</f>
        <v>1500</v>
      </c>
      <c r="M200" s="792">
        <f t="shared" ref="M200:M206" si="26">L200*K200</f>
        <v>178.65</v>
      </c>
      <c r="N200" s="483"/>
    </row>
    <row r="201" spans="1:14">
      <c r="A201" s="27">
        <f t="shared" si="18"/>
        <v>135</v>
      </c>
      <c r="B201" s="118"/>
      <c r="C201" s="485"/>
      <c r="D201" s="39" t="s">
        <v>380</v>
      </c>
      <c r="E201" s="40">
        <v>33732</v>
      </c>
      <c r="F201" s="37">
        <v>9.4600000000000004E-2</v>
      </c>
      <c r="G201" s="39">
        <v>2023</v>
      </c>
      <c r="H201" s="797">
        <v>2500</v>
      </c>
      <c r="I201" s="797">
        <f t="shared" si="23"/>
        <v>2500</v>
      </c>
      <c r="J201" s="801">
        <f t="shared" si="24"/>
        <v>100</v>
      </c>
      <c r="K201" s="352">
        <v>9.5100000000000004E-2</v>
      </c>
      <c r="L201" s="792">
        <f t="shared" si="25"/>
        <v>2500</v>
      </c>
      <c r="M201" s="792">
        <f t="shared" si="26"/>
        <v>237.75</v>
      </c>
      <c r="N201" s="483"/>
    </row>
    <row r="202" spans="1:14">
      <c r="A202" s="27">
        <f t="shared" si="18"/>
        <v>136</v>
      </c>
      <c r="B202" s="118"/>
      <c r="C202" s="485"/>
      <c r="D202" s="39" t="s">
        <v>102</v>
      </c>
      <c r="E202" s="40">
        <v>36385</v>
      </c>
      <c r="F202" s="37">
        <v>6.8000000000000005E-2</v>
      </c>
      <c r="G202" s="39">
        <v>2019</v>
      </c>
      <c r="H202" s="794">
        <v>4500</v>
      </c>
      <c r="I202" s="797">
        <f t="shared" si="23"/>
        <v>4500</v>
      </c>
      <c r="J202" s="801">
        <f t="shared" si="24"/>
        <v>100</v>
      </c>
      <c r="K202" s="345">
        <v>6.8500000000000005E-2</v>
      </c>
      <c r="L202" s="792">
        <f t="shared" si="25"/>
        <v>4500</v>
      </c>
      <c r="M202" s="792">
        <f t="shared" si="26"/>
        <v>308.25</v>
      </c>
      <c r="N202" s="483"/>
    </row>
    <row r="203" spans="1:14">
      <c r="A203" s="27">
        <f t="shared" si="18"/>
        <v>137</v>
      </c>
      <c r="B203" s="118"/>
      <c r="C203" s="485"/>
      <c r="D203" s="39" t="s">
        <v>381</v>
      </c>
      <c r="E203" s="40">
        <v>36679</v>
      </c>
      <c r="F203" s="37">
        <v>7.0000000000000007E-2</v>
      </c>
      <c r="G203" s="39">
        <v>2008</v>
      </c>
      <c r="H203" s="794">
        <v>0</v>
      </c>
      <c r="I203" s="797">
        <f t="shared" si="23"/>
        <v>0</v>
      </c>
      <c r="J203" s="801">
        <v>0</v>
      </c>
      <c r="K203" s="345">
        <v>7.0499999999999993E-2</v>
      </c>
      <c r="L203" s="792">
        <v>0</v>
      </c>
      <c r="M203" s="792">
        <f t="shared" si="26"/>
        <v>0</v>
      </c>
      <c r="N203" s="483"/>
    </row>
    <row r="204" spans="1:14">
      <c r="A204" s="27">
        <f t="shared" si="18"/>
        <v>138</v>
      </c>
      <c r="B204" s="118"/>
      <c r="C204" s="485"/>
      <c r="D204" s="39" t="s">
        <v>382</v>
      </c>
      <c r="E204" s="40">
        <v>37582</v>
      </c>
      <c r="F204" s="37">
        <v>6.1600000000000002E-2</v>
      </c>
      <c r="G204" s="39">
        <v>2017</v>
      </c>
      <c r="H204" s="794">
        <v>3900</v>
      </c>
      <c r="I204" s="797">
        <f t="shared" si="23"/>
        <v>3900</v>
      </c>
      <c r="J204" s="801">
        <f t="shared" si="24"/>
        <v>100</v>
      </c>
      <c r="K204" s="345">
        <v>6.2100000000000002E-2</v>
      </c>
      <c r="L204" s="792">
        <f t="shared" si="25"/>
        <v>3900</v>
      </c>
      <c r="M204" s="792">
        <f t="shared" si="26"/>
        <v>242.19</v>
      </c>
      <c r="N204" s="483"/>
    </row>
    <row r="205" spans="1:14">
      <c r="A205" s="27">
        <f t="shared" si="18"/>
        <v>139</v>
      </c>
      <c r="B205" s="118"/>
      <c r="C205" s="485"/>
      <c r="D205" s="39" t="s">
        <v>383</v>
      </c>
      <c r="E205" s="40">
        <v>38009</v>
      </c>
      <c r="F205" s="37">
        <v>5.4199999999999998E-2</v>
      </c>
      <c r="G205" s="39">
        <v>2019</v>
      </c>
      <c r="H205" s="794">
        <v>1000</v>
      </c>
      <c r="I205" s="797">
        <f t="shared" si="23"/>
        <v>1000</v>
      </c>
      <c r="J205" s="801">
        <f t="shared" si="24"/>
        <v>100</v>
      </c>
      <c r="K205" s="345">
        <v>5.4699999999999999E-2</v>
      </c>
      <c r="L205" s="792">
        <f t="shared" si="25"/>
        <v>1000</v>
      </c>
      <c r="M205" s="792">
        <f t="shared" si="26"/>
        <v>54.699999999999996</v>
      </c>
      <c r="N205" s="483"/>
    </row>
    <row r="206" spans="1:14">
      <c r="A206" s="27">
        <f t="shared" si="18"/>
        <v>140</v>
      </c>
      <c r="B206" s="118"/>
      <c r="C206" s="485"/>
      <c r="D206" s="39" t="s">
        <v>384</v>
      </c>
      <c r="E206" s="40">
        <v>38309</v>
      </c>
      <c r="F206" s="37">
        <v>5.11E-2</v>
      </c>
      <c r="G206" s="39">
        <v>2014</v>
      </c>
      <c r="H206" s="794">
        <v>500</v>
      </c>
      <c r="I206" s="797">
        <f t="shared" si="23"/>
        <v>500</v>
      </c>
      <c r="J206" s="801">
        <f t="shared" si="24"/>
        <v>100</v>
      </c>
      <c r="K206" s="345">
        <v>5.16E-2</v>
      </c>
      <c r="L206" s="792">
        <f t="shared" si="25"/>
        <v>500</v>
      </c>
      <c r="M206" s="792">
        <f t="shared" si="26"/>
        <v>25.8</v>
      </c>
      <c r="N206" s="483"/>
    </row>
    <row r="207" spans="1:14">
      <c r="A207" s="27">
        <f t="shared" si="18"/>
        <v>141</v>
      </c>
      <c r="B207" s="118"/>
      <c r="D207" s="39" t="s">
        <v>385</v>
      </c>
      <c r="E207" s="40">
        <v>38677</v>
      </c>
      <c r="F207" s="37">
        <v>5.1799999999999999E-2</v>
      </c>
      <c r="G207" s="39">
        <v>2035</v>
      </c>
      <c r="H207" s="794">
        <v>4300</v>
      </c>
      <c r="I207" s="797">
        <f t="shared" si="23"/>
        <v>4300</v>
      </c>
      <c r="J207" s="801">
        <f t="shared" si="24"/>
        <v>100</v>
      </c>
      <c r="K207" s="345">
        <v>5.2299999999999999E-2</v>
      </c>
      <c r="L207" s="792">
        <f>I207</f>
        <v>4300</v>
      </c>
      <c r="M207" s="792">
        <f>L207*K207</f>
        <v>224.89</v>
      </c>
    </row>
    <row r="208" spans="1:14">
      <c r="A208" s="27">
        <f t="shared" si="18"/>
        <v>142</v>
      </c>
      <c r="B208" s="118"/>
      <c r="C208" s="485"/>
      <c r="D208" s="39" t="s">
        <v>386</v>
      </c>
      <c r="E208" s="40">
        <v>39041</v>
      </c>
      <c r="F208" s="37">
        <v>5.0200000000000002E-2</v>
      </c>
      <c r="G208" s="39">
        <v>2036</v>
      </c>
      <c r="H208" s="797">
        <v>3000</v>
      </c>
      <c r="I208" s="797">
        <f>H208</f>
        <v>3000</v>
      </c>
      <c r="J208" s="801">
        <f>I208/H208*100</f>
        <v>100</v>
      </c>
      <c r="K208" s="353">
        <v>5.0700000000000002E-2</v>
      </c>
      <c r="L208" s="792">
        <f>I208</f>
        <v>3000</v>
      </c>
      <c r="M208" s="792">
        <f>L208*K208</f>
        <v>152.1</v>
      </c>
      <c r="N208" s="483"/>
    </row>
    <row r="209" spans="1:16">
      <c r="A209" s="27">
        <f t="shared" si="18"/>
        <v>143</v>
      </c>
      <c r="B209" s="118"/>
      <c r="C209" s="485"/>
      <c r="D209" s="39" t="s">
        <v>417</v>
      </c>
      <c r="E209" s="40">
        <v>39772</v>
      </c>
      <c r="F209" s="37">
        <f>+F188</f>
        <v>5.1230000000000005E-2</v>
      </c>
      <c r="G209" s="39">
        <v>2038</v>
      </c>
      <c r="H209" s="797">
        <f>+H188</f>
        <v>6242</v>
      </c>
      <c r="I209" s="794">
        <f>H209</f>
        <v>6242</v>
      </c>
      <c r="J209" s="802">
        <f>I209/H209*100</f>
        <v>100</v>
      </c>
      <c r="K209" s="346">
        <f>+K188</f>
        <v>5.6230000000000002E-2</v>
      </c>
      <c r="L209" s="792">
        <f>I209</f>
        <v>6242</v>
      </c>
      <c r="M209" s="792">
        <f>L209*K209</f>
        <v>350.98766000000001</v>
      </c>
    </row>
    <row r="210" spans="1:16">
      <c r="A210" s="27">
        <f t="shared" si="18"/>
        <v>144</v>
      </c>
      <c r="B210" s="118"/>
      <c r="C210" s="485"/>
      <c r="D210" s="39" t="s">
        <v>418</v>
      </c>
      <c r="E210" s="40">
        <v>40137</v>
      </c>
      <c r="F210" s="37">
        <v>6.5500000000000003E-2</v>
      </c>
      <c r="G210" s="39">
        <v>2039</v>
      </c>
      <c r="H210" s="795">
        <v>2576</v>
      </c>
      <c r="I210" s="794">
        <f>H210</f>
        <v>2576</v>
      </c>
      <c r="J210" s="802">
        <f>I210/H210*100</f>
        <v>100</v>
      </c>
      <c r="K210" s="345">
        <v>6.6000000000000003E-2</v>
      </c>
      <c r="L210" s="793">
        <f>I210</f>
        <v>2576</v>
      </c>
      <c r="M210" s="793">
        <f>L210*K210</f>
        <v>170.01600000000002</v>
      </c>
    </row>
    <row r="211" spans="1:16">
      <c r="A211" s="27">
        <f t="shared" si="18"/>
        <v>145</v>
      </c>
      <c r="B211" s="118"/>
      <c r="C211" s="485" t="s">
        <v>26</v>
      </c>
      <c r="D211" s="27"/>
      <c r="E211" s="28"/>
      <c r="F211" s="29"/>
      <c r="G211" s="40"/>
      <c r="H211" s="794">
        <f>SUM(H200:H210)</f>
        <v>30018</v>
      </c>
      <c r="I211" s="794"/>
      <c r="J211" s="347"/>
      <c r="K211" s="346"/>
      <c r="L211" s="794">
        <f>SUM(L200:L210)</f>
        <v>30018</v>
      </c>
      <c r="M211" s="794">
        <f>SUM(M200:M210)</f>
        <v>1945.33366</v>
      </c>
      <c r="N211" s="42">
        <f>M211/L211</f>
        <v>6.4805571990139255E-2</v>
      </c>
    </row>
    <row r="212" spans="1:16">
      <c r="A212" s="27">
        <f t="shared" si="18"/>
        <v>146</v>
      </c>
      <c r="B212" s="118"/>
      <c r="C212" s="485" t="s">
        <v>81</v>
      </c>
      <c r="D212" s="27"/>
      <c r="E212" s="28"/>
      <c r="F212" s="29"/>
      <c r="G212" s="40"/>
      <c r="H212" s="38"/>
      <c r="I212" s="38"/>
      <c r="J212" s="347"/>
      <c r="K212" s="346"/>
      <c r="L212" s="793">
        <f>L189</f>
        <v>29442</v>
      </c>
      <c r="M212" s="793">
        <f>M189</f>
        <v>1981.9176599999998</v>
      </c>
      <c r="N212" s="43">
        <f>M212/L212</f>
        <v>6.731599959241899E-2</v>
      </c>
    </row>
    <row r="213" spans="1:16">
      <c r="A213" s="27">
        <f t="shared" si="18"/>
        <v>147</v>
      </c>
      <c r="B213" s="118"/>
      <c r="C213" s="485" t="s">
        <v>26</v>
      </c>
      <c r="D213" s="27"/>
      <c r="E213" s="28"/>
      <c r="F213" s="29"/>
      <c r="G213" s="28"/>
      <c r="H213" s="30"/>
      <c r="I213" s="30"/>
      <c r="J213" s="31"/>
      <c r="K213" s="29"/>
      <c r="L213" s="795">
        <f>SUM(L211:L212)</f>
        <v>59460</v>
      </c>
      <c r="M213" s="795">
        <f>SUM(M211:M212)</f>
        <v>3927.2513199999999</v>
      </c>
      <c r="N213" s="790"/>
    </row>
    <row r="214" spans="1:16" ht="13.5" thickBot="1">
      <c r="A214" s="27">
        <f t="shared" si="18"/>
        <v>148</v>
      </c>
      <c r="B214" s="118"/>
      <c r="C214" s="485" t="s">
        <v>37</v>
      </c>
      <c r="D214" s="27"/>
      <c r="E214" s="28"/>
      <c r="F214" s="29"/>
      <c r="G214" s="28"/>
      <c r="H214" s="30"/>
      <c r="I214" s="30"/>
      <c r="J214" s="31"/>
      <c r="K214" s="29"/>
      <c r="L214" s="796">
        <f>L213/2</f>
        <v>29730</v>
      </c>
      <c r="M214" s="796">
        <f>M213/2</f>
        <v>1963.6256599999999</v>
      </c>
      <c r="N214" s="45">
        <f>M214/L214</f>
        <v>6.6048626303397237E-2</v>
      </c>
    </row>
    <row r="215" spans="1:16" s="473" customFormat="1" ht="15.75" customHeight="1" thickTop="1">
      <c r="A215" s="570" t="s">
        <v>540</v>
      </c>
      <c r="B215" s="570"/>
      <c r="C215" s="570"/>
      <c r="D215" s="570"/>
      <c r="E215" s="570"/>
      <c r="F215" s="570"/>
      <c r="G215" s="570"/>
      <c r="H215" s="570"/>
      <c r="I215" s="570"/>
      <c r="J215" s="570"/>
      <c r="K215" s="570"/>
      <c r="L215" s="570"/>
      <c r="M215" s="570"/>
      <c r="N215" s="570"/>
      <c r="O215" s="227" t="s">
        <v>552</v>
      </c>
    </row>
    <row r="216" spans="1:16" s="473" customFormat="1">
      <c r="A216" s="570" t="s">
        <v>463</v>
      </c>
      <c r="B216" s="570"/>
      <c r="C216" s="570"/>
      <c r="D216" s="570"/>
      <c r="E216" s="570"/>
      <c r="F216" s="570"/>
      <c r="G216" s="570"/>
      <c r="H216" s="570"/>
      <c r="I216" s="570"/>
      <c r="J216" s="570"/>
      <c r="K216" s="570"/>
      <c r="L216" s="570"/>
      <c r="M216" s="570"/>
      <c r="N216" s="570"/>
      <c r="O216" s="227" t="s">
        <v>896</v>
      </c>
      <c r="P216" s="227"/>
    </row>
    <row r="217" spans="1:16" s="473" customFormat="1">
      <c r="A217" s="570" t="s">
        <v>551</v>
      </c>
      <c r="B217" s="570"/>
      <c r="C217" s="570"/>
      <c r="D217" s="570"/>
      <c r="E217" s="570"/>
      <c r="F217" s="570"/>
      <c r="G217" s="570"/>
      <c r="H217" s="570"/>
      <c r="I217" s="570"/>
      <c r="J217" s="570"/>
      <c r="K217" s="570"/>
      <c r="L217" s="570"/>
      <c r="M217" s="570"/>
      <c r="N217" s="570"/>
      <c r="O217" s="293"/>
      <c r="P217" s="227"/>
    </row>
    <row r="218" spans="1:16" s="473" customFormat="1">
      <c r="A218" s="570" t="s">
        <v>32</v>
      </c>
      <c r="B218" s="570"/>
      <c r="C218" s="570"/>
      <c r="D218" s="570"/>
      <c r="E218" s="570"/>
      <c r="F218" s="570"/>
      <c r="G218" s="570"/>
      <c r="H218" s="570"/>
      <c r="I218" s="570"/>
      <c r="J218" s="570"/>
      <c r="K218" s="570"/>
      <c r="L218" s="570"/>
      <c r="M218" s="570"/>
      <c r="N218" s="570"/>
      <c r="O218" s="293"/>
      <c r="P218" s="537"/>
    </row>
    <row r="219" spans="1:16">
      <c r="A219" s="467" t="s">
        <v>33</v>
      </c>
      <c r="B219" s="118"/>
      <c r="C219" s="485"/>
      <c r="D219" s="27"/>
      <c r="E219" s="28"/>
      <c r="F219" s="29"/>
      <c r="G219" s="28"/>
      <c r="H219" s="30"/>
      <c r="I219" s="30"/>
      <c r="J219" s="31"/>
      <c r="K219" s="29"/>
      <c r="L219" s="344"/>
      <c r="M219" s="344"/>
      <c r="N219" s="107"/>
    </row>
    <row r="220" spans="1:16">
      <c r="A220" s="35" t="s">
        <v>35</v>
      </c>
      <c r="B220" s="118"/>
      <c r="C220" s="485"/>
      <c r="D220" s="27"/>
      <c r="E220" s="28"/>
      <c r="F220" s="29"/>
      <c r="G220" s="28"/>
      <c r="H220" s="30"/>
      <c r="I220" s="30"/>
      <c r="J220" s="31"/>
      <c r="K220" s="29"/>
      <c r="L220" s="344"/>
      <c r="M220" s="344"/>
      <c r="N220" s="107"/>
    </row>
    <row r="221" spans="1:16">
      <c r="B221" s="118"/>
      <c r="C221" s="485"/>
      <c r="D221" s="27"/>
      <c r="E221" s="28"/>
      <c r="F221" s="29"/>
      <c r="G221" s="28"/>
      <c r="H221" s="30"/>
      <c r="I221" s="30"/>
      <c r="J221" s="31"/>
      <c r="K221" s="29"/>
      <c r="L221" s="344"/>
      <c r="M221" s="344"/>
      <c r="N221" s="107"/>
    </row>
    <row r="222" spans="1:16">
      <c r="A222" s="27">
        <v>1</v>
      </c>
      <c r="B222" s="32" t="s">
        <v>545</v>
      </c>
      <c r="C222" s="485"/>
      <c r="D222" s="485"/>
      <c r="E222" s="485"/>
      <c r="F222" s="485"/>
      <c r="G222" s="485"/>
      <c r="H222" s="485"/>
      <c r="I222" s="33" t="s">
        <v>60</v>
      </c>
      <c r="J222" s="26"/>
      <c r="K222" s="485"/>
      <c r="L222" s="485"/>
      <c r="M222" s="485"/>
    </row>
    <row r="223" spans="1:16">
      <c r="A223" s="27">
        <f>A222+1</f>
        <v>2</v>
      </c>
      <c r="C223" s="467"/>
      <c r="D223" s="467"/>
      <c r="E223" s="467"/>
      <c r="F223" s="467"/>
      <c r="G223" s="467"/>
      <c r="H223" s="467" t="s">
        <v>61</v>
      </c>
      <c r="I223" s="467" t="s">
        <v>27</v>
      </c>
      <c r="J223" s="467" t="s">
        <v>62</v>
      </c>
      <c r="L223" s="467" t="s">
        <v>61</v>
      </c>
      <c r="M223" s="467" t="s">
        <v>27</v>
      </c>
      <c r="N223" s="467" t="s">
        <v>63</v>
      </c>
    </row>
    <row r="224" spans="1:16">
      <c r="A224" s="27">
        <f t="shared" ref="A224:A269" si="27">A223+1</f>
        <v>3</v>
      </c>
      <c r="B224" s="34"/>
      <c r="C224" s="467"/>
      <c r="D224" s="467"/>
      <c r="E224" s="467" t="s">
        <v>64</v>
      </c>
      <c r="F224" s="467" t="s">
        <v>65</v>
      </c>
      <c r="G224" s="467" t="s">
        <v>66</v>
      </c>
      <c r="H224" s="467" t="s">
        <v>67</v>
      </c>
      <c r="I224" s="467" t="s">
        <v>26</v>
      </c>
      <c r="J224" s="467" t="s">
        <v>61</v>
      </c>
      <c r="K224" s="467" t="s">
        <v>73</v>
      </c>
      <c r="L224" s="467" t="s">
        <v>74</v>
      </c>
      <c r="M224" s="467" t="s">
        <v>75</v>
      </c>
      <c r="N224" s="467" t="s">
        <v>76</v>
      </c>
    </row>
    <row r="225" spans="1:15">
      <c r="A225" s="27">
        <f t="shared" si="27"/>
        <v>4</v>
      </c>
      <c r="B225" s="34"/>
      <c r="C225" s="35" t="s">
        <v>178</v>
      </c>
      <c r="D225" s="35" t="s">
        <v>77</v>
      </c>
      <c r="E225" s="35" t="s">
        <v>78</v>
      </c>
      <c r="F225" s="35" t="s">
        <v>38</v>
      </c>
      <c r="G225" s="35" t="s">
        <v>78</v>
      </c>
      <c r="H225" s="35" t="s">
        <v>79</v>
      </c>
      <c r="I225" s="35" t="s">
        <v>67</v>
      </c>
      <c r="J225" s="35" t="s">
        <v>67</v>
      </c>
      <c r="K225" s="35" t="s">
        <v>103</v>
      </c>
      <c r="L225" s="36">
        <v>41639</v>
      </c>
      <c r="M225" s="35" t="s">
        <v>39</v>
      </c>
      <c r="N225" s="35" t="s">
        <v>80</v>
      </c>
    </row>
    <row r="226" spans="1:15">
      <c r="A226" s="27">
        <f t="shared" si="27"/>
        <v>5</v>
      </c>
      <c r="B226" s="118"/>
      <c r="C226" s="485"/>
      <c r="D226" s="39" t="s">
        <v>379</v>
      </c>
      <c r="E226" s="40">
        <v>33205</v>
      </c>
      <c r="F226" s="37">
        <v>0.11849999999999999</v>
      </c>
      <c r="G226" s="384">
        <v>2020</v>
      </c>
      <c r="H226" s="792">
        <v>1500</v>
      </c>
      <c r="I226" s="792">
        <v>1500</v>
      </c>
      <c r="J226" s="800">
        <v>100</v>
      </c>
      <c r="K226" s="155">
        <v>0.1191</v>
      </c>
      <c r="L226" s="792">
        <v>1500</v>
      </c>
      <c r="M226" s="792">
        <v>178.65</v>
      </c>
      <c r="N226" s="483"/>
      <c r="O226" s="790"/>
    </row>
    <row r="227" spans="1:15">
      <c r="A227" s="27">
        <f t="shared" si="27"/>
        <v>6</v>
      </c>
      <c r="B227" s="118"/>
      <c r="D227" s="39" t="s">
        <v>380</v>
      </c>
      <c r="E227" s="40">
        <v>33732</v>
      </c>
      <c r="F227" s="37">
        <v>9.4600000000000004E-2</v>
      </c>
      <c r="G227" s="384">
        <v>2023</v>
      </c>
      <c r="H227" s="792">
        <v>2500</v>
      </c>
      <c r="I227" s="791">
        <v>2500</v>
      </c>
      <c r="J227" s="799">
        <v>100</v>
      </c>
      <c r="K227" s="155">
        <v>9.5100000000000004E-2</v>
      </c>
      <c r="L227" s="792">
        <v>2500</v>
      </c>
      <c r="M227" s="792">
        <v>237.75</v>
      </c>
      <c r="O227" s="790"/>
    </row>
    <row r="228" spans="1:15">
      <c r="A228" s="27">
        <f t="shared" si="27"/>
        <v>7</v>
      </c>
      <c r="B228" s="118"/>
      <c r="C228" s="485"/>
      <c r="D228" s="39" t="s">
        <v>102</v>
      </c>
      <c r="E228" s="40">
        <v>36385</v>
      </c>
      <c r="F228" s="37">
        <v>6.8000000000000005E-2</v>
      </c>
      <c r="G228" s="39">
        <v>2019</v>
      </c>
      <c r="H228" s="791">
        <v>4500</v>
      </c>
      <c r="I228" s="791">
        <v>4500</v>
      </c>
      <c r="J228" s="799">
        <v>100</v>
      </c>
      <c r="K228" s="37">
        <v>6.8500000000000005E-2</v>
      </c>
      <c r="L228" s="792">
        <v>4500</v>
      </c>
      <c r="M228" s="792">
        <v>308.25</v>
      </c>
      <c r="O228" s="790"/>
    </row>
    <row r="229" spans="1:15">
      <c r="A229" s="27">
        <f t="shared" si="27"/>
        <v>8</v>
      </c>
      <c r="B229" s="118"/>
      <c r="C229" s="485"/>
      <c r="D229" s="39" t="s">
        <v>382</v>
      </c>
      <c r="E229" s="40">
        <v>37582</v>
      </c>
      <c r="F229" s="37">
        <v>6.1600000000000002E-2</v>
      </c>
      <c r="G229" s="39">
        <v>2017</v>
      </c>
      <c r="H229" s="791">
        <v>3900</v>
      </c>
      <c r="I229" s="791">
        <v>3900</v>
      </c>
      <c r="J229" s="799">
        <v>100</v>
      </c>
      <c r="K229" s="37">
        <v>6.2100000000000002E-2</v>
      </c>
      <c r="L229" s="792">
        <v>3900</v>
      </c>
      <c r="M229" s="792">
        <v>242.19</v>
      </c>
      <c r="O229" s="790"/>
    </row>
    <row r="230" spans="1:15">
      <c r="A230" s="27">
        <f t="shared" si="27"/>
        <v>9</v>
      </c>
      <c r="B230" s="118"/>
      <c r="C230" s="485"/>
      <c r="D230" s="39" t="s">
        <v>383</v>
      </c>
      <c r="E230" s="40">
        <v>38009</v>
      </c>
      <c r="F230" s="37">
        <v>5.4199999999999998E-2</v>
      </c>
      <c r="G230" s="39">
        <v>2019</v>
      </c>
      <c r="H230" s="791">
        <v>1000</v>
      </c>
      <c r="I230" s="791">
        <v>1000</v>
      </c>
      <c r="J230" s="799">
        <v>100</v>
      </c>
      <c r="K230" s="37">
        <v>5.4699999999999999E-2</v>
      </c>
      <c r="L230" s="792">
        <v>1000</v>
      </c>
      <c r="M230" s="792">
        <v>54.7</v>
      </c>
      <c r="O230" s="790"/>
    </row>
    <row r="231" spans="1:15">
      <c r="A231" s="27">
        <f t="shared" si="27"/>
        <v>10</v>
      </c>
      <c r="B231" s="118"/>
      <c r="C231" s="485"/>
      <c r="D231" s="39" t="s">
        <v>384</v>
      </c>
      <c r="E231" s="40">
        <v>38309</v>
      </c>
      <c r="F231" s="37">
        <v>5.11E-2</v>
      </c>
      <c r="G231" s="39">
        <v>2014</v>
      </c>
      <c r="H231" s="791">
        <v>500</v>
      </c>
      <c r="I231" s="791">
        <v>500</v>
      </c>
      <c r="J231" s="799">
        <v>100</v>
      </c>
      <c r="K231" s="37">
        <v>5.16E-2</v>
      </c>
      <c r="L231" s="792">
        <v>500</v>
      </c>
      <c r="M231" s="792">
        <v>25.8</v>
      </c>
      <c r="O231" s="790"/>
    </row>
    <row r="232" spans="1:15">
      <c r="A232" s="27">
        <f t="shared" si="27"/>
        <v>11</v>
      </c>
      <c r="B232" s="118"/>
      <c r="C232" s="485"/>
      <c r="D232" s="39" t="s">
        <v>385</v>
      </c>
      <c r="E232" s="40">
        <v>38677</v>
      </c>
      <c r="F232" s="37">
        <v>5.1799999999999999E-2</v>
      </c>
      <c r="G232" s="39">
        <v>2035</v>
      </c>
      <c r="H232" s="792">
        <v>4300</v>
      </c>
      <c r="I232" s="791">
        <v>4300</v>
      </c>
      <c r="J232" s="799">
        <v>100</v>
      </c>
      <c r="K232" s="37">
        <v>5.2299999999999999E-2</v>
      </c>
      <c r="L232" s="792">
        <v>4300</v>
      </c>
      <c r="M232" s="792">
        <v>224.89</v>
      </c>
      <c r="O232" s="790"/>
    </row>
    <row r="233" spans="1:15">
      <c r="A233" s="27">
        <f t="shared" si="27"/>
        <v>12</v>
      </c>
      <c r="B233" s="118"/>
      <c r="C233" s="485"/>
      <c r="D233" s="39" t="s">
        <v>386</v>
      </c>
      <c r="E233" s="40">
        <v>39041</v>
      </c>
      <c r="F233" s="37">
        <v>5.0200000000000002E-2</v>
      </c>
      <c r="G233" s="39">
        <v>2036</v>
      </c>
      <c r="H233" s="792">
        <v>3000</v>
      </c>
      <c r="I233" s="791">
        <v>3000</v>
      </c>
      <c r="J233" s="799">
        <v>100</v>
      </c>
      <c r="K233" s="37">
        <v>5.0700000000000002E-2</v>
      </c>
      <c r="L233" s="792">
        <v>3000</v>
      </c>
      <c r="M233" s="792">
        <v>152.1</v>
      </c>
      <c r="O233" s="790"/>
    </row>
    <row r="234" spans="1:15">
      <c r="A234" s="27">
        <f t="shared" si="27"/>
        <v>13</v>
      </c>
      <c r="B234" s="118"/>
      <c r="C234" s="485"/>
      <c r="D234" s="39" t="s">
        <v>13</v>
      </c>
      <c r="E234" s="40">
        <v>39594</v>
      </c>
      <c r="F234" s="37">
        <f>+K234-0.0005</f>
        <v>5.5599999999999997E-2</v>
      </c>
      <c r="G234" s="39">
        <v>2028</v>
      </c>
      <c r="H234" s="792">
        <v>860</v>
      </c>
      <c r="I234" s="791">
        <v>860</v>
      </c>
      <c r="J234" s="799">
        <v>100</v>
      </c>
      <c r="K234" s="37">
        <v>5.6099999999999997E-2</v>
      </c>
      <c r="L234" s="792">
        <v>860</v>
      </c>
      <c r="M234" s="792">
        <v>48.245999999999995</v>
      </c>
      <c r="N234" s="483"/>
      <c r="O234" s="790"/>
    </row>
    <row r="235" spans="1:15">
      <c r="A235" s="27">
        <f t="shared" si="27"/>
        <v>14</v>
      </c>
      <c r="B235" s="118"/>
      <c r="C235" s="485"/>
      <c r="D235" s="27" t="s">
        <v>417</v>
      </c>
      <c r="E235" s="40">
        <v>39594</v>
      </c>
      <c r="F235" s="37">
        <f t="shared" ref="F235:F240" si="28">+K235-0.0005</f>
        <v>5.57E-2</v>
      </c>
      <c r="G235" s="27">
        <v>2038</v>
      </c>
      <c r="H235" s="794">
        <v>1290</v>
      </c>
      <c r="I235" s="791">
        <v>1290</v>
      </c>
      <c r="J235" s="799">
        <v>100</v>
      </c>
      <c r="K235" s="37">
        <v>5.62E-2</v>
      </c>
      <c r="L235" s="797">
        <v>1290</v>
      </c>
      <c r="M235" s="797">
        <v>72.498000000000005</v>
      </c>
      <c r="N235" s="396"/>
      <c r="O235" s="790"/>
    </row>
    <row r="236" spans="1:15">
      <c r="A236" s="27">
        <f t="shared" si="27"/>
        <v>15</v>
      </c>
      <c r="B236" s="118"/>
      <c r="C236" s="485"/>
      <c r="D236" s="27" t="s">
        <v>418</v>
      </c>
      <c r="E236" s="28">
        <v>39878</v>
      </c>
      <c r="F236" s="37">
        <f t="shared" si="28"/>
        <v>6.2299999999999994E-2</v>
      </c>
      <c r="G236" s="27">
        <v>2024</v>
      </c>
      <c r="H236" s="791">
        <v>2900</v>
      </c>
      <c r="I236" s="791">
        <v>2900</v>
      </c>
      <c r="J236" s="799">
        <v>100</v>
      </c>
      <c r="K236" s="37">
        <v>6.2799999999999995E-2</v>
      </c>
      <c r="L236" s="792">
        <v>2900</v>
      </c>
      <c r="M236" s="792">
        <v>182.12</v>
      </c>
      <c r="N236" s="396"/>
      <c r="O236" s="790"/>
    </row>
    <row r="237" spans="1:15">
      <c r="A237" s="27">
        <f t="shared" si="27"/>
        <v>16</v>
      </c>
      <c r="B237" s="118"/>
      <c r="C237" s="485"/>
      <c r="D237" s="27" t="s">
        <v>14</v>
      </c>
      <c r="E237" s="28">
        <v>39878</v>
      </c>
      <c r="F237" s="37">
        <f t="shared" si="28"/>
        <v>6.5000000000000002E-2</v>
      </c>
      <c r="G237" s="27">
        <v>2039</v>
      </c>
      <c r="H237" s="792">
        <v>3700</v>
      </c>
      <c r="I237" s="792">
        <v>3700</v>
      </c>
      <c r="J237" s="800">
        <v>100</v>
      </c>
      <c r="K237" s="471">
        <v>6.5500000000000003E-2</v>
      </c>
      <c r="L237" s="797">
        <v>3700</v>
      </c>
      <c r="M237" s="797">
        <v>242.35</v>
      </c>
      <c r="N237" s="483"/>
      <c r="O237" s="790"/>
    </row>
    <row r="238" spans="1:15">
      <c r="A238" s="27">
        <f t="shared" si="27"/>
        <v>17</v>
      </c>
      <c r="B238" s="118"/>
      <c r="C238" s="485"/>
      <c r="D238" s="27" t="s">
        <v>736</v>
      </c>
      <c r="E238" s="28">
        <v>40840</v>
      </c>
      <c r="F238" s="37">
        <f t="shared" si="28"/>
        <v>4.53E-2</v>
      </c>
      <c r="G238" s="27">
        <v>2041</v>
      </c>
      <c r="H238" s="792">
        <v>5000</v>
      </c>
      <c r="I238" s="792">
        <v>5000</v>
      </c>
      <c r="J238" s="800">
        <v>100</v>
      </c>
      <c r="K238" s="471">
        <v>4.58E-2</v>
      </c>
      <c r="L238" s="797">
        <f>+I238</f>
        <v>5000</v>
      </c>
      <c r="M238" s="797">
        <f>+L238*K238</f>
        <v>229</v>
      </c>
      <c r="N238" s="483"/>
      <c r="O238" s="790"/>
    </row>
    <row r="239" spans="1:15">
      <c r="A239" s="27">
        <f t="shared" si="27"/>
        <v>18</v>
      </c>
      <c r="B239" s="118"/>
      <c r="C239" s="485"/>
      <c r="D239" s="27" t="s">
        <v>737</v>
      </c>
      <c r="E239" s="28">
        <v>41214</v>
      </c>
      <c r="F239" s="37">
        <f t="shared" si="28"/>
        <v>3.8399999999999997E-2</v>
      </c>
      <c r="G239" s="27">
        <v>2052</v>
      </c>
      <c r="H239" s="792">
        <v>5000</v>
      </c>
      <c r="I239" s="792">
        <f>+H239</f>
        <v>5000</v>
      </c>
      <c r="J239" s="800">
        <v>100</v>
      </c>
      <c r="K239" s="471">
        <v>3.8899999999999997E-2</v>
      </c>
      <c r="L239" s="797">
        <f>+I239</f>
        <v>5000</v>
      </c>
      <c r="M239" s="797">
        <f>+L239*K239</f>
        <v>194.49999999999997</v>
      </c>
      <c r="N239" s="483"/>
      <c r="O239" s="790"/>
    </row>
    <row r="240" spans="1:15">
      <c r="A240" s="27">
        <f t="shared" si="27"/>
        <v>19</v>
      </c>
      <c r="B240" s="118"/>
      <c r="C240" s="485"/>
      <c r="D240" s="27" t="s">
        <v>738</v>
      </c>
      <c r="E240" s="28">
        <v>41579</v>
      </c>
      <c r="F240" s="37">
        <f t="shared" si="28"/>
        <v>4.2999999999999997E-2</v>
      </c>
      <c r="G240" s="27">
        <v>2053</v>
      </c>
      <c r="H240" s="793">
        <f>700+700</f>
        <v>1400</v>
      </c>
      <c r="I240" s="791">
        <f>+H240</f>
        <v>1400</v>
      </c>
      <c r="J240" s="800">
        <v>100</v>
      </c>
      <c r="K240" s="37">
        <v>4.3499999999999997E-2</v>
      </c>
      <c r="L240" s="795">
        <f>+H240</f>
        <v>1400</v>
      </c>
      <c r="M240" s="795">
        <f>+L240*K240</f>
        <v>60.9</v>
      </c>
      <c r="N240" s="483"/>
      <c r="O240" s="790"/>
    </row>
    <row r="241" spans="1:14">
      <c r="A241" s="27">
        <f t="shared" si="27"/>
        <v>20</v>
      </c>
      <c r="B241" s="118"/>
      <c r="C241" s="485" t="s">
        <v>26</v>
      </c>
      <c r="D241" s="27"/>
      <c r="E241" s="28"/>
      <c r="F241" s="29"/>
      <c r="G241" s="28"/>
      <c r="H241" s="791">
        <f>SUM(H226:H240)</f>
        <v>41350</v>
      </c>
      <c r="I241" s="791"/>
      <c r="J241" s="31"/>
      <c r="K241" s="29"/>
      <c r="L241" s="794">
        <f>SUM(L226:L240)</f>
        <v>41350</v>
      </c>
      <c r="M241" s="794">
        <f>SUM(M226:M240)</f>
        <v>2453.944</v>
      </c>
      <c r="N241" s="353">
        <f>M241/L241</f>
        <v>5.9345683192261182E-2</v>
      </c>
    </row>
    <row r="242" spans="1:14">
      <c r="A242" s="27">
        <f t="shared" si="27"/>
        <v>21</v>
      </c>
      <c r="B242" s="118"/>
      <c r="C242" s="485" t="s">
        <v>81</v>
      </c>
      <c r="D242" s="27"/>
      <c r="E242" s="28"/>
      <c r="F242" s="29"/>
      <c r="G242" s="28"/>
      <c r="H242" s="30"/>
      <c r="I242" s="30"/>
      <c r="J242" s="31"/>
      <c r="K242" s="29"/>
      <c r="L242" s="793">
        <f>+L163</f>
        <v>38950</v>
      </c>
      <c r="M242" s="793">
        <f>+M163</f>
        <v>2354.1439999999998</v>
      </c>
      <c r="N242" s="43">
        <f>+N163</f>
        <v>6.0440154043645694E-2</v>
      </c>
    </row>
    <row r="243" spans="1:14">
      <c r="A243" s="27">
        <f t="shared" si="27"/>
        <v>22</v>
      </c>
      <c r="B243" s="118"/>
      <c r="C243" s="485" t="s">
        <v>26</v>
      </c>
      <c r="D243" s="27"/>
      <c r="E243" s="28"/>
      <c r="F243" s="29"/>
      <c r="G243" s="28"/>
      <c r="H243" s="30"/>
      <c r="I243" s="30"/>
      <c r="J243" s="31"/>
      <c r="K243" s="29"/>
      <c r="L243" s="795">
        <f>L241+L242</f>
        <v>80300</v>
      </c>
      <c r="M243" s="795">
        <f>M241+M242</f>
        <v>4808.0879999999997</v>
      </c>
      <c r="N243" s="790"/>
    </row>
    <row r="244" spans="1:14" ht="13.5" thickBot="1">
      <c r="A244" s="27">
        <f t="shared" si="27"/>
        <v>23</v>
      </c>
      <c r="B244" s="118"/>
      <c r="C244" s="485" t="s">
        <v>37</v>
      </c>
      <c r="D244" s="27"/>
      <c r="E244" s="28"/>
      <c r="F244" s="29"/>
      <c r="G244" s="28"/>
      <c r="H244" s="30"/>
      <c r="I244" s="30"/>
      <c r="J244" s="31"/>
      <c r="K244" s="29"/>
      <c r="L244" s="796">
        <f>L243/2</f>
        <v>40150</v>
      </c>
      <c r="M244" s="796">
        <f>M243/2</f>
        <v>2404.0439999999999</v>
      </c>
      <c r="N244" s="45">
        <f>M244/L244</f>
        <v>5.9876562889165624E-2</v>
      </c>
    </row>
    <row r="245" spans="1:14" ht="13.5" thickTop="1">
      <c r="A245" s="27">
        <f t="shared" si="27"/>
        <v>24</v>
      </c>
      <c r="B245" s="118"/>
      <c r="C245" s="485"/>
      <c r="D245" s="27"/>
      <c r="E245" s="28"/>
      <c r="F245" s="29"/>
      <c r="G245" s="28"/>
      <c r="H245" s="30"/>
      <c r="I245" s="30"/>
      <c r="J245" s="31"/>
      <c r="K245" s="29"/>
      <c r="L245" s="344"/>
      <c r="M245" s="344"/>
      <c r="N245" s="107"/>
    </row>
    <row r="246" spans="1:14">
      <c r="A246" s="27">
        <f t="shared" si="27"/>
        <v>25</v>
      </c>
      <c r="B246" s="32" t="s">
        <v>546</v>
      </c>
      <c r="C246" s="485"/>
      <c r="D246" s="485"/>
      <c r="E246" s="485"/>
      <c r="F246" s="485"/>
      <c r="G246" s="485"/>
      <c r="H246" s="485"/>
      <c r="I246" s="33" t="s">
        <v>60</v>
      </c>
      <c r="J246" s="26"/>
      <c r="K246" s="485"/>
      <c r="L246" s="485"/>
      <c r="M246" s="485"/>
    </row>
    <row r="247" spans="1:14">
      <c r="A247" s="27">
        <f t="shared" si="27"/>
        <v>26</v>
      </c>
      <c r="C247" s="467"/>
      <c r="D247" s="467"/>
      <c r="E247" s="467"/>
      <c r="F247" s="467"/>
      <c r="G247" s="467"/>
      <c r="H247" s="467" t="s">
        <v>61</v>
      </c>
      <c r="I247" s="467" t="s">
        <v>27</v>
      </c>
      <c r="J247" s="467" t="s">
        <v>62</v>
      </c>
      <c r="L247" s="467" t="s">
        <v>61</v>
      </c>
      <c r="M247" s="467" t="s">
        <v>27</v>
      </c>
      <c r="N247" s="467" t="s">
        <v>63</v>
      </c>
    </row>
    <row r="248" spans="1:14">
      <c r="A248" s="27">
        <f t="shared" si="27"/>
        <v>27</v>
      </c>
      <c r="B248" s="34"/>
      <c r="C248" s="467"/>
      <c r="D248" s="467"/>
      <c r="E248" s="467" t="s">
        <v>64</v>
      </c>
      <c r="F248" s="467" t="s">
        <v>65</v>
      </c>
      <c r="G248" s="467" t="s">
        <v>66</v>
      </c>
      <c r="H248" s="467" t="s">
        <v>67</v>
      </c>
      <c r="I248" s="467" t="s">
        <v>26</v>
      </c>
      <c r="J248" s="467" t="s">
        <v>61</v>
      </c>
      <c r="K248" s="467" t="s">
        <v>73</v>
      </c>
      <c r="L248" s="467" t="s">
        <v>74</v>
      </c>
      <c r="M248" s="467" t="s">
        <v>75</v>
      </c>
      <c r="N248" s="467" t="s">
        <v>76</v>
      </c>
    </row>
    <row r="249" spans="1:14">
      <c r="A249" s="27">
        <f t="shared" si="27"/>
        <v>28</v>
      </c>
      <c r="B249" s="34"/>
      <c r="C249" s="35" t="s">
        <v>178</v>
      </c>
      <c r="D249" s="35" t="s">
        <v>77</v>
      </c>
      <c r="E249" s="35" t="s">
        <v>78</v>
      </c>
      <c r="F249" s="35" t="s">
        <v>38</v>
      </c>
      <c r="G249" s="35" t="s">
        <v>78</v>
      </c>
      <c r="H249" s="35" t="s">
        <v>79</v>
      </c>
      <c r="I249" s="35" t="s">
        <v>67</v>
      </c>
      <c r="J249" s="35" t="s">
        <v>67</v>
      </c>
      <c r="K249" s="35" t="s">
        <v>103</v>
      </c>
      <c r="L249" s="36">
        <v>42004</v>
      </c>
      <c r="M249" s="35" t="s">
        <v>39</v>
      </c>
      <c r="N249" s="35" t="s">
        <v>80</v>
      </c>
    </row>
    <row r="250" spans="1:14">
      <c r="A250" s="27">
        <f t="shared" si="27"/>
        <v>29</v>
      </c>
      <c r="B250" s="118"/>
      <c r="C250" s="485"/>
      <c r="D250" s="39" t="s">
        <v>379</v>
      </c>
      <c r="E250" s="40">
        <v>33205</v>
      </c>
      <c r="F250" s="37">
        <v>0.11849999999999999</v>
      </c>
      <c r="G250" s="384">
        <v>2020</v>
      </c>
      <c r="H250" s="792">
        <v>1500</v>
      </c>
      <c r="I250" s="792">
        <v>1500</v>
      </c>
      <c r="J250" s="800">
        <v>100</v>
      </c>
      <c r="K250" s="155">
        <v>0.1191</v>
      </c>
      <c r="L250" s="792">
        <v>1500</v>
      </c>
      <c r="M250" s="792">
        <v>178.65</v>
      </c>
      <c r="N250" s="483"/>
    </row>
    <row r="251" spans="1:14">
      <c r="A251" s="27">
        <f t="shared" si="27"/>
        <v>30</v>
      </c>
      <c r="B251" s="118"/>
      <c r="D251" s="39" t="s">
        <v>380</v>
      </c>
      <c r="E251" s="40">
        <v>33732</v>
      </c>
      <c r="F251" s="37">
        <v>9.4600000000000004E-2</v>
      </c>
      <c r="G251" s="384">
        <v>2023</v>
      </c>
      <c r="H251" s="792">
        <v>2500</v>
      </c>
      <c r="I251" s="791">
        <v>2500</v>
      </c>
      <c r="J251" s="799">
        <v>100</v>
      </c>
      <c r="K251" s="155">
        <v>9.5100000000000004E-2</v>
      </c>
      <c r="L251" s="792">
        <v>2500</v>
      </c>
      <c r="M251" s="792">
        <v>237.75</v>
      </c>
    </row>
    <row r="252" spans="1:14">
      <c r="A252" s="27">
        <f t="shared" si="27"/>
        <v>31</v>
      </c>
      <c r="B252" s="118"/>
      <c r="C252" s="485"/>
      <c r="D252" s="39" t="s">
        <v>102</v>
      </c>
      <c r="E252" s="40">
        <v>36385</v>
      </c>
      <c r="F252" s="37">
        <v>6.8000000000000005E-2</v>
      </c>
      <c r="G252" s="39">
        <v>2019</v>
      </c>
      <c r="H252" s="791">
        <v>4500</v>
      </c>
      <c r="I252" s="791">
        <v>4500</v>
      </c>
      <c r="J252" s="799">
        <v>100</v>
      </c>
      <c r="K252" s="37">
        <v>6.8500000000000005E-2</v>
      </c>
      <c r="L252" s="792">
        <v>4500</v>
      </c>
      <c r="M252" s="792">
        <v>308.25</v>
      </c>
    </row>
    <row r="253" spans="1:14">
      <c r="A253" s="27">
        <f t="shared" si="27"/>
        <v>32</v>
      </c>
      <c r="B253" s="118"/>
      <c r="C253" s="485"/>
      <c r="D253" s="39" t="s">
        <v>382</v>
      </c>
      <c r="E253" s="40">
        <v>37582</v>
      </c>
      <c r="F253" s="37">
        <v>6.1600000000000002E-2</v>
      </c>
      <c r="G253" s="39">
        <v>2017</v>
      </c>
      <c r="H253" s="791">
        <v>3900</v>
      </c>
      <c r="I253" s="791">
        <v>3900</v>
      </c>
      <c r="J253" s="799">
        <v>100</v>
      </c>
      <c r="K253" s="37">
        <v>6.2100000000000002E-2</v>
      </c>
      <c r="L253" s="792">
        <v>3900</v>
      </c>
      <c r="M253" s="792">
        <v>242.19</v>
      </c>
    </row>
    <row r="254" spans="1:14">
      <c r="A254" s="27">
        <f t="shared" si="27"/>
        <v>33</v>
      </c>
      <c r="B254" s="118"/>
      <c r="C254" s="485"/>
      <c r="D254" s="39" t="s">
        <v>383</v>
      </c>
      <c r="E254" s="40">
        <v>38009</v>
      </c>
      <c r="F254" s="37">
        <v>5.4199999999999998E-2</v>
      </c>
      <c r="G254" s="39">
        <v>2019</v>
      </c>
      <c r="H254" s="791">
        <v>1000</v>
      </c>
      <c r="I254" s="791">
        <v>1000</v>
      </c>
      <c r="J254" s="799">
        <v>100</v>
      </c>
      <c r="K254" s="37">
        <v>5.4699999999999999E-2</v>
      </c>
      <c r="L254" s="792">
        <v>1000</v>
      </c>
      <c r="M254" s="792">
        <v>54.7</v>
      </c>
    </row>
    <row r="255" spans="1:14">
      <c r="A255" s="27">
        <f t="shared" si="27"/>
        <v>34</v>
      </c>
      <c r="B255" s="118"/>
      <c r="C255" s="485"/>
      <c r="D255" s="39" t="s">
        <v>384</v>
      </c>
      <c r="E255" s="40">
        <v>38309</v>
      </c>
      <c r="F255" s="37">
        <v>5.11E-2</v>
      </c>
      <c r="G255" s="39">
        <v>2014</v>
      </c>
      <c r="H255" s="791">
        <v>500</v>
      </c>
      <c r="I255" s="791">
        <v>500</v>
      </c>
      <c r="J255" s="799">
        <v>100</v>
      </c>
      <c r="K255" s="37">
        <v>5.16E-2</v>
      </c>
      <c r="L255" s="798">
        <v>0</v>
      </c>
      <c r="M255" s="792">
        <v>25.8</v>
      </c>
    </row>
    <row r="256" spans="1:14">
      <c r="A256" s="27">
        <f t="shared" si="27"/>
        <v>35</v>
      </c>
      <c r="B256" s="118"/>
      <c r="C256" s="485"/>
      <c r="D256" s="39" t="s">
        <v>385</v>
      </c>
      <c r="E256" s="40">
        <v>38677</v>
      </c>
      <c r="F256" s="37">
        <v>5.1799999999999999E-2</v>
      </c>
      <c r="G256" s="39">
        <v>2035</v>
      </c>
      <c r="H256" s="792">
        <v>4300</v>
      </c>
      <c r="I256" s="791">
        <v>4300</v>
      </c>
      <c r="J256" s="799">
        <v>100</v>
      </c>
      <c r="K256" s="37">
        <v>5.2299999999999999E-2</v>
      </c>
      <c r="L256" s="792">
        <v>4300</v>
      </c>
      <c r="M256" s="792">
        <v>224.89</v>
      </c>
    </row>
    <row r="257" spans="1:16">
      <c r="A257" s="27">
        <f t="shared" si="27"/>
        <v>36</v>
      </c>
      <c r="B257" s="118"/>
      <c r="C257" s="485"/>
      <c r="D257" s="39" t="s">
        <v>386</v>
      </c>
      <c r="E257" s="40">
        <v>39041</v>
      </c>
      <c r="F257" s="37">
        <v>5.0200000000000002E-2</v>
      </c>
      <c r="G257" s="39">
        <v>2036</v>
      </c>
      <c r="H257" s="792">
        <v>3000</v>
      </c>
      <c r="I257" s="791">
        <v>3000</v>
      </c>
      <c r="J257" s="799">
        <v>100</v>
      </c>
      <c r="K257" s="37">
        <v>5.0700000000000002E-2</v>
      </c>
      <c r="L257" s="792">
        <v>3000</v>
      </c>
      <c r="M257" s="792">
        <v>152.1</v>
      </c>
    </row>
    <row r="258" spans="1:16">
      <c r="A258" s="27">
        <f t="shared" si="27"/>
        <v>37</v>
      </c>
      <c r="B258" s="118"/>
      <c r="C258" s="485"/>
      <c r="D258" s="39" t="s">
        <v>13</v>
      </c>
      <c r="E258" s="40">
        <v>39594</v>
      </c>
      <c r="F258" s="37">
        <f>+K258-0.0005</f>
        <v>5.5599999999999997E-2</v>
      </c>
      <c r="G258" s="39">
        <v>2028</v>
      </c>
      <c r="H258" s="792">
        <v>860</v>
      </c>
      <c r="I258" s="791">
        <v>860</v>
      </c>
      <c r="J258" s="799">
        <v>100</v>
      </c>
      <c r="K258" s="37">
        <v>5.6099999999999997E-2</v>
      </c>
      <c r="L258" s="792">
        <v>860</v>
      </c>
      <c r="M258" s="792">
        <v>48.245999999999995</v>
      </c>
      <c r="N258" s="483"/>
    </row>
    <row r="259" spans="1:16">
      <c r="A259" s="27">
        <f t="shared" si="27"/>
        <v>38</v>
      </c>
      <c r="B259" s="118"/>
      <c r="C259" s="485"/>
      <c r="D259" s="27" t="s">
        <v>417</v>
      </c>
      <c r="E259" s="40">
        <v>39594</v>
      </c>
      <c r="F259" s="37">
        <f t="shared" ref="F259:F265" si="29">+K259-0.0005</f>
        <v>5.57E-2</v>
      </c>
      <c r="G259" s="27">
        <v>2038</v>
      </c>
      <c r="H259" s="794">
        <v>1290</v>
      </c>
      <c r="I259" s="791">
        <v>1290</v>
      </c>
      <c r="J259" s="799">
        <v>100</v>
      </c>
      <c r="K259" s="37">
        <v>5.62E-2</v>
      </c>
      <c r="L259" s="797">
        <v>1290</v>
      </c>
      <c r="M259" s="797">
        <v>72.498000000000005</v>
      </c>
      <c r="N259" s="396"/>
    </row>
    <row r="260" spans="1:16">
      <c r="A260" s="27">
        <f t="shared" si="27"/>
        <v>39</v>
      </c>
      <c r="B260" s="118"/>
      <c r="C260" s="485"/>
      <c r="D260" s="27" t="s">
        <v>418</v>
      </c>
      <c r="E260" s="28">
        <v>39878</v>
      </c>
      <c r="F260" s="37">
        <f t="shared" si="29"/>
        <v>6.2299999999999994E-2</v>
      </c>
      <c r="G260" s="27">
        <v>2024</v>
      </c>
      <c r="H260" s="791">
        <v>2900</v>
      </c>
      <c r="I260" s="791">
        <v>2900</v>
      </c>
      <c r="J260" s="799">
        <v>100</v>
      </c>
      <c r="K260" s="37">
        <v>6.2799999999999995E-2</v>
      </c>
      <c r="L260" s="792">
        <v>2900</v>
      </c>
      <c r="M260" s="792">
        <v>182.12</v>
      </c>
      <c r="N260" s="396"/>
    </row>
    <row r="261" spans="1:16">
      <c r="A261" s="27">
        <f t="shared" si="27"/>
        <v>40</v>
      </c>
      <c r="B261" s="118"/>
      <c r="C261" s="485"/>
      <c r="D261" s="27" t="s">
        <v>14</v>
      </c>
      <c r="E261" s="28">
        <v>39878</v>
      </c>
      <c r="F261" s="37">
        <f t="shared" si="29"/>
        <v>6.5000000000000002E-2</v>
      </c>
      <c r="G261" s="27">
        <v>2039</v>
      </c>
      <c r="H261" s="792">
        <v>3700</v>
      </c>
      <c r="I261" s="792">
        <v>3700</v>
      </c>
      <c r="J261" s="800">
        <v>100</v>
      </c>
      <c r="K261" s="471">
        <v>6.5500000000000003E-2</v>
      </c>
      <c r="L261" s="797">
        <v>3700</v>
      </c>
      <c r="M261" s="797">
        <v>242.35</v>
      </c>
      <c r="N261" s="483"/>
    </row>
    <row r="262" spans="1:16">
      <c r="A262" s="27">
        <f t="shared" si="27"/>
        <v>41</v>
      </c>
      <c r="B262" s="118"/>
      <c r="C262" s="485"/>
      <c r="D262" s="27" t="s">
        <v>736</v>
      </c>
      <c r="E262" s="28">
        <v>40840</v>
      </c>
      <c r="F262" s="37">
        <f t="shared" si="29"/>
        <v>4.53E-2</v>
      </c>
      <c r="G262" s="27">
        <v>2041</v>
      </c>
      <c r="H262" s="792">
        <v>5000</v>
      </c>
      <c r="I262" s="792">
        <v>5000</v>
      </c>
      <c r="J262" s="800">
        <v>100</v>
      </c>
      <c r="K262" s="471">
        <v>4.58E-2</v>
      </c>
      <c r="L262" s="797">
        <f>+I262</f>
        <v>5000</v>
      </c>
      <c r="M262" s="797">
        <f>+L262*K262</f>
        <v>229</v>
      </c>
      <c r="N262" s="483"/>
    </row>
    <row r="263" spans="1:16">
      <c r="A263" s="27">
        <f t="shared" si="27"/>
        <v>42</v>
      </c>
      <c r="B263" s="118"/>
      <c r="C263" s="485"/>
      <c r="D263" s="27" t="s">
        <v>737</v>
      </c>
      <c r="E263" s="28">
        <v>41214</v>
      </c>
      <c r="F263" s="37">
        <f t="shared" si="29"/>
        <v>3.8399999999999997E-2</v>
      </c>
      <c r="G263" s="27">
        <v>2052</v>
      </c>
      <c r="H263" s="792">
        <v>5000</v>
      </c>
      <c r="I263" s="792">
        <f>+H263</f>
        <v>5000</v>
      </c>
      <c r="J263" s="800">
        <v>100</v>
      </c>
      <c r="K263" s="471">
        <v>3.8899999999999997E-2</v>
      </c>
      <c r="L263" s="797">
        <f>+I263</f>
        <v>5000</v>
      </c>
      <c r="M263" s="797">
        <f>+L263*K263</f>
        <v>194.49999999999997</v>
      </c>
      <c r="N263" s="483"/>
    </row>
    <row r="264" spans="1:16">
      <c r="A264" s="27">
        <f t="shared" si="27"/>
        <v>43</v>
      </c>
      <c r="B264" s="118"/>
      <c r="C264" s="485"/>
      <c r="D264" s="27" t="s">
        <v>738</v>
      </c>
      <c r="E264" s="28">
        <v>41579</v>
      </c>
      <c r="F264" s="37">
        <f t="shared" si="29"/>
        <v>4.2999999999999997E-2</v>
      </c>
      <c r="G264" s="27">
        <v>2053</v>
      </c>
      <c r="H264" s="792">
        <f>+H240</f>
        <v>1400</v>
      </c>
      <c r="I264" s="792">
        <f>+H264</f>
        <v>1400</v>
      </c>
      <c r="J264" s="800">
        <v>100</v>
      </c>
      <c r="K264" s="471">
        <f>+K240</f>
        <v>4.3499999999999997E-2</v>
      </c>
      <c r="L264" s="797">
        <f>+H264</f>
        <v>1400</v>
      </c>
      <c r="M264" s="797">
        <f>+L264*K264</f>
        <v>60.9</v>
      </c>
      <c r="N264" s="483"/>
    </row>
    <row r="265" spans="1:16">
      <c r="A265" s="27">
        <f t="shared" si="27"/>
        <v>44</v>
      </c>
      <c r="B265" s="118"/>
      <c r="C265" s="485"/>
      <c r="D265" s="27" t="s">
        <v>739</v>
      </c>
      <c r="E265" s="28">
        <v>41944</v>
      </c>
      <c r="F265" s="37">
        <f t="shared" si="29"/>
        <v>0.05</v>
      </c>
      <c r="G265" s="27">
        <v>2054</v>
      </c>
      <c r="H265" s="793">
        <v>13700</v>
      </c>
      <c r="I265" s="792">
        <f>+H265</f>
        <v>13700</v>
      </c>
      <c r="J265" s="800">
        <v>100</v>
      </c>
      <c r="K265" s="471">
        <v>5.0500000000000003E-2</v>
      </c>
      <c r="L265" s="795">
        <f>+H265</f>
        <v>13700</v>
      </c>
      <c r="M265" s="795">
        <f>+L265*K265</f>
        <v>691.85</v>
      </c>
      <c r="N265" s="483"/>
    </row>
    <row r="266" spans="1:16">
      <c r="A266" s="27">
        <f t="shared" si="27"/>
        <v>45</v>
      </c>
      <c r="B266" s="118"/>
      <c r="C266" s="485" t="s">
        <v>26</v>
      </c>
      <c r="D266" s="27"/>
      <c r="E266" s="28"/>
      <c r="F266" s="29"/>
      <c r="G266" s="28"/>
      <c r="H266" s="791">
        <f>SUM(H250:H265)</f>
        <v>55050</v>
      </c>
      <c r="I266" s="791"/>
      <c r="J266" s="31"/>
      <c r="K266" s="29"/>
      <c r="L266" s="794">
        <f>SUM(L250:L265)</f>
        <v>54550</v>
      </c>
      <c r="M266" s="794">
        <f>SUM(M250:M265)</f>
        <v>3145.7939999999999</v>
      </c>
      <c r="N266" s="353">
        <f>M266/L266</f>
        <v>5.7668084326306136E-2</v>
      </c>
    </row>
    <row r="267" spans="1:16">
      <c r="A267" s="27">
        <f t="shared" si="27"/>
        <v>46</v>
      </c>
      <c r="B267" s="118"/>
      <c r="C267" s="485" t="s">
        <v>81</v>
      </c>
      <c r="D267" s="27"/>
      <c r="E267" s="28"/>
      <c r="F267" s="29"/>
      <c r="G267" s="28"/>
      <c r="H267" s="30"/>
      <c r="I267" s="30"/>
      <c r="J267" s="31"/>
      <c r="K267" s="29"/>
      <c r="L267" s="793">
        <f>+L241</f>
        <v>41350</v>
      </c>
      <c r="M267" s="793">
        <f>+M241</f>
        <v>2453.944</v>
      </c>
      <c r="N267" s="43">
        <f>+N241</f>
        <v>5.9345683192261182E-2</v>
      </c>
    </row>
    <row r="268" spans="1:16">
      <c r="A268" s="27">
        <f t="shared" si="27"/>
        <v>47</v>
      </c>
      <c r="B268" s="118"/>
      <c r="C268" s="485" t="s">
        <v>26</v>
      </c>
      <c r="D268" s="27"/>
      <c r="E268" s="28"/>
      <c r="F268" s="29"/>
      <c r="G268" s="28"/>
      <c r="H268" s="30"/>
      <c r="I268" s="30"/>
      <c r="J268" s="31"/>
      <c r="K268" s="29"/>
      <c r="L268" s="795">
        <f>L266+L267</f>
        <v>95900</v>
      </c>
      <c r="M268" s="795">
        <f>M266+M267</f>
        <v>5599.7379999999994</v>
      </c>
      <c r="N268" s="790"/>
    </row>
    <row r="269" spans="1:16" ht="13.5" thickBot="1">
      <c r="A269" s="27">
        <f t="shared" si="27"/>
        <v>48</v>
      </c>
      <c r="B269" s="118"/>
      <c r="C269" s="485" t="s">
        <v>37</v>
      </c>
      <c r="D269" s="27"/>
      <c r="E269" s="28"/>
      <c r="F269" s="29"/>
      <c r="G269" s="28"/>
      <c r="H269" s="30"/>
      <c r="I269" s="30"/>
      <c r="J269" s="31"/>
      <c r="K269" s="29"/>
      <c r="L269" s="796">
        <f>L268/2</f>
        <v>47950</v>
      </c>
      <c r="M269" s="796">
        <f>M268/2</f>
        <v>2799.8689999999997</v>
      </c>
      <c r="N269" s="45">
        <f>M269/L269</f>
        <v>5.8391428571428566E-2</v>
      </c>
    </row>
    <row r="270" spans="1:16" s="473" customFormat="1" ht="15.75" customHeight="1" thickTop="1">
      <c r="A270" s="570" t="s">
        <v>540</v>
      </c>
      <c r="B270" s="570"/>
      <c r="C270" s="570"/>
      <c r="D270" s="570"/>
      <c r="E270" s="570"/>
      <c r="F270" s="570"/>
      <c r="G270" s="570"/>
      <c r="H270" s="570"/>
      <c r="I270" s="570"/>
      <c r="J270" s="570"/>
      <c r="K270" s="570"/>
      <c r="L270" s="570"/>
      <c r="M270" s="570"/>
      <c r="N270" s="570"/>
      <c r="O270" s="227" t="s">
        <v>552</v>
      </c>
    </row>
    <row r="271" spans="1:16" s="473" customFormat="1">
      <c r="A271" s="570" t="s">
        <v>463</v>
      </c>
      <c r="B271" s="570"/>
      <c r="C271" s="570"/>
      <c r="D271" s="570"/>
      <c r="E271" s="570"/>
      <c r="F271" s="570"/>
      <c r="G271" s="570"/>
      <c r="H271" s="570"/>
      <c r="I271" s="570"/>
      <c r="J271" s="570"/>
      <c r="K271" s="570"/>
      <c r="L271" s="570"/>
      <c r="M271" s="570"/>
      <c r="N271" s="570"/>
      <c r="O271" s="227" t="s">
        <v>897</v>
      </c>
      <c r="P271" s="227"/>
    </row>
    <row r="272" spans="1:16" s="473" customFormat="1">
      <c r="A272" s="570" t="s">
        <v>551</v>
      </c>
      <c r="B272" s="570"/>
      <c r="C272" s="570"/>
      <c r="D272" s="570"/>
      <c r="E272" s="570"/>
      <c r="F272" s="570"/>
      <c r="G272" s="570"/>
      <c r="H272" s="570"/>
      <c r="I272" s="570"/>
      <c r="J272" s="570"/>
      <c r="K272" s="570"/>
      <c r="L272" s="570"/>
      <c r="M272" s="570"/>
      <c r="N272" s="570"/>
      <c r="O272" s="293"/>
      <c r="P272" s="227"/>
    </row>
    <row r="273" spans="1:16" s="473" customFormat="1">
      <c r="A273" s="570" t="s">
        <v>32</v>
      </c>
      <c r="B273" s="570"/>
      <c r="C273" s="570"/>
      <c r="D273" s="570"/>
      <c r="E273" s="570"/>
      <c r="F273" s="570"/>
      <c r="G273" s="570"/>
      <c r="H273" s="570"/>
      <c r="I273" s="570"/>
      <c r="J273" s="570"/>
      <c r="K273" s="570"/>
      <c r="L273" s="570"/>
      <c r="M273" s="570"/>
      <c r="N273" s="570"/>
      <c r="O273" s="293"/>
      <c r="P273" s="537"/>
    </row>
    <row r="274" spans="1:16">
      <c r="A274" s="467" t="s">
        <v>33</v>
      </c>
      <c r="B274" s="118"/>
      <c r="C274" s="485"/>
      <c r="D274" s="27"/>
      <c r="E274" s="28"/>
      <c r="F274" s="29"/>
      <c r="G274" s="28"/>
      <c r="H274" s="30"/>
      <c r="I274" s="30"/>
      <c r="J274" s="31"/>
      <c r="K274" s="29"/>
      <c r="L274" s="344"/>
      <c r="M274" s="344"/>
      <c r="N274" s="107"/>
    </row>
    <row r="275" spans="1:16">
      <c r="A275" s="35" t="s">
        <v>35</v>
      </c>
      <c r="B275" s="118"/>
      <c r="C275" s="485"/>
      <c r="D275" s="27"/>
      <c r="E275" s="28"/>
      <c r="F275" s="29"/>
      <c r="G275" s="28"/>
      <c r="H275" s="30"/>
      <c r="I275" s="30"/>
      <c r="J275" s="31"/>
      <c r="K275" s="29"/>
      <c r="L275" s="344"/>
      <c r="M275" s="344"/>
      <c r="N275" s="107"/>
    </row>
    <row r="276" spans="1:16">
      <c r="B276" s="118"/>
      <c r="C276" s="485"/>
      <c r="D276" s="27"/>
      <c r="E276" s="28"/>
      <c r="F276" s="29"/>
      <c r="G276" s="28"/>
      <c r="H276" s="30"/>
      <c r="I276" s="30"/>
      <c r="J276" s="31"/>
      <c r="K276" s="29"/>
      <c r="L276" s="344"/>
      <c r="M276" s="344"/>
      <c r="N276" s="107"/>
    </row>
    <row r="277" spans="1:16">
      <c r="A277" s="27">
        <f>A269+1</f>
        <v>49</v>
      </c>
      <c r="B277" s="32" t="s">
        <v>547</v>
      </c>
      <c r="C277" s="485"/>
      <c r="D277" s="485"/>
      <c r="E277" s="485"/>
      <c r="F277" s="485"/>
      <c r="G277" s="485"/>
      <c r="H277" s="485"/>
      <c r="I277" s="33" t="s">
        <v>60</v>
      </c>
      <c r="J277" s="26"/>
      <c r="K277" s="485"/>
      <c r="L277" s="485"/>
      <c r="M277" s="485"/>
    </row>
    <row r="278" spans="1:16">
      <c r="A278" s="27">
        <f>A277+1</f>
        <v>50</v>
      </c>
      <c r="C278" s="467"/>
      <c r="D278" s="467"/>
      <c r="E278" s="467"/>
      <c r="F278" s="467"/>
      <c r="G278" s="467"/>
      <c r="H278" s="467" t="s">
        <v>61</v>
      </c>
      <c r="I278" s="467" t="s">
        <v>27</v>
      </c>
      <c r="J278" s="467" t="s">
        <v>62</v>
      </c>
      <c r="L278" s="467" t="s">
        <v>61</v>
      </c>
      <c r="M278" s="467" t="s">
        <v>27</v>
      </c>
      <c r="N278" s="467" t="s">
        <v>63</v>
      </c>
    </row>
    <row r="279" spans="1:16">
      <c r="A279" s="27">
        <f t="shared" ref="A279:A301" si="30">A278+1</f>
        <v>51</v>
      </c>
      <c r="B279" s="34"/>
      <c r="C279" s="467"/>
      <c r="D279" s="467"/>
      <c r="E279" s="467" t="s">
        <v>64</v>
      </c>
      <c r="F279" s="467" t="s">
        <v>65</v>
      </c>
      <c r="G279" s="467" t="s">
        <v>66</v>
      </c>
      <c r="H279" s="467" t="s">
        <v>67</v>
      </c>
      <c r="I279" s="467" t="s">
        <v>26</v>
      </c>
      <c r="J279" s="467" t="s">
        <v>61</v>
      </c>
      <c r="K279" s="467" t="s">
        <v>73</v>
      </c>
      <c r="L279" s="467" t="s">
        <v>74</v>
      </c>
      <c r="M279" s="467" t="s">
        <v>75</v>
      </c>
      <c r="N279" s="467" t="s">
        <v>76</v>
      </c>
    </row>
    <row r="280" spans="1:16">
      <c r="A280" s="27">
        <f t="shared" si="30"/>
        <v>52</v>
      </c>
      <c r="B280" s="34"/>
      <c r="C280" s="35" t="s">
        <v>178</v>
      </c>
      <c r="D280" s="35" t="s">
        <v>77</v>
      </c>
      <c r="E280" s="35" t="s">
        <v>78</v>
      </c>
      <c r="F280" s="35" t="s">
        <v>38</v>
      </c>
      <c r="G280" s="35" t="s">
        <v>78</v>
      </c>
      <c r="H280" s="35" t="s">
        <v>79</v>
      </c>
      <c r="I280" s="35" t="s">
        <v>67</v>
      </c>
      <c r="J280" s="35" t="s">
        <v>67</v>
      </c>
      <c r="K280" s="35" t="s">
        <v>103</v>
      </c>
      <c r="L280" s="36">
        <v>42369</v>
      </c>
      <c r="M280" s="35" t="s">
        <v>39</v>
      </c>
      <c r="N280" s="35" t="s">
        <v>80</v>
      </c>
    </row>
    <row r="281" spans="1:16">
      <c r="A281" s="27">
        <f t="shared" si="30"/>
        <v>53</v>
      </c>
      <c r="B281" s="118"/>
      <c r="C281" s="485"/>
      <c r="D281" s="39" t="s">
        <v>379</v>
      </c>
      <c r="E281" s="40">
        <v>33205</v>
      </c>
      <c r="F281" s="37">
        <v>0.11849999999999999</v>
      </c>
      <c r="G281" s="384">
        <v>2020</v>
      </c>
      <c r="H281" s="792">
        <v>1500</v>
      </c>
      <c r="I281" s="792">
        <v>1500</v>
      </c>
      <c r="J281" s="800">
        <v>100</v>
      </c>
      <c r="K281" s="155">
        <v>0.1191</v>
      </c>
      <c r="L281" s="792">
        <v>1500</v>
      </c>
      <c r="M281" s="792">
        <v>178.65</v>
      </c>
      <c r="N281" s="483"/>
    </row>
    <row r="282" spans="1:16">
      <c r="A282" s="27">
        <f t="shared" si="30"/>
        <v>54</v>
      </c>
      <c r="B282" s="118"/>
      <c r="D282" s="39" t="s">
        <v>380</v>
      </c>
      <c r="E282" s="40">
        <v>33732</v>
      </c>
      <c r="F282" s="37">
        <v>9.4600000000000004E-2</v>
      </c>
      <c r="G282" s="384">
        <v>2023</v>
      </c>
      <c r="H282" s="792">
        <v>2500</v>
      </c>
      <c r="I282" s="791">
        <v>2500</v>
      </c>
      <c r="J282" s="799">
        <v>100</v>
      </c>
      <c r="K282" s="155">
        <v>9.5100000000000004E-2</v>
      </c>
      <c r="L282" s="792">
        <v>2500</v>
      </c>
      <c r="M282" s="792">
        <v>237.75</v>
      </c>
    </row>
    <row r="283" spans="1:16">
      <c r="A283" s="27">
        <f t="shared" si="30"/>
        <v>55</v>
      </c>
      <c r="B283" s="118"/>
      <c r="C283" s="485"/>
      <c r="D283" s="39" t="s">
        <v>102</v>
      </c>
      <c r="E283" s="40">
        <v>36385</v>
      </c>
      <c r="F283" s="37">
        <v>6.8000000000000005E-2</v>
      </c>
      <c r="G283" s="39">
        <v>2019</v>
      </c>
      <c r="H283" s="791">
        <v>4500</v>
      </c>
      <c r="I283" s="791">
        <v>4500</v>
      </c>
      <c r="J283" s="799">
        <v>100</v>
      </c>
      <c r="K283" s="37">
        <v>6.8500000000000005E-2</v>
      </c>
      <c r="L283" s="792">
        <v>4500</v>
      </c>
      <c r="M283" s="792">
        <v>308.25</v>
      </c>
    </row>
    <row r="284" spans="1:16">
      <c r="A284" s="27">
        <f t="shared" si="30"/>
        <v>56</v>
      </c>
      <c r="B284" s="118"/>
      <c r="C284" s="485"/>
      <c r="D284" s="39" t="s">
        <v>382</v>
      </c>
      <c r="E284" s="40">
        <v>37582</v>
      </c>
      <c r="F284" s="37">
        <v>6.1600000000000002E-2</v>
      </c>
      <c r="G284" s="39">
        <v>2017</v>
      </c>
      <c r="H284" s="791">
        <v>3900</v>
      </c>
      <c r="I284" s="791">
        <v>3900</v>
      </c>
      <c r="J284" s="799">
        <v>100</v>
      </c>
      <c r="K284" s="37">
        <v>6.2100000000000002E-2</v>
      </c>
      <c r="L284" s="792">
        <v>3900</v>
      </c>
      <c r="M284" s="792">
        <v>242.19</v>
      </c>
    </row>
    <row r="285" spans="1:16">
      <c r="A285" s="27">
        <f t="shared" si="30"/>
        <v>57</v>
      </c>
      <c r="B285" s="118"/>
      <c r="C285" s="485"/>
      <c r="D285" s="39" t="s">
        <v>383</v>
      </c>
      <c r="E285" s="40">
        <v>38009</v>
      </c>
      <c r="F285" s="37">
        <v>5.4199999999999998E-2</v>
      </c>
      <c r="G285" s="39">
        <v>2019</v>
      </c>
      <c r="H285" s="791">
        <v>1000</v>
      </c>
      <c r="I285" s="791">
        <v>1000</v>
      </c>
      <c r="J285" s="799">
        <v>100</v>
      </c>
      <c r="K285" s="37">
        <v>5.4699999999999999E-2</v>
      </c>
      <c r="L285" s="792">
        <v>1000</v>
      </c>
      <c r="M285" s="792">
        <v>54.7</v>
      </c>
    </row>
    <row r="286" spans="1:16">
      <c r="A286" s="27">
        <f t="shared" si="30"/>
        <v>58</v>
      </c>
      <c r="B286" s="118"/>
      <c r="C286" s="485"/>
      <c r="D286" s="39" t="s">
        <v>384</v>
      </c>
      <c r="E286" s="40">
        <v>38309</v>
      </c>
      <c r="F286" s="37">
        <v>5.11E-2</v>
      </c>
      <c r="G286" s="39">
        <v>2014</v>
      </c>
      <c r="H286" s="791">
        <v>500</v>
      </c>
      <c r="I286" s="791">
        <v>500</v>
      </c>
      <c r="J286" s="799">
        <v>100</v>
      </c>
      <c r="K286" s="37">
        <v>5.16E-2</v>
      </c>
      <c r="L286" s="798">
        <v>0</v>
      </c>
      <c r="M286" s="792">
        <v>25.8</v>
      </c>
    </row>
    <row r="287" spans="1:16">
      <c r="A287" s="27">
        <f t="shared" si="30"/>
        <v>59</v>
      </c>
      <c r="B287" s="118"/>
      <c r="C287" s="485"/>
      <c r="D287" s="39" t="s">
        <v>385</v>
      </c>
      <c r="E287" s="40">
        <v>38677</v>
      </c>
      <c r="F287" s="37">
        <v>5.1799999999999999E-2</v>
      </c>
      <c r="G287" s="39">
        <v>2035</v>
      </c>
      <c r="H287" s="792">
        <v>4300</v>
      </c>
      <c r="I287" s="791">
        <v>4300</v>
      </c>
      <c r="J287" s="799">
        <v>100</v>
      </c>
      <c r="K287" s="37">
        <v>5.2299999999999999E-2</v>
      </c>
      <c r="L287" s="792">
        <v>4300</v>
      </c>
      <c r="M287" s="792">
        <v>224.89</v>
      </c>
    </row>
    <row r="288" spans="1:16">
      <c r="A288" s="27">
        <f t="shared" si="30"/>
        <v>60</v>
      </c>
      <c r="B288" s="118"/>
      <c r="C288" s="485"/>
      <c r="D288" s="39" t="s">
        <v>386</v>
      </c>
      <c r="E288" s="40">
        <v>39041</v>
      </c>
      <c r="F288" s="37">
        <v>5.0200000000000002E-2</v>
      </c>
      <c r="G288" s="39">
        <v>2036</v>
      </c>
      <c r="H288" s="792">
        <v>3000</v>
      </c>
      <c r="I288" s="791">
        <v>3000</v>
      </c>
      <c r="J288" s="799">
        <v>100</v>
      </c>
      <c r="K288" s="37">
        <v>5.0700000000000002E-2</v>
      </c>
      <c r="L288" s="792">
        <v>3000</v>
      </c>
      <c r="M288" s="792">
        <v>152.1</v>
      </c>
    </row>
    <row r="289" spans="1:14">
      <c r="A289" s="27">
        <f t="shared" si="30"/>
        <v>61</v>
      </c>
      <c r="B289" s="118"/>
      <c r="C289" s="485"/>
      <c r="D289" s="39" t="s">
        <v>13</v>
      </c>
      <c r="E289" s="40">
        <v>39594</v>
      </c>
      <c r="F289" s="37">
        <f>+K289-0.0005</f>
        <v>5.5599999999999997E-2</v>
      </c>
      <c r="G289" s="39">
        <v>2028</v>
      </c>
      <c r="H289" s="792">
        <v>860</v>
      </c>
      <c r="I289" s="791">
        <v>860</v>
      </c>
      <c r="J289" s="799">
        <v>100</v>
      </c>
      <c r="K289" s="37">
        <v>5.6099999999999997E-2</v>
      </c>
      <c r="L289" s="792">
        <v>860</v>
      </c>
      <c r="M289" s="792">
        <v>48.245999999999995</v>
      </c>
      <c r="N289" s="483"/>
    </row>
    <row r="290" spans="1:14">
      <c r="A290" s="27">
        <f t="shared" si="30"/>
        <v>62</v>
      </c>
      <c r="B290" s="118"/>
      <c r="C290" s="485"/>
      <c r="D290" s="27" t="s">
        <v>417</v>
      </c>
      <c r="E290" s="40">
        <v>39594</v>
      </c>
      <c r="F290" s="37">
        <f t="shared" ref="F290:F297" si="31">+K290-0.0005</f>
        <v>5.57E-2</v>
      </c>
      <c r="G290" s="27">
        <v>2038</v>
      </c>
      <c r="H290" s="794">
        <v>1290</v>
      </c>
      <c r="I290" s="791">
        <v>1290</v>
      </c>
      <c r="J290" s="799">
        <v>100</v>
      </c>
      <c r="K290" s="37">
        <v>5.62E-2</v>
      </c>
      <c r="L290" s="797">
        <v>1290</v>
      </c>
      <c r="M290" s="797">
        <v>72.498000000000005</v>
      </c>
      <c r="N290" s="396"/>
    </row>
    <row r="291" spans="1:14">
      <c r="A291" s="27">
        <f t="shared" si="30"/>
        <v>63</v>
      </c>
      <c r="B291" s="118"/>
      <c r="C291" s="485"/>
      <c r="D291" s="27" t="s">
        <v>418</v>
      </c>
      <c r="E291" s="28">
        <v>39878</v>
      </c>
      <c r="F291" s="37">
        <f t="shared" si="31"/>
        <v>6.2299999999999994E-2</v>
      </c>
      <c r="G291" s="27">
        <v>2024</v>
      </c>
      <c r="H291" s="791">
        <v>2900</v>
      </c>
      <c r="I291" s="791">
        <v>2900</v>
      </c>
      <c r="J291" s="799">
        <v>100</v>
      </c>
      <c r="K291" s="37">
        <v>6.2799999999999995E-2</v>
      </c>
      <c r="L291" s="792">
        <v>2900</v>
      </c>
      <c r="M291" s="792">
        <v>182.12</v>
      </c>
      <c r="N291" s="396"/>
    </row>
    <row r="292" spans="1:14">
      <c r="A292" s="27">
        <f t="shared" si="30"/>
        <v>64</v>
      </c>
      <c r="B292" s="118"/>
      <c r="C292" s="485"/>
      <c r="D292" s="27" t="s">
        <v>14</v>
      </c>
      <c r="E292" s="28">
        <v>39878</v>
      </c>
      <c r="F292" s="37">
        <f t="shared" si="31"/>
        <v>6.5000000000000002E-2</v>
      </c>
      <c r="G292" s="27">
        <v>2039</v>
      </c>
      <c r="H292" s="792">
        <v>3700</v>
      </c>
      <c r="I292" s="791">
        <v>3700</v>
      </c>
      <c r="J292" s="799">
        <v>100</v>
      </c>
      <c r="K292" s="37">
        <v>6.5500000000000003E-2</v>
      </c>
      <c r="L292" s="797">
        <v>3700</v>
      </c>
      <c r="M292" s="797">
        <v>242.35</v>
      </c>
      <c r="N292" s="483"/>
    </row>
    <row r="293" spans="1:14">
      <c r="A293" s="27">
        <f t="shared" si="30"/>
        <v>65</v>
      </c>
      <c r="B293" s="118"/>
      <c r="C293" s="485"/>
      <c r="D293" s="27" t="s">
        <v>736</v>
      </c>
      <c r="E293" s="28">
        <v>40840</v>
      </c>
      <c r="F293" s="37">
        <f t="shared" si="31"/>
        <v>4.53E-2</v>
      </c>
      <c r="G293" s="27">
        <v>2041</v>
      </c>
      <c r="H293" s="792">
        <v>5000</v>
      </c>
      <c r="I293" s="792">
        <v>5000</v>
      </c>
      <c r="J293" s="800">
        <v>100</v>
      </c>
      <c r="K293" s="471">
        <v>4.58E-2</v>
      </c>
      <c r="L293" s="797">
        <f>+I293</f>
        <v>5000</v>
      </c>
      <c r="M293" s="797">
        <f>+L293*K293</f>
        <v>229</v>
      </c>
      <c r="N293" s="483"/>
    </row>
    <row r="294" spans="1:14">
      <c r="A294" s="27">
        <f t="shared" si="30"/>
        <v>66</v>
      </c>
      <c r="B294" s="118"/>
      <c r="C294" s="485"/>
      <c r="D294" s="27" t="s">
        <v>737</v>
      </c>
      <c r="E294" s="28">
        <v>41214</v>
      </c>
      <c r="F294" s="37">
        <f t="shared" si="31"/>
        <v>3.8399999999999997E-2</v>
      </c>
      <c r="G294" s="27">
        <v>2052</v>
      </c>
      <c r="H294" s="792">
        <v>5000</v>
      </c>
      <c r="I294" s="792">
        <f>+H294</f>
        <v>5000</v>
      </c>
      <c r="J294" s="800">
        <v>100</v>
      </c>
      <c r="K294" s="471">
        <v>3.8899999999999997E-2</v>
      </c>
      <c r="L294" s="797">
        <f>+I294</f>
        <v>5000</v>
      </c>
      <c r="M294" s="797">
        <f>+L294*K294</f>
        <v>194.49999999999997</v>
      </c>
      <c r="N294" s="483"/>
    </row>
    <row r="295" spans="1:14">
      <c r="A295" s="27">
        <f t="shared" si="30"/>
        <v>67</v>
      </c>
      <c r="B295" s="118"/>
      <c r="C295" s="485"/>
      <c r="D295" s="27" t="s">
        <v>738</v>
      </c>
      <c r="E295" s="28">
        <v>41579</v>
      </c>
      <c r="F295" s="37">
        <f t="shared" si="31"/>
        <v>4.2999999999999997E-2</v>
      </c>
      <c r="G295" s="27">
        <v>2053</v>
      </c>
      <c r="H295" s="792">
        <f>+H240</f>
        <v>1400</v>
      </c>
      <c r="I295" s="792">
        <f>+H295</f>
        <v>1400</v>
      </c>
      <c r="J295" s="800">
        <v>100</v>
      </c>
      <c r="K295" s="471">
        <f>+K264</f>
        <v>4.3499999999999997E-2</v>
      </c>
      <c r="L295" s="797">
        <f>+H295</f>
        <v>1400</v>
      </c>
      <c r="M295" s="797">
        <f>+L295*K295</f>
        <v>60.9</v>
      </c>
      <c r="N295" s="483"/>
    </row>
    <row r="296" spans="1:14">
      <c r="A296" s="27">
        <f t="shared" si="30"/>
        <v>68</v>
      </c>
      <c r="B296" s="118"/>
      <c r="C296" s="485"/>
      <c r="D296" s="27" t="s">
        <v>739</v>
      </c>
      <c r="E296" s="28">
        <v>41944</v>
      </c>
      <c r="F296" s="37">
        <f t="shared" si="31"/>
        <v>0.05</v>
      </c>
      <c r="G296" s="27">
        <v>2054</v>
      </c>
      <c r="H296" s="792">
        <f>+H265</f>
        <v>13700</v>
      </c>
      <c r="I296" s="792">
        <f>+H296</f>
        <v>13700</v>
      </c>
      <c r="J296" s="800">
        <v>100</v>
      </c>
      <c r="K296" s="471">
        <f>+K265</f>
        <v>5.0500000000000003E-2</v>
      </c>
      <c r="L296" s="797">
        <f>+H296</f>
        <v>13700</v>
      </c>
      <c r="M296" s="797">
        <f>+L296*K296</f>
        <v>691.85</v>
      </c>
      <c r="N296" s="483"/>
    </row>
    <row r="297" spans="1:14">
      <c r="A297" s="27">
        <f t="shared" si="30"/>
        <v>69</v>
      </c>
      <c r="B297" s="118"/>
      <c r="C297" s="485"/>
      <c r="D297" s="27" t="s">
        <v>740</v>
      </c>
      <c r="E297" s="28">
        <v>42309</v>
      </c>
      <c r="F297" s="37">
        <f t="shared" si="31"/>
        <v>5.7500000000000002E-2</v>
      </c>
      <c r="G297" s="27">
        <v>2055</v>
      </c>
      <c r="H297" s="793">
        <v>0</v>
      </c>
      <c r="I297" s="792">
        <f>+H297</f>
        <v>0</v>
      </c>
      <c r="J297" s="800">
        <v>100</v>
      </c>
      <c r="K297" s="471">
        <v>5.8000000000000003E-2</v>
      </c>
      <c r="L297" s="795">
        <f>+H297</f>
        <v>0</v>
      </c>
      <c r="M297" s="795">
        <f>+L297*K297</f>
        <v>0</v>
      </c>
      <c r="N297" s="483"/>
    </row>
    <row r="298" spans="1:14">
      <c r="A298" s="27">
        <f t="shared" si="30"/>
        <v>70</v>
      </c>
      <c r="B298" s="118"/>
      <c r="C298" s="485" t="s">
        <v>26</v>
      </c>
      <c r="D298" s="27"/>
      <c r="E298" s="28"/>
      <c r="F298" s="29"/>
      <c r="G298" s="28"/>
      <c r="H298" s="791">
        <f>SUM(H281:H297)</f>
        <v>55050</v>
      </c>
      <c r="I298" s="791"/>
      <c r="J298" s="31"/>
      <c r="K298" s="29"/>
      <c r="L298" s="794">
        <f>SUM(L281:L297)</f>
        <v>54550</v>
      </c>
      <c r="M298" s="794">
        <f>SUM(M281:M297)</f>
        <v>3145.7939999999999</v>
      </c>
      <c r="N298" s="353">
        <f>M298/L298</f>
        <v>5.7668084326306136E-2</v>
      </c>
    </row>
    <row r="299" spans="1:14">
      <c r="A299" s="27">
        <f t="shared" si="30"/>
        <v>71</v>
      </c>
      <c r="B299" s="118"/>
      <c r="C299" s="485" t="s">
        <v>81</v>
      </c>
      <c r="D299" s="27"/>
      <c r="E299" s="28"/>
      <c r="F299" s="29"/>
      <c r="G299" s="28"/>
      <c r="H299" s="30"/>
      <c r="I299" s="30"/>
      <c r="J299" s="31"/>
      <c r="K299" s="29"/>
      <c r="L299" s="793">
        <f>+L266</f>
        <v>54550</v>
      </c>
      <c r="M299" s="793">
        <f>+M266</f>
        <v>3145.7939999999999</v>
      </c>
      <c r="N299" s="43">
        <f>+N266</f>
        <v>5.7668084326306136E-2</v>
      </c>
    </row>
    <row r="300" spans="1:14">
      <c r="A300" s="27">
        <f t="shared" si="30"/>
        <v>72</v>
      </c>
      <c r="B300" s="118"/>
      <c r="C300" s="485" t="s">
        <v>26</v>
      </c>
      <c r="D300" s="27"/>
      <c r="E300" s="28"/>
      <c r="F300" s="29"/>
      <c r="G300" s="28"/>
      <c r="H300" s="30"/>
      <c r="I300" s="30"/>
      <c r="J300" s="31"/>
      <c r="K300" s="29"/>
      <c r="L300" s="795">
        <f>L298+L299</f>
        <v>109100</v>
      </c>
      <c r="M300" s="795">
        <f>M298+M299</f>
        <v>6291.5879999999997</v>
      </c>
      <c r="N300" s="790"/>
    </row>
    <row r="301" spans="1:14" ht="13.5" thickBot="1">
      <c r="A301" s="27">
        <f t="shared" si="30"/>
        <v>73</v>
      </c>
      <c r="B301" s="118"/>
      <c r="C301" s="485" t="s">
        <v>37</v>
      </c>
      <c r="D301" s="27"/>
      <c r="E301" s="28"/>
      <c r="F301" s="29"/>
      <c r="G301" s="28"/>
      <c r="H301" s="30"/>
      <c r="I301" s="30"/>
      <c r="J301" s="31"/>
      <c r="K301" s="29"/>
      <c r="L301" s="796">
        <f>L300/2</f>
        <v>54550</v>
      </c>
      <c r="M301" s="796">
        <f>M300/2</f>
        <v>3145.7939999999999</v>
      </c>
      <c r="N301" s="45">
        <f>M301/L301</f>
        <v>5.7668084326306136E-2</v>
      </c>
    </row>
    <row r="302" spans="1:14" ht="13.5" thickTop="1">
      <c r="B302" s="118"/>
      <c r="C302" s="485"/>
      <c r="D302" s="27"/>
      <c r="E302" s="28"/>
      <c r="F302" s="29"/>
      <c r="G302" s="28"/>
      <c r="H302" s="30"/>
      <c r="I302" s="30"/>
      <c r="J302" s="31"/>
      <c r="K302" s="29"/>
      <c r="L302" s="344"/>
      <c r="M302" s="344"/>
      <c r="N302" s="107"/>
    </row>
    <row r="303" spans="1:14">
      <c r="B303" s="118"/>
      <c r="C303" s="485"/>
      <c r="D303" s="27"/>
      <c r="E303" s="28"/>
      <c r="F303" s="29"/>
      <c r="G303" s="28"/>
      <c r="H303" s="30"/>
      <c r="I303" s="30"/>
      <c r="J303" s="31"/>
      <c r="K303" s="29"/>
      <c r="L303" s="344"/>
      <c r="M303" s="344"/>
      <c r="N303" s="107"/>
    </row>
    <row r="304" spans="1:14">
      <c r="B304" s="118"/>
      <c r="C304" s="485"/>
      <c r="D304" s="27"/>
      <c r="E304" s="28"/>
      <c r="F304" s="29"/>
      <c r="G304" s="28"/>
      <c r="H304" s="30"/>
      <c r="I304" s="30"/>
      <c r="J304" s="31"/>
      <c r="K304" s="29"/>
      <c r="L304" s="344"/>
      <c r="M304" s="344"/>
      <c r="N304" s="107"/>
    </row>
    <row r="305" spans="2:14">
      <c r="B305" s="118"/>
      <c r="C305" s="485"/>
      <c r="D305" s="27"/>
      <c r="E305" s="28"/>
      <c r="F305" s="29"/>
      <c r="G305" s="28"/>
      <c r="H305" s="30"/>
      <c r="I305" s="30"/>
      <c r="J305" s="31"/>
      <c r="K305" s="29"/>
      <c r="L305" s="344"/>
      <c r="M305" s="344"/>
      <c r="N305" s="107"/>
    </row>
    <row r="306" spans="2:14">
      <c r="B306" s="118"/>
      <c r="C306" s="485"/>
      <c r="D306" s="27"/>
      <c r="E306" s="28"/>
      <c r="F306" s="29"/>
      <c r="G306" s="28"/>
      <c r="H306" s="30"/>
      <c r="I306" s="30"/>
      <c r="J306" s="31"/>
      <c r="K306" s="29"/>
      <c r="L306" s="344"/>
      <c r="M306" s="344"/>
      <c r="N306" s="107"/>
    </row>
  </sheetData>
  <customSheetViews>
    <customSheetView guid="{275E5119-9E8C-43ED-ACD2-DF40CF10B219}" scale="75" topLeftCell="A34">
      <selection activeCell="O88" sqref="O88"/>
      <rowBreaks count="1" manualBreakCount="1">
        <brk id="45" max="1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1"/>
      <headerFooter alignWithMargins="0"/>
    </customSheetView>
    <customSheetView guid="{D346ECD1-ED60-4F74-8B02-572F89E41ACB}" scale="75" showPageBreaks="1" showRuler="0" topLeftCell="A34">
      <selection activeCell="O88" sqref="O88"/>
      <rowBreaks count="2" manualBreakCount="2">
        <brk id="45" max="13" man="1"/>
        <brk id="101" max="1638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2"/>
      <headerFooter alignWithMargins="0"/>
    </customSheetView>
  </customSheetViews>
  <phoneticPr fontId="0" type="noConversion"/>
  <printOptions horizontalCentered="1"/>
  <pageMargins left="0.45" right="0.3" top="0.68" bottom="0.48" header="0.71" footer="0.5"/>
  <pageSetup scale="73" fitToHeight="6" orientation="landscape" r:id="rId3"/>
  <headerFooter alignWithMargins="0"/>
  <rowBreaks count="5" manualBreakCount="5">
    <brk id="87" max="14" man="1"/>
    <brk id="137" max="14" man="1"/>
    <brk id="166" max="14" man="1"/>
    <brk id="214" max="14" man="1"/>
    <brk id="269" max="1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 enableFormatConditionsCalculation="0">
    <pageSetUpPr fitToPage="1"/>
  </sheetPr>
  <dimension ref="A1:Z72"/>
  <sheetViews>
    <sheetView zoomScale="85" zoomScaleNormal="85" zoomScaleSheetLayoutView="75" workbookViewId="0">
      <selection activeCell="W37" sqref="W37"/>
    </sheetView>
  </sheetViews>
  <sheetFormatPr defaultColWidth="7.5703125" defaultRowHeight="15"/>
  <cols>
    <col min="1" max="1" width="8.5703125" style="52" customWidth="1"/>
    <col min="2" max="2" width="2.28515625" style="52" customWidth="1"/>
    <col min="3" max="3" width="51.7109375" style="52" customWidth="1"/>
    <col min="4" max="4" width="2.28515625" style="52" customWidth="1"/>
    <col min="5" max="5" width="34.5703125" style="55" customWidth="1"/>
    <col min="6" max="6" width="2.5703125" style="52" customWidth="1"/>
    <col min="7" max="7" width="14" style="52" customWidth="1"/>
    <col min="8" max="8" width="2.28515625" style="52" customWidth="1"/>
    <col min="9" max="9" width="14" style="52" customWidth="1"/>
    <col min="10" max="10" width="2.28515625" style="52" customWidth="1"/>
    <col min="11" max="11" width="14" style="52" customWidth="1"/>
    <col min="12" max="12" width="2.28515625" style="52" customWidth="1"/>
    <col min="13" max="13" width="14" style="52" customWidth="1"/>
    <col min="14" max="14" width="2.28515625" style="52" customWidth="1"/>
    <col min="15" max="15" width="14" style="52" customWidth="1"/>
    <col min="16" max="16" width="2.28515625" style="52" customWidth="1"/>
    <col min="17" max="17" width="14" style="52" customWidth="1"/>
    <col min="18" max="18" width="2.28515625" style="52" customWidth="1"/>
    <col min="19" max="19" width="14" style="52" customWidth="1"/>
    <col min="20" max="20" width="2.28515625" style="52" customWidth="1"/>
    <col min="21" max="21" width="14" style="52" customWidth="1"/>
    <col min="22" max="22" width="2.28515625" style="52" customWidth="1"/>
    <col min="23" max="23" width="14" style="52" customWidth="1"/>
    <col min="24" max="24" width="2.28515625" style="52" customWidth="1"/>
    <col min="25" max="25" width="14" style="52" customWidth="1"/>
    <col min="26" max="26" width="2.28515625" style="52" customWidth="1"/>
    <col min="27" max="27" width="15.5703125" style="52" bestFit="1" customWidth="1"/>
    <col min="28" max="16384" width="7.5703125" style="52"/>
  </cols>
  <sheetData>
    <row r="1" spans="1:26" ht="15.75">
      <c r="A1" s="61" t="s">
        <v>540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2"/>
      <c r="Z1" s="109" t="s">
        <v>506</v>
      </c>
    </row>
    <row r="2" spans="1:26" ht="15.75">
      <c r="A2" s="61" t="s">
        <v>463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16"/>
    </row>
    <row r="3" spans="1:26" ht="15.75">
      <c r="A3" s="61" t="s">
        <v>214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53"/>
    </row>
    <row r="4" spans="1:26" ht="15.75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2"/>
      <c r="Z4" s="51"/>
    </row>
    <row r="5" spans="1:26" ht="15.75">
      <c r="A5" s="50"/>
      <c r="B5" s="51"/>
      <c r="C5" s="51"/>
      <c r="D5" s="51"/>
      <c r="Q5" s="15"/>
      <c r="R5" s="15"/>
      <c r="S5" s="15"/>
      <c r="T5" s="15"/>
      <c r="U5" s="15"/>
      <c r="V5" s="15"/>
      <c r="W5" s="10" t="s">
        <v>459</v>
      </c>
      <c r="X5" s="101"/>
      <c r="Y5" s="10" t="s">
        <v>459</v>
      </c>
    </row>
    <row r="6" spans="1:26" ht="15.75">
      <c r="A6" s="53" t="s">
        <v>33</v>
      </c>
      <c r="B6" s="53"/>
      <c r="C6" s="53"/>
      <c r="D6" s="53"/>
      <c r="E6" s="53" t="s">
        <v>34</v>
      </c>
      <c r="F6" s="10"/>
      <c r="G6" s="10" t="s">
        <v>25</v>
      </c>
      <c r="H6" s="10"/>
      <c r="I6" s="10" t="s">
        <v>25</v>
      </c>
      <c r="J6" s="10"/>
      <c r="K6" s="10" t="s">
        <v>25</v>
      </c>
      <c r="L6" s="10"/>
      <c r="M6" s="10" t="s">
        <v>25</v>
      </c>
      <c r="N6" s="10"/>
      <c r="O6" s="10" t="s">
        <v>25</v>
      </c>
      <c r="P6" s="10"/>
      <c r="Q6" s="823" t="s">
        <v>330</v>
      </c>
      <c r="R6" s="823"/>
      <c r="S6" s="823"/>
      <c r="T6" s="823"/>
      <c r="U6" s="823"/>
      <c r="V6" s="278"/>
      <c r="W6" s="11" t="s">
        <v>15</v>
      </c>
      <c r="X6" s="10"/>
      <c r="Y6" s="11" t="s">
        <v>15</v>
      </c>
      <c r="Z6" s="10"/>
    </row>
    <row r="7" spans="1:26" ht="15.75">
      <c r="A7" s="54" t="s">
        <v>35</v>
      </c>
      <c r="B7" s="53"/>
      <c r="C7" s="54" t="s">
        <v>178</v>
      </c>
      <c r="D7" s="53"/>
      <c r="E7" s="54" t="s">
        <v>36</v>
      </c>
      <c r="F7" s="10"/>
      <c r="G7" s="12">
        <v>2008</v>
      </c>
      <c r="H7" s="10"/>
      <c r="I7" s="12">
        <v>2009</v>
      </c>
      <c r="J7" s="10"/>
      <c r="K7" s="12">
        <v>2010</v>
      </c>
      <c r="L7" s="10"/>
      <c r="M7" s="12">
        <v>2011</v>
      </c>
      <c r="N7" s="11"/>
      <c r="O7" s="430">
        <v>2012</v>
      </c>
      <c r="P7" s="11"/>
      <c r="Q7" s="280">
        <v>2013</v>
      </c>
      <c r="R7" s="278"/>
      <c r="S7" s="280">
        <v>2014</v>
      </c>
      <c r="T7" s="10"/>
      <c r="U7" s="280">
        <v>2015</v>
      </c>
      <c r="V7" s="280"/>
      <c r="W7" s="430">
        <v>2008</v>
      </c>
      <c r="X7" s="10"/>
      <c r="Y7" s="430">
        <v>2009</v>
      </c>
      <c r="Z7" s="10"/>
    </row>
    <row r="9" spans="1:26" ht="15.75">
      <c r="A9" s="55">
        <v>1</v>
      </c>
      <c r="C9" s="57" t="s">
        <v>83</v>
      </c>
      <c r="K9" s="115"/>
    </row>
    <row r="10" spans="1:26" ht="15.75">
      <c r="A10" s="55">
        <f t="shared" ref="A10:A15" si="0">A9+1</f>
        <v>2</v>
      </c>
      <c r="C10" s="57" t="s">
        <v>377</v>
      </c>
      <c r="K10" s="342"/>
      <c r="W10" s="115"/>
    </row>
    <row r="11" spans="1:26" ht="15" customHeight="1">
      <c r="A11" s="531">
        <f t="shared" si="0"/>
        <v>3</v>
      </c>
      <c r="C11" s="164"/>
      <c r="F11" s="148"/>
      <c r="G11" s="148"/>
      <c r="H11" s="148"/>
      <c r="I11" s="385"/>
      <c r="J11" s="148"/>
      <c r="K11" s="397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90"/>
      <c r="X11" s="148"/>
      <c r="Y11" s="186"/>
    </row>
    <row r="12" spans="1:26" ht="15" customHeight="1">
      <c r="A12" s="531">
        <f t="shared" si="0"/>
        <v>4</v>
      </c>
      <c r="C12" s="335" t="s">
        <v>445</v>
      </c>
      <c r="K12" s="115"/>
      <c r="W12" s="115"/>
    </row>
    <row r="13" spans="1:26" ht="15" customHeight="1">
      <c r="A13" s="531">
        <f t="shared" si="0"/>
        <v>5</v>
      </c>
      <c r="C13" s="52" t="s">
        <v>437</v>
      </c>
      <c r="E13" s="531" t="s">
        <v>743</v>
      </c>
      <c r="F13" s="148"/>
      <c r="G13" s="186">
        <f>G26</f>
        <v>537</v>
      </c>
      <c r="H13" s="148"/>
      <c r="I13" s="190">
        <f>I26</f>
        <v>537</v>
      </c>
      <c r="J13" s="189"/>
      <c r="K13" s="190">
        <f>K26</f>
        <v>537</v>
      </c>
      <c r="L13" s="189"/>
      <c r="M13" s="190">
        <f>M26</f>
        <v>537</v>
      </c>
      <c r="N13" s="190"/>
      <c r="O13" s="190">
        <f>O26</f>
        <v>537</v>
      </c>
      <c r="P13" s="190"/>
      <c r="Q13" s="190">
        <f>Q26</f>
        <v>537</v>
      </c>
      <c r="R13" s="190"/>
      <c r="S13" s="190">
        <f>S26</f>
        <v>537</v>
      </c>
      <c r="T13" s="190"/>
      <c r="U13" s="190">
        <f>U26</f>
        <v>537</v>
      </c>
      <c r="V13" s="148"/>
      <c r="W13" s="190">
        <f>W26</f>
        <v>537</v>
      </c>
      <c r="X13" s="148"/>
      <c r="Y13" s="186">
        <f>Y26</f>
        <v>537</v>
      </c>
    </row>
    <row r="14" spans="1:26" ht="15" customHeight="1">
      <c r="A14" s="531">
        <f t="shared" si="0"/>
        <v>6</v>
      </c>
      <c r="C14" s="52" t="s">
        <v>436</v>
      </c>
      <c r="E14" s="531" t="s">
        <v>742</v>
      </c>
      <c r="F14" s="148"/>
      <c r="G14" s="186">
        <f>G34</f>
        <v>170</v>
      </c>
      <c r="H14" s="148"/>
      <c r="I14" s="190">
        <f>I34</f>
        <v>166.5</v>
      </c>
      <c r="J14" s="189"/>
      <c r="K14" s="190">
        <f>K34</f>
        <v>162.5</v>
      </c>
      <c r="L14" s="189"/>
      <c r="M14" s="190">
        <f>M34</f>
        <v>159.5</v>
      </c>
      <c r="N14" s="190"/>
      <c r="O14" s="190">
        <f>O34</f>
        <v>156</v>
      </c>
      <c r="P14" s="190"/>
      <c r="Q14" s="190">
        <f>Q34</f>
        <v>152</v>
      </c>
      <c r="R14" s="190"/>
      <c r="S14" s="190">
        <f>S34</f>
        <v>148</v>
      </c>
      <c r="T14" s="190"/>
      <c r="U14" s="190">
        <f>U34</f>
        <v>144</v>
      </c>
      <c r="V14" s="148"/>
      <c r="W14" s="190">
        <f>W34</f>
        <v>171</v>
      </c>
      <c r="X14" s="148"/>
      <c r="Y14" s="186">
        <f>Y34</f>
        <v>171</v>
      </c>
    </row>
    <row r="15" spans="1:26" ht="15" customHeight="1">
      <c r="A15" s="531">
        <f t="shared" si="0"/>
        <v>7</v>
      </c>
      <c r="C15" s="171" t="s">
        <v>438</v>
      </c>
      <c r="E15" s="531" t="s">
        <v>450</v>
      </c>
      <c r="F15" s="148"/>
      <c r="G15" s="186">
        <f>+G42</f>
        <v>-14.5</v>
      </c>
      <c r="H15" s="148"/>
      <c r="I15" s="190">
        <f>+I42</f>
        <v>-2</v>
      </c>
      <c r="J15" s="189"/>
      <c r="K15" s="190">
        <f>+K42</f>
        <v>-34</v>
      </c>
      <c r="L15" s="189"/>
      <c r="M15" s="190">
        <f>+M42</f>
        <v>-48</v>
      </c>
      <c r="N15" s="190"/>
      <c r="O15" s="190">
        <f>+O42</f>
        <v>-62</v>
      </c>
      <c r="P15" s="190"/>
      <c r="Q15" s="190">
        <f>+Q42</f>
        <v>-57.5</v>
      </c>
      <c r="R15" s="190"/>
      <c r="S15" s="190">
        <f>+S42</f>
        <v>-34.5</v>
      </c>
      <c r="T15" s="190"/>
      <c r="U15" s="190">
        <f>+U42</f>
        <v>-11.5</v>
      </c>
      <c r="V15" s="148"/>
      <c r="W15" s="190">
        <f>+W42</f>
        <v>-39</v>
      </c>
      <c r="X15" s="148"/>
      <c r="Y15" s="186">
        <f>+Y42</f>
        <v>-13</v>
      </c>
    </row>
    <row r="16" spans="1:26" ht="5.25" customHeight="1">
      <c r="A16" s="55"/>
      <c r="C16" s="171"/>
      <c r="F16" s="148"/>
      <c r="G16" s="186"/>
      <c r="H16" s="148"/>
      <c r="I16" s="190"/>
      <c r="J16" s="189"/>
      <c r="K16" s="190"/>
      <c r="L16" s="189"/>
      <c r="M16" s="190"/>
      <c r="N16" s="190"/>
      <c r="O16" s="190"/>
      <c r="P16" s="190"/>
      <c r="Q16" s="190"/>
      <c r="R16" s="190"/>
      <c r="S16" s="190"/>
      <c r="T16" s="190"/>
      <c r="U16" s="190"/>
      <c r="V16" s="189"/>
      <c r="W16" s="190"/>
      <c r="X16" s="148"/>
      <c r="Y16" s="186"/>
    </row>
    <row r="17" spans="1:25" ht="20.25" customHeight="1" thickBot="1">
      <c r="A17" s="55">
        <f>A15+1</f>
        <v>8</v>
      </c>
      <c r="C17" s="336" t="s">
        <v>444</v>
      </c>
      <c r="E17" s="531" t="s">
        <v>741</v>
      </c>
      <c r="F17" s="148"/>
      <c r="G17" s="172">
        <f>SUM(G13:G15)</f>
        <v>692.5</v>
      </c>
      <c r="H17" s="148"/>
      <c r="I17" s="386">
        <f>SUM(I13:I15)</f>
        <v>701.5</v>
      </c>
      <c r="J17" s="189"/>
      <c r="K17" s="386">
        <f>SUM(K13:K15)</f>
        <v>665.5</v>
      </c>
      <c r="L17" s="189"/>
      <c r="M17" s="386">
        <f>SUM(M13:M15)</f>
        <v>648.5</v>
      </c>
      <c r="N17" s="190"/>
      <c r="O17" s="386">
        <f>SUM(O13:O15)</f>
        <v>631</v>
      </c>
      <c r="P17" s="190"/>
      <c r="Q17" s="386">
        <f>SUM(Q13:Q15)</f>
        <v>631.5</v>
      </c>
      <c r="R17" s="190"/>
      <c r="S17" s="386">
        <f>SUM(S13:S15)</f>
        <v>650.5</v>
      </c>
      <c r="T17" s="190"/>
      <c r="U17" s="386">
        <f>SUM(U13:U15)</f>
        <v>669.5</v>
      </c>
      <c r="V17" s="189"/>
      <c r="W17" s="386">
        <f>SUM(W13:W15)</f>
        <v>669</v>
      </c>
      <c r="X17" s="148"/>
      <c r="Y17" s="172">
        <f>SUM(Y13:Y15)</f>
        <v>695</v>
      </c>
    </row>
    <row r="18" spans="1:25" ht="15" customHeight="1" thickTop="1">
      <c r="A18" s="531">
        <f>A17+1</f>
        <v>9</v>
      </c>
      <c r="C18" s="192"/>
      <c r="F18" s="148"/>
      <c r="G18" s="148"/>
      <c r="H18" s="148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48"/>
      <c r="W18" s="190"/>
      <c r="X18" s="148"/>
      <c r="Y18" s="186"/>
    </row>
    <row r="19" spans="1:25" ht="15" customHeight="1">
      <c r="A19" s="531">
        <f t="shared" ref="A19:A24" si="1">A18+1</f>
        <v>10</v>
      </c>
      <c r="C19" s="192"/>
      <c r="F19" s="148"/>
      <c r="G19" s="148"/>
      <c r="H19" s="148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48"/>
      <c r="W19" s="190"/>
      <c r="X19" s="148"/>
      <c r="Y19" s="186"/>
    </row>
    <row r="20" spans="1:25" ht="15.75">
      <c r="A20" s="531">
        <f t="shared" si="1"/>
        <v>11</v>
      </c>
      <c r="C20" s="57" t="s">
        <v>437</v>
      </c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</row>
    <row r="21" spans="1:25">
      <c r="A21" s="531">
        <f t="shared" si="1"/>
        <v>12</v>
      </c>
      <c r="C21" s="530" t="s">
        <v>594</v>
      </c>
      <c r="F21" s="189"/>
      <c r="G21" s="189">
        <v>537</v>
      </c>
      <c r="H21" s="189"/>
      <c r="I21" s="189">
        <f>+G24</f>
        <v>537</v>
      </c>
      <c r="J21" s="189"/>
      <c r="K21" s="438">
        <f>+I24</f>
        <v>537</v>
      </c>
      <c r="L21" s="189"/>
      <c r="M21" s="189">
        <f>+K24</f>
        <v>537</v>
      </c>
      <c r="N21" s="189"/>
      <c r="O21" s="189">
        <f>+M24</f>
        <v>537</v>
      </c>
      <c r="P21" s="189"/>
      <c r="Q21" s="189">
        <f>+O24</f>
        <v>537</v>
      </c>
      <c r="R21" s="189"/>
      <c r="S21" s="189">
        <f>+Q24</f>
        <v>537</v>
      </c>
      <c r="T21" s="189"/>
      <c r="U21" s="189">
        <f>+S24</f>
        <v>537</v>
      </c>
      <c r="V21" s="189"/>
      <c r="W21" s="189">
        <v>537</v>
      </c>
      <c r="X21" s="189"/>
      <c r="Y21" s="189">
        <f>W24</f>
        <v>537</v>
      </c>
    </row>
    <row r="22" spans="1:25">
      <c r="A22" s="531">
        <f>A21+1</f>
        <v>13</v>
      </c>
      <c r="C22" s="282" t="s">
        <v>446</v>
      </c>
      <c r="F22" s="189"/>
      <c r="G22" s="189">
        <f>-G23</f>
        <v>37</v>
      </c>
      <c r="H22" s="189"/>
      <c r="I22" s="438">
        <f>-I23</f>
        <v>24</v>
      </c>
      <c r="J22" s="189"/>
      <c r="K22" s="438">
        <f>-K23</f>
        <v>20</v>
      </c>
      <c r="L22" s="189"/>
      <c r="M22" s="438">
        <f>-M23</f>
        <v>11</v>
      </c>
      <c r="N22" s="189"/>
      <c r="O22" s="438">
        <f>-O23</f>
        <v>37</v>
      </c>
      <c r="P22" s="189"/>
      <c r="Q22" s="438">
        <f>-Q23</f>
        <v>37</v>
      </c>
      <c r="R22" s="189"/>
      <c r="S22" s="438">
        <f>-S23</f>
        <v>37</v>
      </c>
      <c r="T22" s="189"/>
      <c r="U22" s="438">
        <f>-U23</f>
        <v>37</v>
      </c>
      <c r="V22" s="189"/>
      <c r="W22" s="189">
        <v>60</v>
      </c>
      <c r="X22" s="189"/>
      <c r="Y22" s="189">
        <v>60</v>
      </c>
    </row>
    <row r="23" spans="1:25">
      <c r="A23" s="531">
        <f t="shared" si="1"/>
        <v>14</v>
      </c>
      <c r="C23" s="282" t="s">
        <v>447</v>
      </c>
      <c r="F23" s="60"/>
      <c r="G23" s="102">
        <v>-37</v>
      </c>
      <c r="H23" s="60"/>
      <c r="I23" s="145">
        <v>-24</v>
      </c>
      <c r="J23" s="125"/>
      <c r="K23" s="145">
        <v>-20</v>
      </c>
      <c r="L23" s="125"/>
      <c r="M23" s="145">
        <v>-11</v>
      </c>
      <c r="N23" s="138"/>
      <c r="O23" s="145">
        <v>-37</v>
      </c>
      <c r="P23" s="138"/>
      <c r="Q23" s="145">
        <v>-37</v>
      </c>
      <c r="R23" s="138"/>
      <c r="S23" s="145">
        <v>-37</v>
      </c>
      <c r="T23" s="138"/>
      <c r="U23" s="145">
        <v>-37</v>
      </c>
      <c r="V23" s="60"/>
      <c r="W23" s="145">
        <v>-60</v>
      </c>
      <c r="X23" s="60"/>
      <c r="Y23" s="102">
        <v>-60</v>
      </c>
    </row>
    <row r="24" spans="1:25">
      <c r="A24" s="531">
        <f t="shared" si="1"/>
        <v>15</v>
      </c>
      <c r="C24" s="330" t="s">
        <v>679</v>
      </c>
      <c r="F24" s="148"/>
      <c r="G24" s="185">
        <f>SUM(G21:G23)</f>
        <v>537</v>
      </c>
      <c r="H24" s="148"/>
      <c r="I24" s="191">
        <f>SUM(I21:I23)</f>
        <v>537</v>
      </c>
      <c r="J24" s="189"/>
      <c r="K24" s="191">
        <f>SUM(K21:K23)</f>
        <v>537</v>
      </c>
      <c r="L24" s="189"/>
      <c r="M24" s="191">
        <f>SUM(M21:M23)</f>
        <v>537</v>
      </c>
      <c r="N24" s="190"/>
      <c r="O24" s="191">
        <f>SUM(O21:O23)</f>
        <v>537</v>
      </c>
      <c r="P24" s="190"/>
      <c r="Q24" s="191">
        <f>SUM(Q21:Q23)</f>
        <v>537</v>
      </c>
      <c r="R24" s="190"/>
      <c r="S24" s="191">
        <f>SUM(S21:S23)</f>
        <v>537</v>
      </c>
      <c r="T24" s="190"/>
      <c r="U24" s="191">
        <f>SUM(U21:U23)</f>
        <v>537</v>
      </c>
      <c r="V24" s="148"/>
      <c r="W24" s="191">
        <f>W21+W22+W23</f>
        <v>537</v>
      </c>
      <c r="X24" s="148"/>
      <c r="Y24" s="185">
        <f>Y21+Y22+Y23</f>
        <v>537</v>
      </c>
    </row>
    <row r="25" spans="1:25" ht="5.25" customHeight="1">
      <c r="A25" s="55"/>
      <c r="C25" s="171"/>
      <c r="F25" s="148"/>
      <c r="G25" s="148"/>
      <c r="H25" s="148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48"/>
      <c r="W25" s="189"/>
      <c r="X25" s="148"/>
      <c r="Y25" s="148"/>
    </row>
    <row r="26" spans="1:25" ht="15.75" thickBot="1">
      <c r="A26" s="531">
        <f>A24+1</f>
        <v>16</v>
      </c>
      <c r="C26" s="330" t="s">
        <v>694</v>
      </c>
      <c r="E26" s="531" t="s">
        <v>744</v>
      </c>
      <c r="F26" s="148"/>
      <c r="G26" s="193">
        <f>(G21+G24)/2</f>
        <v>537</v>
      </c>
      <c r="H26" s="148"/>
      <c r="I26" s="382">
        <f>(I21+I24)/2</f>
        <v>537</v>
      </c>
      <c r="J26" s="189"/>
      <c r="K26" s="382">
        <f>(K21+K24)/2</f>
        <v>537</v>
      </c>
      <c r="L26" s="189"/>
      <c r="M26" s="382">
        <f>(M21+M24)/2</f>
        <v>537</v>
      </c>
      <c r="N26" s="190"/>
      <c r="O26" s="382">
        <f>(O21+O24)/2</f>
        <v>537</v>
      </c>
      <c r="P26" s="190"/>
      <c r="Q26" s="382">
        <f>(Q21+Q24)/2</f>
        <v>537</v>
      </c>
      <c r="R26" s="190"/>
      <c r="S26" s="382">
        <f>(S21+S24)/2</f>
        <v>537</v>
      </c>
      <c r="T26" s="190"/>
      <c r="U26" s="382">
        <f>(U21+U24)/2</f>
        <v>537</v>
      </c>
      <c r="V26" s="148"/>
      <c r="W26" s="382">
        <f>(W21+W24)/2</f>
        <v>537</v>
      </c>
      <c r="X26" s="148"/>
      <c r="Y26" s="193">
        <f>(Y21+Y24)/2</f>
        <v>537</v>
      </c>
    </row>
    <row r="27" spans="1:25" ht="15.75" thickTop="1">
      <c r="A27" s="531">
        <f>A26+1</f>
        <v>17</v>
      </c>
      <c r="C27" s="171"/>
      <c r="F27" s="148"/>
      <c r="G27" s="148"/>
      <c r="H27" s="148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48"/>
      <c r="W27" s="190"/>
      <c r="X27" s="148"/>
      <c r="Y27" s="186"/>
    </row>
    <row r="28" spans="1:25" ht="15" customHeight="1">
      <c r="A28" s="531">
        <f>A27+1</f>
        <v>18</v>
      </c>
      <c r="C28" s="57" t="s">
        <v>436</v>
      </c>
      <c r="F28" s="148"/>
      <c r="G28" s="148"/>
      <c r="H28" s="148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48"/>
      <c r="W28" s="189"/>
      <c r="X28" s="148"/>
      <c r="Y28" s="148"/>
    </row>
    <row r="29" spans="1:25" ht="15" customHeight="1">
      <c r="A29" s="531">
        <f>A28+1</f>
        <v>19</v>
      </c>
      <c r="C29" s="530" t="s">
        <v>594</v>
      </c>
      <c r="F29" s="189"/>
      <c r="G29" s="189">
        <v>171</v>
      </c>
      <c r="H29" s="189"/>
      <c r="I29" s="189">
        <f>+G32</f>
        <v>169</v>
      </c>
      <c r="J29" s="189"/>
      <c r="K29" s="189">
        <f>+I32</f>
        <v>164</v>
      </c>
      <c r="L29" s="189"/>
      <c r="M29" s="189">
        <f>+K32</f>
        <v>161</v>
      </c>
      <c r="N29" s="189"/>
      <c r="O29" s="189">
        <f>+M32</f>
        <v>158</v>
      </c>
      <c r="P29" s="189"/>
      <c r="Q29" s="189">
        <f>+O32</f>
        <v>154</v>
      </c>
      <c r="R29" s="189"/>
      <c r="S29" s="189">
        <f>+Q32</f>
        <v>150</v>
      </c>
      <c r="T29" s="189"/>
      <c r="U29" s="189">
        <f>+S32</f>
        <v>146</v>
      </c>
      <c r="V29" s="189"/>
      <c r="W29" s="189">
        <v>171</v>
      </c>
      <c r="X29" s="189"/>
      <c r="Y29" s="189">
        <f>W32</f>
        <v>171</v>
      </c>
    </row>
    <row r="30" spans="1:25" ht="15" customHeight="1">
      <c r="A30" s="531">
        <f>A29+1</f>
        <v>20</v>
      </c>
      <c r="C30" s="282" t="s">
        <v>446</v>
      </c>
      <c r="F30" s="189"/>
      <c r="G30" s="189">
        <v>629</v>
      </c>
      <c r="H30" s="189"/>
      <c r="I30" s="189">
        <v>659</v>
      </c>
      <c r="J30" s="189"/>
      <c r="K30" s="189">
        <v>798</v>
      </c>
      <c r="L30" s="189"/>
      <c r="M30" s="189">
        <f>843+8</f>
        <v>851</v>
      </c>
      <c r="N30" s="189"/>
      <c r="O30" s="189">
        <f>1270+6</f>
        <v>1276</v>
      </c>
      <c r="P30" s="189"/>
      <c r="Q30" s="189">
        <v>1276</v>
      </c>
      <c r="R30" s="189"/>
      <c r="S30" s="189">
        <v>1276</v>
      </c>
      <c r="T30" s="189"/>
      <c r="U30" s="189">
        <v>1276</v>
      </c>
      <c r="V30" s="189"/>
      <c r="W30" s="189">
        <v>587.76368785157433</v>
      </c>
      <c r="X30" s="189"/>
      <c r="Y30" s="189">
        <v>623.02950912266886</v>
      </c>
    </row>
    <row r="31" spans="1:25">
      <c r="A31" s="55">
        <f t="shared" ref="A31:A40" si="2">A30+1</f>
        <v>21</v>
      </c>
      <c r="C31" s="282" t="s">
        <v>447</v>
      </c>
      <c r="F31" s="60"/>
      <c r="G31" s="102">
        <v>-631</v>
      </c>
      <c r="H31" s="60"/>
      <c r="I31" s="145">
        <v>-664</v>
      </c>
      <c r="J31" s="125"/>
      <c r="K31" s="145">
        <f>-798-3</f>
        <v>-801</v>
      </c>
      <c r="L31" s="125"/>
      <c r="M31" s="145">
        <f>-11-843</f>
        <v>-854</v>
      </c>
      <c r="N31" s="138"/>
      <c r="O31" s="145">
        <f>-1270-10</f>
        <v>-1280</v>
      </c>
      <c r="P31" s="138"/>
      <c r="Q31" s="145">
        <f>O31</f>
        <v>-1280</v>
      </c>
      <c r="R31" s="138"/>
      <c r="S31" s="145">
        <f>Q31</f>
        <v>-1280</v>
      </c>
      <c r="T31" s="138"/>
      <c r="U31" s="145">
        <f>S31</f>
        <v>-1280</v>
      </c>
      <c r="V31" s="60"/>
      <c r="W31" s="145">
        <v>-587.76368785157433</v>
      </c>
      <c r="X31" s="60"/>
      <c r="Y31" s="145">
        <v>-623.02950912266886</v>
      </c>
    </row>
    <row r="32" spans="1:25">
      <c r="A32" s="55">
        <f t="shared" si="2"/>
        <v>22</v>
      </c>
      <c r="C32" s="330" t="s">
        <v>679</v>
      </c>
      <c r="F32" s="148"/>
      <c r="G32" s="185">
        <f>G31+G30+G29</f>
        <v>169</v>
      </c>
      <c r="H32" s="148"/>
      <c r="I32" s="191">
        <f>I31+I30+I29</f>
        <v>164</v>
      </c>
      <c r="J32" s="189"/>
      <c r="K32" s="191">
        <f>K31+K30+K29</f>
        <v>161</v>
      </c>
      <c r="L32" s="189"/>
      <c r="M32" s="191">
        <f>M31+M30+M29</f>
        <v>158</v>
      </c>
      <c r="N32" s="190"/>
      <c r="O32" s="191">
        <f>O31+O30+O29</f>
        <v>154</v>
      </c>
      <c r="P32" s="190"/>
      <c r="Q32" s="191">
        <f>Q31+Q30+Q29</f>
        <v>150</v>
      </c>
      <c r="R32" s="190"/>
      <c r="S32" s="191">
        <f>S31+S30+S29</f>
        <v>146</v>
      </c>
      <c r="T32" s="190"/>
      <c r="U32" s="191">
        <f>U31+U30+U29</f>
        <v>142</v>
      </c>
      <c r="V32" s="148"/>
      <c r="W32" s="191">
        <f>W31+W30+W29</f>
        <v>171</v>
      </c>
      <c r="X32" s="148"/>
      <c r="Y32" s="185">
        <f>Y31+Y30+Y29</f>
        <v>171</v>
      </c>
    </row>
    <row r="33" spans="1:25" ht="5.25" customHeight="1">
      <c r="A33" s="55"/>
      <c r="C33" s="167"/>
      <c r="F33" s="148"/>
      <c r="G33" s="148"/>
      <c r="H33" s="148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48"/>
      <c r="W33" s="189"/>
      <c r="X33" s="148"/>
      <c r="Y33" s="148"/>
    </row>
    <row r="34" spans="1:25" ht="15.75" thickBot="1">
      <c r="A34" s="55">
        <f>+A32+1</f>
        <v>23</v>
      </c>
      <c r="C34" s="330" t="s">
        <v>694</v>
      </c>
      <c r="E34" s="531" t="s">
        <v>745</v>
      </c>
      <c r="F34" s="148"/>
      <c r="G34" s="193">
        <f>(G32+G29)/2</f>
        <v>170</v>
      </c>
      <c r="H34" s="148"/>
      <c r="I34" s="382">
        <f>(I32+I29)/2</f>
        <v>166.5</v>
      </c>
      <c r="J34" s="189"/>
      <c r="K34" s="382">
        <f>(K32+K29)/2</f>
        <v>162.5</v>
      </c>
      <c r="L34" s="189"/>
      <c r="M34" s="382">
        <f>(M32+M29)/2</f>
        <v>159.5</v>
      </c>
      <c r="N34" s="190"/>
      <c r="O34" s="382">
        <f>(O32+O29)/2</f>
        <v>156</v>
      </c>
      <c r="P34" s="190"/>
      <c r="Q34" s="382">
        <f>(Q32+Q29)/2</f>
        <v>152</v>
      </c>
      <c r="R34" s="190"/>
      <c r="S34" s="382">
        <f>(S32+S29)/2</f>
        <v>148</v>
      </c>
      <c r="T34" s="190"/>
      <c r="U34" s="382">
        <f>(U32+U29)/2</f>
        <v>144</v>
      </c>
      <c r="V34" s="148"/>
      <c r="W34" s="382">
        <f>(W32+W29)/2</f>
        <v>171</v>
      </c>
      <c r="X34" s="148"/>
      <c r="Y34" s="193">
        <f>(Y32+Y29)/2</f>
        <v>171</v>
      </c>
    </row>
    <row r="35" spans="1:25" ht="15.75" thickTop="1">
      <c r="A35" s="55">
        <f t="shared" si="2"/>
        <v>24</v>
      </c>
      <c r="C35" s="167"/>
      <c r="F35" s="148"/>
      <c r="G35" s="148"/>
      <c r="H35" s="148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48"/>
      <c r="W35" s="189"/>
      <c r="X35" s="148"/>
      <c r="Y35" s="148"/>
    </row>
    <row r="36" spans="1:25" ht="15.75">
      <c r="A36" s="55">
        <f t="shared" si="2"/>
        <v>25</v>
      </c>
      <c r="C36" s="161" t="s">
        <v>438</v>
      </c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</row>
    <row r="37" spans="1:25">
      <c r="A37" s="55">
        <f t="shared" si="2"/>
        <v>26</v>
      </c>
      <c r="C37" s="530" t="s">
        <v>594</v>
      </c>
      <c r="F37" s="190"/>
      <c r="G37" s="190">
        <v>-52</v>
      </c>
      <c r="H37" s="190"/>
      <c r="I37" s="190">
        <f>+G40</f>
        <v>23</v>
      </c>
      <c r="J37" s="190"/>
      <c r="K37" s="190">
        <f>+I40</f>
        <v>-27</v>
      </c>
      <c r="L37" s="190"/>
      <c r="M37" s="190">
        <f>+K40</f>
        <v>-41</v>
      </c>
      <c r="N37" s="190"/>
      <c r="O37" s="190">
        <f>+M40</f>
        <v>-55</v>
      </c>
      <c r="P37" s="190"/>
      <c r="Q37" s="190">
        <f>+O40</f>
        <v>-69</v>
      </c>
      <c r="R37" s="190"/>
      <c r="S37" s="190">
        <f>+Q40</f>
        <v>-46</v>
      </c>
      <c r="T37" s="190"/>
      <c r="U37" s="190">
        <f>+S40</f>
        <v>-23</v>
      </c>
      <c r="V37" s="190"/>
      <c r="W37" s="190">
        <v>-52</v>
      </c>
      <c r="X37" s="190"/>
      <c r="Y37" s="190">
        <f>W40</f>
        <v>-26</v>
      </c>
    </row>
    <row r="38" spans="1:25">
      <c r="A38" s="55">
        <f t="shared" si="2"/>
        <v>27</v>
      </c>
      <c r="C38" s="282" t="s">
        <v>448</v>
      </c>
      <c r="E38" s="55" t="s">
        <v>424</v>
      </c>
      <c r="F38" s="189"/>
      <c r="G38" s="189">
        <v>75</v>
      </c>
      <c r="H38" s="189"/>
      <c r="I38" s="189">
        <v>97</v>
      </c>
      <c r="J38" s="189"/>
      <c r="K38" s="189">
        <v>86</v>
      </c>
      <c r="L38" s="189"/>
      <c r="M38" s="189">
        <v>86</v>
      </c>
      <c r="N38" s="189"/>
      <c r="O38" s="189">
        <v>86</v>
      </c>
      <c r="P38" s="189"/>
      <c r="Q38" s="189">
        <v>123</v>
      </c>
      <c r="R38" s="189"/>
      <c r="S38" s="189">
        <v>123</v>
      </c>
      <c r="T38" s="189"/>
      <c r="U38" s="189">
        <v>123</v>
      </c>
      <c r="V38" s="189"/>
      <c r="W38" s="189">
        <v>86</v>
      </c>
      <c r="X38" s="189"/>
      <c r="Y38" s="189">
        <v>86</v>
      </c>
    </row>
    <row r="39" spans="1:25">
      <c r="A39" s="55">
        <f t="shared" si="2"/>
        <v>28</v>
      </c>
      <c r="C39" s="282" t="s">
        <v>449</v>
      </c>
      <c r="E39" s="55" t="s">
        <v>423</v>
      </c>
      <c r="F39" s="189"/>
      <c r="G39" s="191">
        <v>0</v>
      </c>
      <c r="H39" s="189"/>
      <c r="I39" s="191">
        <v>-147</v>
      </c>
      <c r="J39" s="189"/>
      <c r="K39" s="191">
        <v>-100</v>
      </c>
      <c r="L39" s="189"/>
      <c r="M39" s="191">
        <v>-100</v>
      </c>
      <c r="N39" s="190"/>
      <c r="O39" s="191">
        <v>-100</v>
      </c>
      <c r="P39" s="190"/>
      <c r="Q39" s="191">
        <v>-100</v>
      </c>
      <c r="R39" s="190"/>
      <c r="S39" s="191">
        <v>-100</v>
      </c>
      <c r="T39" s="190"/>
      <c r="U39" s="191">
        <v>-100</v>
      </c>
      <c r="V39" s="189"/>
      <c r="W39" s="191">
        <v>-60</v>
      </c>
      <c r="X39" s="145">
        <v>0</v>
      </c>
      <c r="Y39" s="102">
        <v>-60</v>
      </c>
    </row>
    <row r="40" spans="1:25">
      <c r="A40" s="55">
        <f t="shared" si="2"/>
        <v>29</v>
      </c>
      <c r="C40" s="330" t="s">
        <v>679</v>
      </c>
      <c r="F40" s="148"/>
      <c r="G40" s="185">
        <f>G37+G38+G39:G39</f>
        <v>23</v>
      </c>
      <c r="H40" s="148"/>
      <c r="I40" s="191">
        <f>I37+I38+I39:I39</f>
        <v>-27</v>
      </c>
      <c r="J40" s="189"/>
      <c r="K40" s="191">
        <f>K37+K38+K39:K39</f>
        <v>-41</v>
      </c>
      <c r="L40" s="189"/>
      <c r="M40" s="191">
        <f>M37+M38+M39:M39</f>
        <v>-55</v>
      </c>
      <c r="N40" s="190"/>
      <c r="O40" s="191">
        <f>O37+O38+O39:O39</f>
        <v>-69</v>
      </c>
      <c r="P40" s="190"/>
      <c r="Q40" s="191">
        <f>Q37+Q38+Q39:Q39</f>
        <v>-46</v>
      </c>
      <c r="R40" s="190"/>
      <c r="S40" s="191">
        <f>S37+S38+S39:S39</f>
        <v>-23</v>
      </c>
      <c r="T40" s="190"/>
      <c r="U40" s="191">
        <f>U37+U38+U39:U39</f>
        <v>0</v>
      </c>
      <c r="V40" s="148"/>
      <c r="W40" s="185">
        <f>W37+W38+W39:W39</f>
        <v>-26</v>
      </c>
      <c r="X40" s="148"/>
      <c r="Y40" s="185">
        <f>Y37+Y38+Y39:Y39</f>
        <v>0</v>
      </c>
    </row>
    <row r="41" spans="1:25" ht="5.25" customHeight="1">
      <c r="A41" s="55"/>
      <c r="C41" s="171"/>
      <c r="F41" s="148"/>
      <c r="G41" s="148"/>
      <c r="H41" s="148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48"/>
      <c r="W41" s="148"/>
      <c r="X41" s="148"/>
      <c r="Y41" s="148"/>
    </row>
    <row r="42" spans="1:25" ht="15.75" thickBot="1">
      <c r="A42" s="55">
        <f>+A40+1</f>
        <v>30</v>
      </c>
      <c r="C42" s="330" t="s">
        <v>694</v>
      </c>
      <c r="E42" s="531" t="s">
        <v>746</v>
      </c>
      <c r="F42" s="148"/>
      <c r="G42" s="193">
        <f>(G40+G37)/2</f>
        <v>-14.5</v>
      </c>
      <c r="H42" s="148"/>
      <c r="I42" s="382">
        <f>(I40+I37)/2</f>
        <v>-2</v>
      </c>
      <c r="J42" s="189"/>
      <c r="K42" s="382">
        <f>(K40+K37)/2</f>
        <v>-34</v>
      </c>
      <c r="L42" s="189"/>
      <c r="M42" s="382">
        <f>(M40+M37)/2</f>
        <v>-48</v>
      </c>
      <c r="N42" s="190"/>
      <c r="O42" s="382">
        <f>(O40+O37)/2</f>
        <v>-62</v>
      </c>
      <c r="P42" s="190"/>
      <c r="Q42" s="382">
        <f>(Q40+Q37)/2</f>
        <v>-57.5</v>
      </c>
      <c r="R42" s="190"/>
      <c r="S42" s="382">
        <f>(S40+S37)/2</f>
        <v>-34.5</v>
      </c>
      <c r="T42" s="190"/>
      <c r="U42" s="382">
        <f>(U40+U37)/2</f>
        <v>-11.5</v>
      </c>
      <c r="V42" s="148"/>
      <c r="W42" s="193">
        <f>(W40+W37)/2</f>
        <v>-39</v>
      </c>
      <c r="X42" s="148"/>
      <c r="Y42" s="193">
        <f>(Y40+Y37)/2</f>
        <v>-13</v>
      </c>
    </row>
    <row r="43" spans="1:25" ht="15.75" thickTop="1">
      <c r="A43" s="55"/>
      <c r="C43" s="100"/>
      <c r="F43" s="169"/>
      <c r="G43" s="170"/>
      <c r="H43" s="169"/>
      <c r="I43" s="390"/>
      <c r="J43" s="383"/>
      <c r="K43" s="390"/>
      <c r="L43" s="383"/>
      <c r="M43" s="390"/>
      <c r="N43" s="390"/>
      <c r="O43" s="390"/>
      <c r="P43" s="390"/>
      <c r="Q43" s="390"/>
      <c r="R43" s="390"/>
      <c r="S43" s="390"/>
      <c r="T43" s="390"/>
      <c r="U43" s="390"/>
      <c r="V43" s="169"/>
      <c r="W43" s="170"/>
      <c r="X43" s="169"/>
      <c r="Y43" s="170"/>
    </row>
    <row r="44" spans="1:25">
      <c r="C44" s="100"/>
      <c r="F44" s="169"/>
      <c r="G44" s="169"/>
      <c r="H44" s="169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169"/>
      <c r="W44" s="170"/>
      <c r="X44" s="169"/>
      <c r="Y44" s="170"/>
    </row>
    <row r="45" spans="1:25">
      <c r="C45" s="100"/>
      <c r="F45" s="169"/>
      <c r="G45" s="169"/>
      <c r="H45" s="169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169"/>
      <c r="W45" s="170"/>
      <c r="X45" s="169"/>
      <c r="Y45" s="170"/>
    </row>
    <row r="46" spans="1:25">
      <c r="C46" s="100"/>
      <c r="F46" s="169"/>
      <c r="G46" s="169"/>
      <c r="H46" s="169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169"/>
      <c r="W46" s="170"/>
      <c r="X46" s="169"/>
      <c r="Y46" s="170"/>
    </row>
    <row r="47" spans="1:25">
      <c r="C47" s="100"/>
      <c r="F47" s="169"/>
      <c r="G47" s="169"/>
      <c r="H47" s="169"/>
      <c r="I47" s="169"/>
      <c r="J47" s="169"/>
      <c r="K47" s="383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  <c r="X47" s="169"/>
      <c r="Y47" s="170"/>
    </row>
    <row r="48" spans="1:25">
      <c r="K48" s="115"/>
    </row>
    <row r="49" spans="11:11">
      <c r="K49" s="115"/>
    </row>
    <row r="50" spans="11:11">
      <c r="K50" s="115"/>
    </row>
    <row r="51" spans="11:11">
      <c r="K51" s="115"/>
    </row>
    <row r="52" spans="11:11">
      <c r="K52" s="115"/>
    </row>
    <row r="53" spans="11:11">
      <c r="K53" s="115"/>
    </row>
    <row r="54" spans="11:11">
      <c r="K54" s="115"/>
    </row>
    <row r="55" spans="11:11">
      <c r="K55" s="115"/>
    </row>
    <row r="56" spans="11:11">
      <c r="K56" s="115"/>
    </row>
    <row r="57" spans="11:11">
      <c r="K57" s="115"/>
    </row>
    <row r="58" spans="11:11">
      <c r="K58" s="115"/>
    </row>
    <row r="59" spans="11:11">
      <c r="K59" s="115"/>
    </row>
    <row r="60" spans="11:11">
      <c r="K60" s="115"/>
    </row>
    <row r="61" spans="11:11">
      <c r="K61" s="115"/>
    </row>
    <row r="62" spans="11:11">
      <c r="K62" s="115"/>
    </row>
    <row r="63" spans="11:11">
      <c r="K63" s="115"/>
    </row>
    <row r="64" spans="11:11">
      <c r="K64" s="115"/>
    </row>
    <row r="65" spans="11:11">
      <c r="K65" s="115"/>
    </row>
    <row r="66" spans="11:11">
      <c r="K66" s="115"/>
    </row>
    <row r="67" spans="11:11">
      <c r="K67" s="115"/>
    </row>
    <row r="68" spans="11:11">
      <c r="K68" s="115"/>
    </row>
    <row r="69" spans="11:11">
      <c r="K69" s="115"/>
    </row>
    <row r="70" spans="11:11">
      <c r="K70" s="115"/>
    </row>
    <row r="71" spans="11:11">
      <c r="K71" s="115"/>
    </row>
    <row r="72" spans="11:11">
      <c r="K72" s="115"/>
    </row>
  </sheetData>
  <customSheetViews>
    <customSheetView guid="{275E5119-9E8C-43ED-ACD2-DF40CF10B219}" scale="75" fitToPage="1">
      <selection activeCell="K50" sqref="K50"/>
      <pageMargins left="1" right="1" top="0.74" bottom="0.69" header="0.5" footer="0.5"/>
      <printOptions horizontalCentered="1"/>
      <pageSetup scale="60" orientation="landscape" horizontalDpi="4294967292" verticalDpi="4294967292" r:id="rId1"/>
      <headerFooter alignWithMargins="0"/>
    </customSheetView>
    <customSheetView guid="{D346ECD1-ED60-4F74-8B02-572F89E41ACB}" scale="75" showPageBreaks="1" fitToPage="1" showRuler="0">
      <selection activeCell="K50" sqref="K50"/>
      <pageMargins left="1" right="1" top="0.74" bottom="0.69" header="0.5" footer="0.5"/>
      <printOptions horizontalCentered="1"/>
      <pageSetup scale="54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1" right="1" top="0.74" bottom="0.69" header="0.5" footer="0.5"/>
  <pageSetup scale="44" orientation="landscape" r:id="rId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 enableFormatConditionsCalculation="0">
    <pageSetUpPr fitToPage="1"/>
  </sheetPr>
  <dimension ref="A1:AA65"/>
  <sheetViews>
    <sheetView zoomScaleNormal="100" zoomScaleSheetLayoutView="100" workbookViewId="0">
      <selection activeCell="E39" sqref="E39"/>
    </sheetView>
  </sheetViews>
  <sheetFormatPr defaultColWidth="7.5703125" defaultRowHeight="15"/>
  <cols>
    <col min="1" max="1" width="7.140625" style="64" customWidth="1"/>
    <col min="2" max="2" width="2.28515625" style="64" customWidth="1"/>
    <col min="3" max="3" width="42.140625" style="64" customWidth="1"/>
    <col min="4" max="4" width="2.28515625" style="64" customWidth="1"/>
    <col min="5" max="5" width="20" style="68" bestFit="1" customWidth="1"/>
    <col min="6" max="6" width="2.5703125" style="64" customWidth="1"/>
    <col min="7" max="7" width="12.7109375" style="64" customWidth="1"/>
    <col min="8" max="8" width="2.28515625" style="64" customWidth="1"/>
    <col min="9" max="9" width="12.7109375" style="64" customWidth="1"/>
    <col min="10" max="10" width="2.28515625" style="64" customWidth="1"/>
    <col min="11" max="11" width="12.7109375" style="64" customWidth="1"/>
    <col min="12" max="12" width="2.28515625" style="64" customWidth="1"/>
    <col min="13" max="13" width="12.7109375" style="64" customWidth="1"/>
    <col min="14" max="14" width="2.28515625" style="64" customWidth="1"/>
    <col min="15" max="15" width="12.7109375" style="64" customWidth="1"/>
    <col min="16" max="16" width="2.28515625" style="64" customWidth="1"/>
    <col min="17" max="17" width="12.7109375" style="64" customWidth="1"/>
    <col min="18" max="18" width="2.28515625" style="64" customWidth="1"/>
    <col min="19" max="19" width="12.7109375" style="64" customWidth="1"/>
    <col min="20" max="20" width="2.28515625" style="64" customWidth="1"/>
    <col min="21" max="21" width="12.7109375" style="64" customWidth="1"/>
    <col min="22" max="22" width="2.28515625" style="64" customWidth="1"/>
    <col min="23" max="23" width="14" style="64" bestFit="1" customWidth="1"/>
    <col min="24" max="24" width="2.28515625" style="64" customWidth="1"/>
    <col min="25" max="25" width="14.85546875" style="64" customWidth="1"/>
    <col min="26" max="26" width="2.28515625" style="64" customWidth="1"/>
    <col min="27" max="27" width="15.5703125" style="64" bestFit="1" customWidth="1"/>
    <col min="28" max="16384" width="7.5703125" style="64"/>
  </cols>
  <sheetData>
    <row r="1" spans="1:26" ht="15.75">
      <c r="A1" s="822" t="s">
        <v>540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  <c r="T1" s="822"/>
      <c r="U1" s="822"/>
      <c r="V1" s="822"/>
      <c r="W1" s="822"/>
      <c r="X1" s="822"/>
      <c r="Z1" s="63" t="s">
        <v>507</v>
      </c>
    </row>
    <row r="2" spans="1:26" ht="15.75">
      <c r="A2" s="822" t="s">
        <v>463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822"/>
      <c r="V2" s="822"/>
      <c r="W2" s="822"/>
      <c r="X2" s="822"/>
      <c r="Y2" s="260"/>
      <c r="Z2" s="16"/>
    </row>
    <row r="3" spans="1:26" ht="15.75">
      <c r="A3" s="822" t="s">
        <v>105</v>
      </c>
      <c r="B3" s="822"/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822"/>
      <c r="O3" s="822"/>
      <c r="P3" s="822"/>
      <c r="Q3" s="822"/>
      <c r="R3" s="822"/>
      <c r="S3" s="822"/>
      <c r="T3" s="822"/>
      <c r="U3" s="822"/>
      <c r="V3" s="822"/>
      <c r="W3" s="822"/>
      <c r="X3" s="822"/>
      <c r="Y3" s="283"/>
      <c r="Z3" s="65"/>
    </row>
    <row r="4" spans="1:26" ht="15.75">
      <c r="A4" s="822" t="s">
        <v>32</v>
      </c>
      <c r="B4" s="822"/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822"/>
      <c r="R4" s="822"/>
      <c r="S4" s="822"/>
      <c r="T4" s="822"/>
      <c r="U4" s="822"/>
      <c r="V4" s="822"/>
      <c r="W4" s="822"/>
      <c r="X4" s="822"/>
      <c r="Y4" s="283"/>
      <c r="Z4" s="65"/>
    </row>
    <row r="5" spans="1:26" ht="15.75">
      <c r="A5" s="61"/>
      <c r="B5" s="62"/>
      <c r="C5" s="62"/>
      <c r="D5" s="62"/>
    </row>
    <row r="6" spans="1:26" ht="15.75">
      <c r="A6" s="65"/>
      <c r="B6" s="65"/>
      <c r="C6" s="65"/>
      <c r="D6" s="65"/>
      <c r="E6" s="65"/>
      <c r="O6" s="52"/>
      <c r="Q6" s="15"/>
      <c r="R6" s="15"/>
      <c r="S6" s="15"/>
      <c r="T6" s="15"/>
      <c r="U6" s="15"/>
      <c r="V6" s="15"/>
      <c r="W6" s="10" t="s">
        <v>459</v>
      </c>
      <c r="X6" s="101"/>
      <c r="Y6" s="10" t="s">
        <v>459</v>
      </c>
    </row>
    <row r="7" spans="1:26" ht="15.75">
      <c r="A7" s="65" t="s">
        <v>33</v>
      </c>
      <c r="B7" s="65"/>
      <c r="C7" s="65"/>
      <c r="D7" s="65"/>
      <c r="E7" s="65" t="s">
        <v>34</v>
      </c>
      <c r="F7" s="10"/>
      <c r="G7" s="10" t="s">
        <v>25</v>
      </c>
      <c r="H7" s="10"/>
      <c r="I7" s="10" t="s">
        <v>25</v>
      </c>
      <c r="J7" s="10"/>
      <c r="K7" s="10" t="s">
        <v>25</v>
      </c>
      <c r="L7" s="10"/>
      <c r="M7" s="10" t="s">
        <v>25</v>
      </c>
      <c r="N7" s="10"/>
      <c r="O7" s="10" t="s">
        <v>25</v>
      </c>
      <c r="P7" s="10"/>
      <c r="Q7" s="823" t="s">
        <v>330</v>
      </c>
      <c r="R7" s="823"/>
      <c r="S7" s="823"/>
      <c r="T7" s="823"/>
      <c r="U7" s="823"/>
      <c r="V7" s="278"/>
      <c r="W7" s="11" t="s">
        <v>15</v>
      </c>
      <c r="X7" s="10"/>
      <c r="Y7" s="11" t="s">
        <v>15</v>
      </c>
      <c r="Z7" s="10"/>
    </row>
    <row r="8" spans="1:26" ht="15.75">
      <c r="A8" s="67" t="s">
        <v>35</v>
      </c>
      <c r="B8" s="65"/>
      <c r="C8" s="67" t="s">
        <v>178</v>
      </c>
      <c r="D8" s="65"/>
      <c r="E8" s="67" t="s">
        <v>36</v>
      </c>
      <c r="F8" s="10"/>
      <c r="G8" s="12">
        <v>2008</v>
      </c>
      <c r="H8" s="10"/>
      <c r="I8" s="12">
        <v>2009</v>
      </c>
      <c r="J8" s="10"/>
      <c r="K8" s="12">
        <v>2010</v>
      </c>
      <c r="L8" s="10"/>
      <c r="M8" s="12">
        <v>2011</v>
      </c>
      <c r="N8" s="11"/>
      <c r="O8" s="430">
        <v>2012</v>
      </c>
      <c r="P8" s="11"/>
      <c r="Q8" s="280">
        <v>2013</v>
      </c>
      <c r="R8" s="278"/>
      <c r="S8" s="280">
        <v>2014</v>
      </c>
      <c r="T8" s="10"/>
      <c r="U8" s="280">
        <v>2015</v>
      </c>
      <c r="V8" s="280"/>
      <c r="W8" s="430">
        <v>2008</v>
      </c>
      <c r="X8" s="10"/>
      <c r="Y8" s="430">
        <v>2009</v>
      </c>
      <c r="Z8" s="10"/>
    </row>
    <row r="9" spans="1:26">
      <c r="I9" s="135"/>
      <c r="J9" s="135"/>
      <c r="K9" s="135"/>
      <c r="L9" s="135"/>
      <c r="M9" s="135"/>
      <c r="N9" s="135"/>
      <c r="O9" s="52"/>
      <c r="P9" s="135"/>
      <c r="Q9" s="135"/>
      <c r="R9" s="135"/>
      <c r="S9" s="135"/>
      <c r="T9" s="135"/>
      <c r="U9" s="135"/>
      <c r="V9" s="135"/>
      <c r="W9" s="135"/>
      <c r="X9" s="135"/>
      <c r="Y9" s="135"/>
    </row>
    <row r="10" spans="1:26" ht="15.75">
      <c r="A10" s="68">
        <v>1</v>
      </c>
      <c r="C10" s="69" t="s">
        <v>106</v>
      </c>
      <c r="I10" s="135"/>
      <c r="J10" s="135"/>
      <c r="K10" s="73"/>
      <c r="L10" s="135"/>
      <c r="M10" s="73"/>
      <c r="N10" s="73"/>
      <c r="O10" s="52"/>
      <c r="P10" s="73"/>
      <c r="Q10" s="73"/>
      <c r="R10" s="73"/>
      <c r="S10" s="73"/>
      <c r="T10" s="73"/>
      <c r="U10" s="73"/>
      <c r="V10" s="135"/>
      <c r="W10" s="135"/>
      <c r="X10" s="135"/>
      <c r="Y10" s="135"/>
    </row>
    <row r="11" spans="1:26">
      <c r="A11" s="68">
        <v>2</v>
      </c>
      <c r="C11" s="530" t="s">
        <v>690</v>
      </c>
      <c r="E11" s="531" t="s">
        <v>421</v>
      </c>
      <c r="G11" s="73">
        <f>'S8.6 '!G22</f>
        <v>127008</v>
      </c>
      <c r="I11" s="73">
        <f>'S8.6 '!I22</f>
        <v>132981</v>
      </c>
      <c r="J11" s="135"/>
      <c r="K11" s="73">
        <f>'S8.6 '!K22</f>
        <v>141718.90564000001</v>
      </c>
      <c r="L11" s="135"/>
      <c r="M11" s="73">
        <f>'S8.6 '!M22</f>
        <v>155160.18538000001</v>
      </c>
      <c r="N11" s="73"/>
      <c r="O11" s="73">
        <f>'S8.6 '!O22</f>
        <v>168828.52551000001</v>
      </c>
      <c r="P11" s="73"/>
      <c r="Q11" s="73">
        <f>'S8.6 '!Q22</f>
        <v>187669.82637166666</v>
      </c>
      <c r="R11" s="73"/>
      <c r="S11" s="73">
        <f>'S8.6 '!S22</f>
        <v>208811.71573199998</v>
      </c>
      <c r="T11" s="73"/>
      <c r="U11" s="73">
        <f>'S8.6 '!U22</f>
        <v>228536.79661699999</v>
      </c>
      <c r="V11" s="135"/>
      <c r="W11" s="73">
        <f>'S8.6 '!W22</f>
        <v>126434.207012</v>
      </c>
      <c r="X11" s="135"/>
      <c r="Y11" s="73">
        <f>'S8.6 '!Y22</f>
        <v>133801.414024</v>
      </c>
    </row>
    <row r="12" spans="1:26" ht="6.75" customHeight="1">
      <c r="A12" s="68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</row>
    <row r="13" spans="1:26">
      <c r="A13" s="68">
        <v>3</v>
      </c>
      <c r="C13" s="64" t="s">
        <v>30</v>
      </c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</row>
    <row r="14" spans="1:26">
      <c r="A14" s="68">
        <v>4</v>
      </c>
      <c r="C14" s="530" t="s">
        <v>177</v>
      </c>
      <c r="E14" s="531" t="s">
        <v>689</v>
      </c>
      <c r="G14" s="73">
        <f>'S8.6 '!G33</f>
        <v>56612</v>
      </c>
      <c r="I14" s="73">
        <f>'S8.6 '!I33</f>
        <v>59806</v>
      </c>
      <c r="J14" s="135"/>
      <c r="K14" s="73">
        <f>'S8.6 '!K33</f>
        <v>62764</v>
      </c>
      <c r="L14" s="135"/>
      <c r="M14" s="73">
        <f>'S8.6 '!M33</f>
        <v>64609</v>
      </c>
      <c r="N14" s="73"/>
      <c r="O14" s="73">
        <f>'S8.6 '!O33</f>
        <v>67890.937130000006</v>
      </c>
      <c r="P14" s="73"/>
      <c r="Q14" s="73">
        <f>'S8.6 '!Q33</f>
        <v>72895.470791666667</v>
      </c>
      <c r="R14" s="73"/>
      <c r="S14" s="73">
        <f>'S8.6 '!S33</f>
        <v>79160.686151999995</v>
      </c>
      <c r="T14" s="73"/>
      <c r="U14" s="73">
        <f>'S8.6 '!U33</f>
        <v>86671.838036999994</v>
      </c>
      <c r="V14" s="135"/>
      <c r="W14" s="73">
        <f>'S8.6 '!W33</f>
        <v>56682.252560000001</v>
      </c>
      <c r="X14" s="135"/>
      <c r="Y14" s="73">
        <f>'S8.6 '!Y33</f>
        <v>59903.505120000002</v>
      </c>
      <c r="Z14" s="135"/>
    </row>
    <row r="15" spans="1:26">
      <c r="A15" s="68">
        <v>5</v>
      </c>
      <c r="C15" s="530" t="s">
        <v>680</v>
      </c>
      <c r="E15" s="531" t="s">
        <v>660</v>
      </c>
      <c r="G15" s="225">
        <f>'S8.6 '!G20</f>
        <v>1771</v>
      </c>
      <c r="I15" s="450">
        <f>'S8.6 '!I20</f>
        <v>555</v>
      </c>
      <c r="J15" s="135"/>
      <c r="K15" s="450">
        <f>'S8.6 '!K20</f>
        <v>3095</v>
      </c>
      <c r="L15" s="135"/>
      <c r="M15" s="450">
        <f>'S8.6 '!M20</f>
        <v>5767</v>
      </c>
      <c r="N15" s="450"/>
      <c r="O15" s="450">
        <f>'S8.6 '!O20</f>
        <v>3241</v>
      </c>
      <c r="P15" s="450"/>
      <c r="Q15" s="450">
        <f>'S8.6 '!Q20</f>
        <v>1560.5067059999999</v>
      </c>
      <c r="R15" s="450"/>
      <c r="S15" s="450">
        <f>'S8.6 '!S20</f>
        <v>960.50670600000001</v>
      </c>
      <c r="T15" s="450"/>
      <c r="U15" s="450">
        <f>'S8.6 '!U20</f>
        <v>960.50670600000001</v>
      </c>
      <c r="V15" s="135"/>
      <c r="W15" s="450">
        <f>'S8.6 '!W20</f>
        <v>620</v>
      </c>
      <c r="X15" s="125"/>
      <c r="Y15" s="450">
        <f>'S8.6 '!Y20</f>
        <v>580</v>
      </c>
      <c r="Z15" s="60"/>
    </row>
    <row r="16" spans="1:26">
      <c r="A16" s="68">
        <v>6</v>
      </c>
      <c r="C16" s="530" t="s">
        <v>691</v>
      </c>
      <c r="G16" s="71">
        <f>SUM(G14:G15)</f>
        <v>58383</v>
      </c>
      <c r="I16" s="387">
        <f>SUM(I14:I15)</f>
        <v>60361</v>
      </c>
      <c r="J16" s="135"/>
      <c r="K16" s="387">
        <f>SUM(K14:K15)</f>
        <v>65859</v>
      </c>
      <c r="L16" s="135"/>
      <c r="M16" s="387">
        <f>SUM(M14:M15)</f>
        <v>70376</v>
      </c>
      <c r="N16" s="388"/>
      <c r="O16" s="387">
        <f>SUM(O14:O15)</f>
        <v>71131.937130000006</v>
      </c>
      <c r="P16" s="388"/>
      <c r="Q16" s="387">
        <f>SUM(Q14:Q15)</f>
        <v>74455.977497666667</v>
      </c>
      <c r="R16" s="388"/>
      <c r="S16" s="387">
        <f>SUM(S14:S15)</f>
        <v>80121.192857999995</v>
      </c>
      <c r="T16" s="388"/>
      <c r="U16" s="387">
        <f>SUM(U14:U15)</f>
        <v>87632.344742999994</v>
      </c>
      <c r="V16" s="135"/>
      <c r="W16" s="387">
        <f>SUM(W14:W15)</f>
        <v>57302.252560000001</v>
      </c>
      <c r="X16" s="135"/>
      <c r="Y16" s="387">
        <f>SUM(Y14:Y15)</f>
        <v>60483.505120000002</v>
      </c>
    </row>
    <row r="17" spans="1:26" ht="6.75" customHeight="1">
      <c r="A17" s="68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</row>
    <row r="18" spans="1:26" ht="15.75">
      <c r="A18" s="68">
        <v>7</v>
      </c>
      <c r="C18" s="422" t="s">
        <v>730</v>
      </c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</row>
    <row r="19" spans="1:26">
      <c r="A19" s="68">
        <v>8</v>
      </c>
      <c r="C19" s="530" t="s">
        <v>692</v>
      </c>
      <c r="G19" s="70">
        <f>G11-G16</f>
        <v>68625</v>
      </c>
      <c r="I19" s="73">
        <f>I11-I16</f>
        <v>72620</v>
      </c>
      <c r="J19" s="135"/>
      <c r="K19" s="73">
        <f>K11-K16</f>
        <v>75859.905640000012</v>
      </c>
      <c r="L19" s="135"/>
      <c r="M19" s="73">
        <f>M11-M16</f>
        <v>84784.18538000001</v>
      </c>
      <c r="N19" s="73"/>
      <c r="O19" s="73">
        <f>O11-O16</f>
        <v>97696.588380000001</v>
      </c>
      <c r="P19" s="73"/>
      <c r="Q19" s="73">
        <f>Q11-Q16</f>
        <v>113213.84887399999</v>
      </c>
      <c r="R19" s="73"/>
      <c r="S19" s="73">
        <f>S11-S16</f>
        <v>128690.52287399999</v>
      </c>
      <c r="T19" s="73"/>
      <c r="U19" s="73">
        <f>U11-U16</f>
        <v>140904.45187399999</v>
      </c>
      <c r="V19" s="135"/>
      <c r="W19" s="73">
        <f>W11-W16</f>
        <v>69131.954452000005</v>
      </c>
      <c r="X19" s="135"/>
      <c r="Y19" s="73">
        <f>Y11-Y16</f>
        <v>73317.908903999996</v>
      </c>
    </row>
    <row r="20" spans="1:26">
      <c r="A20" s="68">
        <v>9</v>
      </c>
      <c r="C20" s="530" t="s">
        <v>693</v>
      </c>
      <c r="G20" s="70">
        <v>62683</v>
      </c>
      <c r="I20" s="73">
        <f>G19</f>
        <v>68625</v>
      </c>
      <c r="J20" s="135"/>
      <c r="K20" s="73">
        <f>I19</f>
        <v>72620</v>
      </c>
      <c r="L20" s="135"/>
      <c r="M20" s="73">
        <f>K19</f>
        <v>75859.905640000012</v>
      </c>
      <c r="N20" s="73"/>
      <c r="O20" s="73">
        <f>M19</f>
        <v>84784.18538000001</v>
      </c>
      <c r="P20" s="73"/>
      <c r="Q20" s="73">
        <f>O19</f>
        <v>97696.588380000001</v>
      </c>
      <c r="R20" s="73"/>
      <c r="S20" s="73">
        <f>Q19</f>
        <v>113213.84887399999</v>
      </c>
      <c r="T20" s="73"/>
      <c r="U20" s="73">
        <f>S19</f>
        <v>128690.52287399999</v>
      </c>
      <c r="V20" s="135"/>
      <c r="W20" s="73">
        <v>62683</v>
      </c>
      <c r="X20" s="135"/>
      <c r="Y20" s="73">
        <f>W19</f>
        <v>69131.954452000005</v>
      </c>
    </row>
    <row r="21" spans="1:26">
      <c r="A21" s="68">
        <v>10</v>
      </c>
      <c r="C21" s="64" t="s">
        <v>26</v>
      </c>
      <c r="G21" s="71">
        <f>SUM(G19:G20)</f>
        <v>131308</v>
      </c>
      <c r="I21" s="387">
        <f>SUM(I19:I20)</f>
        <v>141245</v>
      </c>
      <c r="J21" s="135"/>
      <c r="K21" s="387">
        <f>SUM(K19:K20)</f>
        <v>148479.90564000001</v>
      </c>
      <c r="L21" s="135"/>
      <c r="M21" s="387">
        <f>SUM(M19:M20)</f>
        <v>160644.09102000002</v>
      </c>
      <c r="N21" s="388"/>
      <c r="O21" s="387">
        <f>SUM(O19:O20)</f>
        <v>182480.77376000001</v>
      </c>
      <c r="P21" s="388"/>
      <c r="Q21" s="387">
        <f>SUM(Q19:Q20)</f>
        <v>210910.43725399999</v>
      </c>
      <c r="R21" s="388"/>
      <c r="S21" s="387">
        <f>SUM(S19:S20)</f>
        <v>241904.37174799998</v>
      </c>
      <c r="T21" s="388"/>
      <c r="U21" s="387">
        <f>SUM(U19:U20)</f>
        <v>269594.97474799998</v>
      </c>
      <c r="V21" s="135"/>
      <c r="W21" s="387">
        <f>SUM(W19:W20)</f>
        <v>131814.95445200001</v>
      </c>
      <c r="X21" s="135"/>
      <c r="Y21" s="387">
        <f>SUM(Y19:Y20)</f>
        <v>142449.86335599999</v>
      </c>
    </row>
    <row r="22" spans="1:26" ht="6.75" customHeight="1">
      <c r="A22" s="68"/>
      <c r="G22" s="70"/>
      <c r="I22" s="73"/>
      <c r="J22" s="135"/>
      <c r="K22" s="73"/>
      <c r="L22" s="135"/>
      <c r="M22" s="73"/>
      <c r="N22" s="73"/>
      <c r="O22" s="73"/>
      <c r="P22" s="73"/>
      <c r="Q22" s="73"/>
      <c r="R22" s="73"/>
      <c r="S22" s="73"/>
      <c r="T22" s="73"/>
      <c r="U22" s="73"/>
      <c r="V22" s="135"/>
      <c r="W22" s="73"/>
      <c r="X22" s="135"/>
      <c r="Y22" s="73"/>
    </row>
    <row r="23" spans="1:26">
      <c r="A23" s="68">
        <v>11</v>
      </c>
      <c r="C23" s="530" t="s">
        <v>694</v>
      </c>
      <c r="G23" s="70">
        <f>ROUND(G21/2,0)</f>
        <v>65654</v>
      </c>
      <c r="I23" s="73">
        <f>ROUND(I21/2,0)</f>
        <v>70623</v>
      </c>
      <c r="J23" s="135"/>
      <c r="K23" s="73">
        <f>ROUND(K21/2,0)</f>
        <v>74240</v>
      </c>
      <c r="L23" s="135"/>
      <c r="M23" s="73">
        <f>ROUND(M21/2,0)</f>
        <v>80322</v>
      </c>
      <c r="N23" s="73"/>
      <c r="O23" s="73">
        <f>ROUND(O21/2,0)</f>
        <v>91240</v>
      </c>
      <c r="P23" s="73"/>
      <c r="Q23" s="73">
        <f>ROUND(Q21/2,0)</f>
        <v>105455</v>
      </c>
      <c r="R23" s="73"/>
      <c r="S23" s="73">
        <f>ROUND(S21/2,0)</f>
        <v>120952</v>
      </c>
      <c r="T23" s="73"/>
      <c r="U23" s="73">
        <f>ROUND(U21/2,0)</f>
        <v>134797</v>
      </c>
      <c r="V23" s="135"/>
      <c r="W23" s="73">
        <f>ROUND(W21/2,0)</f>
        <v>65907</v>
      </c>
      <c r="X23" s="135"/>
      <c r="Y23" s="73">
        <f>ROUND(Y21/2,0)</f>
        <v>71225</v>
      </c>
    </row>
    <row r="24" spans="1:26" ht="6.75" customHeight="1">
      <c r="A24" s="68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</row>
    <row r="25" spans="1:26">
      <c r="A25" s="68">
        <v>12</v>
      </c>
      <c r="C25" s="372" t="s">
        <v>695</v>
      </c>
      <c r="E25" s="531" t="s">
        <v>666</v>
      </c>
      <c r="G25" s="73">
        <f>'S8.8 '!G27</f>
        <v>463.5</v>
      </c>
      <c r="I25" s="73">
        <f>'S8.8 '!I27</f>
        <v>270</v>
      </c>
      <c r="J25" s="135"/>
      <c r="K25" s="73">
        <f>'S8.8 '!K27</f>
        <v>269</v>
      </c>
      <c r="L25" s="135"/>
      <c r="M25" s="73">
        <f>'S8.8 '!M27</f>
        <v>-457</v>
      </c>
      <c r="N25" s="73"/>
      <c r="O25" s="73">
        <f>+'S8.8 '!O27</f>
        <v>-515</v>
      </c>
      <c r="P25" s="73"/>
      <c r="Q25" s="73">
        <f>+'S8.8 '!Q27</f>
        <v>-267.97500000000002</v>
      </c>
      <c r="R25" s="73"/>
      <c r="S25" s="73">
        <f>+'S8.8 '!S27</f>
        <v>118.07500000000002</v>
      </c>
      <c r="T25" s="73"/>
      <c r="U25" s="73">
        <f>+'S8.8 '!U27</f>
        <v>175.00000000000003</v>
      </c>
      <c r="V25" s="135"/>
      <c r="W25" s="73">
        <f>'S8.8 '!W27</f>
        <v>644.5</v>
      </c>
      <c r="X25" s="135"/>
      <c r="Y25" s="73">
        <f>'S8.8 '!Y27</f>
        <v>457.5</v>
      </c>
    </row>
    <row r="26" spans="1:26">
      <c r="A26" s="68">
        <v>13</v>
      </c>
      <c r="C26" s="530" t="s">
        <v>587</v>
      </c>
      <c r="E26" s="531" t="s">
        <v>588</v>
      </c>
      <c r="F26" s="135"/>
      <c r="G26" s="312">
        <f>+S8.10!G45</f>
        <v>2901</v>
      </c>
      <c r="H26" s="135"/>
      <c r="I26" s="312">
        <f>+S8.10!I45</f>
        <v>2842</v>
      </c>
      <c r="J26" s="135"/>
      <c r="K26" s="312">
        <f>+S8.10!K45</f>
        <v>2380</v>
      </c>
      <c r="L26" s="135"/>
      <c r="M26" s="312">
        <f>S8.10!M45</f>
        <v>2903</v>
      </c>
      <c r="N26" s="388"/>
      <c r="O26" s="312">
        <f>+S8.10!O45</f>
        <v>3013</v>
      </c>
      <c r="P26" s="388"/>
      <c r="Q26" s="312">
        <f>+S8.10!Q45</f>
        <v>3207</v>
      </c>
      <c r="R26" s="388"/>
      <c r="S26" s="312">
        <f>+S8.10!S45</f>
        <v>3864</v>
      </c>
      <c r="T26" s="388"/>
      <c r="U26" s="312">
        <f>+S8.10!U45</f>
        <v>3619</v>
      </c>
      <c r="V26" s="135"/>
      <c r="W26" s="312">
        <f>S8.10!W45</f>
        <v>2833</v>
      </c>
      <c r="X26" s="135"/>
      <c r="Y26" s="312">
        <f>S8.10!Y45</f>
        <v>2627</v>
      </c>
    </row>
    <row r="27" spans="1:26" ht="6.75" customHeight="1">
      <c r="A27" s="68"/>
      <c r="G27" s="70"/>
      <c r="I27" s="73"/>
      <c r="J27" s="135"/>
      <c r="K27" s="73"/>
      <c r="L27" s="135"/>
      <c r="M27" s="73"/>
      <c r="N27" s="73"/>
      <c r="O27" s="73"/>
      <c r="P27" s="73"/>
      <c r="Q27" s="73"/>
      <c r="R27" s="73"/>
      <c r="S27" s="73"/>
      <c r="T27" s="73"/>
      <c r="U27" s="73"/>
      <c r="V27" s="135"/>
      <c r="W27" s="73"/>
      <c r="X27" s="135"/>
      <c r="Y27" s="73"/>
    </row>
    <row r="28" spans="1:26" ht="15.75">
      <c r="A28" s="68">
        <v>14</v>
      </c>
      <c r="C28" s="69" t="s">
        <v>107</v>
      </c>
      <c r="G28" s="70">
        <f>G23+G25+G26</f>
        <v>69018.5</v>
      </c>
      <c r="I28" s="73">
        <f>I23+I25+I26</f>
        <v>73735</v>
      </c>
      <c r="J28" s="135"/>
      <c r="K28" s="73">
        <f>K23+K25+K26</f>
        <v>76889</v>
      </c>
      <c r="L28" s="135"/>
      <c r="M28" s="73">
        <f>M23+M25+M26</f>
        <v>82768</v>
      </c>
      <c r="N28" s="73"/>
      <c r="O28" s="73">
        <f>O23+O25+O26</f>
        <v>93738</v>
      </c>
      <c r="P28" s="73"/>
      <c r="Q28" s="73">
        <f>Q23+Q25+Q26</f>
        <v>108394.02499999999</v>
      </c>
      <c r="R28" s="73"/>
      <c r="S28" s="73">
        <f>S23+S25+S26</f>
        <v>124934.075</v>
      </c>
      <c r="T28" s="73"/>
      <c r="U28" s="73">
        <f>U23+U25+U26</f>
        <v>138591</v>
      </c>
      <c r="V28" s="135"/>
      <c r="W28" s="73">
        <f>W23+W25+W26</f>
        <v>69384.5</v>
      </c>
      <c r="X28" s="135"/>
      <c r="Y28" s="73">
        <f>Y23+Y25+Y26</f>
        <v>74309.5</v>
      </c>
    </row>
    <row r="29" spans="1:26" ht="6.75" customHeight="1">
      <c r="A29" s="68"/>
      <c r="C29" s="69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</row>
    <row r="30" spans="1:26">
      <c r="A30" s="68">
        <v>15</v>
      </c>
      <c r="C30" s="64" t="s">
        <v>30</v>
      </c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</row>
    <row r="31" spans="1:26" ht="15.75">
      <c r="A31" s="68">
        <v>16</v>
      </c>
      <c r="C31" s="422" t="s">
        <v>72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</row>
    <row r="32" spans="1:26">
      <c r="A32" s="68">
        <v>17</v>
      </c>
      <c r="C32" s="530" t="s">
        <v>692</v>
      </c>
      <c r="E32" s="531" t="s">
        <v>661</v>
      </c>
      <c r="F32" s="135"/>
      <c r="G32" s="73">
        <f>S8.12!F28</f>
        <v>23649</v>
      </c>
      <c r="H32" s="135"/>
      <c r="I32" s="73">
        <f>S8.12!H28</f>
        <v>25588</v>
      </c>
      <c r="J32" s="135"/>
      <c r="K32" s="73">
        <f>S8.12!J28</f>
        <v>28138</v>
      </c>
      <c r="L32" s="135"/>
      <c r="M32" s="73">
        <f>S8.12!L28</f>
        <v>32581</v>
      </c>
      <c r="N32" s="73"/>
      <c r="O32" s="73">
        <f>S8.12!N28</f>
        <v>34828</v>
      </c>
      <c r="P32" s="73"/>
      <c r="Q32" s="73">
        <f>S8.12!P28</f>
        <v>37302.142</v>
      </c>
      <c r="R32" s="73"/>
      <c r="S32" s="73">
        <f>S8.12!R28</f>
        <v>40440.142</v>
      </c>
      <c r="T32" s="73"/>
      <c r="U32" s="73">
        <f>S8.12!T28</f>
        <v>43117.141999999993</v>
      </c>
      <c r="V32" s="135"/>
      <c r="W32" s="73">
        <f>S8.12!V28</f>
        <v>24093.013275351001</v>
      </c>
      <c r="X32" s="135"/>
      <c r="Y32" s="73">
        <f>S8.12!X28</f>
        <v>25570.928450701998</v>
      </c>
      <c r="Z32" s="135"/>
    </row>
    <row r="33" spans="1:27">
      <c r="A33" s="68">
        <v>18</v>
      </c>
      <c r="C33" s="530" t="s">
        <v>693</v>
      </c>
      <c r="E33" s="68" t="s">
        <v>27</v>
      </c>
      <c r="G33" s="73">
        <v>22496</v>
      </c>
      <c r="I33" s="73">
        <f>G32</f>
        <v>23649</v>
      </c>
      <c r="J33" s="135"/>
      <c r="K33" s="73">
        <f>I32</f>
        <v>25588</v>
      </c>
      <c r="L33" s="135"/>
      <c r="M33" s="73">
        <f>K32</f>
        <v>28138</v>
      </c>
      <c r="N33" s="73"/>
      <c r="O33" s="73">
        <f>M32</f>
        <v>32581</v>
      </c>
      <c r="P33" s="73"/>
      <c r="Q33" s="73">
        <f>O32</f>
        <v>34828</v>
      </c>
      <c r="R33" s="73"/>
      <c r="S33" s="73">
        <f>Q32</f>
        <v>37302.142</v>
      </c>
      <c r="T33" s="73"/>
      <c r="U33" s="73">
        <f>S32</f>
        <v>40440.142</v>
      </c>
      <c r="V33" s="135"/>
      <c r="W33" s="73">
        <v>22496</v>
      </c>
      <c r="X33" s="135"/>
      <c r="Y33" s="73">
        <f>W32</f>
        <v>24093.013275351001</v>
      </c>
    </row>
    <row r="34" spans="1:27">
      <c r="A34" s="68">
        <v>19</v>
      </c>
      <c r="C34" s="64" t="s">
        <v>26</v>
      </c>
      <c r="G34" s="71">
        <f>SUM(G32:G33)</f>
        <v>46145</v>
      </c>
      <c r="I34" s="387">
        <f>SUM(I32:I33)</f>
        <v>49237</v>
      </c>
      <c r="J34" s="135"/>
      <c r="K34" s="387">
        <f>SUM(K32:K33)</f>
        <v>53726</v>
      </c>
      <c r="L34" s="135"/>
      <c r="M34" s="387">
        <f>SUM(M32:M33)</f>
        <v>60719</v>
      </c>
      <c r="N34" s="388"/>
      <c r="O34" s="387">
        <f>SUM(O32:O33)</f>
        <v>67409</v>
      </c>
      <c r="P34" s="388"/>
      <c r="Q34" s="387">
        <f>SUM(Q32:Q33)</f>
        <v>72130.141999999993</v>
      </c>
      <c r="R34" s="388"/>
      <c r="S34" s="387">
        <f>SUM(S32:S33)</f>
        <v>77742.284</v>
      </c>
      <c r="T34" s="388"/>
      <c r="U34" s="387">
        <f>SUM(U32:U33)</f>
        <v>83557.283999999985</v>
      </c>
      <c r="V34" s="135"/>
      <c r="W34" s="387">
        <f>SUM(W32:W33)</f>
        <v>46589.013275350997</v>
      </c>
      <c r="X34" s="135"/>
      <c r="Y34" s="387">
        <f>SUM(Y32:Y33)</f>
        <v>49663.941726053003</v>
      </c>
    </row>
    <row r="35" spans="1:27" ht="6.75" customHeight="1">
      <c r="A35" s="68"/>
      <c r="G35" s="70"/>
      <c r="I35" s="73"/>
      <c r="J35" s="135"/>
      <c r="K35" s="73"/>
      <c r="L35" s="135"/>
      <c r="M35" s="73"/>
      <c r="N35" s="73"/>
      <c r="O35" s="73"/>
      <c r="P35" s="73"/>
      <c r="Q35" s="73"/>
      <c r="R35" s="73"/>
      <c r="S35" s="73"/>
      <c r="T35" s="73"/>
      <c r="U35" s="73"/>
      <c r="V35" s="135"/>
      <c r="W35" s="73"/>
      <c r="X35" s="135"/>
      <c r="Y35" s="73"/>
    </row>
    <row r="36" spans="1:27">
      <c r="A36" s="68">
        <v>20</v>
      </c>
      <c r="C36" s="530" t="s">
        <v>694</v>
      </c>
      <c r="F36" s="66"/>
      <c r="G36" s="72">
        <f>ROUND(G34/2,0)</f>
        <v>23073</v>
      </c>
      <c r="H36" s="66"/>
      <c r="I36" s="312">
        <f>ROUND(I34/2,0)</f>
        <v>24619</v>
      </c>
      <c r="J36" s="451"/>
      <c r="K36" s="312">
        <f>ROUND(K34/2,0)</f>
        <v>26863</v>
      </c>
      <c r="L36" s="451"/>
      <c r="M36" s="312">
        <f>ROUND(M34/2,0)</f>
        <v>30360</v>
      </c>
      <c r="N36" s="388"/>
      <c r="O36" s="312">
        <f>ROUND(O34/2,0)</f>
        <v>33705</v>
      </c>
      <c r="P36" s="388"/>
      <c r="Q36" s="312">
        <f>ROUND(Q34/2,0)</f>
        <v>36065</v>
      </c>
      <c r="R36" s="388"/>
      <c r="S36" s="312">
        <f>ROUND(S34/2,0)</f>
        <v>38871</v>
      </c>
      <c r="T36" s="388"/>
      <c r="U36" s="312">
        <f>ROUND(U34/2,0)</f>
        <v>41779</v>
      </c>
      <c r="V36" s="451"/>
      <c r="W36" s="312">
        <f>ROUND(W34/2,0)</f>
        <v>23295</v>
      </c>
      <c r="X36" s="135"/>
      <c r="Y36" s="312">
        <f>ROUND(Y34/2,0)</f>
        <v>24832</v>
      </c>
    </row>
    <row r="37" spans="1:27" ht="46.5" thickBot="1">
      <c r="A37" s="68">
        <f>A36+1</f>
        <v>21</v>
      </c>
      <c r="C37" s="69" t="s">
        <v>108</v>
      </c>
      <c r="E37" s="646" t="s">
        <v>696</v>
      </c>
      <c r="G37" s="98">
        <f>G28-G36</f>
        <v>45945.5</v>
      </c>
      <c r="I37" s="98">
        <f>I28-I36</f>
        <v>49116</v>
      </c>
      <c r="J37" s="135"/>
      <c r="K37" s="98">
        <f>K28-K36</f>
        <v>50026</v>
      </c>
      <c r="L37" s="135"/>
      <c r="M37" s="98">
        <f>M28-M36</f>
        <v>52408</v>
      </c>
      <c r="N37" s="388"/>
      <c r="O37" s="98">
        <f>O28-O36</f>
        <v>60033</v>
      </c>
      <c r="P37" s="388"/>
      <c r="Q37" s="98">
        <f>Q28-Q36</f>
        <v>72329.024999999994</v>
      </c>
      <c r="R37" s="388"/>
      <c r="S37" s="98">
        <f>S28-S36</f>
        <v>86063.074999999997</v>
      </c>
      <c r="T37" s="388"/>
      <c r="U37" s="98">
        <f>U28-U36</f>
        <v>96812</v>
      </c>
      <c r="V37" s="135"/>
      <c r="W37" s="98">
        <f>W28-W36</f>
        <v>46089.5</v>
      </c>
      <c r="X37" s="135"/>
      <c r="Y37" s="98">
        <f>Y28-Y36</f>
        <v>49477.5</v>
      </c>
      <c r="AA37" s="70"/>
    </row>
    <row r="38" spans="1:27" ht="10.5" customHeight="1">
      <c r="A38" s="68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</row>
    <row r="39" spans="1:27">
      <c r="A39" s="68"/>
      <c r="K39" s="135"/>
      <c r="M39" s="135"/>
      <c r="N39" s="135"/>
      <c r="O39" s="411"/>
      <c r="P39" s="135"/>
      <c r="Q39" s="135"/>
      <c r="R39" s="135"/>
      <c r="S39" s="135"/>
      <c r="T39" s="135"/>
      <c r="U39" s="135"/>
    </row>
    <row r="40" spans="1:27">
      <c r="A40" s="68"/>
      <c r="K40" s="135"/>
      <c r="M40" s="135"/>
      <c r="N40" s="135"/>
      <c r="O40" s="135"/>
      <c r="P40" s="135"/>
      <c r="Q40" s="135"/>
      <c r="R40" s="135"/>
      <c r="S40" s="135"/>
      <c r="T40" s="135"/>
      <c r="U40" s="135"/>
    </row>
    <row r="41" spans="1:27">
      <c r="A41" s="68"/>
      <c r="K41" s="135"/>
      <c r="M41" s="135"/>
      <c r="N41" s="135"/>
      <c r="O41" s="135"/>
      <c r="P41" s="135"/>
      <c r="Q41" s="135"/>
      <c r="R41" s="135"/>
      <c r="S41" s="135"/>
      <c r="T41" s="135"/>
      <c r="U41" s="135"/>
    </row>
    <row r="42" spans="1:27">
      <c r="A42" s="68"/>
      <c r="K42" s="135"/>
      <c r="M42" s="135"/>
      <c r="N42" s="135"/>
      <c r="O42" s="135"/>
      <c r="P42" s="135"/>
      <c r="Q42" s="135"/>
      <c r="R42" s="135"/>
      <c r="S42" s="135"/>
      <c r="T42" s="135"/>
      <c r="U42" s="135"/>
    </row>
    <row r="43" spans="1:27">
      <c r="A43" s="68"/>
      <c r="K43" s="135"/>
      <c r="M43" s="135"/>
      <c r="N43" s="135"/>
      <c r="O43" s="135"/>
      <c r="P43" s="135"/>
      <c r="Q43" s="135"/>
      <c r="R43" s="135"/>
      <c r="S43" s="135"/>
      <c r="T43" s="135"/>
      <c r="U43" s="135"/>
    </row>
    <row r="44" spans="1:27">
      <c r="A44" s="68"/>
      <c r="K44" s="135"/>
      <c r="M44" s="135"/>
      <c r="N44" s="135"/>
      <c r="O44" s="135"/>
      <c r="P44" s="135"/>
      <c r="Q44" s="135"/>
      <c r="R44" s="135"/>
      <c r="S44" s="135"/>
      <c r="T44" s="135"/>
      <c r="U44" s="135"/>
    </row>
    <row r="45" spans="1:27">
      <c r="A45" s="68"/>
      <c r="K45" s="135"/>
      <c r="M45" s="135"/>
      <c r="N45" s="135"/>
      <c r="O45" s="135"/>
      <c r="P45" s="135"/>
      <c r="Q45" s="135"/>
      <c r="R45" s="135"/>
      <c r="S45" s="135"/>
      <c r="T45" s="135"/>
      <c r="U45" s="135"/>
    </row>
    <row r="46" spans="1:27">
      <c r="A46" s="68"/>
      <c r="K46" s="135"/>
      <c r="M46" s="135"/>
      <c r="N46" s="135"/>
      <c r="O46" s="135"/>
      <c r="P46" s="135"/>
      <c r="Q46" s="135"/>
      <c r="R46" s="135"/>
      <c r="S46" s="135"/>
      <c r="T46" s="135"/>
      <c r="U46" s="135"/>
    </row>
    <row r="47" spans="1:27">
      <c r="A47" s="68"/>
      <c r="K47" s="135"/>
      <c r="M47" s="135"/>
      <c r="N47" s="135"/>
      <c r="O47" s="135"/>
      <c r="P47" s="135"/>
      <c r="Q47" s="135"/>
      <c r="R47" s="135"/>
      <c r="S47" s="135"/>
      <c r="T47" s="135"/>
      <c r="U47" s="135"/>
    </row>
    <row r="48" spans="1:27">
      <c r="A48" s="68"/>
      <c r="K48" s="135"/>
      <c r="M48" s="135"/>
      <c r="N48" s="135"/>
      <c r="O48" s="135"/>
      <c r="P48" s="135"/>
      <c r="Q48" s="135"/>
      <c r="R48" s="135"/>
      <c r="S48" s="135"/>
      <c r="T48" s="135"/>
      <c r="U48" s="135"/>
    </row>
    <row r="49" spans="1:21">
      <c r="A49" s="68"/>
      <c r="K49" s="135"/>
      <c r="M49" s="135"/>
      <c r="N49" s="135"/>
      <c r="O49" s="135"/>
      <c r="P49" s="135"/>
      <c r="Q49" s="135"/>
      <c r="R49" s="135"/>
      <c r="S49" s="135"/>
      <c r="T49" s="135"/>
      <c r="U49" s="135"/>
    </row>
    <row r="50" spans="1:21">
      <c r="K50" s="135"/>
      <c r="M50" s="135"/>
      <c r="N50" s="135"/>
      <c r="O50" s="135"/>
      <c r="P50" s="135"/>
      <c r="Q50" s="135"/>
      <c r="R50" s="135"/>
      <c r="S50" s="135"/>
      <c r="T50" s="135"/>
      <c r="U50" s="135"/>
    </row>
    <row r="51" spans="1:21">
      <c r="K51" s="135"/>
      <c r="M51" s="135"/>
      <c r="N51" s="135"/>
      <c r="O51" s="135"/>
      <c r="P51" s="135"/>
      <c r="Q51" s="135"/>
      <c r="R51" s="135"/>
      <c r="S51" s="135"/>
      <c r="T51" s="135"/>
      <c r="U51" s="135"/>
    </row>
    <row r="52" spans="1:21">
      <c r="K52" s="135"/>
      <c r="M52" s="135"/>
      <c r="N52" s="135"/>
      <c r="O52" s="135"/>
      <c r="P52" s="135"/>
      <c r="Q52" s="135"/>
      <c r="R52" s="135"/>
      <c r="S52" s="135"/>
      <c r="T52" s="135"/>
      <c r="U52" s="135"/>
    </row>
    <row r="53" spans="1:21">
      <c r="K53" s="135"/>
      <c r="M53" s="135"/>
      <c r="N53" s="135"/>
      <c r="O53" s="135"/>
      <c r="P53" s="135"/>
      <c r="Q53" s="135"/>
      <c r="R53" s="135"/>
      <c r="S53" s="135"/>
      <c r="T53" s="135"/>
      <c r="U53" s="135"/>
    </row>
    <row r="54" spans="1:21">
      <c r="K54" s="135"/>
      <c r="M54" s="135"/>
      <c r="N54" s="135"/>
      <c r="O54" s="135"/>
      <c r="P54" s="135"/>
      <c r="Q54" s="135"/>
      <c r="R54" s="135"/>
      <c r="S54" s="135"/>
      <c r="T54" s="135"/>
      <c r="U54" s="135"/>
    </row>
    <row r="55" spans="1:21">
      <c r="K55" s="135"/>
      <c r="M55" s="135"/>
      <c r="N55" s="135"/>
      <c r="O55" s="135"/>
      <c r="P55" s="135"/>
      <c r="Q55" s="135"/>
      <c r="R55" s="135"/>
      <c r="S55" s="135"/>
      <c r="T55" s="135"/>
      <c r="U55" s="135"/>
    </row>
    <row r="56" spans="1:21">
      <c r="K56" s="135"/>
      <c r="M56" s="135"/>
      <c r="N56" s="135"/>
      <c r="O56" s="135"/>
      <c r="P56" s="135"/>
      <c r="Q56" s="135"/>
      <c r="R56" s="135"/>
      <c r="S56" s="135"/>
      <c r="T56" s="135"/>
      <c r="U56" s="135"/>
    </row>
    <row r="57" spans="1:21">
      <c r="K57" s="135"/>
      <c r="M57" s="135"/>
      <c r="N57" s="135"/>
      <c r="O57" s="135"/>
      <c r="P57" s="135"/>
      <c r="Q57" s="135"/>
      <c r="R57" s="135"/>
      <c r="S57" s="135"/>
      <c r="T57" s="135"/>
      <c r="U57" s="135"/>
    </row>
    <row r="58" spans="1:21">
      <c r="K58" s="135"/>
      <c r="M58" s="135"/>
      <c r="N58" s="135"/>
      <c r="O58" s="135"/>
      <c r="P58" s="135"/>
      <c r="Q58" s="135"/>
      <c r="R58" s="135"/>
      <c r="S58" s="135"/>
      <c r="T58" s="135"/>
      <c r="U58" s="135"/>
    </row>
    <row r="59" spans="1:21">
      <c r="K59" s="135"/>
      <c r="M59" s="135"/>
      <c r="N59" s="135"/>
      <c r="O59" s="135"/>
      <c r="P59" s="135"/>
      <c r="Q59" s="135"/>
      <c r="R59" s="135"/>
      <c r="S59" s="135"/>
      <c r="T59" s="135"/>
      <c r="U59" s="135"/>
    </row>
    <row r="60" spans="1:21">
      <c r="K60" s="135"/>
      <c r="M60" s="135"/>
      <c r="N60" s="135"/>
      <c r="O60" s="135"/>
      <c r="P60" s="135"/>
      <c r="Q60" s="135"/>
      <c r="R60" s="135"/>
      <c r="S60" s="135"/>
      <c r="T60" s="135"/>
      <c r="U60" s="135"/>
    </row>
    <row r="61" spans="1:21">
      <c r="K61" s="135"/>
      <c r="M61" s="135"/>
      <c r="N61" s="135"/>
      <c r="O61" s="135"/>
      <c r="P61" s="135"/>
      <c r="Q61" s="135"/>
      <c r="R61" s="135"/>
      <c r="S61" s="135"/>
      <c r="T61" s="135"/>
      <c r="U61" s="135"/>
    </row>
    <row r="62" spans="1:21">
      <c r="K62" s="135"/>
      <c r="M62" s="135"/>
      <c r="N62" s="135"/>
      <c r="O62" s="135"/>
      <c r="P62" s="135"/>
      <c r="Q62" s="135"/>
      <c r="R62" s="135"/>
      <c r="S62" s="135"/>
      <c r="T62" s="135"/>
      <c r="U62" s="135"/>
    </row>
    <row r="63" spans="1:21">
      <c r="K63" s="135"/>
      <c r="M63" s="135"/>
      <c r="N63" s="135"/>
      <c r="O63" s="135"/>
      <c r="P63" s="135"/>
      <c r="Q63" s="135"/>
      <c r="R63" s="135"/>
      <c r="S63" s="135"/>
      <c r="T63" s="135"/>
      <c r="U63" s="135"/>
    </row>
    <row r="64" spans="1:21">
      <c r="K64" s="135"/>
      <c r="M64" s="135"/>
      <c r="N64" s="135"/>
      <c r="O64" s="135"/>
      <c r="P64" s="135"/>
      <c r="Q64" s="135"/>
      <c r="R64" s="135"/>
      <c r="S64" s="135"/>
      <c r="T64" s="135"/>
      <c r="U64" s="135"/>
    </row>
    <row r="65" spans="11:21">
      <c r="K65" s="135"/>
      <c r="M65" s="135"/>
      <c r="N65" s="135"/>
      <c r="O65" s="135"/>
      <c r="P65" s="135"/>
      <c r="Q65" s="135"/>
      <c r="R65" s="135"/>
      <c r="S65" s="135"/>
      <c r="T65" s="135"/>
      <c r="U65" s="135"/>
    </row>
  </sheetData>
  <customSheetViews>
    <customSheetView guid="{275E5119-9E8C-43ED-ACD2-DF40CF10B219}" scale="75" fitToPage="1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1"/>
      <headerFooter alignWithMargins="0"/>
    </customSheetView>
    <customSheetView guid="{D346ECD1-ED60-4F74-8B02-572F89E41ACB}" scale="75" showPageBreaks="1" fitToPage="1" showRuler="0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2"/>
      <headerFooter alignWithMargins="0"/>
    </customSheetView>
  </customSheetViews>
  <mergeCells count="5">
    <mergeCell ref="A1:X1"/>
    <mergeCell ref="A2:X2"/>
    <mergeCell ref="A3:X3"/>
    <mergeCell ref="A4:X4"/>
    <mergeCell ref="Q7:U7"/>
  </mergeCells>
  <phoneticPr fontId="8" type="noConversion"/>
  <printOptions horizontalCentered="1"/>
  <pageMargins left="0.44" right="1" top="0.82" bottom="1" header="0.5" footer="0.5"/>
  <pageSetup scale="54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AK122"/>
  <sheetViews>
    <sheetView topLeftCell="A28" zoomScale="70" zoomScaleNormal="70" zoomScaleSheetLayoutView="70" workbookViewId="0">
      <selection activeCell="Q43" sqref="Q43"/>
    </sheetView>
  </sheetViews>
  <sheetFormatPr defaultColWidth="7.5703125" defaultRowHeight="12.75"/>
  <cols>
    <col min="1" max="1" width="7" style="492" customWidth="1"/>
    <col min="2" max="2" width="2.28515625" style="492" customWidth="1"/>
    <col min="3" max="3" width="63.7109375" style="492" customWidth="1"/>
    <col min="4" max="4" width="2.28515625" style="492" customWidth="1"/>
    <col min="5" max="5" width="13.42578125" style="493" bestFit="1" customWidth="1"/>
    <col min="6" max="6" width="2.5703125" style="473" customWidth="1"/>
    <col min="7" max="7" width="12.5703125" style="473" customWidth="1"/>
    <col min="8" max="8" width="2.28515625" style="473" customWidth="1"/>
    <col min="9" max="9" width="12.5703125" style="473" customWidth="1"/>
    <col min="10" max="10" width="2.28515625" style="473" customWidth="1"/>
    <col min="11" max="11" width="12.5703125" style="473" customWidth="1"/>
    <col min="12" max="12" width="2.28515625" style="473" customWidth="1"/>
    <col min="13" max="13" width="12.5703125" style="473" customWidth="1"/>
    <col min="14" max="14" width="2.28515625" style="492" customWidth="1"/>
    <col min="15" max="15" width="12.5703125" style="492" customWidth="1"/>
    <col min="16" max="16" width="2.28515625" style="492" customWidth="1"/>
    <col min="17" max="18" width="12.5703125" style="492" customWidth="1"/>
    <col min="19" max="19" width="2.28515625" style="492" customWidth="1"/>
    <col min="20" max="21" width="12.5703125" style="492" customWidth="1"/>
    <col min="22" max="22" width="2.28515625" style="492" customWidth="1"/>
    <col min="23" max="24" width="12.5703125" style="492" customWidth="1"/>
    <col min="25" max="25" width="2.28515625" style="492" customWidth="1"/>
    <col min="26" max="27" width="12.5703125" style="492" customWidth="1"/>
    <col min="28" max="28" width="2.28515625" style="492" customWidth="1"/>
    <col min="29" max="30" width="12.5703125" style="492" customWidth="1"/>
    <col min="31" max="31" width="2.28515625" style="492" customWidth="1"/>
    <col min="32" max="32" width="2.140625" style="492" customWidth="1"/>
    <col min="33" max="33" width="8.5703125" style="473" bestFit="1" customWidth="1"/>
    <col min="34" max="34" width="7.5703125" style="473"/>
    <col min="35" max="35" width="10.28515625" style="473" customWidth="1"/>
    <col min="36" max="36" width="7.5703125" style="473"/>
    <col min="37" max="37" width="14" style="473" customWidth="1"/>
    <col min="38" max="16384" width="7.5703125" style="473"/>
  </cols>
  <sheetData>
    <row r="1" spans="1:35" s="463" customFormat="1" ht="15.75">
      <c r="A1" s="420" t="s">
        <v>540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109" t="s">
        <v>503</v>
      </c>
      <c r="AF1" s="109"/>
    </row>
    <row r="2" spans="1:35" s="463" customFormat="1" ht="15.75">
      <c r="A2" s="420" t="s">
        <v>463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530"/>
    </row>
    <row r="3" spans="1:35" s="463" customFormat="1" ht="15.75">
      <c r="A3" s="420" t="s">
        <v>51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530"/>
    </row>
    <row r="4" spans="1:35" s="463" customFormat="1" ht="15.75">
      <c r="A4" s="621"/>
      <c r="B4" s="406"/>
      <c r="C4" s="406"/>
      <c r="D4" s="406"/>
      <c r="E4" s="166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</row>
    <row r="5" spans="1:35" s="463" customFormat="1" ht="15.75">
      <c r="A5" s="621"/>
      <c r="B5" s="621"/>
      <c r="C5" s="621"/>
      <c r="D5" s="621"/>
      <c r="E5" s="621"/>
      <c r="F5" s="402"/>
      <c r="G5" s="402"/>
      <c r="H5" s="402"/>
      <c r="I5" s="402"/>
      <c r="J5" s="402"/>
      <c r="K5" s="402"/>
      <c r="L5" s="402"/>
      <c r="M5" s="402"/>
      <c r="N5" s="132"/>
      <c r="O5" s="132"/>
      <c r="P5" s="132"/>
      <c r="Q5" s="819" t="s">
        <v>330</v>
      </c>
      <c r="R5" s="819"/>
      <c r="S5" s="819"/>
      <c r="T5" s="819"/>
      <c r="U5" s="819"/>
      <c r="V5" s="819"/>
      <c r="W5" s="819"/>
      <c r="X5" s="819"/>
      <c r="Y5" s="132"/>
      <c r="Z5" s="437"/>
      <c r="AA5" s="261"/>
      <c r="AB5" s="132"/>
      <c r="AC5" s="261"/>
      <c r="AD5" s="261"/>
      <c r="AE5" s="132"/>
      <c r="AF5" s="530"/>
    </row>
    <row r="6" spans="1:35" s="463" customFormat="1" ht="15.75">
      <c r="A6" s="624" t="s">
        <v>33</v>
      </c>
      <c r="B6" s="621"/>
      <c r="C6" s="621"/>
      <c r="D6" s="621"/>
      <c r="E6" s="621" t="s">
        <v>34</v>
      </c>
      <c r="F6" s="621"/>
      <c r="G6" s="403" t="s">
        <v>25</v>
      </c>
      <c r="H6" s="621"/>
      <c r="I6" s="403" t="s">
        <v>25</v>
      </c>
      <c r="J6" s="621"/>
      <c r="K6" s="403" t="s">
        <v>25</v>
      </c>
      <c r="L6" s="403"/>
      <c r="M6" s="403" t="s">
        <v>25</v>
      </c>
      <c r="N6" s="618"/>
      <c r="O6" s="403" t="s">
        <v>25</v>
      </c>
      <c r="P6" s="618"/>
      <c r="Q6" s="821">
        <v>2013</v>
      </c>
      <c r="R6" s="821"/>
      <c r="S6" s="525"/>
      <c r="T6" s="821">
        <v>2014</v>
      </c>
      <c r="U6" s="821"/>
      <c r="V6" s="525"/>
      <c r="W6" s="821">
        <v>2015</v>
      </c>
      <c r="X6" s="821"/>
      <c r="Y6" s="523"/>
      <c r="Z6" s="820">
        <v>2008</v>
      </c>
      <c r="AA6" s="820"/>
      <c r="AB6" s="525"/>
      <c r="AC6" s="820">
        <v>2009</v>
      </c>
      <c r="AD6" s="820"/>
      <c r="AE6" s="285"/>
      <c r="AF6" s="530"/>
    </row>
    <row r="7" spans="1:35" s="463" customFormat="1" ht="15.75">
      <c r="A7" s="625" t="s">
        <v>35</v>
      </c>
      <c r="B7" s="621"/>
      <c r="C7" s="619" t="s">
        <v>178</v>
      </c>
      <c r="D7" s="401"/>
      <c r="E7" s="619" t="s">
        <v>36</v>
      </c>
      <c r="F7" s="621"/>
      <c r="G7" s="519">
        <v>2008</v>
      </c>
      <c r="H7" s="620"/>
      <c r="I7" s="519">
        <v>2009</v>
      </c>
      <c r="J7" s="620"/>
      <c r="K7" s="519">
        <v>2010</v>
      </c>
      <c r="L7" s="524"/>
      <c r="M7" s="519">
        <v>2011</v>
      </c>
      <c r="N7" s="523"/>
      <c r="O7" s="519">
        <v>2012</v>
      </c>
      <c r="P7" s="618"/>
      <c r="Q7" s="619" t="s">
        <v>211</v>
      </c>
      <c r="R7" s="619" t="s">
        <v>467</v>
      </c>
      <c r="T7" s="619" t="s">
        <v>211</v>
      </c>
      <c r="U7" s="441" t="s">
        <v>467</v>
      </c>
      <c r="W7" s="619" t="s">
        <v>211</v>
      </c>
      <c r="X7" s="441" t="s">
        <v>467</v>
      </c>
      <c r="Y7" s="618"/>
      <c r="Z7" s="617" t="s">
        <v>211</v>
      </c>
      <c r="AA7" s="617" t="s">
        <v>15</v>
      </c>
      <c r="AB7" s="618"/>
      <c r="AC7" s="617" t="s">
        <v>211</v>
      </c>
      <c r="AD7" s="373" t="s">
        <v>15</v>
      </c>
      <c r="AE7" s="618"/>
      <c r="AF7" s="530"/>
    </row>
    <row r="8" spans="1:35" s="463" customFormat="1" ht="9" customHeight="1">
      <c r="A8" s="626"/>
      <c r="B8" s="621"/>
      <c r="C8" s="401"/>
      <c r="D8" s="401"/>
      <c r="E8" s="401"/>
      <c r="F8" s="621"/>
      <c r="G8" s="621"/>
      <c r="H8" s="621"/>
      <c r="I8" s="621"/>
      <c r="J8" s="621"/>
      <c r="K8" s="621"/>
      <c r="L8" s="621"/>
      <c r="M8" s="621"/>
      <c r="N8" s="618"/>
      <c r="O8" s="621"/>
      <c r="P8" s="618"/>
      <c r="Q8" s="621"/>
      <c r="R8" s="618"/>
      <c r="S8" s="618"/>
      <c r="T8" s="621"/>
      <c r="U8" s="621"/>
      <c r="V8" s="618"/>
      <c r="W8" s="621"/>
      <c r="X8" s="621"/>
      <c r="Y8" s="618"/>
      <c r="Z8" s="285"/>
      <c r="AA8" s="285"/>
      <c r="AB8" s="618"/>
      <c r="AC8" s="285"/>
      <c r="AD8" s="285"/>
      <c r="AE8" s="618"/>
      <c r="AF8" s="530"/>
    </row>
    <row r="9" spans="1:35" s="463" customFormat="1" ht="15.75">
      <c r="A9" s="627">
        <v>1</v>
      </c>
      <c r="C9" s="410" t="s">
        <v>52</v>
      </c>
      <c r="D9" s="410"/>
      <c r="E9" s="621"/>
      <c r="N9" s="530"/>
      <c r="O9" s="530"/>
      <c r="P9" s="530"/>
      <c r="Q9" s="530"/>
      <c r="R9" s="530"/>
      <c r="S9" s="530"/>
      <c r="T9" s="530"/>
      <c r="U9" s="530"/>
      <c r="V9" s="530"/>
      <c r="W9" s="530"/>
      <c r="X9" s="530"/>
      <c r="Y9" s="530"/>
      <c r="AF9" s="530"/>
    </row>
    <row r="10" spans="1:35" s="463" customFormat="1" ht="15">
      <c r="A10" s="627">
        <v>2</v>
      </c>
      <c r="C10" s="463" t="s">
        <v>278</v>
      </c>
      <c r="E10" s="166"/>
      <c r="G10" s="450">
        <v>12715</v>
      </c>
      <c r="H10" s="450"/>
      <c r="I10" s="450">
        <v>12943</v>
      </c>
      <c r="J10" s="450"/>
      <c r="K10" s="450">
        <v>13169</v>
      </c>
      <c r="L10" s="450"/>
      <c r="M10" s="450">
        <v>13482</v>
      </c>
      <c r="N10" s="225"/>
      <c r="O10" s="450">
        <v>13857</v>
      </c>
      <c r="P10" s="225"/>
      <c r="Q10" s="225">
        <v>14158.916666666668</v>
      </c>
      <c r="R10" s="225"/>
      <c r="S10" s="225"/>
      <c r="T10" s="225">
        <v>14400.666666666668</v>
      </c>
      <c r="U10" s="225"/>
      <c r="V10" s="225"/>
      <c r="W10" s="225">
        <v>14647.166666666666</v>
      </c>
      <c r="X10" s="225"/>
      <c r="Y10" s="225"/>
      <c r="Z10" s="450">
        <v>12693.25</v>
      </c>
      <c r="AA10" s="450"/>
      <c r="AB10" s="450"/>
      <c r="AC10" s="450">
        <v>12908</v>
      </c>
      <c r="AD10" s="411"/>
      <c r="AF10" s="530"/>
    </row>
    <row r="11" spans="1:35" s="463" customFormat="1" ht="15">
      <c r="A11" s="627">
        <v>3</v>
      </c>
      <c r="C11" s="463" t="s">
        <v>54</v>
      </c>
      <c r="E11" s="166"/>
      <c r="G11" s="450">
        <v>128302</v>
      </c>
      <c r="H11" s="450"/>
      <c r="I11" s="450">
        <v>130569</v>
      </c>
      <c r="J11" s="450"/>
      <c r="K11" s="450">
        <v>131273</v>
      </c>
      <c r="L11" s="450"/>
      <c r="M11" s="450">
        <v>141696</v>
      </c>
      <c r="N11" s="450"/>
      <c r="O11" s="450">
        <v>150350.231</v>
      </c>
      <c r="P11" s="450"/>
      <c r="Q11" s="450">
        <v>151792.79973082169</v>
      </c>
      <c r="R11" s="450"/>
      <c r="S11" s="450"/>
      <c r="T11" s="450">
        <v>154380.76135252469</v>
      </c>
      <c r="U11" s="450"/>
      <c r="V11" s="450"/>
      <c r="W11" s="450">
        <v>157022.51350956652</v>
      </c>
      <c r="X11" s="450"/>
      <c r="Y11" s="450"/>
      <c r="Z11" s="450">
        <v>126440.59022204875</v>
      </c>
      <c r="AA11" s="450"/>
      <c r="AB11" s="450"/>
      <c r="AC11" s="450">
        <v>128615.01121802657</v>
      </c>
      <c r="AD11" s="411"/>
      <c r="AF11" s="530"/>
      <c r="AH11" s="411"/>
    </row>
    <row r="12" spans="1:35" s="365" customFormat="1" ht="15">
      <c r="A12" s="627">
        <v>4</v>
      </c>
      <c r="C12" s="365" t="s">
        <v>55</v>
      </c>
      <c r="E12" s="371"/>
      <c r="G12" s="497">
        <f>G11/G10</f>
        <v>10.090601651592607</v>
      </c>
      <c r="H12" s="497"/>
      <c r="I12" s="497">
        <f>I11/I10</f>
        <v>10.088001236189447</v>
      </c>
      <c r="J12" s="497"/>
      <c r="K12" s="497">
        <f>K11/K10</f>
        <v>9.968334725491685</v>
      </c>
      <c r="L12" s="497"/>
      <c r="M12" s="497">
        <f>M11/M10</f>
        <v>10.510013351134846</v>
      </c>
      <c r="N12" s="497"/>
      <c r="O12" s="497">
        <f>O11/O10</f>
        <v>10.850128527098217</v>
      </c>
      <c r="P12" s="497"/>
      <c r="Q12" s="497">
        <f>Q11/Q10</f>
        <v>10.720650689906009</v>
      </c>
      <c r="R12" s="497"/>
      <c r="S12" s="497"/>
      <c r="T12" s="497">
        <f>T11/T10</f>
        <v>10.720389890689644</v>
      </c>
      <c r="U12" s="497"/>
      <c r="V12" s="497"/>
      <c r="W12" s="497">
        <f>W11/W10</f>
        <v>10.720333637420197</v>
      </c>
      <c r="X12" s="497"/>
      <c r="Y12" s="497"/>
      <c r="Z12" s="497">
        <f>+Z11/Z10</f>
        <v>9.9612463492051884</v>
      </c>
      <c r="AA12" s="497"/>
      <c r="AB12" s="497"/>
      <c r="AC12" s="497">
        <f>+AC11/AC10</f>
        <v>9.9639766980187918</v>
      </c>
      <c r="AF12" s="364"/>
    </row>
    <row r="13" spans="1:35" s="463" customFormat="1" ht="15">
      <c r="A13" s="627">
        <v>5</v>
      </c>
      <c r="C13" s="463" t="s">
        <v>56</v>
      </c>
      <c r="E13" s="144"/>
      <c r="G13" s="450">
        <f>16671</f>
        <v>16671</v>
      </c>
      <c r="H13" s="450"/>
      <c r="I13" s="450">
        <v>16307</v>
      </c>
      <c r="J13" s="450"/>
      <c r="K13" s="450">
        <v>16892</v>
      </c>
      <c r="L13" s="450"/>
      <c r="M13" s="450">
        <v>18928</v>
      </c>
      <c r="N13" s="450"/>
      <c r="O13" s="206">
        <v>21126.641667802829</v>
      </c>
      <c r="P13" s="450"/>
      <c r="Q13" s="206">
        <v>21293.932797303059</v>
      </c>
      <c r="R13" s="450"/>
      <c r="S13" s="450"/>
      <c r="T13" s="206">
        <v>21657.083850587478</v>
      </c>
      <c r="U13" s="450"/>
      <c r="V13" s="450"/>
      <c r="W13" s="206">
        <v>22027.680943556537</v>
      </c>
      <c r="X13" s="450"/>
      <c r="Y13" s="450"/>
      <c r="Z13" s="450">
        <v>14527.962108812468</v>
      </c>
      <c r="AA13" s="450"/>
      <c r="AB13" s="450"/>
      <c r="AC13" s="450">
        <v>14774.926243033044</v>
      </c>
      <c r="AD13" s="411"/>
      <c r="AI13" s="411"/>
    </row>
    <row r="14" spans="1:35" s="363" customFormat="1" ht="15">
      <c r="A14" s="627">
        <v>6</v>
      </c>
      <c r="C14" s="363" t="s">
        <v>869</v>
      </c>
      <c r="E14" s="370"/>
      <c r="G14" s="497">
        <f>G13/G11*100</f>
        <v>12.993562064504061</v>
      </c>
      <c r="H14" s="497"/>
      <c r="I14" s="497">
        <f>I13/I11*100</f>
        <v>12.489181965091255</v>
      </c>
      <c r="J14" s="497"/>
      <c r="K14" s="497">
        <f>K13/K11*100</f>
        <v>12.867840302270842</v>
      </c>
      <c r="L14" s="497"/>
      <c r="M14" s="497">
        <f>M13/M11*100</f>
        <v>13.358175248419151</v>
      </c>
      <c r="N14" s="497"/>
      <c r="O14" s="497">
        <f>O13/O11*100</f>
        <v>14.051619027976637</v>
      </c>
      <c r="P14" s="497"/>
      <c r="Q14" s="497">
        <f>Q13/Q11*100</f>
        <v>14.028289111910558</v>
      </c>
      <c r="R14" s="497"/>
      <c r="S14" s="497"/>
      <c r="T14" s="497">
        <f>T13/T11*100</f>
        <v>14.028356681785018</v>
      </c>
      <c r="U14" s="497"/>
      <c r="V14" s="497"/>
      <c r="W14" s="497">
        <f>W13/W11*100</f>
        <v>14.028358387101294</v>
      </c>
      <c r="X14" s="497"/>
      <c r="Y14" s="497"/>
      <c r="Z14" s="497">
        <f>+Z13/Z11*100</f>
        <v>11.48995119628845</v>
      </c>
      <c r="AA14" s="497"/>
      <c r="AB14" s="497"/>
      <c r="AC14" s="497">
        <f>+AC13/AC11*100</f>
        <v>11.487715238765382</v>
      </c>
      <c r="AF14" s="362"/>
    </row>
    <row r="15" spans="1:35" s="463" customFormat="1" ht="3.75" customHeight="1">
      <c r="A15" s="627"/>
      <c r="E15" s="166"/>
      <c r="Z15" s="151"/>
      <c r="AA15" s="151"/>
      <c r="AC15" s="97"/>
      <c r="AD15" s="151"/>
      <c r="AF15" s="530"/>
    </row>
    <row r="16" spans="1:35" s="463" customFormat="1" ht="17.25" customHeight="1">
      <c r="A16" s="627">
        <v>7</v>
      </c>
      <c r="C16" s="410" t="s">
        <v>57</v>
      </c>
      <c r="D16" s="410"/>
      <c r="E16" s="621"/>
      <c r="AC16" s="530"/>
      <c r="AF16" s="530"/>
    </row>
    <row r="17" spans="1:32" s="369" customFormat="1" ht="15">
      <c r="A17" s="627">
        <v>8</v>
      </c>
      <c r="C17" s="369" t="s">
        <v>278</v>
      </c>
      <c r="E17" s="366"/>
      <c r="G17" s="450">
        <v>2600</v>
      </c>
      <c r="H17" s="450"/>
      <c r="I17" s="450">
        <v>2630</v>
      </c>
      <c r="J17" s="450"/>
      <c r="K17" s="450">
        <v>2692</v>
      </c>
      <c r="L17" s="450"/>
      <c r="M17" s="450">
        <v>2774</v>
      </c>
      <c r="N17" s="450"/>
      <c r="O17" s="450">
        <v>2841</v>
      </c>
      <c r="P17" s="450"/>
      <c r="Q17" s="450">
        <v>2867.083333333333</v>
      </c>
      <c r="R17" s="450"/>
      <c r="S17" s="450"/>
      <c r="T17" s="450">
        <v>2903.1666666666661</v>
      </c>
      <c r="U17" s="450"/>
      <c r="V17" s="450"/>
      <c r="W17" s="450">
        <v>2948.0833333333339</v>
      </c>
      <c r="X17" s="450"/>
      <c r="Y17" s="450"/>
      <c r="Z17" s="450">
        <v>2599.3333333333335</v>
      </c>
      <c r="AA17" s="450"/>
      <c r="AB17" s="450"/>
      <c r="AC17" s="450">
        <v>2628.9166666666665</v>
      </c>
      <c r="AF17" s="368"/>
    </row>
    <row r="18" spans="1:32" s="369" customFormat="1" ht="15">
      <c r="A18" s="627">
        <v>9</v>
      </c>
      <c r="C18" s="369" t="s">
        <v>54</v>
      </c>
      <c r="E18" s="366"/>
      <c r="G18" s="450">
        <v>141704</v>
      </c>
      <c r="H18" s="450"/>
      <c r="I18" s="450">
        <v>142076</v>
      </c>
      <c r="J18" s="450"/>
      <c r="K18" s="450">
        <v>145776</v>
      </c>
      <c r="L18" s="450"/>
      <c r="M18" s="450">
        <v>150591</v>
      </c>
      <c r="N18" s="450"/>
      <c r="O18" s="450">
        <v>159561.78099999999</v>
      </c>
      <c r="P18" s="450"/>
      <c r="Q18" s="450">
        <v>161564.37817471835</v>
      </c>
      <c r="R18" s="450"/>
      <c r="S18" s="450"/>
      <c r="T18" s="450">
        <v>165095.0575621794</v>
      </c>
      <c r="U18" s="450"/>
      <c r="V18" s="450"/>
      <c r="W18" s="450">
        <v>168548.50437856096</v>
      </c>
      <c r="X18" s="450"/>
      <c r="Y18" s="450"/>
      <c r="Z18" s="450">
        <v>144700.88678311105</v>
      </c>
      <c r="AA18" s="450"/>
      <c r="AB18" s="450"/>
      <c r="AC18" s="450">
        <v>145365.19180412093</v>
      </c>
      <c r="AF18" s="368"/>
    </row>
    <row r="19" spans="1:32" s="365" customFormat="1" ht="15">
      <c r="A19" s="627">
        <v>10</v>
      </c>
      <c r="C19" s="365" t="s">
        <v>55</v>
      </c>
      <c r="E19" s="371"/>
      <c r="G19" s="497">
        <f>G18/G17</f>
        <v>54.501538461538459</v>
      </c>
      <c r="H19" s="497"/>
      <c r="I19" s="497">
        <f>I18/I17</f>
        <v>54.021292775665401</v>
      </c>
      <c r="J19" s="497"/>
      <c r="K19" s="497">
        <f>K18/K17</f>
        <v>54.151560178306092</v>
      </c>
      <c r="L19" s="497"/>
      <c r="M19" s="497">
        <f>M18/M17</f>
        <v>54.286589762076424</v>
      </c>
      <c r="N19" s="497"/>
      <c r="O19" s="497">
        <f>O18/O17</f>
        <v>56.163949665610694</v>
      </c>
      <c r="P19" s="497"/>
      <c r="Q19" s="497">
        <f>Q18/Q17</f>
        <v>56.351476183595999</v>
      </c>
      <c r="R19" s="497"/>
      <c r="S19" s="497"/>
      <c r="T19" s="497">
        <f>T18/T17</f>
        <v>56.867233789142695</v>
      </c>
      <c r="U19" s="497"/>
      <c r="V19" s="497"/>
      <c r="W19" s="497">
        <f>W18/W17</f>
        <v>57.172232030492438</v>
      </c>
      <c r="X19" s="497"/>
      <c r="Y19" s="497"/>
      <c r="Z19" s="497">
        <f>+Z18/Z17</f>
        <v>55.668461188680837</v>
      </c>
      <c r="AA19" s="497"/>
      <c r="AB19" s="497"/>
      <c r="AC19" s="497">
        <f>+AC18/AC17</f>
        <v>55.294712703250745</v>
      </c>
      <c r="AF19" s="364"/>
    </row>
    <row r="20" spans="1:32" s="369" customFormat="1" ht="15">
      <c r="A20" s="627">
        <v>11</v>
      </c>
      <c r="C20" s="369" t="s">
        <v>56</v>
      </c>
      <c r="E20" s="367"/>
      <c r="G20" s="450">
        <v>20818</v>
      </c>
      <c r="H20" s="450"/>
      <c r="I20" s="450">
        <v>20368</v>
      </c>
      <c r="J20" s="450"/>
      <c r="K20" s="450">
        <v>21621</v>
      </c>
      <c r="L20" s="450"/>
      <c r="M20" s="450">
        <v>23374</v>
      </c>
      <c r="N20" s="450"/>
      <c r="O20" s="450">
        <v>26057.067711566684</v>
      </c>
      <c r="P20" s="450"/>
      <c r="Q20" s="206">
        <v>26397.962527513551</v>
      </c>
      <c r="R20" s="450"/>
      <c r="S20" s="450"/>
      <c r="T20" s="206">
        <v>27014.666457015857</v>
      </c>
      <c r="U20" s="450"/>
      <c r="V20" s="450"/>
      <c r="W20" s="206">
        <v>27601.996980188414</v>
      </c>
      <c r="X20" s="450"/>
      <c r="Y20" s="450"/>
      <c r="Z20" s="450">
        <v>18918.467916664304</v>
      </c>
      <c r="AA20" s="450"/>
      <c r="AB20" s="450"/>
      <c r="AC20" s="450">
        <v>19004.330209250227</v>
      </c>
    </row>
    <row r="21" spans="1:32" s="363" customFormat="1" ht="15">
      <c r="A21" s="627">
        <v>12</v>
      </c>
      <c r="C21" s="363" t="s">
        <v>869</v>
      </c>
      <c r="E21" s="370"/>
      <c r="G21" s="497">
        <f>G20/G18*100</f>
        <v>14.691187263591713</v>
      </c>
      <c r="H21" s="497"/>
      <c r="I21" s="497">
        <f>I20/I18*100</f>
        <v>14.335989188884824</v>
      </c>
      <c r="J21" s="497"/>
      <c r="K21" s="497">
        <f>K20/K18*100</f>
        <v>14.831659532433322</v>
      </c>
      <c r="L21" s="497"/>
      <c r="M21" s="497">
        <f>M20/M18*100</f>
        <v>15.521511909742284</v>
      </c>
      <c r="N21" s="497"/>
      <c r="O21" s="497">
        <f>O20/O18*100</f>
        <v>16.330394125875724</v>
      </c>
      <c r="P21" s="497"/>
      <c r="Q21" s="497">
        <f>Q20/Q18*100</f>
        <v>16.338974485431663</v>
      </c>
      <c r="R21" s="497"/>
      <c r="S21" s="497"/>
      <c r="T21" s="497">
        <f>T20/T18*100</f>
        <v>16.363098239231892</v>
      </c>
      <c r="U21" s="497"/>
      <c r="V21" s="497"/>
      <c r="W21" s="497">
        <f>W20/W18*100</f>
        <v>16.376293033247073</v>
      </c>
      <c r="X21" s="497"/>
      <c r="Y21" s="497"/>
      <c r="Z21" s="497">
        <f>+Z20/Z18*100</f>
        <v>13.074189341369259</v>
      </c>
      <c r="AA21" s="497"/>
      <c r="AB21" s="497"/>
      <c r="AC21" s="497">
        <f>+AC20/AC18*100</f>
        <v>13.073508157894151</v>
      </c>
      <c r="AF21" s="362"/>
    </row>
    <row r="22" spans="1:32" s="363" customFormat="1" ht="4.5" customHeight="1">
      <c r="A22" s="627"/>
      <c r="E22" s="370"/>
      <c r="AF22" s="362"/>
    </row>
    <row r="23" spans="1:32" s="363" customFormat="1" ht="15.75">
      <c r="A23" s="627">
        <f>+A21+1</f>
        <v>13</v>
      </c>
      <c r="C23" s="410" t="s">
        <v>482</v>
      </c>
      <c r="E23" s="370"/>
      <c r="AF23" s="362"/>
    </row>
    <row r="24" spans="1:32" s="363" customFormat="1" ht="15">
      <c r="A24" s="627">
        <f>A23+1</f>
        <v>14</v>
      </c>
      <c r="C24" s="369" t="s">
        <v>278</v>
      </c>
      <c r="E24" s="370"/>
      <c r="G24" s="450">
        <v>0</v>
      </c>
      <c r="H24" s="450"/>
      <c r="I24" s="450">
        <v>0</v>
      </c>
      <c r="J24" s="450"/>
      <c r="K24" s="450">
        <v>0</v>
      </c>
      <c r="L24" s="450"/>
      <c r="M24" s="450">
        <v>0</v>
      </c>
      <c r="N24" s="450"/>
      <c r="O24" s="450">
        <v>0</v>
      </c>
      <c r="P24" s="450"/>
      <c r="Q24" s="450">
        <v>1</v>
      </c>
      <c r="R24" s="450"/>
      <c r="S24" s="450"/>
      <c r="T24" s="450">
        <v>1</v>
      </c>
      <c r="U24" s="450"/>
      <c r="V24" s="450"/>
      <c r="W24" s="450">
        <v>1</v>
      </c>
      <c r="X24" s="450"/>
      <c r="Y24" s="450"/>
      <c r="Z24" s="450">
        <v>0</v>
      </c>
      <c r="AA24" s="450"/>
      <c r="AB24" s="450"/>
      <c r="AC24" s="450">
        <v>0</v>
      </c>
      <c r="AF24" s="362"/>
    </row>
    <row r="25" spans="1:32" s="363" customFormat="1" ht="15">
      <c r="A25" s="627">
        <f>A24+1</f>
        <v>15</v>
      </c>
      <c r="C25" s="369" t="s">
        <v>54</v>
      </c>
      <c r="E25" s="370"/>
      <c r="G25" s="450">
        <v>0</v>
      </c>
      <c r="H25" s="450"/>
      <c r="I25" s="450">
        <v>0</v>
      </c>
      <c r="J25" s="450"/>
      <c r="K25" s="450">
        <v>0</v>
      </c>
      <c r="L25" s="450"/>
      <c r="M25" s="450">
        <v>0</v>
      </c>
      <c r="N25" s="450"/>
      <c r="O25" s="450">
        <v>0</v>
      </c>
      <c r="P25" s="450"/>
      <c r="Q25" s="450">
        <v>1024.8000000000002</v>
      </c>
      <c r="R25" s="450"/>
      <c r="S25" s="450"/>
      <c r="T25" s="450">
        <v>4620.0000000000009</v>
      </c>
      <c r="U25" s="450"/>
      <c r="V25" s="450"/>
      <c r="W25" s="450">
        <v>4620.0000000000009</v>
      </c>
      <c r="X25" s="450"/>
      <c r="Y25" s="450"/>
      <c r="Z25" s="450">
        <v>0</v>
      </c>
      <c r="AA25" s="450"/>
      <c r="AB25" s="450"/>
      <c r="AC25" s="450">
        <v>0</v>
      </c>
      <c r="AF25" s="362"/>
    </row>
    <row r="26" spans="1:32" s="363" customFormat="1" ht="15">
      <c r="A26" s="627">
        <f>A25+1</f>
        <v>16</v>
      </c>
      <c r="C26" s="365" t="s">
        <v>55</v>
      </c>
      <c r="E26" s="370"/>
      <c r="G26" s="450">
        <v>0</v>
      </c>
      <c r="H26" s="497"/>
      <c r="I26" s="450">
        <v>0</v>
      </c>
      <c r="J26" s="497"/>
      <c r="K26" s="450">
        <v>0</v>
      </c>
      <c r="L26" s="450"/>
      <c r="M26" s="450">
        <v>0</v>
      </c>
      <c r="N26" s="450"/>
      <c r="O26" s="450">
        <v>0</v>
      </c>
      <c r="P26" s="497"/>
      <c r="Q26" s="497">
        <f>Q25/Q24</f>
        <v>1024.8000000000002</v>
      </c>
      <c r="R26" s="497"/>
      <c r="S26" s="497"/>
      <c r="T26" s="497">
        <f>T25/T24</f>
        <v>4620.0000000000009</v>
      </c>
      <c r="U26" s="497"/>
      <c r="V26" s="497"/>
      <c r="W26" s="497">
        <f>W25/W24</f>
        <v>4620.0000000000009</v>
      </c>
      <c r="X26" s="497"/>
      <c r="Y26" s="497"/>
      <c r="Z26" s="450">
        <v>0</v>
      </c>
      <c r="AA26" s="450"/>
      <c r="AB26" s="450"/>
      <c r="AC26" s="450">
        <v>0</v>
      </c>
      <c r="AF26" s="362"/>
    </row>
    <row r="27" spans="1:32" s="363" customFormat="1" ht="15">
      <c r="A27" s="627">
        <f>A26+1</f>
        <v>17</v>
      </c>
      <c r="C27" s="369" t="s">
        <v>56</v>
      </c>
      <c r="E27" s="370"/>
      <c r="G27" s="450">
        <v>0</v>
      </c>
      <c r="H27" s="450"/>
      <c r="I27" s="450">
        <v>0</v>
      </c>
      <c r="J27" s="450"/>
      <c r="K27" s="450">
        <v>0</v>
      </c>
      <c r="L27" s="450"/>
      <c r="M27" s="450">
        <v>0</v>
      </c>
      <c r="N27" s="450"/>
      <c r="O27" s="450">
        <v>0</v>
      </c>
      <c r="P27" s="450"/>
      <c r="Q27" s="206">
        <v>142.57883999999999</v>
      </c>
      <c r="R27" s="450"/>
      <c r="S27" s="450"/>
      <c r="T27" s="206">
        <v>612.39599999999996</v>
      </c>
      <c r="U27" s="450"/>
      <c r="V27" s="450"/>
      <c r="W27" s="206">
        <v>612.39599999999996</v>
      </c>
      <c r="X27" s="450"/>
      <c r="Y27" s="450"/>
      <c r="Z27" s="450">
        <v>0</v>
      </c>
      <c r="AA27" s="450"/>
      <c r="AB27" s="450"/>
      <c r="AC27" s="450">
        <v>0</v>
      </c>
      <c r="AF27" s="362"/>
    </row>
    <row r="28" spans="1:32" s="363" customFormat="1" ht="15">
      <c r="A28" s="627">
        <f>A27+1</f>
        <v>18</v>
      </c>
      <c r="C28" s="363" t="s">
        <v>869</v>
      </c>
      <c r="E28" s="370"/>
      <c r="G28" s="497"/>
      <c r="H28" s="497"/>
      <c r="I28" s="497"/>
      <c r="J28" s="497"/>
      <c r="K28" s="497"/>
      <c r="L28" s="497"/>
      <c r="M28" s="497"/>
      <c r="N28" s="497"/>
      <c r="O28" s="497"/>
      <c r="P28" s="497"/>
      <c r="Q28" s="497">
        <f>Q27/Q25*100</f>
        <v>13.912845433255267</v>
      </c>
      <c r="R28" s="497"/>
      <c r="S28" s="497"/>
      <c r="T28" s="497">
        <f>T27/T25*100</f>
        <v>13.255324675324673</v>
      </c>
      <c r="U28" s="497"/>
      <c r="V28" s="497"/>
      <c r="W28" s="497">
        <f>W27/W25*100</f>
        <v>13.255324675324673</v>
      </c>
      <c r="X28" s="497"/>
      <c r="Y28" s="497"/>
      <c r="Z28" s="497"/>
      <c r="AA28" s="497"/>
      <c r="AB28" s="497"/>
      <c r="AC28" s="497"/>
      <c r="AF28" s="362"/>
    </row>
    <row r="29" spans="1:32" s="363" customFormat="1" ht="4.5" customHeight="1">
      <c r="A29" s="627"/>
      <c r="E29" s="370"/>
      <c r="Q29" s="463"/>
      <c r="R29" s="463"/>
      <c r="S29" s="463"/>
      <c r="T29" s="463"/>
      <c r="U29" s="463"/>
      <c r="V29" s="463"/>
      <c r="W29" s="463"/>
      <c r="AF29" s="362"/>
    </row>
    <row r="30" spans="1:32" s="463" customFormat="1" ht="15.75">
      <c r="A30" s="627">
        <f>+A28+1</f>
        <v>19</v>
      </c>
      <c r="C30" s="410" t="s">
        <v>466</v>
      </c>
      <c r="D30" s="410"/>
      <c r="E30" s="621"/>
      <c r="AC30" s="530"/>
      <c r="AF30" s="530"/>
    </row>
    <row r="31" spans="1:32" s="369" customFormat="1" ht="15">
      <c r="A31" s="627">
        <f>A30+1</f>
        <v>20</v>
      </c>
      <c r="C31" s="369" t="s">
        <v>54</v>
      </c>
      <c r="E31" s="366"/>
      <c r="G31" s="369">
        <v>3545</v>
      </c>
      <c r="I31" s="369">
        <v>3477</v>
      </c>
      <c r="K31" s="369">
        <v>3647</v>
      </c>
      <c r="M31" s="369">
        <v>3598</v>
      </c>
      <c r="O31" s="369">
        <v>3771.4969999999998</v>
      </c>
      <c r="Q31" s="369">
        <v>3724.9</v>
      </c>
      <c r="T31" s="369">
        <v>3789.3879999999999</v>
      </c>
      <c r="W31" s="369">
        <v>3853.8760000000002</v>
      </c>
      <c r="Z31" s="369">
        <v>3444.643</v>
      </c>
      <c r="AC31" s="369">
        <v>3521.88</v>
      </c>
      <c r="AF31" s="368"/>
    </row>
    <row r="32" spans="1:32" s="369" customFormat="1" ht="15">
      <c r="A32" s="627">
        <f>A31+1</f>
        <v>21</v>
      </c>
      <c r="C32" s="369" t="s">
        <v>56</v>
      </c>
      <c r="E32" s="367"/>
      <c r="G32" s="369">
        <v>776</v>
      </c>
      <c r="I32" s="369">
        <v>764</v>
      </c>
      <c r="K32" s="369">
        <v>848</v>
      </c>
      <c r="M32" s="369">
        <v>880</v>
      </c>
      <c r="O32" s="369">
        <v>962.93416063049301</v>
      </c>
      <c r="Q32" s="196">
        <v>951.45111999999972</v>
      </c>
      <c r="T32" s="196">
        <v>966.09783999999991</v>
      </c>
      <c r="W32" s="196">
        <v>980.74455999999964</v>
      </c>
      <c r="Z32" s="369">
        <v>715.65029000000004</v>
      </c>
      <c r="AC32" s="369">
        <v>729.01739999999995</v>
      </c>
    </row>
    <row r="33" spans="1:30" s="363" customFormat="1" ht="15">
      <c r="A33" s="627">
        <f>A32+1</f>
        <v>22</v>
      </c>
      <c r="C33" s="363" t="s">
        <v>869</v>
      </c>
      <c r="E33" s="370"/>
      <c r="G33" s="363">
        <f>G32/G31*100</f>
        <v>21.889985895627646</v>
      </c>
      <c r="I33" s="363">
        <f>I32/I31*100</f>
        <v>21.972965199884957</v>
      </c>
      <c r="K33" s="363">
        <f>K32/K31*100</f>
        <v>23.251987935289279</v>
      </c>
      <c r="M33" s="363">
        <f>M32/M31*100</f>
        <v>24.458032240133406</v>
      </c>
      <c r="O33" s="363">
        <f>O32/O31*100</f>
        <v>25.531881919314614</v>
      </c>
      <c r="Q33" s="363">
        <f>Q32/Q31*100</f>
        <v>25.542997664366819</v>
      </c>
      <c r="T33" s="363">
        <f>T32/T31*100</f>
        <v>25.494825021876881</v>
      </c>
      <c r="W33" s="363">
        <f>W32/W31*100</f>
        <v>25.448264552362339</v>
      </c>
      <c r="Z33" s="363">
        <f>+Z32/Z31*100</f>
        <v>20.775746281980457</v>
      </c>
      <c r="AC33" s="363">
        <f>+AC32/AC31*100</f>
        <v>20.699666087430575</v>
      </c>
    </row>
    <row r="34" spans="1:30" s="463" customFormat="1" ht="4.5" customHeight="1">
      <c r="A34" s="627"/>
      <c r="E34" s="166"/>
      <c r="Z34" s="151"/>
      <c r="AA34" s="151"/>
      <c r="AC34" s="97"/>
      <c r="AD34" s="151"/>
    </row>
    <row r="35" spans="1:30" s="463" customFormat="1" ht="15.75">
      <c r="A35" s="627">
        <f>+A33+1</f>
        <v>23</v>
      </c>
      <c r="C35" s="410" t="s">
        <v>860</v>
      </c>
      <c r="D35" s="410"/>
      <c r="E35" s="621"/>
      <c r="AC35" s="530"/>
    </row>
    <row r="36" spans="1:30" s="369" customFormat="1" ht="15">
      <c r="A36" s="627">
        <f>A35+1</f>
        <v>24</v>
      </c>
      <c r="C36" s="369" t="s">
        <v>54</v>
      </c>
      <c r="E36" s="366"/>
      <c r="G36" s="450">
        <v>631</v>
      </c>
      <c r="H36" s="450"/>
      <c r="I36" s="450">
        <v>592</v>
      </c>
      <c r="J36" s="450"/>
      <c r="K36" s="450">
        <v>594</v>
      </c>
      <c r="L36" s="450"/>
      <c r="M36" s="450">
        <v>581</v>
      </c>
      <c r="N36" s="450"/>
      <c r="O36" s="450">
        <v>560.35500000000002</v>
      </c>
      <c r="P36" s="450"/>
      <c r="Q36" s="450">
        <v>554.10799999999995</v>
      </c>
      <c r="R36" s="450"/>
      <c r="S36" s="450"/>
      <c r="T36" s="450">
        <v>544.16</v>
      </c>
      <c r="U36" s="450"/>
      <c r="V36" s="450"/>
      <c r="W36" s="450">
        <v>534.21199999999999</v>
      </c>
      <c r="X36" s="450"/>
      <c r="Y36" s="450"/>
      <c r="Z36" s="450">
        <v>637.73599999999999</v>
      </c>
      <c r="AA36" s="450"/>
      <c r="AB36" s="450"/>
      <c r="AC36" s="450">
        <v>631.08000000000004</v>
      </c>
    </row>
    <row r="37" spans="1:30" s="369" customFormat="1" ht="15">
      <c r="A37" s="627">
        <f>A36+1</f>
        <v>25</v>
      </c>
      <c r="C37" s="369" t="s">
        <v>56</v>
      </c>
      <c r="E37" s="367"/>
      <c r="G37" s="450">
        <v>139</v>
      </c>
      <c r="H37" s="450"/>
      <c r="I37" s="450">
        <v>131</v>
      </c>
      <c r="J37" s="450"/>
      <c r="K37" s="450">
        <v>138</v>
      </c>
      <c r="L37" s="450"/>
      <c r="M37" s="450">
        <v>143.55209999999997</v>
      </c>
      <c r="N37" s="450"/>
      <c r="O37" s="450">
        <v>146.79815999999997</v>
      </c>
      <c r="P37" s="450"/>
      <c r="Q37" s="450">
        <v>145.32856000000001</v>
      </c>
      <c r="R37" s="450"/>
      <c r="S37" s="450"/>
      <c r="T37" s="450">
        <v>142.94044</v>
      </c>
      <c r="U37" s="450"/>
      <c r="V37" s="450"/>
      <c r="W37" s="450">
        <v>140.55232000000001</v>
      </c>
      <c r="X37" s="450"/>
      <c r="Y37" s="450"/>
      <c r="Z37" s="450">
        <v>133.61090999999999</v>
      </c>
      <c r="AA37" s="450"/>
      <c r="AB37" s="450"/>
      <c r="AC37" s="450">
        <v>132.21551999999997</v>
      </c>
    </row>
    <row r="38" spans="1:30" s="363" customFormat="1" ht="15">
      <c r="A38" s="627">
        <f>A37+1</f>
        <v>26</v>
      </c>
      <c r="C38" s="363" t="s">
        <v>869</v>
      </c>
      <c r="E38" s="370"/>
      <c r="G38" s="497">
        <f>G37/G36*100</f>
        <v>22.028526148969892</v>
      </c>
      <c r="H38" s="497"/>
      <c r="I38" s="497">
        <f>I37/I36*100</f>
        <v>22.128378378378379</v>
      </c>
      <c r="J38" s="497"/>
      <c r="K38" s="497">
        <f>K37/K36*100</f>
        <v>23.232323232323232</v>
      </c>
      <c r="L38" s="497"/>
      <c r="M38" s="497">
        <f>M37/M36*100</f>
        <v>24.707762478485364</v>
      </c>
      <c r="N38" s="497"/>
      <c r="O38" s="497">
        <f>O37/O36*100</f>
        <v>26.19734989426345</v>
      </c>
      <c r="P38" s="497"/>
      <c r="Q38" s="497">
        <f>Q37/Q36*100</f>
        <v>26.227479119594015</v>
      </c>
      <c r="R38" s="497"/>
      <c r="S38" s="497"/>
      <c r="T38" s="497">
        <f>T37/T36*100</f>
        <v>26.268090267568361</v>
      </c>
      <c r="U38" s="497"/>
      <c r="V38" s="497"/>
      <c r="W38" s="497">
        <f>W37/W36*100</f>
        <v>26.310213922562582</v>
      </c>
      <c r="X38" s="497"/>
      <c r="Y38" s="497"/>
      <c r="Z38" s="497">
        <f>+Z37/Z36*100</f>
        <v>20.950818206906931</v>
      </c>
      <c r="AA38" s="497"/>
      <c r="AB38" s="497"/>
      <c r="AC38" s="497">
        <f>+AC37/AC36*100</f>
        <v>20.95067503327628</v>
      </c>
    </row>
    <row r="39" spans="1:30" s="463" customFormat="1" ht="4.5" customHeight="1">
      <c r="A39" s="627"/>
      <c r="E39" s="166"/>
      <c r="Z39" s="151"/>
      <c r="AA39" s="151"/>
      <c r="AC39" s="97"/>
      <c r="AD39" s="151"/>
    </row>
    <row r="40" spans="1:30" s="463" customFormat="1" ht="15" customHeight="1">
      <c r="A40" s="627">
        <f>+A38+1</f>
        <v>27</v>
      </c>
      <c r="C40" s="410" t="s">
        <v>412</v>
      </c>
      <c r="D40" s="410"/>
      <c r="E40" s="621"/>
      <c r="AA40" s="530"/>
      <c r="AB40" s="530"/>
      <c r="AC40" s="530"/>
      <c r="AD40" s="151"/>
    </row>
    <row r="41" spans="1:30" s="369" customFormat="1" ht="15" customHeight="1">
      <c r="A41" s="627">
        <f>A40+1</f>
        <v>28</v>
      </c>
      <c r="C41" s="369" t="s">
        <v>53</v>
      </c>
      <c r="E41" s="366"/>
      <c r="G41" s="450">
        <f>G10+G17</f>
        <v>15315</v>
      </c>
      <c r="H41" s="450"/>
      <c r="I41" s="450">
        <f>I10+I17</f>
        <v>15573</v>
      </c>
      <c r="J41" s="450"/>
      <c r="K41" s="450">
        <f>K10+K17</f>
        <v>15861</v>
      </c>
      <c r="L41" s="450"/>
      <c r="M41" s="450">
        <f>M10+M17</f>
        <v>16256</v>
      </c>
      <c r="N41" s="450"/>
      <c r="O41" s="450">
        <f>O10+O17</f>
        <v>16698</v>
      </c>
      <c r="P41" s="450"/>
      <c r="Q41" s="450">
        <f>Q10+Q17</f>
        <v>17026</v>
      </c>
      <c r="R41" s="450"/>
      <c r="S41" s="450"/>
      <c r="T41" s="450">
        <f>T10+T17</f>
        <v>17303.833333333336</v>
      </c>
      <c r="U41" s="450"/>
      <c r="V41" s="450"/>
      <c r="W41" s="450">
        <f>W10+W17</f>
        <v>17595.25</v>
      </c>
      <c r="X41" s="450"/>
      <c r="Y41" s="450"/>
      <c r="Z41" s="450">
        <f>Z10+Z17</f>
        <v>15292.583333333334</v>
      </c>
      <c r="AA41" s="225"/>
      <c r="AB41" s="225"/>
      <c r="AC41" s="225">
        <f>AC10+AC17</f>
        <v>15536.916666666666</v>
      </c>
    </row>
    <row r="42" spans="1:30" s="369" customFormat="1" ht="15" customHeight="1">
      <c r="A42" s="627">
        <f>A41+1</f>
        <v>29</v>
      </c>
      <c r="C42" s="369" t="s">
        <v>54</v>
      </c>
      <c r="E42" s="366"/>
      <c r="G42" s="450">
        <f>G11+G18+G31+G36+G25</f>
        <v>274182</v>
      </c>
      <c r="H42" s="450"/>
      <c r="I42" s="450">
        <f>I11+I18+I31+I36+I25</f>
        <v>276714</v>
      </c>
      <c r="J42" s="450"/>
      <c r="K42" s="450">
        <f>K11+K18+K31+K36+K25</f>
        <v>281290</v>
      </c>
      <c r="L42" s="450"/>
      <c r="M42" s="450">
        <f>M11+M18+M31+M36+M25</f>
        <v>296466</v>
      </c>
      <c r="N42" s="225"/>
      <c r="O42" s="450">
        <f>O11+O18+O31+O36+O25</f>
        <v>314243.86399999994</v>
      </c>
      <c r="P42" s="225"/>
      <c r="Q42" s="450">
        <f>Q11+Q18+Q31+Q36+Q25</f>
        <v>318660.98590554006</v>
      </c>
      <c r="R42" s="225"/>
      <c r="S42" s="225"/>
      <c r="T42" s="450">
        <f>T11+T18+T31+T36+T25</f>
        <v>328429.36691470403</v>
      </c>
      <c r="U42" s="225"/>
      <c r="V42" s="225"/>
      <c r="W42" s="450">
        <f>W11+W18+W31+W36+W25</f>
        <v>334579.10588812747</v>
      </c>
      <c r="X42" s="225"/>
      <c r="Y42" s="225"/>
      <c r="Z42" s="450">
        <f>Z11+Z18+Z31+Z36</f>
        <v>275223.85600515979</v>
      </c>
      <c r="AA42" s="225"/>
      <c r="AB42" s="225"/>
      <c r="AC42" s="225">
        <f>AC11+AC18+AC31+AC36</f>
        <v>278133.16302214755</v>
      </c>
    </row>
    <row r="43" spans="1:30" s="369" customFormat="1" ht="15" customHeight="1">
      <c r="A43" s="627">
        <f>A42+1</f>
        <v>30</v>
      </c>
      <c r="C43" s="369" t="s">
        <v>56</v>
      </c>
      <c r="E43" s="366"/>
      <c r="G43" s="450">
        <f>G13+G20+G32+G37+G27</f>
        <v>38404</v>
      </c>
      <c r="H43" s="450"/>
      <c r="I43" s="450">
        <f>I13+I20+I32+I37+I27</f>
        <v>37570</v>
      </c>
      <c r="J43" s="450"/>
      <c r="K43" s="450">
        <f>K13+K20+K32+K37+K27</f>
        <v>39499</v>
      </c>
      <c r="L43" s="450"/>
      <c r="M43" s="450">
        <f>M13+M20+M32+M37+M27</f>
        <v>43325.552100000001</v>
      </c>
      <c r="N43" s="225"/>
      <c r="O43" s="450">
        <f>O13+O20+O32+O37+O27</f>
        <v>48293.441700000003</v>
      </c>
      <c r="P43" s="225"/>
      <c r="Q43" s="450">
        <f>Q13+Q20+Q32+Q37+Q27</f>
        <v>48931.253844816609</v>
      </c>
      <c r="R43" s="225"/>
      <c r="S43" s="225"/>
      <c r="T43" s="450">
        <f>T13+T20+T32+T37+T27</f>
        <v>50393.184587603333</v>
      </c>
      <c r="U43" s="225"/>
      <c r="V43" s="225"/>
      <c r="W43" s="450">
        <f>W13+W20+W32+W37+W27</f>
        <v>51363.370803744954</v>
      </c>
      <c r="X43" s="225"/>
      <c r="Y43" s="225"/>
      <c r="Z43" s="450">
        <f>Z13+Z20+Z32+Z37+Z27</f>
        <v>34295.691225476774</v>
      </c>
      <c r="AA43" s="225"/>
      <c r="AB43" s="225"/>
      <c r="AC43" s="450">
        <f>AC13+AC20+AC32+AC37+AC27</f>
        <v>34640.489372283264</v>
      </c>
    </row>
    <row r="44" spans="1:30" s="363" customFormat="1" ht="15" customHeight="1">
      <c r="A44" s="627">
        <f>A43+1</f>
        <v>31</v>
      </c>
      <c r="C44" s="363" t="s">
        <v>869</v>
      </c>
      <c r="E44" s="370"/>
      <c r="G44" s="497">
        <f>G43/G42*100</f>
        <v>14.006754637430612</v>
      </c>
      <c r="H44" s="497"/>
      <c r="I44" s="497">
        <f>I43/I42*100</f>
        <v>13.577195226840711</v>
      </c>
      <c r="J44" s="497"/>
      <c r="K44" s="497">
        <f>K43/K42*100</f>
        <v>14.042091791389669</v>
      </c>
      <c r="L44" s="497"/>
      <c r="M44" s="497">
        <f>M43/M42*100</f>
        <v>14.61400366315193</v>
      </c>
      <c r="N44" s="496"/>
      <c r="O44" s="497">
        <f>O43/O42*100</f>
        <v>15.368141508086858</v>
      </c>
      <c r="P44" s="496"/>
      <c r="Q44" s="497">
        <f>Q43/Q42*100</f>
        <v>15.355269709521702</v>
      </c>
      <c r="R44" s="496"/>
      <c r="S44" s="496"/>
      <c r="T44" s="497">
        <f>T43/T42*100</f>
        <v>15.343690200727659</v>
      </c>
      <c r="U44" s="496"/>
      <c r="V44" s="496"/>
      <c r="W44" s="497">
        <f>W43/W42*100</f>
        <v>15.351637295880401</v>
      </c>
      <c r="X44" s="496"/>
      <c r="Y44" s="496"/>
      <c r="Z44" s="497">
        <f>Z43/Z42*100</f>
        <v>12.461016905756095</v>
      </c>
      <c r="AA44" s="496"/>
      <c r="AB44" s="496"/>
      <c r="AC44" s="496">
        <f>AC43/AC42*100</f>
        <v>12.454641868623508</v>
      </c>
    </row>
    <row r="45" spans="1:30" s="463" customFormat="1" ht="4.5" customHeight="1">
      <c r="A45" s="627"/>
      <c r="E45" s="166"/>
      <c r="Z45" s="151"/>
      <c r="AA45" s="151"/>
      <c r="AC45" s="97"/>
      <c r="AD45" s="151"/>
    </row>
    <row r="46" spans="1:30" s="463" customFormat="1" ht="16.5" customHeight="1">
      <c r="A46" s="627">
        <f>+A44+1</f>
        <v>32</v>
      </c>
      <c r="C46" s="410" t="s">
        <v>356</v>
      </c>
      <c r="E46" s="166"/>
      <c r="Z46" s="151"/>
      <c r="AA46" s="151"/>
      <c r="AC46" s="97"/>
      <c r="AD46" s="151"/>
    </row>
    <row r="47" spans="1:30" s="369" customFormat="1" ht="15" customHeight="1">
      <c r="A47" s="627">
        <f>A46+1</f>
        <v>33</v>
      </c>
      <c r="C47" s="369" t="s">
        <v>278</v>
      </c>
      <c r="E47" s="366"/>
      <c r="G47" s="450">
        <v>22</v>
      </c>
      <c r="H47" s="450"/>
      <c r="I47" s="450">
        <v>21</v>
      </c>
      <c r="J47" s="450"/>
      <c r="K47" s="450">
        <v>21</v>
      </c>
      <c r="L47" s="450"/>
      <c r="M47" s="450">
        <v>14</v>
      </c>
      <c r="N47" s="450"/>
      <c r="O47" s="450">
        <v>2</v>
      </c>
      <c r="P47" s="450"/>
      <c r="Q47" s="206">
        <v>0</v>
      </c>
      <c r="R47" s="450"/>
      <c r="S47" s="450"/>
      <c r="T47" s="206">
        <v>0</v>
      </c>
      <c r="U47" s="450"/>
      <c r="V47" s="450"/>
      <c r="W47" s="206">
        <v>0</v>
      </c>
      <c r="X47" s="450"/>
      <c r="Y47" s="450"/>
      <c r="Z47" s="225">
        <v>22.333333333333332</v>
      </c>
      <c r="AA47" s="450"/>
      <c r="AB47" s="450"/>
      <c r="AC47" s="225">
        <v>23</v>
      </c>
    </row>
    <row r="48" spans="1:30" s="369" customFormat="1" ht="15" customHeight="1">
      <c r="A48" s="627">
        <f>A47+1</f>
        <v>34</v>
      </c>
      <c r="C48" s="369" t="s">
        <v>54</v>
      </c>
      <c r="E48" s="366"/>
      <c r="G48" s="450">
        <v>18053</v>
      </c>
      <c r="H48" s="450"/>
      <c r="I48" s="450">
        <v>16843</v>
      </c>
      <c r="J48" s="450"/>
      <c r="K48" s="450">
        <v>10153</v>
      </c>
      <c r="L48" s="450"/>
      <c r="M48" s="450">
        <v>552</v>
      </c>
      <c r="N48" s="450"/>
      <c r="O48" s="450">
        <v>1993</v>
      </c>
      <c r="P48" s="450"/>
      <c r="Q48" s="206">
        <v>0</v>
      </c>
      <c r="R48" s="450"/>
      <c r="S48" s="450"/>
      <c r="T48" s="206">
        <v>0</v>
      </c>
      <c r="U48" s="450"/>
      <c r="V48" s="450"/>
      <c r="W48" s="206">
        <v>0</v>
      </c>
      <c r="X48" s="450"/>
      <c r="Y48" s="450"/>
      <c r="Z48" s="450">
        <v>16852.75</v>
      </c>
      <c r="AA48" s="450"/>
      <c r="AB48" s="450"/>
      <c r="AC48" s="450">
        <v>6954.05</v>
      </c>
    </row>
    <row r="49" spans="1:37" s="365" customFormat="1" ht="15" customHeight="1">
      <c r="A49" s="627">
        <f>A48+1</f>
        <v>35</v>
      </c>
      <c r="C49" s="365" t="s">
        <v>55</v>
      </c>
      <c r="E49" s="371"/>
      <c r="G49" s="497">
        <f>G48/G47</f>
        <v>820.59090909090912</v>
      </c>
      <c r="H49" s="497"/>
      <c r="I49" s="497">
        <f>I48/I47</f>
        <v>802.04761904761904</v>
      </c>
      <c r="J49" s="497"/>
      <c r="K49" s="497">
        <f>K48/K47</f>
        <v>483.47619047619048</v>
      </c>
      <c r="L49" s="497"/>
      <c r="M49" s="497">
        <f>M48/M47</f>
        <v>39.428571428571431</v>
      </c>
      <c r="N49" s="496"/>
      <c r="O49" s="497">
        <f>O48/O47</f>
        <v>996.5</v>
      </c>
      <c r="P49" s="496"/>
      <c r="Q49" s="206">
        <v>0</v>
      </c>
      <c r="R49" s="496"/>
      <c r="S49" s="496"/>
      <c r="T49" s="206">
        <v>0</v>
      </c>
      <c r="U49" s="496"/>
      <c r="V49" s="496"/>
      <c r="W49" s="206">
        <v>0</v>
      </c>
      <c r="X49" s="496"/>
      <c r="Y49" s="496"/>
      <c r="Z49" s="496">
        <f>Z48/Z47</f>
        <v>754.60074626865674</v>
      </c>
      <c r="AA49" s="496"/>
      <c r="AB49" s="496"/>
      <c r="AC49" s="496">
        <f>AC48/AC47</f>
        <v>302.35000000000002</v>
      </c>
    </row>
    <row r="50" spans="1:37" s="365" customFormat="1" ht="15" customHeight="1">
      <c r="A50" s="627">
        <f>A49+1</f>
        <v>36</v>
      </c>
      <c r="C50" s="365" t="s">
        <v>56</v>
      </c>
      <c r="E50" s="371"/>
      <c r="G50" s="450">
        <v>1389</v>
      </c>
      <c r="H50" s="450"/>
      <c r="I50" s="450">
        <v>1092.239</v>
      </c>
      <c r="J50" s="450"/>
      <c r="K50" s="450">
        <v>664.61</v>
      </c>
      <c r="L50" s="450"/>
      <c r="M50" s="450">
        <v>41</v>
      </c>
      <c r="N50" s="450"/>
      <c r="O50" s="450">
        <v>164.07726</v>
      </c>
      <c r="P50" s="450"/>
      <c r="Q50" s="206">
        <v>0</v>
      </c>
      <c r="R50" s="450"/>
      <c r="S50" s="450"/>
      <c r="T50" s="206">
        <v>0</v>
      </c>
      <c r="U50" s="450"/>
      <c r="V50" s="450"/>
      <c r="W50" s="206">
        <v>0</v>
      </c>
      <c r="X50" s="450"/>
      <c r="Y50" s="450"/>
      <c r="Z50" s="450">
        <v>1213.3979999999999</v>
      </c>
      <c r="AA50" s="450"/>
      <c r="AB50" s="450"/>
      <c r="AC50" s="450">
        <v>500.69159999999999</v>
      </c>
    </row>
    <row r="51" spans="1:37" s="463" customFormat="1" ht="15" customHeight="1">
      <c r="A51" s="627">
        <f>A50+1</f>
        <v>37</v>
      </c>
      <c r="C51" s="363" t="s">
        <v>869</v>
      </c>
      <c r="E51" s="166"/>
      <c r="G51" s="497">
        <f>G50/G48*100</f>
        <v>7.6940120755553094</v>
      </c>
      <c r="H51" s="497"/>
      <c r="I51" s="497">
        <f>I50/I48*100</f>
        <v>6.4848245561954521</v>
      </c>
      <c r="J51" s="497"/>
      <c r="K51" s="497">
        <f>K50/K48*100</f>
        <v>6.5459470107357438</v>
      </c>
      <c r="L51" s="497"/>
      <c r="M51" s="497">
        <f>M50/M48*100</f>
        <v>7.4275362318840576</v>
      </c>
      <c r="N51" s="497"/>
      <c r="O51" s="497">
        <f>O50/O48*100</f>
        <v>8.2326773707977914</v>
      </c>
      <c r="P51" s="497"/>
      <c r="Q51" s="206">
        <v>0</v>
      </c>
      <c r="R51" s="497"/>
      <c r="S51" s="497"/>
      <c r="T51" s="206">
        <v>0</v>
      </c>
      <c r="U51" s="497"/>
      <c r="V51" s="497"/>
      <c r="W51" s="206">
        <v>0</v>
      </c>
      <c r="X51" s="497"/>
      <c r="Y51" s="497"/>
      <c r="Z51" s="497">
        <f>Z50/Z48*100</f>
        <v>7.1999999999999993</v>
      </c>
      <c r="AA51" s="497"/>
      <c r="AB51" s="497"/>
      <c r="AC51" s="497">
        <f>AC50/AC48*100</f>
        <v>7.1999999999999993</v>
      </c>
      <c r="AD51" s="151"/>
    </row>
    <row r="52" spans="1:37" s="463" customFormat="1" ht="4.5" customHeight="1">
      <c r="A52" s="627"/>
      <c r="E52" s="166"/>
      <c r="Z52" s="97"/>
      <c r="AA52" s="151"/>
      <c r="AC52" s="97"/>
      <c r="AD52" s="151"/>
    </row>
    <row r="53" spans="1:37" s="463" customFormat="1" ht="16.5" customHeight="1">
      <c r="A53" s="627">
        <f>+A51+1</f>
        <v>38</v>
      </c>
      <c r="C53" s="410" t="s">
        <v>357</v>
      </c>
      <c r="E53" s="166"/>
      <c r="Z53" s="97"/>
      <c r="AA53" s="151"/>
      <c r="AC53" s="97"/>
      <c r="AD53" s="151"/>
    </row>
    <row r="54" spans="1:37" s="463" customFormat="1" ht="15" customHeight="1">
      <c r="A54" s="627">
        <f>+A53+1</f>
        <v>39</v>
      </c>
      <c r="C54" s="463" t="s">
        <v>278</v>
      </c>
      <c r="E54" s="166"/>
      <c r="G54" s="450">
        <v>2</v>
      </c>
      <c r="H54" s="450"/>
      <c r="I54" s="450">
        <v>2</v>
      </c>
      <c r="J54" s="450"/>
      <c r="K54" s="450">
        <v>2</v>
      </c>
      <c r="L54" s="450"/>
      <c r="M54" s="450">
        <v>2</v>
      </c>
      <c r="N54" s="450"/>
      <c r="O54" s="450">
        <v>2</v>
      </c>
      <c r="P54" s="450"/>
      <c r="Q54" s="450">
        <v>2</v>
      </c>
      <c r="R54" s="450"/>
      <c r="S54" s="450"/>
      <c r="T54" s="450">
        <v>2</v>
      </c>
      <c r="U54" s="450"/>
      <c r="V54" s="450"/>
      <c r="W54" s="450">
        <v>2</v>
      </c>
      <c r="X54" s="450"/>
      <c r="Y54" s="450"/>
      <c r="Z54" s="225">
        <v>2</v>
      </c>
      <c r="AA54" s="450"/>
      <c r="AB54" s="450"/>
      <c r="AC54" s="225">
        <v>2</v>
      </c>
      <c r="AD54" s="151"/>
    </row>
    <row r="55" spans="1:37" s="463" customFormat="1" ht="15" customHeight="1">
      <c r="A55" s="627">
        <f>+A54+1</f>
        <v>40</v>
      </c>
      <c r="C55" s="463" t="s">
        <v>54</v>
      </c>
      <c r="E55" s="166"/>
      <c r="G55" s="206">
        <v>412</v>
      </c>
      <c r="H55" s="206"/>
      <c r="I55" s="206">
        <v>360</v>
      </c>
      <c r="J55" s="206"/>
      <c r="K55" s="206">
        <v>365</v>
      </c>
      <c r="L55" s="206"/>
      <c r="M55" s="206">
        <v>427</v>
      </c>
      <c r="N55" s="206"/>
      <c r="O55" s="206">
        <v>338.23</v>
      </c>
      <c r="P55" s="450"/>
      <c r="Q55" s="206">
        <v>338.23</v>
      </c>
      <c r="R55" s="450"/>
      <c r="S55" s="450"/>
      <c r="T55" s="206">
        <v>338.23</v>
      </c>
      <c r="U55" s="450"/>
      <c r="V55" s="450"/>
      <c r="W55" s="206">
        <v>338.23</v>
      </c>
      <c r="X55" s="450"/>
      <c r="Y55" s="450"/>
      <c r="Z55" s="450">
        <v>488.82666666666671</v>
      </c>
      <c r="AA55" s="450"/>
      <c r="AB55" s="450"/>
      <c r="AC55" s="450">
        <v>488.82666666666671</v>
      </c>
      <c r="AD55" s="151"/>
    </row>
    <row r="56" spans="1:37" s="463" customFormat="1" ht="15" customHeight="1">
      <c r="A56" s="627">
        <f>+A55+1</f>
        <v>41</v>
      </c>
      <c r="C56" s="463" t="s">
        <v>55</v>
      </c>
      <c r="E56" s="166"/>
      <c r="G56" s="497">
        <f>G55/G54</f>
        <v>206</v>
      </c>
      <c r="H56" s="497"/>
      <c r="I56" s="497">
        <f>I55/I54</f>
        <v>180</v>
      </c>
      <c r="J56" s="497"/>
      <c r="K56" s="497">
        <f>K55/K54</f>
        <v>182.5</v>
      </c>
      <c r="L56" s="497"/>
      <c r="M56" s="497">
        <f>M55/M54</f>
        <v>213.5</v>
      </c>
      <c r="N56" s="496"/>
      <c r="O56" s="497">
        <f>O55/O54</f>
        <v>169.11500000000001</v>
      </c>
      <c r="P56" s="496"/>
      <c r="Q56" s="497">
        <f>Q55/Q54</f>
        <v>169.11500000000001</v>
      </c>
      <c r="R56" s="496"/>
      <c r="S56" s="496"/>
      <c r="T56" s="497">
        <f>T55/T54</f>
        <v>169.11500000000001</v>
      </c>
      <c r="U56" s="496"/>
      <c r="V56" s="496"/>
      <c r="W56" s="497">
        <f>W55/W54</f>
        <v>169.11500000000001</v>
      </c>
      <c r="X56" s="496"/>
      <c r="Y56" s="496"/>
      <c r="Z56" s="496">
        <f>Z55/Z54</f>
        <v>244.41333333333336</v>
      </c>
      <c r="AA56" s="496"/>
      <c r="AB56" s="496"/>
      <c r="AC56" s="496">
        <f>AC55/AC54</f>
        <v>244.41333333333336</v>
      </c>
      <c r="AD56" s="151"/>
    </row>
    <row r="57" spans="1:37" s="463" customFormat="1" ht="15" customHeight="1">
      <c r="A57" s="627">
        <f>+A56+1</f>
        <v>42</v>
      </c>
      <c r="C57" s="463" t="s">
        <v>56</v>
      </c>
      <c r="E57" s="166"/>
      <c r="G57" s="450">
        <v>41</v>
      </c>
      <c r="H57" s="450"/>
      <c r="I57" s="450">
        <v>37</v>
      </c>
      <c r="J57" s="450"/>
      <c r="K57" s="450">
        <v>38</v>
      </c>
      <c r="L57" s="450"/>
      <c r="M57" s="450">
        <v>38</v>
      </c>
      <c r="N57" s="450"/>
      <c r="O57" s="206">
        <v>28.06635</v>
      </c>
      <c r="P57" s="450"/>
      <c r="Q57" s="206">
        <v>28.0663254</v>
      </c>
      <c r="R57" s="450"/>
      <c r="S57" s="450"/>
      <c r="T57" s="206">
        <v>28.0663254</v>
      </c>
      <c r="U57" s="450"/>
      <c r="V57" s="450"/>
      <c r="W57" s="206">
        <v>28.0663254</v>
      </c>
      <c r="X57" s="450"/>
      <c r="Y57" s="450"/>
      <c r="Z57" s="779">
        <v>51.815626666666667</v>
      </c>
      <c r="AA57" s="450"/>
      <c r="AB57" s="450"/>
      <c r="AC57" s="779">
        <v>51.815626666666667</v>
      </c>
      <c r="AD57" s="151"/>
    </row>
    <row r="58" spans="1:37" s="463" customFormat="1" ht="15" customHeight="1">
      <c r="A58" s="627">
        <f>+A57+1</f>
        <v>43</v>
      </c>
      <c r="C58" s="363" t="s">
        <v>869</v>
      </c>
      <c r="E58" s="166"/>
      <c r="G58" s="497">
        <f>G57/G55*100</f>
        <v>9.9514563106796121</v>
      </c>
      <c r="H58" s="497"/>
      <c r="I58" s="497">
        <f>I57/I55*100</f>
        <v>10.277777777777777</v>
      </c>
      <c r="J58" s="497"/>
      <c r="K58" s="497">
        <f>K57/K55*100</f>
        <v>10.41095890410959</v>
      </c>
      <c r="L58" s="497"/>
      <c r="M58" s="497">
        <f>M57/M55*100</f>
        <v>8.8992974238875888</v>
      </c>
      <c r="N58" s="497"/>
      <c r="O58" s="497">
        <f>O57/O55*100</f>
        <v>8.2980072731573173</v>
      </c>
      <c r="P58" s="497"/>
      <c r="Q58" s="497">
        <f>Q57/Q55*100</f>
        <v>8.298</v>
      </c>
      <c r="R58" s="497"/>
      <c r="S58" s="497"/>
      <c r="T58" s="497">
        <f>T57/T55*100</f>
        <v>8.298</v>
      </c>
      <c r="U58" s="497"/>
      <c r="V58" s="497"/>
      <c r="W58" s="497">
        <f>W57/W55*100</f>
        <v>8.298</v>
      </c>
      <c r="X58" s="497"/>
      <c r="Y58" s="497"/>
      <c r="Z58" s="497">
        <f>Z57/Z55*100</f>
        <v>10.6</v>
      </c>
      <c r="AA58" s="497"/>
      <c r="AB58" s="497"/>
      <c r="AC58" s="497">
        <f>AC57/AC55*100</f>
        <v>10.6</v>
      </c>
      <c r="AD58" s="151"/>
      <c r="AK58" s="492"/>
    </row>
    <row r="59" spans="1:37" s="463" customFormat="1" ht="4.5" customHeight="1">
      <c r="A59" s="627"/>
      <c r="E59" s="166"/>
      <c r="Z59" s="97"/>
      <c r="AA59" s="151"/>
      <c r="AC59" s="97"/>
      <c r="AD59" s="151"/>
    </row>
    <row r="60" spans="1:37" s="463" customFormat="1" ht="15.75">
      <c r="A60" s="627">
        <f>+A58+1</f>
        <v>44</v>
      </c>
      <c r="C60" s="410" t="s">
        <v>58</v>
      </c>
      <c r="D60" s="410"/>
      <c r="E60" s="621"/>
      <c r="Z60" s="530"/>
      <c r="AC60" s="530"/>
    </row>
    <row r="61" spans="1:37" s="463" customFormat="1" ht="15">
      <c r="A61" s="627">
        <f>+A60+1</f>
        <v>45</v>
      </c>
      <c r="C61" s="463" t="s">
        <v>53</v>
      </c>
      <c r="E61" s="166"/>
      <c r="G61" s="450">
        <f>G10+G17+G47+G54</f>
        <v>15339</v>
      </c>
      <c r="H61" s="450"/>
      <c r="I61" s="450">
        <f>I10+I17+I47+I54</f>
        <v>15596</v>
      </c>
      <c r="J61" s="450"/>
      <c r="K61" s="450">
        <f>K10+K17+K47+K54</f>
        <v>15884</v>
      </c>
      <c r="L61" s="450"/>
      <c r="M61" s="450">
        <f>M10+M17+M47+M54</f>
        <v>16272</v>
      </c>
      <c r="N61" s="450"/>
      <c r="O61" s="450">
        <f>O10+O17+O47+O54</f>
        <v>16702</v>
      </c>
      <c r="P61" s="450"/>
      <c r="Q61" s="450">
        <f>Q10+Q17+Q47+Q54</f>
        <v>17028</v>
      </c>
      <c r="R61" s="450"/>
      <c r="S61" s="450"/>
      <c r="T61" s="450">
        <f>T10+T17+T47+T54</f>
        <v>17305.833333333336</v>
      </c>
      <c r="U61" s="450"/>
      <c r="V61" s="450"/>
      <c r="W61" s="450">
        <f>W10+W17+W47+W54</f>
        <v>17597.25</v>
      </c>
      <c r="X61" s="450"/>
      <c r="Y61" s="450"/>
      <c r="Z61" s="450">
        <f>Z10+Z17+Z47+Z54</f>
        <v>15316.916666666668</v>
      </c>
      <c r="AA61" s="450"/>
      <c r="AB61" s="450"/>
      <c r="AC61" s="450">
        <f>AC10+AC17+AC47+AC54</f>
        <v>15561.916666666666</v>
      </c>
      <c r="AD61" s="411"/>
      <c r="AG61" s="378"/>
      <c r="AI61" s="378"/>
      <c r="AK61" s="378"/>
    </row>
    <row r="62" spans="1:37" s="463" customFormat="1" ht="15">
      <c r="A62" s="627">
        <f>+A61+1</f>
        <v>46</v>
      </c>
      <c r="C62" s="463" t="s">
        <v>54</v>
      </c>
      <c r="E62" s="166" t="s">
        <v>294</v>
      </c>
      <c r="G62" s="450">
        <f>G11+G18+G31+G36+G48+G55</f>
        <v>292647</v>
      </c>
      <c r="H62" s="450"/>
      <c r="I62" s="450">
        <f>I11+I18+I31+I36+I48+I55</f>
        <v>293917</v>
      </c>
      <c r="J62" s="450"/>
      <c r="K62" s="450">
        <f>K11+K18+K31+K36+K48+K55</f>
        <v>291808</v>
      </c>
      <c r="L62" s="450"/>
      <c r="M62" s="450">
        <f>M11+M18+M31+M36+M48+M55</f>
        <v>297445</v>
      </c>
      <c r="N62" s="450"/>
      <c r="O62" s="450">
        <f>O11+O18+O31+O36+O48+O55</f>
        <v>316575.09399999992</v>
      </c>
      <c r="P62" s="450"/>
      <c r="Q62" s="450">
        <f>Q11+Q18+Q25+Q31+Q36+Q48+Q55</f>
        <v>318999.21590554004</v>
      </c>
      <c r="R62" s="450"/>
      <c r="S62" s="450"/>
      <c r="T62" s="450">
        <f>T11+T18+T25+T31+T36+T48+T55</f>
        <v>328767.59691470402</v>
      </c>
      <c r="U62" s="450"/>
      <c r="V62" s="450"/>
      <c r="W62" s="450">
        <f>W11+W18+W25+W31+W36+W48+W55</f>
        <v>334917.33588812745</v>
      </c>
      <c r="X62" s="450"/>
      <c r="Y62" s="450"/>
      <c r="Z62" s="450">
        <f>Z11+Z18+Z31+Z36+Z48+Z55</f>
        <v>292565.43267182645</v>
      </c>
      <c r="AA62" s="450"/>
      <c r="AB62" s="450"/>
      <c r="AC62" s="450">
        <f>AC11+AC18+AC31+AC36+AC48+AC55</f>
        <v>285576.0396888142</v>
      </c>
      <c r="AD62" s="411"/>
    </row>
    <row r="63" spans="1:37" s="463" customFormat="1" ht="15">
      <c r="A63" s="627">
        <f>+A62+1</f>
        <v>47</v>
      </c>
      <c r="C63" s="463" t="s">
        <v>56</v>
      </c>
      <c r="E63" s="166"/>
      <c r="G63" s="450">
        <f>G13+G20+G32+G37+G50+G57</f>
        <v>39834</v>
      </c>
      <c r="H63" s="450"/>
      <c r="I63" s="450">
        <f>I13+I20+I32+I37+I50+I57</f>
        <v>38699.239000000001</v>
      </c>
      <c r="J63" s="450"/>
      <c r="K63" s="450">
        <f>K13+K20+K32+K37+K50+K57</f>
        <v>40201.61</v>
      </c>
      <c r="L63" s="450"/>
      <c r="M63" s="450">
        <f>M13+M20+M32+M37+M50+M57</f>
        <v>43404.552100000001</v>
      </c>
      <c r="N63" s="450"/>
      <c r="O63" s="450">
        <f>O13+O20+O32+O37+O50+O57</f>
        <v>48485.585310000002</v>
      </c>
      <c r="P63" s="450"/>
      <c r="Q63" s="450">
        <f>Q13+Q20+Q27+Q32+Q37+Q50+Q57</f>
        <v>48959.320170216612</v>
      </c>
      <c r="R63" s="450"/>
      <c r="S63" s="450"/>
      <c r="T63" s="450">
        <f>T13+T20+T27+T32+T37+T50+T57</f>
        <v>50421.250913003336</v>
      </c>
      <c r="U63" s="450"/>
      <c r="V63" s="450"/>
      <c r="W63" s="450">
        <f>W13+W20+W27+W32+W37+W50+W57</f>
        <v>51391.437129144957</v>
      </c>
      <c r="X63" s="450"/>
      <c r="Y63" s="450"/>
      <c r="Z63" s="450">
        <f>Z13+Z20+Z32+Z37+Z50+Z57</f>
        <v>35560.904852143445</v>
      </c>
      <c r="AA63" s="563"/>
      <c r="AB63" s="450"/>
      <c r="AC63" s="450">
        <f>AC13+AC20+AC32+AC37+AC50+AC57</f>
        <v>35192.996598949932</v>
      </c>
      <c r="AD63" s="416"/>
      <c r="AI63" s="411"/>
    </row>
    <row r="64" spans="1:37" s="463" customFormat="1" ht="15">
      <c r="A64" s="627">
        <f>+A63+1</f>
        <v>48</v>
      </c>
      <c r="C64" s="363" t="s">
        <v>869</v>
      </c>
      <c r="E64" s="166"/>
      <c r="G64" s="497">
        <f>+G63/G62*100</f>
        <v>13.611620826456447</v>
      </c>
      <c r="H64" s="497"/>
      <c r="I64" s="497">
        <f>+I63/I62*100</f>
        <v>13.166723598839129</v>
      </c>
      <c r="J64" s="497"/>
      <c r="K64" s="497">
        <f>+K63/K62*100</f>
        <v>13.776733331505648</v>
      </c>
      <c r="L64" s="497"/>
      <c r="M64" s="497">
        <f>+M63/M62*100</f>
        <v>14.592463178066534</v>
      </c>
      <c r="N64" s="496"/>
      <c r="O64" s="497">
        <f>+O63/O62*100</f>
        <v>15.315666402360767</v>
      </c>
      <c r="P64" s="496"/>
      <c r="Q64" s="497">
        <f>+Q63/Q62*100</f>
        <v>15.347786994158044</v>
      </c>
      <c r="R64" s="496"/>
      <c r="S64" s="496"/>
      <c r="T64" s="497">
        <f>+T63/T62*100</f>
        <v>15.336441725455293</v>
      </c>
      <c r="U64" s="496"/>
      <c r="V64" s="496"/>
      <c r="W64" s="497">
        <f>+W63/W62*100</f>
        <v>15.344513891126631</v>
      </c>
      <c r="X64" s="496"/>
      <c r="Y64" s="496"/>
      <c r="Z64" s="497">
        <f>+Z63/Z62*100</f>
        <v>12.154855249776711</v>
      </c>
      <c r="AA64" s="773"/>
      <c r="AB64" s="497"/>
      <c r="AC64" s="497">
        <f>+AC63/AC62*100</f>
        <v>12.323511677414867</v>
      </c>
      <c r="AD64" s="157"/>
      <c r="AF64" s="530"/>
    </row>
    <row r="65" spans="1:35" ht="4.5" customHeight="1">
      <c r="A65" s="630"/>
      <c r="B65" s="473"/>
      <c r="C65" s="473"/>
      <c r="D65" s="473"/>
      <c r="E65" s="565"/>
      <c r="G65" s="491"/>
      <c r="I65" s="491"/>
      <c r="K65" s="491"/>
      <c r="L65" s="601"/>
      <c r="M65" s="491"/>
      <c r="O65" s="491"/>
      <c r="Q65" s="491"/>
      <c r="T65" s="491"/>
      <c r="W65" s="491"/>
      <c r="Z65" s="491"/>
      <c r="AA65" s="483"/>
      <c r="AC65" s="491"/>
      <c r="AD65" s="483"/>
    </row>
    <row r="66" spans="1:35" s="463" customFormat="1" ht="15">
      <c r="A66" s="627">
        <f>+A64+1</f>
        <v>49</v>
      </c>
      <c r="C66" s="463" t="s">
        <v>218</v>
      </c>
      <c r="F66" s="451"/>
      <c r="G66" s="563">
        <f>G63</f>
        <v>39834</v>
      </c>
      <c r="H66" s="563"/>
      <c r="I66" s="563">
        <f>I63</f>
        <v>38699.239000000001</v>
      </c>
      <c r="J66" s="563"/>
      <c r="K66" s="563">
        <f>K63</f>
        <v>40201.61</v>
      </c>
      <c r="L66" s="563"/>
      <c r="M66" s="563">
        <f>M63</f>
        <v>43404.552100000001</v>
      </c>
      <c r="N66" s="780"/>
      <c r="O66" s="563">
        <f>O63</f>
        <v>48485.585310000002</v>
      </c>
      <c r="P66" s="780"/>
      <c r="Q66" s="563">
        <f>Q63</f>
        <v>48959.320170216612</v>
      </c>
      <c r="R66" s="780"/>
      <c r="S66" s="780"/>
      <c r="T66" s="563">
        <f>T63</f>
        <v>50421.250913003336</v>
      </c>
      <c r="U66" s="780"/>
      <c r="V66" s="780"/>
      <c r="W66" s="563">
        <f>W63</f>
        <v>51391.437129144957</v>
      </c>
      <c r="X66" s="780"/>
      <c r="Y66" s="780"/>
      <c r="Z66" s="563">
        <f>Z63</f>
        <v>35560.904852143445</v>
      </c>
      <c r="AA66" s="563"/>
      <c r="AB66" s="780"/>
      <c r="AC66" s="563">
        <f>AC63</f>
        <v>35192.996598949932</v>
      </c>
      <c r="AD66" s="563"/>
      <c r="AE66" s="445"/>
      <c r="AF66" s="530"/>
    </row>
    <row r="67" spans="1:35" s="475" customFormat="1" ht="4.5" customHeight="1">
      <c r="A67" s="628"/>
      <c r="E67" s="405"/>
      <c r="G67" s="781"/>
      <c r="H67" s="781"/>
      <c r="I67" s="781"/>
      <c r="J67" s="781"/>
      <c r="K67" s="781"/>
      <c r="L67" s="781"/>
      <c r="M67" s="781"/>
      <c r="N67" s="782"/>
      <c r="O67" s="782"/>
      <c r="P67" s="782"/>
      <c r="Q67" s="782"/>
      <c r="R67" s="783"/>
      <c r="S67" s="782"/>
      <c r="T67" s="782"/>
      <c r="U67" s="782"/>
      <c r="V67" s="782"/>
      <c r="W67" s="782"/>
      <c r="X67" s="782"/>
      <c r="Y67" s="782"/>
      <c r="Z67" s="782"/>
      <c r="AA67" s="786"/>
      <c r="AB67" s="782"/>
      <c r="AC67" s="782"/>
      <c r="AD67" s="786"/>
      <c r="AE67" s="477"/>
      <c r="AF67" s="477"/>
      <c r="AH67" s="216"/>
      <c r="AI67" s="216"/>
    </row>
    <row r="68" spans="1:35" s="463" customFormat="1" ht="15" customHeight="1">
      <c r="A68" s="627">
        <f>+A66+1</f>
        <v>50</v>
      </c>
      <c r="C68" s="410" t="s">
        <v>413</v>
      </c>
      <c r="E68" s="166"/>
      <c r="F68" s="411"/>
      <c r="G68" s="450">
        <v>4990</v>
      </c>
      <c r="H68" s="450"/>
      <c r="I68" s="450">
        <v>4025.7</v>
      </c>
      <c r="J68" s="450"/>
      <c r="K68" s="450">
        <v>4353.0479999999998</v>
      </c>
      <c r="L68" s="450"/>
      <c r="M68" s="450">
        <v>2479</v>
      </c>
      <c r="N68" s="450"/>
      <c r="O68" s="450">
        <f>1437.367</f>
        <v>1437.367</v>
      </c>
      <c r="P68" s="450"/>
      <c r="Q68" s="450">
        <v>0</v>
      </c>
      <c r="R68" s="450"/>
      <c r="S68" s="450"/>
      <c r="T68" s="450">
        <v>0</v>
      </c>
      <c r="U68" s="450"/>
      <c r="V68" s="450"/>
      <c r="W68" s="450">
        <v>0</v>
      </c>
      <c r="X68" s="450"/>
      <c r="Y68" s="450"/>
      <c r="Z68" s="450">
        <v>5120.3466999636812</v>
      </c>
      <c r="AA68" s="563"/>
      <c r="AB68" s="450"/>
      <c r="AC68" s="450">
        <v>5171.8250632818917</v>
      </c>
      <c r="AD68" s="563"/>
    </row>
    <row r="69" spans="1:35" s="463" customFormat="1" ht="4.5" customHeight="1">
      <c r="A69" s="627"/>
      <c r="C69" s="410"/>
      <c r="E69" s="166"/>
      <c r="F69" s="411"/>
      <c r="G69" s="214"/>
      <c r="H69" s="450"/>
      <c r="I69" s="214"/>
      <c r="J69" s="450"/>
      <c r="K69" s="214"/>
      <c r="L69" s="563"/>
      <c r="M69" s="214"/>
      <c r="N69" s="450"/>
      <c r="O69" s="214"/>
      <c r="P69" s="450"/>
      <c r="Q69" s="214"/>
      <c r="R69" s="450"/>
      <c r="S69" s="450"/>
      <c r="T69" s="214"/>
      <c r="U69" s="450"/>
      <c r="V69" s="450"/>
      <c r="W69" s="214"/>
      <c r="X69" s="450"/>
      <c r="Y69" s="450"/>
      <c r="Z69" s="214"/>
      <c r="AA69" s="563"/>
      <c r="AB69" s="450"/>
      <c r="AC69" s="214"/>
      <c r="AD69" s="563"/>
    </row>
    <row r="70" spans="1:35" s="463" customFormat="1" ht="15" customHeight="1">
      <c r="A70" s="627">
        <f>+A68+1</f>
        <v>51</v>
      </c>
      <c r="C70" s="410" t="s">
        <v>414</v>
      </c>
      <c r="E70" s="166" t="s">
        <v>280</v>
      </c>
      <c r="F70" s="411"/>
      <c r="G70" s="450">
        <f>+G68+G66</f>
        <v>44824</v>
      </c>
      <c r="H70" s="450"/>
      <c r="I70" s="450">
        <f>+I68+I66</f>
        <v>42724.938999999998</v>
      </c>
      <c r="J70" s="450"/>
      <c r="K70" s="450">
        <f>+K68+K66</f>
        <v>44554.658000000003</v>
      </c>
      <c r="L70" s="450"/>
      <c r="M70" s="450">
        <f>+M68+M66</f>
        <v>45883.552100000001</v>
      </c>
      <c r="N70" s="450"/>
      <c r="O70" s="450">
        <f>+O68+O66</f>
        <v>49922.952310000001</v>
      </c>
      <c r="P70" s="450"/>
      <c r="Q70" s="450">
        <f>+Q68+Q66</f>
        <v>48959.320170216612</v>
      </c>
      <c r="R70" s="450">
        <v>53679</v>
      </c>
      <c r="S70" s="450"/>
      <c r="T70" s="450">
        <f>+T68+T66</f>
        <v>50421.250913003336</v>
      </c>
      <c r="U70" s="450">
        <v>57457.8</v>
      </c>
      <c r="V70" s="450"/>
      <c r="W70" s="450">
        <f>+W68+W66</f>
        <v>51391.437129144957</v>
      </c>
      <c r="X70" s="450">
        <v>59911.69999999999</v>
      </c>
      <c r="Y70" s="450"/>
      <c r="Z70" s="450">
        <f>+Z68+Z66</f>
        <v>40681.251552107125</v>
      </c>
      <c r="AA70" s="563">
        <v>44021.283350000303</v>
      </c>
      <c r="AB70" s="450"/>
      <c r="AC70" s="450">
        <f>+AC68+AC66</f>
        <v>40364.821662231821</v>
      </c>
      <c r="AD70" s="563">
        <v>44436.788920269129</v>
      </c>
    </row>
    <row r="71" spans="1:35" s="463" customFormat="1" ht="4.5" customHeight="1">
      <c r="A71" s="627"/>
      <c r="C71" s="410"/>
      <c r="E71" s="166"/>
      <c r="F71" s="411"/>
      <c r="G71" s="450"/>
      <c r="H71" s="450"/>
      <c r="I71" s="450"/>
      <c r="J71" s="450"/>
      <c r="K71" s="450"/>
      <c r="L71" s="450"/>
      <c r="M71" s="450"/>
      <c r="N71" s="450"/>
      <c r="O71" s="450"/>
      <c r="P71" s="450"/>
      <c r="Q71" s="450"/>
      <c r="R71" s="450"/>
      <c r="S71" s="450"/>
      <c r="T71" s="450"/>
      <c r="U71" s="450"/>
      <c r="V71" s="450"/>
      <c r="W71" s="450"/>
      <c r="X71" s="450"/>
      <c r="Y71" s="450"/>
      <c r="Z71" s="450"/>
      <c r="AA71" s="450"/>
      <c r="AB71" s="450"/>
      <c r="AC71" s="450"/>
      <c r="AD71" s="450"/>
    </row>
    <row r="72" spans="1:35" s="475" customFormat="1" ht="15.75">
      <c r="A72" s="627">
        <f>+A70+1</f>
        <v>52</v>
      </c>
      <c r="B72" s="477"/>
      <c r="C72" s="422" t="s">
        <v>439</v>
      </c>
      <c r="D72" s="530"/>
      <c r="E72" s="531"/>
      <c r="F72" s="463"/>
      <c r="G72" s="450"/>
      <c r="H72" s="450"/>
      <c r="I72" s="450"/>
      <c r="J72" s="450"/>
      <c r="K72" s="450"/>
      <c r="L72" s="450"/>
      <c r="M72" s="450"/>
      <c r="N72" s="225"/>
      <c r="O72" s="225"/>
      <c r="P72" s="225"/>
      <c r="Q72" s="225"/>
      <c r="R72" s="225">
        <f>+R70-Q70</f>
        <v>4719.6798297833884</v>
      </c>
      <c r="S72" s="225"/>
      <c r="T72" s="225"/>
      <c r="U72" s="225">
        <f>+U70-T70</f>
        <v>7036.549086996667</v>
      </c>
      <c r="V72" s="225"/>
      <c r="W72" s="225"/>
      <c r="X72" s="225">
        <f>+X70-W70</f>
        <v>8520.2628708550328</v>
      </c>
      <c r="Y72" s="225"/>
      <c r="Z72" s="782"/>
      <c r="AA72" s="450">
        <f>AA70-Z70</f>
        <v>3340.031797893178</v>
      </c>
      <c r="AB72" s="450"/>
      <c r="AC72" s="781"/>
      <c r="AD72" s="450">
        <f>AD70-AC70</f>
        <v>4071.9672580373081</v>
      </c>
      <c r="AE72" s="530"/>
      <c r="AF72" s="477"/>
    </row>
    <row r="73" spans="1:35" s="475" customFormat="1" ht="15">
      <c r="A73" s="629">
        <f>A72+1</f>
        <v>53</v>
      </c>
      <c r="B73" s="477"/>
      <c r="C73" s="330" t="s">
        <v>841</v>
      </c>
      <c r="D73" s="530"/>
      <c r="E73" s="531"/>
      <c r="F73" s="451"/>
      <c r="G73" s="563"/>
      <c r="H73" s="563"/>
      <c r="I73" s="563"/>
      <c r="J73" s="563"/>
      <c r="K73" s="563"/>
      <c r="L73" s="563"/>
      <c r="M73" s="563"/>
      <c r="N73" s="780"/>
      <c r="O73" s="780"/>
      <c r="P73" s="780"/>
      <c r="Q73" s="780"/>
      <c r="R73" s="784">
        <v>-1070.6702959968982</v>
      </c>
      <c r="S73" s="780"/>
      <c r="T73" s="780"/>
      <c r="U73" s="784">
        <v>-1085.9504320914959</v>
      </c>
      <c r="V73" s="780"/>
      <c r="W73" s="780"/>
      <c r="X73" s="784">
        <v>-1086.5636308306389</v>
      </c>
      <c r="Y73" s="780"/>
      <c r="Z73" s="785" t="s">
        <v>27</v>
      </c>
      <c r="AA73" s="214">
        <v>-3762</v>
      </c>
      <c r="AB73" s="780"/>
      <c r="AC73" s="785" t="s">
        <v>27</v>
      </c>
      <c r="AD73" s="214">
        <v>-3465</v>
      </c>
      <c r="AE73" s="530"/>
      <c r="AF73" s="477"/>
    </row>
    <row r="74" spans="1:35" s="475" customFormat="1" ht="15.75">
      <c r="A74" s="629">
        <f>A73+1</f>
        <v>54</v>
      </c>
      <c r="B74" s="477"/>
      <c r="C74" s="333" t="s">
        <v>440</v>
      </c>
      <c r="D74" s="530"/>
      <c r="E74" s="531" t="s">
        <v>572</v>
      </c>
      <c r="F74" s="463"/>
      <c r="G74" s="450"/>
      <c r="H74" s="450"/>
      <c r="I74" s="450"/>
      <c r="J74" s="450"/>
      <c r="K74" s="450"/>
      <c r="L74" s="450"/>
      <c r="M74" s="450"/>
      <c r="N74" s="225"/>
      <c r="O74" s="225"/>
      <c r="P74" s="225"/>
      <c r="Q74" s="225"/>
      <c r="R74" s="780">
        <f>+R72+R73</f>
        <v>3649.0095337864905</v>
      </c>
      <c r="S74" s="225"/>
      <c r="T74" s="225"/>
      <c r="U74" s="780">
        <f>+U72+U73</f>
        <v>5950.5986549051713</v>
      </c>
      <c r="V74" s="225"/>
      <c r="W74" s="225"/>
      <c r="X74" s="780">
        <f>+X72+X73</f>
        <v>7433.6992400243944</v>
      </c>
      <c r="Y74" s="225"/>
      <c r="Z74" s="782"/>
      <c r="AA74" s="780">
        <f>+AA72+AA73</f>
        <v>-421.96820210682199</v>
      </c>
      <c r="AB74" s="780"/>
      <c r="AC74" s="786"/>
      <c r="AD74" s="780">
        <f>+AD72+AD73</f>
        <v>606.96725803730806</v>
      </c>
      <c r="AE74" s="530"/>
      <c r="AF74" s="477"/>
    </row>
    <row r="75" spans="1:35" s="475" customFormat="1" ht="4.5" customHeight="1">
      <c r="A75" s="629"/>
      <c r="B75" s="477"/>
      <c r="C75" s="331"/>
      <c r="D75" s="530"/>
      <c r="E75" s="531"/>
      <c r="F75" s="463"/>
      <c r="G75" s="450"/>
      <c r="H75" s="450"/>
      <c r="I75" s="450"/>
      <c r="J75" s="450"/>
      <c r="K75" s="450"/>
      <c r="L75" s="450"/>
      <c r="M75" s="450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25"/>
      <c r="Y75" s="225"/>
      <c r="Z75" s="782"/>
      <c r="AA75" s="780"/>
      <c r="AB75" s="780"/>
      <c r="AC75" s="786"/>
      <c r="AD75" s="780"/>
      <c r="AE75" s="530"/>
      <c r="AF75" s="477"/>
    </row>
    <row r="76" spans="1:35" s="475" customFormat="1" ht="15.75">
      <c r="A76" s="627">
        <f>+A74+1</f>
        <v>55</v>
      </c>
      <c r="B76" s="477"/>
      <c r="C76" s="334" t="s">
        <v>441</v>
      </c>
      <c r="D76" s="530"/>
      <c r="E76" s="531"/>
      <c r="F76" s="463"/>
      <c r="G76" s="450"/>
      <c r="H76" s="450"/>
      <c r="I76" s="450"/>
      <c r="J76" s="450"/>
      <c r="K76" s="450"/>
      <c r="L76" s="450"/>
      <c r="M76" s="450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782"/>
      <c r="AA76" s="780"/>
      <c r="AB76" s="225"/>
      <c r="AC76" s="782"/>
      <c r="AD76" s="780"/>
      <c r="AE76" s="530"/>
      <c r="AF76" s="477"/>
    </row>
    <row r="77" spans="1:35" s="475" customFormat="1" ht="4.5" customHeight="1">
      <c r="A77" s="629"/>
      <c r="B77" s="477"/>
      <c r="C77" s="331"/>
      <c r="D77" s="530"/>
      <c r="E77" s="531"/>
      <c r="F77" s="463"/>
      <c r="G77" s="450"/>
      <c r="H77" s="450"/>
      <c r="I77" s="450"/>
      <c r="J77" s="450"/>
      <c r="K77" s="450"/>
      <c r="L77" s="450"/>
      <c r="M77" s="450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25"/>
      <c r="Z77" s="782"/>
      <c r="AA77" s="780"/>
      <c r="AB77" s="225"/>
      <c r="AC77" s="782"/>
      <c r="AD77" s="780"/>
      <c r="AE77" s="530"/>
      <c r="AF77" s="477"/>
    </row>
    <row r="78" spans="1:35" s="475" customFormat="1" ht="15">
      <c r="A78" s="627">
        <f>+A76+1</f>
        <v>56</v>
      </c>
      <c r="B78" s="477"/>
      <c r="C78" s="320" t="s">
        <v>442</v>
      </c>
      <c r="D78" s="530"/>
      <c r="E78" s="531" t="s">
        <v>450</v>
      </c>
      <c r="F78" s="463"/>
      <c r="G78" s="450"/>
      <c r="H78" s="450"/>
      <c r="I78" s="450"/>
      <c r="J78" s="450"/>
      <c r="K78" s="450"/>
      <c r="L78" s="450"/>
      <c r="M78" s="450"/>
      <c r="N78" s="225"/>
      <c r="O78" s="225"/>
      <c r="P78" s="225"/>
      <c r="Q78" s="780">
        <f>+Q43</f>
        <v>48931.253844816609</v>
      </c>
      <c r="R78" s="225"/>
      <c r="S78" s="225"/>
      <c r="T78" s="780">
        <f>+T43</f>
        <v>50393.184587603333</v>
      </c>
      <c r="U78" s="225"/>
      <c r="V78" s="225"/>
      <c r="W78" s="780">
        <f>+W43</f>
        <v>51363.370803744954</v>
      </c>
      <c r="X78" s="225"/>
      <c r="Y78" s="780"/>
      <c r="Z78" s="780">
        <f>+Z43</f>
        <v>34295.691225476774</v>
      </c>
      <c r="AA78" s="780"/>
      <c r="AB78" s="780"/>
      <c r="AC78" s="780">
        <f>+AC43</f>
        <v>34640.489372283264</v>
      </c>
      <c r="AD78" s="780"/>
      <c r="AE78" s="530"/>
      <c r="AF78" s="477"/>
    </row>
    <row r="79" spans="1:35" s="475" customFormat="1" ht="15">
      <c r="A79" s="627">
        <f>A78+1</f>
        <v>57</v>
      </c>
      <c r="C79" s="622" t="s">
        <v>731</v>
      </c>
      <c r="D79" s="463"/>
      <c r="E79" s="166"/>
      <c r="F79" s="463"/>
      <c r="G79" s="450"/>
      <c r="H79" s="450"/>
      <c r="I79" s="450"/>
      <c r="J79" s="450"/>
      <c r="K79" s="450"/>
      <c r="L79" s="450"/>
      <c r="M79" s="450"/>
      <c r="N79" s="450"/>
      <c r="O79" s="450"/>
      <c r="P79" s="450"/>
      <c r="Q79" s="258">
        <v>10429</v>
      </c>
      <c r="R79" s="450"/>
      <c r="S79" s="563"/>
      <c r="T79" s="258">
        <v>12169.024566299999</v>
      </c>
      <c r="U79" s="450"/>
      <c r="V79" s="450"/>
      <c r="W79" s="258">
        <v>12304.103013599999</v>
      </c>
      <c r="X79" s="450"/>
      <c r="Y79" s="563"/>
      <c r="Z79" s="214">
        <v>3794.5083903871118</v>
      </c>
      <c r="AA79" s="563"/>
      <c r="AB79" s="450"/>
      <c r="AC79" s="214">
        <v>3750.0505610204718</v>
      </c>
      <c r="AD79" s="563"/>
      <c r="AE79" s="463"/>
    </row>
    <row r="80" spans="1:35" s="475" customFormat="1" ht="15">
      <c r="A80" s="629">
        <f>A79+1</f>
        <v>58</v>
      </c>
      <c r="B80" s="477"/>
      <c r="C80" s="332" t="s">
        <v>443</v>
      </c>
      <c r="D80" s="530"/>
      <c r="E80" s="531" t="s">
        <v>555</v>
      </c>
      <c r="F80" s="463"/>
      <c r="G80" s="450"/>
      <c r="H80" s="450"/>
      <c r="I80" s="450"/>
      <c r="J80" s="450"/>
      <c r="K80" s="450"/>
      <c r="L80" s="450"/>
      <c r="M80" s="450"/>
      <c r="N80" s="225"/>
      <c r="O80" s="225"/>
      <c r="P80" s="225"/>
      <c r="Q80" s="780">
        <f>Q78+Q79</f>
        <v>59360.253844816609</v>
      </c>
      <c r="R80" s="225"/>
      <c r="S80" s="780"/>
      <c r="T80" s="780">
        <f>T78+T79</f>
        <v>62562.209153903328</v>
      </c>
      <c r="U80" s="225"/>
      <c r="V80" s="780"/>
      <c r="W80" s="780">
        <f>W78+W79</f>
        <v>63667.473817344951</v>
      </c>
      <c r="X80" s="225"/>
      <c r="Y80" s="780"/>
      <c r="Z80" s="780">
        <f>Z43+Z79</f>
        <v>38090.199615863887</v>
      </c>
      <c r="AA80" s="787"/>
      <c r="AB80" s="225"/>
      <c r="AC80" s="780">
        <f>AC43+AC79</f>
        <v>38390.539933303735</v>
      </c>
      <c r="AD80" s="787"/>
      <c r="AE80" s="530"/>
      <c r="AF80" s="477"/>
    </row>
    <row r="81" spans="1:32" s="475" customFormat="1" ht="16.5" thickBot="1">
      <c r="A81" s="629">
        <f>A80+1</f>
        <v>59</v>
      </c>
      <c r="B81" s="477"/>
      <c r="C81" s="422" t="s">
        <v>840</v>
      </c>
      <c r="D81" s="530"/>
      <c r="E81" s="531" t="s">
        <v>556</v>
      </c>
      <c r="F81" s="463"/>
      <c r="G81" s="463"/>
      <c r="H81" s="463"/>
      <c r="I81" s="463"/>
      <c r="J81" s="463"/>
      <c r="K81" s="463"/>
      <c r="L81" s="463"/>
      <c r="M81" s="463"/>
      <c r="N81" s="530"/>
      <c r="O81" s="530"/>
      <c r="P81" s="530"/>
      <c r="Q81" s="476"/>
      <c r="R81" s="327">
        <f>R74/Q80</f>
        <v>6.1472269699620316E-2</v>
      </c>
      <c r="S81" s="474"/>
      <c r="T81" s="476"/>
      <c r="U81" s="327">
        <f>U74/T80</f>
        <v>9.5114906193076887E-2</v>
      </c>
      <c r="W81" s="476"/>
      <c r="X81" s="327">
        <f>X74/W80</f>
        <v>0.11675819369480353</v>
      </c>
      <c r="Y81" s="474"/>
      <c r="Z81" s="476"/>
      <c r="AA81" s="327">
        <f>AA74/Z80</f>
        <v>-1.1078130499769809E-2</v>
      </c>
      <c r="AB81" s="530"/>
      <c r="AC81" s="476"/>
      <c r="AD81" s="327">
        <f>AD74/AC80</f>
        <v>1.5810333980501402E-2</v>
      </c>
      <c r="AE81" s="530"/>
      <c r="AF81" s="477"/>
    </row>
    <row r="82" spans="1:32" ht="15.75" thickTop="1">
      <c r="A82" s="328"/>
      <c r="B82" s="476"/>
      <c r="C82" s="329"/>
      <c r="D82" s="445"/>
      <c r="E82" s="328"/>
      <c r="F82" s="451"/>
      <c r="G82" s="451"/>
      <c r="H82" s="451"/>
      <c r="I82" s="451"/>
      <c r="J82" s="451"/>
      <c r="K82" s="451"/>
      <c r="L82" s="451"/>
      <c r="M82" s="451"/>
      <c r="N82" s="445"/>
      <c r="O82" s="445"/>
      <c r="P82" s="445"/>
      <c r="Q82" s="445"/>
      <c r="R82" s="445"/>
      <c r="S82" s="445"/>
      <c r="T82" s="445"/>
      <c r="U82" s="445"/>
      <c r="V82" s="445"/>
      <c r="W82" s="445"/>
      <c r="X82" s="445"/>
      <c r="Y82" s="445"/>
      <c r="Z82" s="476"/>
      <c r="AA82" s="99"/>
      <c r="AB82" s="445"/>
      <c r="AC82" s="476"/>
      <c r="AD82" s="99"/>
      <c r="AE82" s="530"/>
    </row>
    <row r="83" spans="1:32">
      <c r="A83" s="493"/>
    </row>
    <row r="84" spans="1:32">
      <c r="A84" s="493"/>
      <c r="G84" s="631"/>
      <c r="H84" s="631"/>
      <c r="I84" s="631"/>
      <c r="J84" s="631"/>
      <c r="K84" s="631"/>
      <c r="L84" s="631"/>
      <c r="M84" s="631"/>
      <c r="N84" s="631"/>
      <c r="O84" s="631"/>
      <c r="P84" s="631"/>
      <c r="Q84" s="631"/>
      <c r="R84" s="631"/>
      <c r="S84" s="631"/>
      <c r="T84" s="631"/>
      <c r="U84" s="631"/>
      <c r="V84" s="631"/>
      <c r="W84" s="631"/>
      <c r="X84" s="631"/>
      <c r="Y84" s="631"/>
      <c r="Z84" s="631"/>
      <c r="AA84" s="631"/>
      <c r="AB84" s="631"/>
      <c r="AC84" s="631"/>
    </row>
    <row r="85" spans="1:32">
      <c r="A85" s="493"/>
    </row>
    <row r="86" spans="1:32">
      <c r="A86" s="493"/>
    </row>
    <row r="87" spans="1:32">
      <c r="A87" s="493"/>
    </row>
    <row r="88" spans="1:32">
      <c r="A88" s="493"/>
    </row>
    <row r="89" spans="1:32">
      <c r="A89" s="493"/>
    </row>
    <row r="90" spans="1:32">
      <c r="A90" s="493"/>
    </row>
    <row r="91" spans="1:32">
      <c r="A91" s="493"/>
    </row>
    <row r="92" spans="1:32">
      <c r="A92" s="493"/>
    </row>
    <row r="93" spans="1:32">
      <c r="A93" s="493"/>
    </row>
    <row r="94" spans="1:32">
      <c r="A94" s="493"/>
    </row>
    <row r="95" spans="1:32">
      <c r="A95" s="493"/>
    </row>
    <row r="96" spans="1:32">
      <c r="A96" s="493"/>
    </row>
    <row r="97" spans="1:1">
      <c r="A97" s="493"/>
    </row>
    <row r="98" spans="1:1">
      <c r="A98" s="493"/>
    </row>
    <row r="99" spans="1:1">
      <c r="A99" s="493"/>
    </row>
    <row r="100" spans="1:1">
      <c r="A100" s="493"/>
    </row>
    <row r="101" spans="1:1">
      <c r="A101" s="493"/>
    </row>
    <row r="102" spans="1:1">
      <c r="A102" s="493"/>
    </row>
    <row r="103" spans="1:1">
      <c r="A103" s="493"/>
    </row>
    <row r="104" spans="1:1">
      <c r="A104" s="493"/>
    </row>
    <row r="105" spans="1:1">
      <c r="A105" s="493"/>
    </row>
    <row r="106" spans="1:1">
      <c r="A106" s="493"/>
    </row>
    <row r="107" spans="1:1">
      <c r="A107" s="493"/>
    </row>
    <row r="108" spans="1:1">
      <c r="A108" s="493"/>
    </row>
    <row r="109" spans="1:1">
      <c r="A109" s="493"/>
    </row>
    <row r="110" spans="1:1">
      <c r="A110" s="493"/>
    </row>
    <row r="111" spans="1:1">
      <c r="A111" s="493"/>
    </row>
    <row r="112" spans="1:1">
      <c r="A112" s="493"/>
    </row>
    <row r="113" spans="1:1">
      <c r="A113" s="493"/>
    </row>
    <row r="114" spans="1:1">
      <c r="A114" s="493"/>
    </row>
    <row r="115" spans="1:1">
      <c r="A115" s="493"/>
    </row>
    <row r="116" spans="1:1">
      <c r="A116" s="493"/>
    </row>
    <row r="117" spans="1:1">
      <c r="A117" s="493"/>
    </row>
    <row r="118" spans="1:1">
      <c r="A118" s="493"/>
    </row>
    <row r="119" spans="1:1">
      <c r="A119" s="493"/>
    </row>
    <row r="120" spans="1:1">
      <c r="A120" s="493"/>
    </row>
    <row r="121" spans="1:1">
      <c r="A121" s="493"/>
    </row>
    <row r="122" spans="1:1">
      <c r="A122" s="493"/>
    </row>
  </sheetData>
  <customSheetViews>
    <customSheetView guid="{275E5119-9E8C-43ED-ACD2-DF40CF10B219}" scale="70" fitToPage="1" topLeftCell="A10">
      <selection activeCell="M25" sqref="M25"/>
      <pageMargins left="0.5" right="0.5" top="0.35" bottom="0.36" header="0.23" footer="0.28999999999999998"/>
      <pageSetup scale="65" orientation="portrait" horizontalDpi="4294967292" verticalDpi="4294967292" r:id="rId1"/>
      <headerFooter alignWithMargins="0"/>
    </customSheetView>
    <customSheetView guid="{D346ECD1-ED60-4F74-8B02-572F89E41ACB}" scale="70" showPageBreaks="1" fitToPage="1" showRuler="0" topLeftCell="A10">
      <selection activeCell="M25" sqref="M25"/>
      <pageMargins left="0.5" right="0.5" top="0.35" bottom="0.36" header="0.23" footer="0.28999999999999998"/>
      <pageSetup scale="46" orientation="portrait" horizontalDpi="4294967292" verticalDpi="4294967292" r:id="rId2"/>
      <headerFooter alignWithMargins="0"/>
    </customSheetView>
  </customSheetViews>
  <mergeCells count="6">
    <mergeCell ref="AC6:AD6"/>
    <mergeCell ref="Q5:X5"/>
    <mergeCell ref="Q6:R6"/>
    <mergeCell ref="T6:U6"/>
    <mergeCell ref="W6:X6"/>
    <mergeCell ref="Z6:AA6"/>
  </mergeCells>
  <phoneticPr fontId="8" type="noConversion"/>
  <pageMargins left="0.25" right="0.15" top="0.6" bottom="0.36" header="0.23" footer="0.28999999999999998"/>
  <pageSetup scale="45" orientation="landscape" horizontalDpi="1200" verticalDpi="1200" r:id="rId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 enableFormatConditionsCalculation="0">
    <pageSetUpPr fitToPage="1"/>
  </sheetPr>
  <dimension ref="A1:AD88"/>
  <sheetViews>
    <sheetView zoomScale="115" zoomScaleNormal="115" zoomScaleSheetLayoutView="115" workbookViewId="0">
      <selection activeCell="C14" sqref="C14"/>
    </sheetView>
  </sheetViews>
  <sheetFormatPr defaultRowHeight="12.75"/>
  <cols>
    <col min="1" max="1" width="7" customWidth="1"/>
    <col min="2" max="2" width="2.28515625" style="529" customWidth="1"/>
    <col min="3" max="3" width="35" customWidth="1"/>
    <col min="4" max="4" width="2.28515625" style="3" customWidth="1"/>
    <col min="5" max="5" width="17.28515625" style="6" bestFit="1" customWidth="1"/>
    <col min="6" max="6" width="2.7109375" customWidth="1"/>
    <col min="7" max="7" width="10.28515625" style="357" customWidth="1"/>
    <col min="8" max="8" width="2.28515625" customWidth="1"/>
    <col min="9" max="9" width="10.28515625" style="357" customWidth="1"/>
    <col min="10" max="10" width="2.28515625" customWidth="1"/>
    <col min="11" max="11" width="10.28515625" style="357" customWidth="1"/>
    <col min="12" max="12" width="2.28515625" customWidth="1"/>
    <col min="13" max="13" width="10.28515625" style="357" customWidth="1"/>
    <col min="14" max="14" width="2.28515625" style="357" customWidth="1"/>
    <col min="15" max="15" width="10.28515625" style="357" customWidth="1"/>
    <col min="16" max="16" width="2.28515625" style="357" customWidth="1"/>
    <col min="17" max="17" width="10.28515625" style="357" customWidth="1"/>
    <col min="18" max="18" width="2.28515625" style="357" customWidth="1"/>
    <col min="19" max="19" width="10.28515625" style="357" customWidth="1"/>
    <col min="20" max="20" width="2.28515625" style="357" customWidth="1"/>
    <col min="21" max="21" width="10.28515625" style="357" customWidth="1"/>
    <col min="22" max="22" width="2.28515625" customWidth="1"/>
    <col min="23" max="23" width="10.28515625" customWidth="1"/>
    <col min="24" max="24" width="2.28515625" customWidth="1"/>
    <col min="25" max="25" width="10.28515625" customWidth="1"/>
    <col min="26" max="26" width="2.28515625" customWidth="1"/>
    <col min="27" max="27" width="16" bestFit="1" customWidth="1"/>
  </cols>
  <sheetData>
    <row r="1" spans="1:28">
      <c r="A1" s="461" t="s">
        <v>540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107" t="s">
        <v>508</v>
      </c>
    </row>
    <row r="2" spans="1:28">
      <c r="A2" s="461" t="s">
        <v>463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</row>
    <row r="3" spans="1:28">
      <c r="A3" s="461" t="s">
        <v>163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8">
      <c r="A4" s="91" t="s">
        <v>109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8">
      <c r="A5" s="91"/>
      <c r="B5" s="91"/>
      <c r="C5" s="7"/>
      <c r="D5" s="49"/>
      <c r="M5" s="452"/>
      <c r="N5" s="452"/>
      <c r="O5" s="452"/>
      <c r="P5" s="452"/>
      <c r="Q5" s="452"/>
      <c r="R5" s="452"/>
      <c r="S5" s="452"/>
      <c r="T5" s="452"/>
      <c r="U5" s="452"/>
      <c r="V5" s="453"/>
      <c r="W5" s="264" t="s">
        <v>459</v>
      </c>
      <c r="X5" s="454"/>
      <c r="Y5" s="264" t="s">
        <v>459</v>
      </c>
      <c r="Z5" s="453"/>
    </row>
    <row r="6" spans="1:28">
      <c r="A6" s="92" t="s">
        <v>33</v>
      </c>
      <c r="B6" s="637"/>
      <c r="E6" s="5" t="s">
        <v>34</v>
      </c>
      <c r="G6" s="358" t="s">
        <v>25</v>
      </c>
      <c r="I6" s="358" t="s">
        <v>25</v>
      </c>
      <c r="K6" s="358" t="s">
        <v>25</v>
      </c>
      <c r="M6" s="358" t="s">
        <v>25</v>
      </c>
      <c r="N6" s="358"/>
      <c r="O6" s="358" t="s">
        <v>25</v>
      </c>
      <c r="P6" s="358"/>
      <c r="Q6" s="826" t="s">
        <v>330</v>
      </c>
      <c r="R6" s="826"/>
      <c r="S6" s="826"/>
      <c r="T6" s="826"/>
      <c r="U6" s="826"/>
      <c r="V6" s="453"/>
      <c r="W6" s="446" t="s">
        <v>15</v>
      </c>
      <c r="X6" s="264"/>
      <c r="Y6" s="446" t="s">
        <v>15</v>
      </c>
      <c r="Z6" s="453"/>
    </row>
    <row r="7" spans="1:28">
      <c r="A7" s="93" t="s">
        <v>35</v>
      </c>
      <c r="B7" s="638"/>
      <c r="C7" s="87" t="s">
        <v>178</v>
      </c>
      <c r="D7" s="114"/>
      <c r="E7" s="88" t="s">
        <v>36</v>
      </c>
      <c r="G7" s="88">
        <v>2008</v>
      </c>
      <c r="I7" s="88">
        <v>2009</v>
      </c>
      <c r="K7" s="88">
        <v>2010</v>
      </c>
      <c r="M7" s="88">
        <v>2011</v>
      </c>
      <c r="N7" s="243"/>
      <c r="O7" s="88">
        <v>2012</v>
      </c>
      <c r="P7" s="243"/>
      <c r="Q7" s="88">
        <v>2013</v>
      </c>
      <c r="R7" s="243"/>
      <c r="S7" s="88">
        <v>2014</v>
      </c>
      <c r="T7" s="440"/>
      <c r="U7" s="88">
        <v>2015</v>
      </c>
      <c r="V7" s="453"/>
      <c r="W7" s="447">
        <v>2008</v>
      </c>
      <c r="X7" s="264"/>
      <c r="Y7" s="447">
        <v>2009</v>
      </c>
      <c r="Z7" s="453"/>
    </row>
    <row r="8" spans="1:28">
      <c r="A8" s="94"/>
      <c r="B8" s="96"/>
      <c r="M8" s="452"/>
      <c r="N8" s="455"/>
      <c r="O8" s="452"/>
      <c r="P8" s="455"/>
      <c r="Q8" s="452"/>
      <c r="R8" s="455"/>
      <c r="S8" s="452"/>
      <c r="T8" s="452"/>
      <c r="U8" s="452"/>
      <c r="V8" s="453"/>
      <c r="W8" s="453"/>
      <c r="X8" s="453"/>
      <c r="Y8" s="453"/>
      <c r="Z8" s="453"/>
    </row>
    <row r="9" spans="1:28">
      <c r="A9" s="95">
        <v>1</v>
      </c>
      <c r="B9" s="95"/>
      <c r="C9" s="265" t="s">
        <v>106</v>
      </c>
      <c r="D9" s="114"/>
      <c r="E9" s="5"/>
      <c r="K9" s="359"/>
      <c r="N9" s="359"/>
      <c r="O9" s="359"/>
      <c r="P9" s="359"/>
      <c r="Q9" s="359"/>
      <c r="R9" s="359"/>
      <c r="S9" s="359"/>
      <c r="T9" s="359"/>
      <c r="U9" s="359"/>
      <c r="X9" s="2"/>
    </row>
    <row r="10" spans="1:28">
      <c r="A10" s="95">
        <f>A9+1</f>
        <v>2</v>
      </c>
      <c r="B10" s="95"/>
      <c r="K10" s="359"/>
      <c r="N10" s="359"/>
      <c r="O10" s="359"/>
      <c r="P10" s="359"/>
      <c r="Q10" s="359"/>
      <c r="R10" s="359"/>
      <c r="S10" s="359"/>
      <c r="T10" s="359"/>
      <c r="U10" s="359"/>
      <c r="X10" s="103"/>
    </row>
    <row r="11" spans="1:28">
      <c r="A11" s="95">
        <f t="shared" ref="A11:A36" si="0">A10+1</f>
        <v>3</v>
      </c>
      <c r="B11" s="95"/>
      <c r="C11" s="492" t="s">
        <v>594</v>
      </c>
      <c r="G11" s="357">
        <v>116451</v>
      </c>
      <c r="I11" s="359">
        <f>G18</f>
        <v>125237</v>
      </c>
      <c r="K11" s="359">
        <f>I18</f>
        <v>132426</v>
      </c>
      <c r="M11" s="359">
        <f>K18</f>
        <v>138623.90564000001</v>
      </c>
      <c r="N11" s="359"/>
      <c r="O11" s="359">
        <f>+M18</f>
        <v>149393.18538000001</v>
      </c>
      <c r="P11" s="359"/>
      <c r="Q11" s="359">
        <f>+O18</f>
        <v>165587.52551000001</v>
      </c>
      <c r="R11" s="359"/>
      <c r="S11" s="359">
        <f>+Q18</f>
        <v>186109.31966566667</v>
      </c>
      <c r="T11" s="359"/>
      <c r="U11" s="359">
        <f>+S18</f>
        <v>207851.209026</v>
      </c>
      <c r="W11" s="4">
        <v>116451</v>
      </c>
      <c r="X11" s="103"/>
      <c r="Y11" s="4">
        <f>W18</f>
        <v>125814.207012</v>
      </c>
    </row>
    <row r="12" spans="1:28" s="529" customFormat="1">
      <c r="A12" s="95">
        <f t="shared" si="0"/>
        <v>4</v>
      </c>
      <c r="B12" s="95"/>
      <c r="C12" s="492"/>
      <c r="D12" s="3"/>
      <c r="E12" s="6"/>
      <c r="G12" s="357"/>
      <c r="I12" s="359"/>
      <c r="K12" s="359"/>
      <c r="M12" s="359"/>
      <c r="N12" s="359"/>
      <c r="O12" s="359"/>
      <c r="P12" s="359"/>
      <c r="Q12" s="359"/>
      <c r="R12" s="359"/>
      <c r="S12" s="359"/>
      <c r="T12" s="359"/>
      <c r="U12" s="359"/>
      <c r="W12" s="4"/>
      <c r="X12" s="103"/>
      <c r="Y12" s="4"/>
    </row>
    <row r="13" spans="1:28">
      <c r="A13" s="95">
        <f t="shared" si="0"/>
        <v>5</v>
      </c>
      <c r="B13" s="95"/>
      <c r="C13" t="s">
        <v>164</v>
      </c>
      <c r="E13" s="493" t="s">
        <v>574</v>
      </c>
      <c r="G13" s="357">
        <f>-S9.1!F41</f>
        <v>9170</v>
      </c>
      <c r="I13" s="359">
        <f>-S9.1!H41</f>
        <v>7469</v>
      </c>
      <c r="K13" s="359">
        <f>-S9.1!J41</f>
        <v>6848</v>
      </c>
      <c r="M13" s="359">
        <f>-S9.1!L41</f>
        <v>12265.787</v>
      </c>
      <c r="N13" s="359"/>
      <c r="O13" s="359">
        <f>-S9.1!N41</f>
        <v>17116.402999999998</v>
      </c>
      <c r="P13" s="359"/>
      <c r="Q13" s="359">
        <f>-S9.1!P41</f>
        <v>21962.209294</v>
      </c>
      <c r="R13" s="359"/>
      <c r="S13" s="359">
        <f>-S9.1!R41</f>
        <v>23017.48</v>
      </c>
      <c r="T13" s="359"/>
      <c r="U13" s="359">
        <f>-S9.1!T41</f>
        <v>20819.735000000001</v>
      </c>
      <c r="W13" s="4">
        <f>-S9.1!V41</f>
        <v>9714</v>
      </c>
      <c r="X13" s="2"/>
      <c r="Y13" s="4">
        <f>-S9.1!X41</f>
        <v>7758</v>
      </c>
    </row>
    <row r="14" spans="1:28" s="529" customFormat="1">
      <c r="A14" s="95">
        <f t="shared" si="0"/>
        <v>6</v>
      </c>
      <c r="B14" s="95"/>
      <c r="C14" s="529" t="s">
        <v>597</v>
      </c>
      <c r="D14" s="3"/>
      <c r="E14" s="565" t="s">
        <v>673</v>
      </c>
      <c r="G14" s="220">
        <v>0</v>
      </c>
      <c r="H14" s="220"/>
      <c r="I14" s="221">
        <v>0</v>
      </c>
      <c r="J14" s="220"/>
      <c r="K14" s="221">
        <v>0</v>
      </c>
      <c r="L14" s="220"/>
      <c r="M14" s="221">
        <f>-'S8.8 '!M40-'S8.8 '!M50</f>
        <v>950</v>
      </c>
      <c r="N14" s="221"/>
      <c r="O14" s="221">
        <v>0</v>
      </c>
      <c r="P14" s="221"/>
      <c r="Q14" s="221">
        <v>0</v>
      </c>
      <c r="R14" s="221"/>
      <c r="S14" s="221">
        <v>0</v>
      </c>
      <c r="T14" s="221"/>
      <c r="U14" s="221">
        <v>0</v>
      </c>
      <c r="V14" s="220"/>
      <c r="W14" s="602">
        <v>0</v>
      </c>
      <c r="X14" s="221"/>
      <c r="Y14" s="602">
        <v>0</v>
      </c>
    </row>
    <row r="15" spans="1:28">
      <c r="A15" s="95">
        <f t="shared" si="0"/>
        <v>7</v>
      </c>
      <c r="B15" s="95"/>
      <c r="C15" s="492" t="s">
        <v>595</v>
      </c>
      <c r="E15" s="493" t="s">
        <v>596</v>
      </c>
      <c r="F15" s="2"/>
      <c r="G15" s="90">
        <f>+S8.7!H31</f>
        <v>-384</v>
      </c>
      <c r="H15" s="2"/>
      <c r="I15" s="90">
        <f>+S8.7!J31</f>
        <v>-280</v>
      </c>
      <c r="J15" s="2"/>
      <c r="K15" s="90">
        <f>+S8.7!L31</f>
        <v>-650.09436000000005</v>
      </c>
      <c r="L15" s="2"/>
      <c r="M15" s="90">
        <f>S8.7!N31</f>
        <v>-2446.5072599999994</v>
      </c>
      <c r="N15" s="255"/>
      <c r="O15" s="90">
        <f>+S8.7!P31</f>
        <v>-922.06286999999998</v>
      </c>
      <c r="P15" s="255"/>
      <c r="Q15" s="90">
        <f>S8.7!R31</f>
        <v>-1440.4151383333333</v>
      </c>
      <c r="R15" s="255"/>
      <c r="S15" s="90">
        <f>S8.7!T31</f>
        <v>-1275.5906396666667</v>
      </c>
      <c r="T15" s="255"/>
      <c r="U15" s="90">
        <f>S8.7!V31</f>
        <v>-1094.6541149999998</v>
      </c>
      <c r="V15" s="2"/>
      <c r="W15" s="90">
        <f>S8.7!X31</f>
        <v>-350.79298799999992</v>
      </c>
      <c r="X15" s="2"/>
      <c r="Y15" s="90">
        <f>S8.7!Z31</f>
        <v>-350.79298799999992</v>
      </c>
    </row>
    <row r="16" spans="1:28">
      <c r="A16" s="95">
        <f t="shared" si="0"/>
        <v>8</v>
      </c>
      <c r="B16" s="95"/>
      <c r="E16" s="493" t="s">
        <v>685</v>
      </c>
      <c r="F16" s="2"/>
      <c r="G16" s="255">
        <f>SUM(G13:G15)</f>
        <v>8786</v>
      </c>
      <c r="H16" s="2"/>
      <c r="I16" s="255">
        <f>SUM(I13:I15)</f>
        <v>7189</v>
      </c>
      <c r="J16" s="2"/>
      <c r="K16" s="255">
        <f>SUM(K13:K15)</f>
        <v>6197.9056399999999</v>
      </c>
      <c r="L16" s="2"/>
      <c r="M16" s="255">
        <f>SUM(M13:M15)</f>
        <v>10769.279740000002</v>
      </c>
      <c r="N16" s="255"/>
      <c r="O16" s="255">
        <f>SUM(O13:O15)</f>
        <v>16194.340129999999</v>
      </c>
      <c r="P16" s="255"/>
      <c r="Q16" s="255">
        <f>SUM(Q13:Q15)</f>
        <v>20521.794155666666</v>
      </c>
      <c r="R16" s="255"/>
      <c r="S16" s="255">
        <f>SUM(S13:S15)</f>
        <v>21741.889360333334</v>
      </c>
      <c r="T16" s="255"/>
      <c r="U16" s="255">
        <f>SUM(U13:U15)</f>
        <v>19725.080884999999</v>
      </c>
      <c r="V16" s="2"/>
      <c r="W16" s="255">
        <f>SUM(W13:W15)</f>
        <v>9363.2070120000008</v>
      </c>
      <c r="X16" s="2"/>
      <c r="Y16" s="255">
        <f>SUM(Y13:Y15)</f>
        <v>7407.2070119999998</v>
      </c>
      <c r="AA16" s="500"/>
      <c r="AB16" s="163"/>
    </row>
    <row r="17" spans="1:30">
      <c r="A17" s="95">
        <f t="shared" si="0"/>
        <v>9</v>
      </c>
      <c r="B17" s="95"/>
      <c r="C17" s="453"/>
      <c r="F17" s="2"/>
      <c r="G17" s="359"/>
      <c r="H17" s="2"/>
      <c r="I17" s="359"/>
      <c r="J17" s="2"/>
      <c r="K17" s="359"/>
      <c r="L17" s="2"/>
      <c r="M17" s="255"/>
      <c r="N17" s="359"/>
      <c r="O17" s="499"/>
      <c r="P17" s="359"/>
      <c r="Q17" s="494"/>
      <c r="R17" s="359"/>
      <c r="S17" s="359"/>
      <c r="T17" s="359"/>
      <c r="U17" s="359"/>
      <c r="V17" s="2"/>
      <c r="W17" s="255"/>
      <c r="X17" s="2"/>
      <c r="Y17" s="255"/>
      <c r="AB17" s="163"/>
    </row>
    <row r="18" spans="1:30">
      <c r="A18" s="95">
        <f t="shared" si="0"/>
        <v>10</v>
      </c>
      <c r="B18" s="95"/>
      <c r="C18" s="492" t="s">
        <v>679</v>
      </c>
      <c r="E18" s="493" t="s">
        <v>686</v>
      </c>
      <c r="F18" s="2"/>
      <c r="G18" s="255">
        <f>G11+G16</f>
        <v>125237</v>
      </c>
      <c r="H18" s="2"/>
      <c r="I18" s="255">
        <f>I11+I16</f>
        <v>132426</v>
      </c>
      <c r="J18" s="2"/>
      <c r="K18" s="255">
        <f>K11+K16</f>
        <v>138623.90564000001</v>
      </c>
      <c r="L18" s="2"/>
      <c r="M18" s="255">
        <f>M11+M16</f>
        <v>149393.18538000001</v>
      </c>
      <c r="N18" s="255"/>
      <c r="O18" s="255">
        <f>O11+O16</f>
        <v>165587.52551000001</v>
      </c>
      <c r="P18" s="255"/>
      <c r="Q18" s="255">
        <f>Q11+Q16</f>
        <v>186109.31966566667</v>
      </c>
      <c r="R18" s="255"/>
      <c r="S18" s="255">
        <f>S11+S16</f>
        <v>207851.209026</v>
      </c>
      <c r="T18" s="255"/>
      <c r="U18" s="255">
        <f>U11+U16</f>
        <v>227576.289911</v>
      </c>
      <c r="V18" s="2"/>
      <c r="W18" s="255">
        <f>W11+W16</f>
        <v>125814.207012</v>
      </c>
      <c r="X18" s="2"/>
      <c r="Y18" s="255">
        <f>Y11+Y16</f>
        <v>133221.414024</v>
      </c>
      <c r="Z18" s="163"/>
      <c r="AB18" s="163"/>
    </row>
    <row r="19" spans="1:30">
      <c r="A19" s="95">
        <f t="shared" si="0"/>
        <v>11</v>
      </c>
      <c r="B19" s="95"/>
      <c r="F19" s="2"/>
      <c r="G19" s="359"/>
      <c r="H19" s="2"/>
      <c r="I19" s="359"/>
      <c r="J19" s="2"/>
      <c r="K19" s="359"/>
      <c r="L19" s="2"/>
      <c r="M19" s="359"/>
      <c r="N19" s="359"/>
      <c r="O19" s="359"/>
      <c r="P19" s="359"/>
      <c r="Q19" s="359"/>
      <c r="R19" s="359"/>
      <c r="S19" s="359"/>
      <c r="T19" s="359"/>
      <c r="U19" s="359"/>
      <c r="V19" s="2"/>
      <c r="W19" s="4"/>
      <c r="X19" s="2"/>
      <c r="Y19" s="4"/>
      <c r="Z19" s="163"/>
      <c r="AA19" s="163"/>
      <c r="AB19" s="163"/>
    </row>
    <row r="20" spans="1:30">
      <c r="A20" s="95">
        <f t="shared" si="0"/>
        <v>12</v>
      </c>
      <c r="B20" s="95"/>
      <c r="C20" s="492" t="s">
        <v>680</v>
      </c>
      <c r="E20" s="493" t="s">
        <v>660</v>
      </c>
      <c r="F20" s="2"/>
      <c r="G20" s="90">
        <f>S9.1!F43</f>
        <v>1771</v>
      </c>
      <c r="H20" s="2"/>
      <c r="I20" s="90">
        <f>S9.1!H43</f>
        <v>555</v>
      </c>
      <c r="J20" s="2"/>
      <c r="K20" s="90">
        <f>S9.1!J43</f>
        <v>3095</v>
      </c>
      <c r="L20" s="2"/>
      <c r="M20" s="90">
        <f>S9.1!L43</f>
        <v>5767</v>
      </c>
      <c r="N20" s="255"/>
      <c r="O20" s="90">
        <f>S9.1!N43</f>
        <v>3241</v>
      </c>
      <c r="P20" s="255"/>
      <c r="Q20" s="90">
        <f>S9.1!P43</f>
        <v>1560.5067059999999</v>
      </c>
      <c r="R20" s="255"/>
      <c r="S20" s="90">
        <f>S9.1!R43</f>
        <v>960.50670600000001</v>
      </c>
      <c r="T20" s="255"/>
      <c r="U20" s="90">
        <f>S9.1!T43</f>
        <v>960.50670600000001</v>
      </c>
      <c r="V20" s="2"/>
      <c r="W20" s="90">
        <f>S9.1!V43</f>
        <v>620</v>
      </c>
      <c r="X20" s="2"/>
      <c r="Y20" s="90">
        <f>S9.1!X43</f>
        <v>580</v>
      </c>
      <c r="AB20" s="163"/>
    </row>
    <row r="21" spans="1:30">
      <c r="A21" s="95">
        <f t="shared" si="0"/>
        <v>13</v>
      </c>
      <c r="B21" s="95"/>
      <c r="C21" s="453"/>
      <c r="F21" s="2"/>
      <c r="G21" s="4"/>
      <c r="H21" s="2"/>
      <c r="I21" s="4"/>
      <c r="J21" s="2"/>
      <c r="K21" s="4"/>
      <c r="L21" s="2"/>
      <c r="N21" s="4"/>
      <c r="O21" s="4"/>
      <c r="P21" s="4"/>
      <c r="Q21" s="4"/>
      <c r="R21" s="4"/>
      <c r="S21" s="4"/>
      <c r="T21" s="4"/>
      <c r="U21" s="4"/>
      <c r="V21" s="2"/>
      <c r="W21" s="4"/>
      <c r="X21" s="2"/>
      <c r="Y21" s="4"/>
      <c r="Z21" s="163"/>
    </row>
    <row r="22" spans="1:30">
      <c r="A22" s="95">
        <f t="shared" si="0"/>
        <v>14</v>
      </c>
      <c r="B22" s="95"/>
      <c r="C22" t="s">
        <v>68</v>
      </c>
      <c r="E22" s="6" t="s">
        <v>274</v>
      </c>
      <c r="F22" s="2"/>
      <c r="G22" s="4">
        <f>SUM(G18:G20)</f>
        <v>127008</v>
      </c>
      <c r="H22" s="2"/>
      <c r="I22" s="4">
        <f>SUM(I18:I20)</f>
        <v>132981</v>
      </c>
      <c r="J22" s="2"/>
      <c r="K22" s="4">
        <f>SUM(K18:K20)</f>
        <v>141718.90564000001</v>
      </c>
      <c r="L22" s="2"/>
      <c r="M22" s="4">
        <f>SUM(M18:M21)</f>
        <v>155160.18538000001</v>
      </c>
      <c r="N22" s="4"/>
      <c r="O22" s="4">
        <f>SUM(O18:O21)</f>
        <v>168828.52551000001</v>
      </c>
      <c r="P22" s="4"/>
      <c r="Q22" s="4">
        <f>SUM(Q18:Q21)</f>
        <v>187669.82637166666</v>
      </c>
      <c r="R22" s="4"/>
      <c r="S22" s="4">
        <f>SUM(S18:S21)</f>
        <v>208811.71573199998</v>
      </c>
      <c r="T22" s="4"/>
      <c r="U22" s="4">
        <f>SUM(U18:U21)</f>
        <v>228536.79661699999</v>
      </c>
      <c r="V22" s="2"/>
      <c r="W22" s="4">
        <f>SUM(W18:W20)</f>
        <v>126434.207012</v>
      </c>
      <c r="X22" s="2"/>
      <c r="Y22" s="4">
        <f>SUM(Y18:Y20)</f>
        <v>133801.414024</v>
      </c>
      <c r="AB22" s="163"/>
    </row>
    <row r="23" spans="1:30" ht="13.5">
      <c r="A23" s="95">
        <f t="shared" si="0"/>
        <v>15</v>
      </c>
      <c r="B23" s="95"/>
      <c r="F23" s="2"/>
      <c r="G23" s="359"/>
      <c r="H23" s="2"/>
      <c r="I23" s="359"/>
      <c r="J23" s="2"/>
      <c r="K23" s="359"/>
      <c r="L23" s="2"/>
      <c r="M23" s="609"/>
      <c r="N23" s="359"/>
      <c r="O23" s="609"/>
      <c r="P23" s="359"/>
      <c r="Q23" s="359"/>
      <c r="R23" s="359"/>
      <c r="S23" s="359"/>
      <c r="T23" s="359"/>
      <c r="U23" s="359"/>
      <c r="V23" s="2"/>
      <c r="W23" s="4"/>
      <c r="X23" s="2"/>
      <c r="Y23" s="4"/>
      <c r="AA23" s="163"/>
      <c r="AB23" s="163"/>
    </row>
    <row r="24" spans="1:30">
      <c r="A24" s="95">
        <f t="shared" si="0"/>
        <v>16</v>
      </c>
      <c r="B24" s="95"/>
      <c r="C24" s="265" t="s">
        <v>177</v>
      </c>
      <c r="D24" s="114"/>
      <c r="E24" s="5"/>
      <c r="F24" s="2"/>
      <c r="G24" s="359"/>
      <c r="H24" s="2"/>
      <c r="I24" s="359"/>
      <c r="J24" s="2"/>
      <c r="K24" s="359"/>
      <c r="L24" s="2"/>
      <c r="M24" s="359"/>
      <c r="N24" s="359"/>
      <c r="O24" s="359"/>
      <c r="P24" s="359"/>
      <c r="Q24" s="359"/>
      <c r="R24" s="359"/>
      <c r="S24" s="359"/>
      <c r="T24" s="359"/>
      <c r="U24" s="359"/>
      <c r="V24" s="2"/>
      <c r="W24" s="4"/>
      <c r="X24" s="2"/>
      <c r="Y24" s="4"/>
    </row>
    <row r="25" spans="1:30">
      <c r="A25" s="95">
        <f t="shared" si="0"/>
        <v>17</v>
      </c>
      <c r="B25" s="95"/>
      <c r="F25" s="2"/>
      <c r="G25" s="359"/>
      <c r="H25" s="2"/>
      <c r="I25" s="359"/>
      <c r="J25" s="2"/>
      <c r="K25" s="359"/>
      <c r="L25" s="2"/>
      <c r="M25" s="359"/>
      <c r="N25" s="359"/>
      <c r="O25" s="359"/>
      <c r="P25" s="359"/>
      <c r="Q25" s="359"/>
      <c r="R25" s="359"/>
      <c r="S25" s="359"/>
      <c r="T25" s="359"/>
      <c r="U25" s="359"/>
      <c r="V25" s="2"/>
      <c r="W25" s="4"/>
      <c r="X25" s="2"/>
      <c r="Y25" s="4"/>
      <c r="AD25" s="163"/>
    </row>
    <row r="26" spans="1:30">
      <c r="A26" s="95">
        <f t="shared" si="0"/>
        <v>18</v>
      </c>
      <c r="B26" s="95"/>
      <c r="C26" s="492" t="s">
        <v>594</v>
      </c>
      <c r="F26" s="2"/>
      <c r="G26" s="4">
        <v>53768</v>
      </c>
      <c r="H26" s="2"/>
      <c r="I26" s="4">
        <f>G33</f>
        <v>56612</v>
      </c>
      <c r="J26" s="2"/>
      <c r="K26" s="4">
        <f>I33</f>
        <v>59806</v>
      </c>
      <c r="L26" s="2"/>
      <c r="M26" s="4">
        <f>K33</f>
        <v>62764</v>
      </c>
      <c r="N26" s="4"/>
      <c r="O26" s="4">
        <f>+M33</f>
        <v>64609</v>
      </c>
      <c r="P26" s="4"/>
      <c r="Q26" s="4">
        <f>+O33</f>
        <v>67890.937130000006</v>
      </c>
      <c r="R26" s="4"/>
      <c r="S26" s="4">
        <f>+Q33</f>
        <v>72895.470791666667</v>
      </c>
      <c r="T26" s="4"/>
      <c r="U26" s="4">
        <f>+S33</f>
        <v>79160.686151999995</v>
      </c>
      <c r="V26" s="2"/>
      <c r="W26" s="4">
        <v>53768</v>
      </c>
      <c r="X26" s="2"/>
      <c r="Y26" s="4">
        <f>+W33</f>
        <v>56682.252560000001</v>
      </c>
    </row>
    <row r="27" spans="1:30" s="529" customFormat="1">
      <c r="A27" s="95">
        <f t="shared" si="0"/>
        <v>19</v>
      </c>
      <c r="B27" s="95"/>
      <c r="C27" s="529" t="s">
        <v>597</v>
      </c>
      <c r="D27" s="3"/>
      <c r="E27" s="565" t="s">
        <v>684</v>
      </c>
      <c r="F27" s="294"/>
      <c r="G27" s="220">
        <v>0</v>
      </c>
      <c r="H27" s="220"/>
      <c r="I27" s="221">
        <v>0</v>
      </c>
      <c r="J27" s="220"/>
      <c r="K27" s="221">
        <f>+'S8.8 '!K51</f>
        <v>0</v>
      </c>
      <c r="L27" s="220"/>
      <c r="M27" s="221">
        <f>+'S8.8 '!M41+'S8.8 '!M51</f>
        <v>176</v>
      </c>
      <c r="N27" s="221"/>
      <c r="O27" s="221">
        <v>0</v>
      </c>
      <c r="P27" s="221"/>
      <c r="Q27" s="221">
        <v>0</v>
      </c>
      <c r="R27" s="221"/>
      <c r="S27" s="221">
        <v>0</v>
      </c>
      <c r="T27" s="221"/>
      <c r="U27" s="221">
        <v>0</v>
      </c>
      <c r="V27" s="220"/>
      <c r="W27" s="602">
        <v>0</v>
      </c>
      <c r="X27" s="221"/>
      <c r="Y27" s="602">
        <v>0</v>
      </c>
    </row>
    <row r="28" spans="1:30">
      <c r="A28" s="95">
        <f t="shared" si="0"/>
        <v>20</v>
      </c>
      <c r="B28" s="95"/>
      <c r="C28" s="492" t="s">
        <v>681</v>
      </c>
      <c r="E28" s="6" t="s">
        <v>337</v>
      </c>
      <c r="F28" s="2"/>
      <c r="G28" s="359">
        <v>3181</v>
      </c>
      <c r="H28" s="2"/>
      <c r="I28" s="359">
        <f>S7.1!I13</f>
        <v>3446</v>
      </c>
      <c r="J28" s="2"/>
      <c r="K28" s="359">
        <f>S7.1!K13</f>
        <v>3683</v>
      </c>
      <c r="L28" s="2"/>
      <c r="M28" s="359">
        <f>S7.1!M13</f>
        <v>4129</v>
      </c>
      <c r="N28" s="359"/>
      <c r="O28" s="359">
        <f>S7.1!O13</f>
        <v>4192</v>
      </c>
      <c r="P28" s="359"/>
      <c r="Q28" s="359">
        <f>S7.1!Q13</f>
        <v>6569.9487999999992</v>
      </c>
      <c r="R28" s="359"/>
      <c r="S28" s="359">
        <f>S7.1!S13</f>
        <v>7508.8059999999996</v>
      </c>
      <c r="T28" s="359"/>
      <c r="U28" s="359">
        <f>S7.1!U13</f>
        <v>8568.8060000000005</v>
      </c>
      <c r="V28" s="2"/>
      <c r="W28" s="4">
        <f>+S7.1!W13</f>
        <v>3354</v>
      </c>
      <c r="X28" s="2"/>
      <c r="Y28" s="4">
        <f>+S7.1!Y13</f>
        <v>3661</v>
      </c>
    </row>
    <row r="29" spans="1:30">
      <c r="A29" s="95">
        <f t="shared" si="0"/>
        <v>21</v>
      </c>
      <c r="B29" s="95"/>
      <c r="C29" s="492" t="s">
        <v>682</v>
      </c>
      <c r="E29" s="493" t="s">
        <v>688</v>
      </c>
      <c r="F29" s="2"/>
      <c r="G29" s="359">
        <v>22</v>
      </c>
      <c r="H29" s="2"/>
      <c r="I29" s="359">
        <f>S7.1!I11*-1</f>
        <v>64</v>
      </c>
      <c r="J29" s="2"/>
      <c r="K29" s="359">
        <f>S7.1!K11*-1</f>
        <v>43</v>
      </c>
      <c r="L29" s="2"/>
      <c r="M29" s="359">
        <f>S7.1!M11*-1</f>
        <v>48</v>
      </c>
      <c r="N29" s="359"/>
      <c r="O29" s="359">
        <f>S7.1!O11*-1</f>
        <v>67</v>
      </c>
      <c r="P29" s="359"/>
      <c r="Q29" s="359">
        <f>S7.1!Q11*-1</f>
        <v>75</v>
      </c>
      <c r="R29" s="359"/>
      <c r="S29" s="359">
        <f>S7.1!S11*-1</f>
        <v>82</v>
      </c>
      <c r="T29" s="359"/>
      <c r="U29" s="359">
        <f>S7.1!U11*-1</f>
        <v>87</v>
      </c>
      <c r="V29" s="2"/>
      <c r="W29" s="4">
        <f>-S7.1!W11</f>
        <v>24</v>
      </c>
      <c r="X29" s="2"/>
      <c r="Y29" s="4">
        <f>-S7.1!Y11</f>
        <v>24</v>
      </c>
    </row>
    <row r="30" spans="1:30">
      <c r="A30" s="95">
        <f t="shared" si="0"/>
        <v>22</v>
      </c>
      <c r="B30" s="95"/>
      <c r="C30" s="492" t="s">
        <v>683</v>
      </c>
      <c r="F30" s="2"/>
      <c r="G30" s="359">
        <v>25</v>
      </c>
      <c r="H30" s="2"/>
      <c r="I30" s="255">
        <v>-36</v>
      </c>
      <c r="J30" s="2"/>
      <c r="K30" s="255">
        <v>-118</v>
      </c>
      <c r="L30" s="2"/>
      <c r="M30" s="255">
        <v>-62</v>
      </c>
      <c r="N30" s="255"/>
      <c r="O30" s="255">
        <v>-55</v>
      </c>
      <c r="P30" s="255"/>
      <c r="Q30" s="255">
        <v>-200</v>
      </c>
      <c r="R30" s="255"/>
      <c r="S30" s="255">
        <v>-50</v>
      </c>
      <c r="T30" s="255"/>
      <c r="U30" s="255">
        <v>-50</v>
      </c>
      <c r="V30" s="2"/>
      <c r="W30" s="255">
        <f>-463.74744-W15</f>
        <v>-112.95445200000006</v>
      </c>
      <c r="X30" s="495"/>
      <c r="Y30" s="255">
        <f>-463.74744-Y15</f>
        <v>-112.95445200000006</v>
      </c>
    </row>
    <row r="31" spans="1:30">
      <c r="A31" s="95">
        <f t="shared" si="0"/>
        <v>23</v>
      </c>
      <c r="B31" s="95"/>
      <c r="C31" s="492" t="s">
        <v>167</v>
      </c>
      <c r="E31" s="493" t="s">
        <v>596</v>
      </c>
      <c r="F31" s="2"/>
      <c r="G31" s="90">
        <f>-384</f>
        <v>-384</v>
      </c>
      <c r="H31" s="2"/>
      <c r="I31" s="90">
        <v>-280</v>
      </c>
      <c r="J31" s="2"/>
      <c r="K31" s="90">
        <f>-650</f>
        <v>-650</v>
      </c>
      <c r="L31" s="2"/>
      <c r="M31" s="90">
        <v>-2446</v>
      </c>
      <c r="N31" s="255"/>
      <c r="O31" s="90">
        <f>+O15</f>
        <v>-922.06286999999998</v>
      </c>
      <c r="P31" s="255"/>
      <c r="Q31" s="90">
        <f>+Q15</f>
        <v>-1440.4151383333333</v>
      </c>
      <c r="R31" s="255"/>
      <c r="S31" s="90">
        <f>+S15</f>
        <v>-1275.5906396666667</v>
      </c>
      <c r="T31" s="255"/>
      <c r="U31" s="90">
        <f>+U15</f>
        <v>-1094.6541149999998</v>
      </c>
      <c r="V31" s="2"/>
      <c r="W31" s="90">
        <f>W15</f>
        <v>-350.79298799999992</v>
      </c>
      <c r="X31" s="2"/>
      <c r="Y31" s="90">
        <f>Y15</f>
        <v>-350.79298799999992</v>
      </c>
    </row>
    <row r="32" spans="1:30">
      <c r="A32" s="95">
        <f t="shared" si="0"/>
        <v>24</v>
      </c>
      <c r="B32" s="95"/>
      <c r="F32" s="2"/>
      <c r="G32" s="359"/>
      <c r="H32" s="2"/>
      <c r="I32" s="359"/>
      <c r="J32" s="2"/>
      <c r="K32" s="359"/>
      <c r="L32" s="2"/>
      <c r="M32" s="359"/>
      <c r="N32" s="359"/>
      <c r="O32" s="359"/>
      <c r="P32" s="359"/>
      <c r="Q32" s="359"/>
      <c r="R32" s="359"/>
      <c r="S32" s="359"/>
      <c r="T32" s="359"/>
      <c r="U32" s="359"/>
      <c r="V32" s="2"/>
      <c r="W32" s="4"/>
      <c r="X32" s="2"/>
      <c r="Y32" s="4"/>
      <c r="AC32" s="163"/>
    </row>
    <row r="33" spans="1:28">
      <c r="A33" s="95">
        <f t="shared" si="0"/>
        <v>25</v>
      </c>
      <c r="B33" s="95"/>
      <c r="C33" s="492" t="s">
        <v>679</v>
      </c>
      <c r="E33" s="6" t="s">
        <v>275</v>
      </c>
      <c r="F33" s="2"/>
      <c r="G33" s="90">
        <f>SUM(G26:G31)</f>
        <v>56612</v>
      </c>
      <c r="H33" s="2"/>
      <c r="I33" s="90">
        <f>SUM(I26:I31)</f>
        <v>59806</v>
      </c>
      <c r="J33" s="2"/>
      <c r="K33" s="90">
        <f>SUM(K26:K31)</f>
        <v>62764</v>
      </c>
      <c r="L33" s="2"/>
      <c r="M33" s="90">
        <f>SUM(M26:M31)</f>
        <v>64609</v>
      </c>
      <c r="N33" s="255"/>
      <c r="O33" s="90">
        <f>SUM(O26:O31)</f>
        <v>67890.937130000006</v>
      </c>
      <c r="P33" s="255"/>
      <c r="Q33" s="90">
        <f>SUM(Q26:Q31)</f>
        <v>72895.470791666667</v>
      </c>
      <c r="R33" s="255"/>
      <c r="S33" s="90">
        <f>SUM(S26:S31)</f>
        <v>79160.686151999995</v>
      </c>
      <c r="T33" s="255"/>
      <c r="U33" s="90">
        <f>SUM(U26:U31)</f>
        <v>86671.838036999994</v>
      </c>
      <c r="V33" s="2"/>
      <c r="W33" s="90">
        <f>SUM(W26:W31)</f>
        <v>56682.252560000001</v>
      </c>
      <c r="X33" s="2"/>
      <c r="Y33" s="90">
        <f>SUM(Y26:Y31)</f>
        <v>59903.505120000002</v>
      </c>
    </row>
    <row r="34" spans="1:28" ht="13.5">
      <c r="A34" s="95">
        <f t="shared" si="0"/>
        <v>26</v>
      </c>
      <c r="B34" s="95"/>
      <c r="F34" s="2"/>
      <c r="G34" s="359"/>
      <c r="H34" s="2"/>
      <c r="I34" s="359"/>
      <c r="J34" s="2"/>
      <c r="K34" s="359"/>
      <c r="L34" s="2"/>
      <c r="M34" s="609"/>
      <c r="N34" s="359"/>
      <c r="O34" s="609"/>
      <c r="P34" s="359"/>
      <c r="Q34" s="359"/>
      <c r="R34" s="359"/>
      <c r="S34" s="359"/>
      <c r="T34" s="359"/>
      <c r="U34" s="359"/>
      <c r="V34" s="2"/>
      <c r="W34" s="4"/>
      <c r="X34" s="2"/>
      <c r="Y34" s="4"/>
      <c r="Z34" s="163"/>
    </row>
    <row r="35" spans="1:28">
      <c r="A35" s="95">
        <f t="shared" si="0"/>
        <v>27</v>
      </c>
      <c r="B35" s="95"/>
      <c r="F35" s="2"/>
      <c r="G35" s="359"/>
      <c r="H35" s="2"/>
      <c r="I35" s="359"/>
      <c r="J35" s="2"/>
      <c r="K35" s="359"/>
      <c r="L35" s="2"/>
      <c r="M35" s="359"/>
      <c r="N35" s="359"/>
      <c r="O35" s="359"/>
      <c r="P35" s="359"/>
      <c r="Q35" s="359"/>
      <c r="R35" s="359"/>
      <c r="S35" s="359"/>
      <c r="T35" s="359"/>
      <c r="U35" s="359"/>
      <c r="V35" s="2"/>
      <c r="W35" s="4"/>
      <c r="X35" s="2"/>
      <c r="Y35" s="4"/>
      <c r="Z35" s="163"/>
      <c r="AB35" s="163"/>
    </row>
    <row r="36" spans="1:28" s="89" customFormat="1" ht="13.5" thickBot="1">
      <c r="A36" s="95">
        <f t="shared" si="0"/>
        <v>28</v>
      </c>
      <c r="B36" s="95"/>
      <c r="C36" s="89" t="s">
        <v>165</v>
      </c>
      <c r="D36" s="114"/>
      <c r="E36" s="577"/>
      <c r="F36" s="229"/>
      <c r="G36" s="645">
        <f>+G22-G33</f>
        <v>70396</v>
      </c>
      <c r="H36" s="229"/>
      <c r="I36" s="645">
        <f>+I22-I33</f>
        <v>73175</v>
      </c>
      <c r="J36" s="229"/>
      <c r="K36" s="645">
        <f>+K22-K33</f>
        <v>78954.905640000012</v>
      </c>
      <c r="L36" s="229"/>
      <c r="M36" s="645">
        <f>+M22-M33</f>
        <v>90551.18538000001</v>
      </c>
      <c r="N36" s="596"/>
      <c r="O36" s="645">
        <f>+O22-O33</f>
        <v>100937.58838</v>
      </c>
      <c r="P36" s="596"/>
      <c r="Q36" s="645">
        <f>+Q22-Q33</f>
        <v>114774.35557999999</v>
      </c>
      <c r="R36" s="596"/>
      <c r="S36" s="645">
        <f>+S22-S33</f>
        <v>129651.02957999999</v>
      </c>
      <c r="T36" s="596"/>
      <c r="U36" s="645">
        <f>+U22-U33</f>
        <v>141864.95857999998</v>
      </c>
      <c r="V36" s="229"/>
      <c r="W36" s="645">
        <f>+W22-W33</f>
        <v>69751.954452000005</v>
      </c>
      <c r="X36" s="229"/>
      <c r="Y36" s="645">
        <f>+Y22-Y33</f>
        <v>73897.908903999996</v>
      </c>
    </row>
    <row r="37" spans="1:28">
      <c r="A37" s="96"/>
      <c r="B37" s="96"/>
    </row>
    <row r="38" spans="1:28">
      <c r="A38" s="96"/>
      <c r="B38" s="96"/>
    </row>
    <row r="39" spans="1:28">
      <c r="A39" s="96"/>
      <c r="B39" s="96"/>
    </row>
    <row r="40" spans="1:28">
      <c r="A40" s="96"/>
      <c r="B40" s="96"/>
    </row>
    <row r="41" spans="1:28">
      <c r="A41" s="96"/>
      <c r="B41" s="96"/>
    </row>
    <row r="42" spans="1:28">
      <c r="A42" s="96"/>
      <c r="B42" s="96"/>
    </row>
    <row r="43" spans="1:28">
      <c r="A43" s="96"/>
      <c r="B43" s="96"/>
    </row>
    <row r="44" spans="1:28">
      <c r="A44" s="96"/>
      <c r="B44" s="96"/>
    </row>
    <row r="45" spans="1:28">
      <c r="A45" s="96"/>
      <c r="B45" s="96"/>
    </row>
    <row r="46" spans="1:28">
      <c r="A46" s="96"/>
      <c r="B46" s="96"/>
    </row>
    <row r="47" spans="1:28">
      <c r="A47" s="96"/>
      <c r="B47" s="96"/>
    </row>
    <row r="48" spans="1:28">
      <c r="A48" s="96"/>
      <c r="B48" s="96"/>
    </row>
    <row r="49" spans="1:2">
      <c r="A49" s="96"/>
      <c r="B49" s="96"/>
    </row>
    <row r="50" spans="1:2">
      <c r="A50" s="96"/>
      <c r="B50" s="96"/>
    </row>
    <row r="51" spans="1:2">
      <c r="A51" s="96"/>
      <c r="B51" s="96"/>
    </row>
    <row r="52" spans="1:2">
      <c r="A52" s="96"/>
      <c r="B52" s="96"/>
    </row>
    <row r="53" spans="1:2">
      <c r="A53" s="96"/>
      <c r="B53" s="96"/>
    </row>
    <row r="54" spans="1:2">
      <c r="A54" s="96"/>
      <c r="B54" s="96"/>
    </row>
    <row r="55" spans="1:2">
      <c r="A55" s="96"/>
      <c r="B55" s="96"/>
    </row>
    <row r="56" spans="1:2">
      <c r="A56" s="96"/>
      <c r="B56" s="96"/>
    </row>
    <row r="57" spans="1:2">
      <c r="A57" s="96"/>
      <c r="B57" s="96"/>
    </row>
    <row r="58" spans="1:2">
      <c r="A58" s="96"/>
      <c r="B58" s="96"/>
    </row>
    <row r="59" spans="1:2">
      <c r="A59" s="96"/>
      <c r="B59" s="96"/>
    </row>
    <row r="60" spans="1:2">
      <c r="A60" s="96"/>
      <c r="B60" s="96"/>
    </row>
    <row r="61" spans="1:2">
      <c r="A61" s="96"/>
      <c r="B61" s="96"/>
    </row>
    <row r="62" spans="1:2">
      <c r="A62" s="96"/>
      <c r="B62" s="96"/>
    </row>
    <row r="63" spans="1:2">
      <c r="A63" s="96"/>
      <c r="B63" s="96"/>
    </row>
    <row r="64" spans="1:2">
      <c r="A64" s="96"/>
      <c r="B64" s="96"/>
    </row>
    <row r="65" spans="1:2">
      <c r="A65" s="96"/>
      <c r="B65" s="96"/>
    </row>
    <row r="66" spans="1:2">
      <c r="A66" s="96"/>
      <c r="B66" s="96"/>
    </row>
    <row r="67" spans="1:2">
      <c r="A67" s="96"/>
      <c r="B67" s="96"/>
    </row>
    <row r="68" spans="1:2">
      <c r="A68" s="96"/>
      <c r="B68" s="96"/>
    </row>
    <row r="69" spans="1:2">
      <c r="A69" s="96"/>
      <c r="B69" s="96"/>
    </row>
    <row r="70" spans="1:2">
      <c r="A70" s="96"/>
      <c r="B70" s="96"/>
    </row>
    <row r="71" spans="1:2">
      <c r="A71" s="96"/>
      <c r="B71" s="96"/>
    </row>
    <row r="72" spans="1:2">
      <c r="A72" s="96"/>
      <c r="B72" s="96"/>
    </row>
    <row r="73" spans="1:2">
      <c r="A73" s="96"/>
      <c r="B73" s="96"/>
    </row>
    <row r="74" spans="1:2">
      <c r="A74" s="96"/>
      <c r="B74" s="96"/>
    </row>
    <row r="75" spans="1:2">
      <c r="A75" s="96"/>
      <c r="B75" s="96"/>
    </row>
    <row r="76" spans="1:2">
      <c r="A76" s="96"/>
      <c r="B76" s="96"/>
    </row>
    <row r="77" spans="1:2">
      <c r="A77" s="96"/>
      <c r="B77" s="96"/>
    </row>
    <row r="78" spans="1:2">
      <c r="A78" s="96"/>
      <c r="B78" s="96"/>
    </row>
    <row r="79" spans="1:2">
      <c r="A79" s="96"/>
      <c r="B79" s="96"/>
    </row>
    <row r="80" spans="1:2">
      <c r="A80" s="96"/>
      <c r="B80" s="96"/>
    </row>
    <row r="81" spans="1:2">
      <c r="A81" s="96"/>
      <c r="B81" s="96"/>
    </row>
    <row r="82" spans="1:2">
      <c r="A82" s="96"/>
      <c r="B82" s="96"/>
    </row>
    <row r="83" spans="1:2">
      <c r="A83" s="96"/>
      <c r="B83" s="96"/>
    </row>
    <row r="84" spans="1:2">
      <c r="A84" s="96"/>
      <c r="B84" s="96"/>
    </row>
    <row r="85" spans="1:2">
      <c r="A85" s="96"/>
      <c r="B85" s="96"/>
    </row>
    <row r="86" spans="1:2">
      <c r="A86" s="96"/>
      <c r="B86" s="96"/>
    </row>
    <row r="87" spans="1:2">
      <c r="A87" s="96"/>
      <c r="B87" s="96"/>
    </row>
    <row r="88" spans="1:2">
      <c r="A88" s="96"/>
      <c r="B88" s="96"/>
    </row>
  </sheetData>
  <customSheetViews>
    <customSheetView guid="{275E5119-9E8C-43ED-ACD2-DF40CF10B219}" scale="85">
      <selection activeCell="R22" sqref="R22"/>
      <pageMargins left="0.57999999999999996" right="0.56999999999999995" top="1" bottom="1" header="0.5" footer="0.5"/>
      <pageSetup scale="85" fitToHeight="2" orientation="landscape" r:id="rId1"/>
      <headerFooter alignWithMargins="0"/>
    </customSheetView>
    <customSheetView guid="{D346ECD1-ED60-4F74-8B02-572F89E41ACB}" scale="85" showPageBreaks="1" showRuler="0">
      <selection activeCell="J30" sqref="J30"/>
      <pageMargins left="0.57999999999999996" right="0.56999999999999995" top="1" bottom="1" header="0.5" footer="0.5"/>
      <pageSetup scale="85" fitToHeight="2" orientation="landscape" r:id="rId2"/>
      <headerFooter alignWithMargins="0"/>
    </customSheetView>
  </customSheetViews>
  <mergeCells count="1">
    <mergeCell ref="Q6:U6"/>
  </mergeCells>
  <phoneticPr fontId="11" type="noConversion"/>
  <pageMargins left="0.57999999999999996" right="0.56999999999999995" top="1" bottom="1" header="0.5" footer="0.5"/>
  <pageSetup scale="66" fitToHeight="2" orientation="landscape" r:id="rId3"/>
  <headerFooter alignWithMargins="0"/>
  <ignoredErrors>
    <ignoredError sqref="A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 enableFormatConditionsCalculation="0">
    <pageSetUpPr fitToPage="1"/>
  </sheetPr>
  <dimension ref="A1:AA32"/>
  <sheetViews>
    <sheetView zoomScaleNormal="100" zoomScaleSheetLayoutView="75" workbookViewId="0">
      <selection activeCell="AC26" sqref="AC26"/>
    </sheetView>
  </sheetViews>
  <sheetFormatPr defaultRowHeight="12.75"/>
  <cols>
    <col min="1" max="1" width="6.42578125" style="232" customWidth="1"/>
    <col min="2" max="2" width="2.28515625" style="231" customWidth="1"/>
    <col min="3" max="3" width="9.140625" style="232"/>
    <col min="4" max="4" width="27.140625" style="232" customWidth="1"/>
    <col min="5" max="5" width="2.28515625" style="232" customWidth="1"/>
    <col min="6" max="6" width="10.7109375" style="232" customWidth="1"/>
    <col min="7" max="7" width="2.28515625" style="232" customWidth="1"/>
    <col min="8" max="8" width="10.7109375" style="232" customWidth="1"/>
    <col min="9" max="9" width="2.28515625" style="232" customWidth="1"/>
    <col min="10" max="10" width="10.7109375" style="232" customWidth="1"/>
    <col min="11" max="11" width="2.28515625" style="232" customWidth="1"/>
    <col min="12" max="12" width="10.7109375" style="232" customWidth="1"/>
    <col min="13" max="13" width="2.28515625" style="232" customWidth="1"/>
    <col min="14" max="14" width="10.7109375" style="232" customWidth="1"/>
    <col min="15" max="15" width="2.28515625" style="232" customWidth="1"/>
    <col min="16" max="16" width="10.7109375" style="232" customWidth="1"/>
    <col min="17" max="17" width="2.28515625" style="232" customWidth="1"/>
    <col min="18" max="18" width="10.7109375" style="232" customWidth="1"/>
    <col min="19" max="19" width="2.28515625" style="232" customWidth="1"/>
    <col min="20" max="20" width="10.7109375" style="232" customWidth="1"/>
    <col min="21" max="21" width="2.28515625" style="232" customWidth="1"/>
    <col min="22" max="22" width="10.7109375" style="232" customWidth="1"/>
    <col min="23" max="23" width="2.28515625" style="232" customWidth="1"/>
    <col min="24" max="24" width="10.7109375" style="232" customWidth="1"/>
    <col min="25" max="25" width="2.28515625" style="232" customWidth="1"/>
    <col min="26" max="26" width="10.7109375" style="232" customWidth="1"/>
    <col min="27" max="27" width="2.28515625" style="232" customWidth="1"/>
    <col min="28" max="16384" width="9.140625" style="232"/>
  </cols>
  <sheetData>
    <row r="1" spans="1:27" s="229" customFormat="1">
      <c r="A1" s="570" t="s">
        <v>540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70"/>
      <c r="Y1" s="570"/>
      <c r="Z1" s="233"/>
      <c r="AA1" s="227" t="s">
        <v>469</v>
      </c>
    </row>
    <row r="2" spans="1:27" s="229" customFormat="1">
      <c r="A2" s="570" t="s">
        <v>463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233"/>
      <c r="Z2" s="233"/>
      <c r="AA2" s="228"/>
    </row>
    <row r="3" spans="1:27">
      <c r="A3" s="570" t="s">
        <v>172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1"/>
      <c r="Z3" s="571"/>
      <c r="AA3" s="231"/>
    </row>
    <row r="4" spans="1:27" s="229" customFormat="1">
      <c r="A4" s="569" t="s">
        <v>109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  <c r="V4" s="569"/>
      <c r="W4" s="569"/>
      <c r="X4" s="569"/>
      <c r="Y4" s="233"/>
      <c r="Z4" s="233"/>
      <c r="AA4" s="228"/>
    </row>
    <row r="5" spans="1:27" s="229" customFormat="1">
      <c r="B5" s="228"/>
      <c r="F5" s="230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</row>
    <row r="6" spans="1:27" s="229" customFormat="1">
      <c r="B6" s="228"/>
      <c r="F6" s="230"/>
      <c r="G6" s="228"/>
      <c r="H6" s="228"/>
      <c r="I6" s="228"/>
      <c r="J6" s="228"/>
      <c r="K6" s="228"/>
      <c r="L6" s="228"/>
      <c r="M6" s="228"/>
      <c r="N6" s="228"/>
      <c r="O6" s="228"/>
      <c r="P6" s="263"/>
      <c r="Q6" s="263"/>
      <c r="R6" s="434"/>
      <c r="S6" s="263"/>
      <c r="T6" s="434"/>
      <c r="U6" s="263"/>
      <c r="V6" s="434"/>
      <c r="W6" s="263"/>
      <c r="X6" s="434" t="s">
        <v>459</v>
      </c>
      <c r="Y6" s="434"/>
      <c r="Z6" s="434" t="s">
        <v>459</v>
      </c>
      <c r="AA6" s="228"/>
    </row>
    <row r="7" spans="1:27" s="229" customFormat="1">
      <c r="A7" s="234" t="s">
        <v>33</v>
      </c>
      <c r="B7" s="235"/>
      <c r="F7" s="136" t="s">
        <v>34</v>
      </c>
      <c r="G7" s="236"/>
      <c r="H7" s="141" t="s">
        <v>25</v>
      </c>
      <c r="I7" s="236"/>
      <c r="J7" s="141" t="s">
        <v>25</v>
      </c>
      <c r="K7" s="236"/>
      <c r="L7" s="141" t="s">
        <v>25</v>
      </c>
      <c r="M7" s="236"/>
      <c r="N7" s="141" t="s">
        <v>25</v>
      </c>
      <c r="O7" s="141"/>
      <c r="P7" s="434" t="s">
        <v>25</v>
      </c>
      <c r="Q7" s="434"/>
      <c r="R7" s="827" t="s">
        <v>330</v>
      </c>
      <c r="S7" s="827"/>
      <c r="T7" s="827"/>
      <c r="U7" s="827"/>
      <c r="V7" s="827"/>
      <c r="W7" s="20"/>
      <c r="X7" s="434" t="s">
        <v>15</v>
      </c>
      <c r="Y7" s="434"/>
      <c r="Z7" s="434" t="s">
        <v>15</v>
      </c>
      <c r="AA7" s="228"/>
    </row>
    <row r="8" spans="1:27" s="229" customFormat="1">
      <c r="A8" s="237" t="s">
        <v>35</v>
      </c>
      <c r="C8" s="238" t="s">
        <v>178</v>
      </c>
      <c r="D8" s="239"/>
      <c r="F8" s="137" t="s">
        <v>36</v>
      </c>
      <c r="G8" s="236"/>
      <c r="H8" s="240">
        <v>2008</v>
      </c>
      <c r="I8" s="236"/>
      <c r="J8" s="240">
        <v>2009</v>
      </c>
      <c r="K8" s="236"/>
      <c r="L8" s="240">
        <v>2010</v>
      </c>
      <c r="M8" s="236"/>
      <c r="N8" s="240">
        <v>2011</v>
      </c>
      <c r="O8" s="236"/>
      <c r="P8" s="457">
        <v>2012</v>
      </c>
      <c r="Q8" s="458"/>
      <c r="R8" s="457">
        <v>2013</v>
      </c>
      <c r="S8" s="458"/>
      <c r="T8" s="457">
        <v>2014</v>
      </c>
      <c r="U8" s="458"/>
      <c r="V8" s="457">
        <v>2015</v>
      </c>
      <c r="W8" s="20"/>
      <c r="X8" s="457">
        <v>2008</v>
      </c>
      <c r="Y8" s="20"/>
      <c r="Z8" s="457">
        <v>2009</v>
      </c>
      <c r="AA8" s="228"/>
    </row>
    <row r="9" spans="1:27" s="229" customFormat="1">
      <c r="A9" s="241"/>
      <c r="C9" s="242"/>
      <c r="D9" s="228"/>
      <c r="F9" s="243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</row>
    <row r="10" spans="1:27">
      <c r="A10" s="244">
        <v>1</v>
      </c>
      <c r="B10" s="245"/>
      <c r="C10" s="229" t="s">
        <v>247</v>
      </c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8"/>
      <c r="Y10" s="247"/>
      <c r="Z10" s="246" t="s">
        <v>27</v>
      </c>
      <c r="AA10" s="231"/>
    </row>
    <row r="11" spans="1:27">
      <c r="A11" s="244">
        <f>A10+1</f>
        <v>2</v>
      </c>
      <c r="B11" s="245"/>
      <c r="C11" s="232" t="s">
        <v>457</v>
      </c>
      <c r="G11" s="247"/>
      <c r="H11" s="247">
        <v>0</v>
      </c>
      <c r="I11" s="247"/>
      <c r="J11" s="247">
        <v>0</v>
      </c>
      <c r="K11" s="247"/>
      <c r="L11" s="247">
        <v>0</v>
      </c>
      <c r="M11" s="247"/>
      <c r="N11" s="247">
        <v>-2269.4807199999996</v>
      </c>
      <c r="P11" s="247">
        <v>0</v>
      </c>
      <c r="Q11" s="247"/>
      <c r="R11" s="247">
        <v>-977</v>
      </c>
      <c r="S11" s="247"/>
      <c r="T11" s="247">
        <v>-343</v>
      </c>
      <c r="U11" s="247"/>
      <c r="V11" s="247">
        <v>-369</v>
      </c>
      <c r="W11" s="247"/>
      <c r="X11" s="248">
        <v>0</v>
      </c>
      <c r="Y11" s="247"/>
      <c r="Z11" s="246">
        <v>0</v>
      </c>
      <c r="AA11" s="231"/>
    </row>
    <row r="12" spans="1:27">
      <c r="A12" s="404">
        <f t="shared" ref="A12:A31" si="0">A11+1</f>
        <v>3</v>
      </c>
      <c r="B12" s="245"/>
      <c r="C12" s="473" t="s">
        <v>465</v>
      </c>
      <c r="G12" s="247"/>
      <c r="H12" s="247">
        <v>0</v>
      </c>
      <c r="I12" s="247"/>
      <c r="J12" s="247">
        <v>0</v>
      </c>
      <c r="K12" s="247"/>
      <c r="L12" s="247">
        <v>0</v>
      </c>
      <c r="M12" s="247"/>
      <c r="N12" s="247">
        <v>0</v>
      </c>
      <c r="P12" s="247">
        <v>-619</v>
      </c>
      <c r="Q12" s="247"/>
      <c r="R12" s="247">
        <v>0</v>
      </c>
      <c r="S12" s="247"/>
      <c r="T12" s="247">
        <v>-200</v>
      </c>
      <c r="U12" s="247"/>
      <c r="V12" s="247">
        <v>0</v>
      </c>
      <c r="W12" s="247"/>
      <c r="X12" s="248">
        <v>0</v>
      </c>
      <c r="Y12" s="247"/>
      <c r="Z12" s="246">
        <v>0</v>
      </c>
      <c r="AA12" s="231"/>
    </row>
    <row r="13" spans="1:27" s="229" customFormat="1">
      <c r="A13" s="404">
        <f t="shared" si="0"/>
        <v>4</v>
      </c>
      <c r="C13" s="482" t="s">
        <v>762</v>
      </c>
      <c r="D13" s="228"/>
      <c r="F13" s="243"/>
      <c r="G13" s="251"/>
      <c r="H13" s="250">
        <v>0</v>
      </c>
      <c r="I13" s="251"/>
      <c r="J13" s="250">
        <v>0</v>
      </c>
      <c r="K13" s="251"/>
      <c r="L13" s="250">
        <v>0</v>
      </c>
      <c r="M13" s="251"/>
      <c r="N13" s="250">
        <v>0</v>
      </c>
      <c r="P13" s="250">
        <v>0</v>
      </c>
      <c r="Q13" s="456"/>
      <c r="R13" s="250">
        <v>0</v>
      </c>
      <c r="S13" s="456"/>
      <c r="T13" s="250">
        <v>0</v>
      </c>
      <c r="U13" s="456"/>
      <c r="V13" s="250">
        <v>0</v>
      </c>
      <c r="W13" s="251"/>
      <c r="X13" s="252">
        <v>-14.317548</v>
      </c>
      <c r="Y13" s="251"/>
      <c r="Z13" s="252">
        <v>-14.317548</v>
      </c>
      <c r="AA13" s="228"/>
    </row>
    <row r="14" spans="1:27">
      <c r="A14" s="404">
        <f t="shared" si="0"/>
        <v>5</v>
      </c>
      <c r="B14" s="245"/>
      <c r="C14" s="232" t="s">
        <v>248</v>
      </c>
      <c r="G14" s="253"/>
      <c r="H14" s="253">
        <f>SUM(H11:H13)</f>
        <v>0</v>
      </c>
      <c r="I14" s="253"/>
      <c r="J14" s="253">
        <f>SUM(J11:J13)</f>
        <v>0</v>
      </c>
      <c r="K14" s="253"/>
      <c r="L14" s="253">
        <f>SUM(L11:L13)</f>
        <v>0</v>
      </c>
      <c r="M14" s="253"/>
      <c r="N14" s="253">
        <f>SUM(N11:N13)</f>
        <v>-2269.4807199999996</v>
      </c>
      <c r="P14" s="253">
        <f>SUM(P11:P13)</f>
        <v>-619</v>
      </c>
      <c r="Q14" s="253"/>
      <c r="R14" s="253">
        <f>SUM(R11:R13)</f>
        <v>-977</v>
      </c>
      <c r="S14" s="253"/>
      <c r="T14" s="253">
        <f>SUM(T11:T13)</f>
        <v>-543</v>
      </c>
      <c r="U14" s="253"/>
      <c r="V14" s="253">
        <f>SUM(V11:V13)</f>
        <v>-369</v>
      </c>
      <c r="W14" s="253"/>
      <c r="X14" s="253">
        <f>SUM(X11:X13)</f>
        <v>-14.317548</v>
      </c>
      <c r="Y14" s="253"/>
      <c r="Z14" s="253">
        <f>SUM(Z13:Z13)</f>
        <v>-14.317548</v>
      </c>
      <c r="AA14" s="231"/>
    </row>
    <row r="15" spans="1:27">
      <c r="A15" s="404">
        <f t="shared" si="0"/>
        <v>6</v>
      </c>
      <c r="B15" s="245"/>
      <c r="G15" s="253"/>
      <c r="H15" s="253"/>
      <c r="I15" s="253"/>
      <c r="J15" s="253"/>
      <c r="K15" s="253"/>
      <c r="L15" s="253"/>
      <c r="M15" s="253"/>
      <c r="N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31"/>
    </row>
    <row r="16" spans="1:27">
      <c r="A16" s="404">
        <f t="shared" si="0"/>
        <v>7</v>
      </c>
      <c r="B16" s="245"/>
      <c r="G16" s="253"/>
      <c r="H16" s="253"/>
      <c r="I16" s="253"/>
      <c r="J16" s="253"/>
      <c r="K16" s="253"/>
      <c r="L16" s="253"/>
      <c r="M16" s="253"/>
      <c r="N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31"/>
    </row>
    <row r="17" spans="1:27">
      <c r="A17" s="404">
        <f t="shared" si="0"/>
        <v>8</v>
      </c>
      <c r="B17" s="245"/>
      <c r="C17" s="229" t="s">
        <v>268</v>
      </c>
      <c r="G17" s="253"/>
      <c r="H17" s="253"/>
      <c r="I17" s="253"/>
      <c r="J17" s="253"/>
      <c r="K17" s="253"/>
      <c r="L17" s="253"/>
      <c r="M17" s="253"/>
      <c r="N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31"/>
    </row>
    <row r="18" spans="1:27">
      <c r="A18" s="404">
        <f t="shared" si="0"/>
        <v>9</v>
      </c>
      <c r="B18" s="245"/>
      <c r="C18" s="482" t="s">
        <v>124</v>
      </c>
      <c r="G18" s="253"/>
      <c r="H18" s="253">
        <v>-90</v>
      </c>
      <c r="I18" s="253"/>
      <c r="J18" s="253">
        <v>-57</v>
      </c>
      <c r="K18" s="253"/>
      <c r="L18" s="253">
        <v>-226.98872</v>
      </c>
      <c r="M18" s="253"/>
      <c r="N18" s="253">
        <v>-34.729379999999999</v>
      </c>
      <c r="P18" s="253">
        <v>-61.86824</v>
      </c>
      <c r="Q18" s="253"/>
      <c r="R18" s="253">
        <v>-80.14355333333333</v>
      </c>
      <c r="S18" s="253"/>
      <c r="T18" s="253">
        <v>-80.14355333333333</v>
      </c>
      <c r="U18" s="253"/>
      <c r="V18" s="253">
        <v>-80.14355333333333</v>
      </c>
      <c r="W18" s="253"/>
      <c r="X18" s="253">
        <v>-67.881741999999988</v>
      </c>
      <c r="Y18" s="253"/>
      <c r="Z18" s="253">
        <v>-67.881741999999988</v>
      </c>
      <c r="AA18" s="231"/>
    </row>
    <row r="19" spans="1:27">
      <c r="A19" s="404">
        <f t="shared" si="0"/>
        <v>10</v>
      </c>
      <c r="B19" s="245"/>
      <c r="C19" s="482" t="s">
        <v>479</v>
      </c>
      <c r="G19" s="247"/>
      <c r="H19" s="247">
        <v>-3</v>
      </c>
      <c r="I19" s="247"/>
      <c r="J19" s="247">
        <v>-3</v>
      </c>
      <c r="K19" s="247"/>
      <c r="L19" s="247">
        <v>-29.654919999999997</v>
      </c>
      <c r="M19" s="247"/>
      <c r="N19" s="247">
        <v>-20.5962</v>
      </c>
      <c r="P19" s="247">
        <v>-13.42961</v>
      </c>
      <c r="Q19" s="247"/>
      <c r="R19" s="247">
        <v>-112.02821333333333</v>
      </c>
      <c r="S19" s="247"/>
      <c r="T19" s="247">
        <v>-12.028213333333333</v>
      </c>
      <c r="U19" s="247"/>
      <c r="V19" s="247">
        <v>-12.028213333333333</v>
      </c>
      <c r="W19" s="247"/>
      <c r="X19" s="246">
        <v>-17.760252000000001</v>
      </c>
      <c r="Y19" s="247"/>
      <c r="Z19" s="246">
        <v>-17.760252000000001</v>
      </c>
      <c r="AA19" s="231"/>
    </row>
    <row r="20" spans="1:27">
      <c r="A20" s="404">
        <f t="shared" si="0"/>
        <v>11</v>
      </c>
      <c r="B20" s="245"/>
      <c r="C20" s="249" t="s">
        <v>110</v>
      </c>
      <c r="G20" s="247"/>
      <c r="H20" s="247">
        <v>-96</v>
      </c>
      <c r="I20" s="247"/>
      <c r="J20" s="247">
        <v>0</v>
      </c>
      <c r="K20" s="247"/>
      <c r="L20" s="247">
        <v>-166.42716000000001</v>
      </c>
      <c r="M20" s="247"/>
      <c r="N20" s="247">
        <v>-70.295249999999996</v>
      </c>
      <c r="P20" s="247">
        <v>-16.429490000000001</v>
      </c>
      <c r="Q20" s="247"/>
      <c r="R20" s="247">
        <v>-58.27462666666667</v>
      </c>
      <c r="S20" s="247"/>
      <c r="T20" s="247">
        <v>-427.45012800000001</v>
      </c>
      <c r="U20" s="247"/>
      <c r="V20" s="247">
        <v>-427.45012800000001</v>
      </c>
      <c r="W20" s="247"/>
      <c r="X20" s="246">
        <v>-81.988510000000005</v>
      </c>
      <c r="Y20" s="247"/>
      <c r="Z20" s="246">
        <v>-81.988510000000005</v>
      </c>
      <c r="AA20" s="231"/>
    </row>
    <row r="21" spans="1:27">
      <c r="A21" s="404">
        <f t="shared" si="0"/>
        <v>12</v>
      </c>
      <c r="B21" s="229"/>
      <c r="C21" s="482" t="s">
        <v>762</v>
      </c>
      <c r="D21" s="228"/>
      <c r="E21" s="229"/>
      <c r="F21" s="243"/>
      <c r="G21" s="251"/>
      <c r="H21" s="252">
        <v>-47</v>
      </c>
      <c r="I21" s="251"/>
      <c r="J21" s="252">
        <v>-13</v>
      </c>
      <c r="K21" s="251"/>
      <c r="L21" s="252">
        <v>-22</v>
      </c>
      <c r="M21" s="251"/>
      <c r="N21" s="252">
        <v>-18.641309999999997</v>
      </c>
      <c r="O21" s="229"/>
      <c r="P21" s="252">
        <v>-13.52613</v>
      </c>
      <c r="Q21" s="253"/>
      <c r="R21" s="252">
        <v>-16.188099999999999</v>
      </c>
      <c r="S21" s="253"/>
      <c r="T21" s="252">
        <v>-16.188099999999999</v>
      </c>
      <c r="U21" s="253"/>
      <c r="V21" s="252">
        <v>-16.188099999999999</v>
      </c>
      <c r="W21" s="251"/>
      <c r="X21" s="252">
        <v>-8.2812319999999993</v>
      </c>
      <c r="Y21" s="251"/>
      <c r="Z21" s="252">
        <v>-8.2812319999999993</v>
      </c>
      <c r="AA21" s="228"/>
    </row>
    <row r="22" spans="1:27" s="229" customFormat="1">
      <c r="A22" s="404">
        <f t="shared" si="0"/>
        <v>13</v>
      </c>
      <c r="B22" s="245"/>
      <c r="C22" s="232" t="s">
        <v>290</v>
      </c>
      <c r="D22" s="232"/>
      <c r="E22" s="232"/>
      <c r="F22" s="232"/>
      <c r="G22" s="253"/>
      <c r="H22" s="253">
        <f>SUM(H18:H21)</f>
        <v>-236</v>
      </c>
      <c r="I22" s="253"/>
      <c r="J22" s="253">
        <f>SUM(J18:J21)</f>
        <v>-73</v>
      </c>
      <c r="K22" s="253"/>
      <c r="L22" s="253">
        <f>SUM(L18:L21)</f>
        <v>-445.07080000000002</v>
      </c>
      <c r="M22" s="253"/>
      <c r="N22" s="253">
        <f>SUM(N18:N21)</f>
        <v>-144.26213999999999</v>
      </c>
      <c r="O22" s="232"/>
      <c r="P22" s="253">
        <f>SUM(P18:P21)</f>
        <v>-105.25346999999999</v>
      </c>
      <c r="Q22" s="253"/>
      <c r="R22" s="253">
        <f>SUM(R18:R21)</f>
        <v>-266.63449333333335</v>
      </c>
      <c r="S22" s="253"/>
      <c r="T22" s="253">
        <f>SUM(T18:T21)</f>
        <v>-535.80999466666663</v>
      </c>
      <c r="U22" s="253"/>
      <c r="V22" s="253">
        <f>SUM(V18:V21)</f>
        <v>-535.80999466666663</v>
      </c>
      <c r="W22" s="253"/>
      <c r="X22" s="253">
        <f>SUM(X18:X21)</f>
        <v>-175.91173599999996</v>
      </c>
      <c r="Y22" s="253"/>
      <c r="Z22" s="253">
        <f>SUM(Z18:Z21)</f>
        <v>-175.91173599999996</v>
      </c>
      <c r="AA22" s="231"/>
    </row>
    <row r="23" spans="1:27">
      <c r="A23" s="404">
        <f t="shared" si="0"/>
        <v>14</v>
      </c>
      <c r="B23" s="245"/>
      <c r="G23" s="253"/>
      <c r="H23" s="253"/>
      <c r="I23" s="253"/>
      <c r="J23" s="253"/>
      <c r="K23" s="253"/>
      <c r="L23" s="253"/>
      <c r="M23" s="253"/>
      <c r="N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31"/>
    </row>
    <row r="24" spans="1:27">
      <c r="A24" s="404">
        <f t="shared" si="0"/>
        <v>15</v>
      </c>
      <c r="B24" s="245"/>
      <c r="C24" s="229" t="s">
        <v>140</v>
      </c>
      <c r="G24" s="247"/>
      <c r="H24" s="247"/>
      <c r="I24" s="247"/>
      <c r="J24" s="247"/>
      <c r="K24" s="247"/>
      <c r="L24" s="247"/>
      <c r="M24" s="247"/>
      <c r="N24" s="247"/>
      <c r="P24" s="247"/>
      <c r="Q24" s="247"/>
      <c r="R24" s="247"/>
      <c r="S24" s="247"/>
      <c r="T24" s="247"/>
      <c r="U24" s="247"/>
      <c r="V24" s="247"/>
      <c r="W24" s="247"/>
      <c r="X24" s="246"/>
      <c r="Y24" s="247"/>
      <c r="Z24" s="246"/>
      <c r="AA24" s="231"/>
    </row>
    <row r="25" spans="1:27">
      <c r="A25" s="404">
        <f t="shared" si="0"/>
        <v>16</v>
      </c>
      <c r="B25" s="245"/>
      <c r="C25" s="249" t="s">
        <v>144</v>
      </c>
      <c r="G25" s="253"/>
      <c r="H25" s="253">
        <v>-38</v>
      </c>
      <c r="I25" s="253"/>
      <c r="J25" s="253">
        <v>-57</v>
      </c>
      <c r="K25" s="253"/>
      <c r="L25" s="253">
        <v>-29.612880000000001</v>
      </c>
      <c r="M25" s="253"/>
      <c r="N25" s="253">
        <v>-15.492989999999999</v>
      </c>
      <c r="P25" s="253">
        <v>-16.15522</v>
      </c>
      <c r="Q25" s="253"/>
      <c r="R25" s="253">
        <v>-32.394083333333334</v>
      </c>
      <c r="S25" s="253"/>
      <c r="T25" s="253">
        <v>-32.394083333333334</v>
      </c>
      <c r="U25" s="253"/>
      <c r="V25" s="253">
        <v>-32.394083333333334</v>
      </c>
      <c r="W25" s="253"/>
      <c r="X25" s="253">
        <v>-44.029541999999992</v>
      </c>
      <c r="Y25" s="253"/>
      <c r="Z25" s="253">
        <v>-44.029541999999992</v>
      </c>
      <c r="AA25" s="231"/>
    </row>
    <row r="26" spans="1:27">
      <c r="A26" s="404">
        <f t="shared" si="0"/>
        <v>17</v>
      </c>
      <c r="B26" s="245"/>
      <c r="C26" s="249" t="s">
        <v>69</v>
      </c>
      <c r="G26" s="253"/>
      <c r="H26" s="253">
        <v>-44</v>
      </c>
      <c r="I26" s="253"/>
      <c r="J26" s="253">
        <v>-109</v>
      </c>
      <c r="K26" s="253"/>
      <c r="L26" s="253">
        <v>-154.05107999999998</v>
      </c>
      <c r="M26" s="253"/>
      <c r="N26" s="253">
        <v>-4.5170000000000003</v>
      </c>
      <c r="P26" s="253">
        <v>-161.52147999999997</v>
      </c>
      <c r="Q26" s="253"/>
      <c r="R26" s="253">
        <v>-126.83885666666667</v>
      </c>
      <c r="S26" s="253"/>
      <c r="T26" s="253">
        <v>-126.83885666666667</v>
      </c>
      <c r="U26" s="253"/>
      <c r="V26" s="253">
        <v>-119.90233200000002</v>
      </c>
      <c r="W26" s="253"/>
      <c r="X26" s="253">
        <v>-56.707159999999995</v>
      </c>
      <c r="Y26" s="253"/>
      <c r="Z26" s="253">
        <v>-56.707159999999995</v>
      </c>
      <c r="AA26" s="231"/>
    </row>
    <row r="27" spans="1:27">
      <c r="A27" s="404">
        <f t="shared" si="0"/>
        <v>18</v>
      </c>
      <c r="B27" s="245"/>
      <c r="C27" s="249" t="s">
        <v>146</v>
      </c>
      <c r="G27" s="253"/>
      <c r="H27" s="253">
        <v>-59</v>
      </c>
      <c r="I27" s="253"/>
      <c r="J27" s="253">
        <v>-18</v>
      </c>
      <c r="K27" s="253"/>
      <c r="L27" s="253">
        <v>-16.728990000000003</v>
      </c>
      <c r="M27" s="253"/>
      <c r="N27" s="253">
        <v>-12.75441</v>
      </c>
      <c r="P27" s="253">
        <v>-17.411810000000003</v>
      </c>
      <c r="Q27" s="253"/>
      <c r="R27" s="253">
        <v>-30.973289999999999</v>
      </c>
      <c r="S27" s="253"/>
      <c r="T27" s="253">
        <v>-30.973289999999999</v>
      </c>
      <c r="U27" s="253"/>
      <c r="V27" s="253">
        <v>-30.973289999999999</v>
      </c>
      <c r="W27" s="253"/>
      <c r="X27" s="253">
        <v>-58.827002</v>
      </c>
      <c r="Y27" s="253"/>
      <c r="Z27" s="253">
        <v>-58.827002</v>
      </c>
      <c r="AA27" s="231"/>
    </row>
    <row r="28" spans="1:27">
      <c r="A28" s="404">
        <f t="shared" si="0"/>
        <v>19</v>
      </c>
      <c r="B28" s="245"/>
      <c r="C28" s="482" t="s">
        <v>762</v>
      </c>
      <c r="G28" s="253"/>
      <c r="H28" s="252">
        <v>-7</v>
      </c>
      <c r="I28" s="253"/>
      <c r="J28" s="252">
        <v>-23</v>
      </c>
      <c r="K28" s="253"/>
      <c r="L28" s="252">
        <v>-4.6306099999999999</v>
      </c>
      <c r="M28" s="253"/>
      <c r="N28" s="252">
        <v>0</v>
      </c>
      <c r="P28" s="252">
        <v>-2.7208899999999998</v>
      </c>
      <c r="Q28" s="253"/>
      <c r="R28" s="252">
        <v>-6.5744150000000001</v>
      </c>
      <c r="S28" s="253"/>
      <c r="T28" s="252">
        <v>-6.5744150000000001</v>
      </c>
      <c r="U28" s="253"/>
      <c r="V28" s="252">
        <v>-6.5744150000000001</v>
      </c>
      <c r="W28" s="253"/>
      <c r="X28" s="252">
        <v>-1</v>
      </c>
      <c r="Y28" s="253"/>
      <c r="Z28" s="252">
        <v>-1</v>
      </c>
      <c r="AA28" s="231"/>
    </row>
    <row r="29" spans="1:27">
      <c r="A29" s="404">
        <f t="shared" si="0"/>
        <v>20</v>
      </c>
      <c r="B29" s="245"/>
      <c r="C29" s="232" t="s">
        <v>70</v>
      </c>
      <c r="G29" s="253"/>
      <c r="H29" s="253">
        <f>SUM(H25:H28)</f>
        <v>-148</v>
      </c>
      <c r="I29" s="253"/>
      <c r="J29" s="253">
        <f>SUM(J25:J28)</f>
        <v>-207</v>
      </c>
      <c r="K29" s="253"/>
      <c r="L29" s="253">
        <f>SUM(L25:L28)</f>
        <v>-205.02355999999997</v>
      </c>
      <c r="M29" s="253"/>
      <c r="N29" s="253">
        <f>SUM(N25:N28)</f>
        <v>-32.764399999999995</v>
      </c>
      <c r="P29" s="253">
        <f>SUM(P25:P28)</f>
        <v>-197.80939999999998</v>
      </c>
      <c r="Q29" s="253"/>
      <c r="R29" s="253">
        <f>SUM(R25:R28)</f>
        <v>-196.78064499999999</v>
      </c>
      <c r="S29" s="253"/>
      <c r="T29" s="253">
        <f>SUM(T25:T28)</f>
        <v>-196.78064499999999</v>
      </c>
      <c r="U29" s="253"/>
      <c r="V29" s="253">
        <f>SUM(V25:V28)</f>
        <v>-189.84412033333334</v>
      </c>
      <c r="W29" s="253"/>
      <c r="X29" s="253">
        <f>SUM(X25:X28)</f>
        <v>-160.56370399999997</v>
      </c>
      <c r="Y29" s="253"/>
      <c r="Z29" s="253">
        <f>SUM(Z25:Z28)</f>
        <v>-160.56370399999997</v>
      </c>
      <c r="AA29" s="231"/>
    </row>
    <row r="30" spans="1:27">
      <c r="A30" s="404">
        <f t="shared" si="0"/>
        <v>21</v>
      </c>
      <c r="B30" s="245"/>
      <c r="G30" s="247"/>
      <c r="H30" s="247"/>
      <c r="I30" s="247"/>
      <c r="J30" s="247"/>
      <c r="K30" s="247"/>
      <c r="L30" s="247"/>
      <c r="M30" s="247"/>
      <c r="N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31"/>
    </row>
    <row r="31" spans="1:27">
      <c r="A31" s="404">
        <f t="shared" si="0"/>
        <v>22</v>
      </c>
      <c r="B31" s="245"/>
      <c r="C31" s="229" t="s">
        <v>175</v>
      </c>
      <c r="F31" s="565" t="s">
        <v>678</v>
      </c>
      <c r="G31" s="247"/>
      <c r="H31" s="254">
        <f>H29+H14+H22</f>
        <v>-384</v>
      </c>
      <c r="I31" s="247"/>
      <c r="J31" s="254">
        <f>J29+J14+J22</f>
        <v>-280</v>
      </c>
      <c r="K31" s="247"/>
      <c r="L31" s="254">
        <f>L29+L14+L22</f>
        <v>-650.09436000000005</v>
      </c>
      <c r="M31" s="247"/>
      <c r="N31" s="254">
        <f>N29+N14+N22</f>
        <v>-2446.5072599999994</v>
      </c>
      <c r="P31" s="254">
        <f>P29+P14+P22</f>
        <v>-922.06286999999998</v>
      </c>
      <c r="Q31" s="253"/>
      <c r="R31" s="254">
        <f>R29+R14+R22</f>
        <v>-1440.4151383333333</v>
      </c>
      <c r="S31" s="253"/>
      <c r="T31" s="254">
        <f>T29+T14+T22</f>
        <v>-1275.5906396666667</v>
      </c>
      <c r="U31" s="253"/>
      <c r="V31" s="254">
        <f>V29+V14+V22</f>
        <v>-1094.6541149999998</v>
      </c>
      <c r="W31" s="247"/>
      <c r="X31" s="254">
        <f>X29+X14+X22</f>
        <v>-350.79298799999992</v>
      </c>
      <c r="Y31" s="247"/>
      <c r="Z31" s="254">
        <f>Z29+Z14+Z22</f>
        <v>-350.79298799999992</v>
      </c>
      <c r="AA31" s="231"/>
    </row>
    <row r="32" spans="1:27">
      <c r="A32" s="244"/>
      <c r="B32" s="245"/>
      <c r="Z32" s="231"/>
    </row>
  </sheetData>
  <customSheetViews>
    <customSheetView guid="{275E5119-9E8C-43ED-ACD2-DF40CF10B219}" fitToPage="1">
      <selection activeCell="F31" sqref="F31"/>
      <pageMargins left="0.6" right="0.55000000000000004" top="0.77" bottom="0.5" header="0.66" footer="0.5"/>
      <printOptions horizontalCentered="1"/>
      <pageSetup scale="89" orientation="landscape" horizontalDpi="4294967292" verticalDpi="300" r:id="rId1"/>
      <headerFooter alignWithMargins="0"/>
    </customSheetView>
    <customSheetView guid="{D346ECD1-ED60-4F74-8B02-572F89E41ACB}" showPageBreaks="1" fitToPage="1" showRuler="0">
      <selection activeCell="F31" sqref="F31"/>
      <pageMargins left="0.6" right="0.55000000000000004" top="0.77" bottom="0.5" header="0.66" footer="0.5"/>
      <printOptions horizontalCentered="1"/>
      <pageSetup scale="83" orientation="landscape" horizontalDpi="4294967292" verticalDpi="300" r:id="rId2"/>
      <headerFooter alignWithMargins="0"/>
    </customSheetView>
  </customSheetViews>
  <mergeCells count="1">
    <mergeCell ref="R7:V7"/>
  </mergeCells>
  <phoneticPr fontId="10" type="noConversion"/>
  <printOptions horizontalCentered="1"/>
  <pageMargins left="0.6" right="0.55000000000000004" top="0.77" bottom="0.5" header="0.66" footer="0.5"/>
  <pageSetup scale="67" orientation="landscape" r:id="rId3"/>
  <headerFooter alignWithMargins="0"/>
  <ignoredErrors>
    <ignoredError sqref="A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 enableFormatConditionsCalculation="0">
    <pageSetUpPr fitToPage="1"/>
  </sheetPr>
  <dimension ref="A1:AD97"/>
  <sheetViews>
    <sheetView tabSelected="1" view="pageBreakPreview" zoomScale="85" zoomScaleNormal="55" zoomScaleSheetLayoutView="85" workbookViewId="0">
      <selection activeCell="C14" sqref="C14"/>
    </sheetView>
  </sheetViews>
  <sheetFormatPr defaultColWidth="7.5703125" defaultRowHeight="15"/>
  <cols>
    <col min="1" max="1" width="8.5703125" style="52" customWidth="1"/>
    <col min="2" max="2" width="2.5703125" style="52" customWidth="1"/>
    <col min="3" max="3" width="70.28515625" style="52" customWidth="1"/>
    <col min="4" max="4" width="2.5703125" style="52" customWidth="1"/>
    <col min="5" max="5" width="17.85546875" style="55" bestFit="1" customWidth="1"/>
    <col min="6" max="6" width="2.5703125" style="52" customWidth="1"/>
    <col min="7" max="7" width="14.7109375" style="52" customWidth="1"/>
    <col min="8" max="8" width="2.5703125" style="52" customWidth="1"/>
    <col min="9" max="9" width="14.7109375" style="52" customWidth="1"/>
    <col min="10" max="10" width="2.5703125" style="52" customWidth="1"/>
    <col min="11" max="11" width="14.7109375" style="52" customWidth="1"/>
    <col min="12" max="12" width="2.5703125" style="52" customWidth="1"/>
    <col min="13" max="13" width="14.7109375" style="52" customWidth="1"/>
    <col min="14" max="14" width="3.7109375" style="52" customWidth="1"/>
    <col min="15" max="15" width="14.7109375" style="52" customWidth="1"/>
    <col min="16" max="16" width="2.5703125" style="52" customWidth="1"/>
    <col min="17" max="17" width="14.7109375" style="52" customWidth="1"/>
    <col min="18" max="18" width="2.140625" style="52" customWidth="1"/>
    <col min="19" max="19" width="14.7109375" style="52" customWidth="1"/>
    <col min="20" max="20" width="3.42578125" style="52" customWidth="1"/>
    <col min="21" max="21" width="14.7109375" style="52" customWidth="1"/>
    <col min="22" max="22" width="2.5703125" style="52" customWidth="1"/>
    <col min="23" max="23" width="14.7109375" style="52" customWidth="1"/>
    <col min="24" max="24" width="2.5703125" style="52" customWidth="1"/>
    <col min="25" max="25" width="14.7109375" style="52" customWidth="1"/>
    <col min="26" max="26" width="2.42578125" style="52" customWidth="1"/>
    <col min="27" max="16384" width="7.5703125" style="52"/>
  </cols>
  <sheetData>
    <row r="1" spans="1:26" ht="15.75">
      <c r="A1" s="61" t="s">
        <v>540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2"/>
      <c r="Z1" s="109" t="s">
        <v>517</v>
      </c>
    </row>
    <row r="2" spans="1:26" ht="15.75">
      <c r="A2" s="61" t="s">
        <v>463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6" ht="15.75">
      <c r="A3" s="61" t="s">
        <v>238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6" ht="15.75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6" ht="15.75">
      <c r="A5" s="50"/>
      <c r="B5" s="51"/>
      <c r="C5" s="51"/>
      <c r="D5" s="51"/>
      <c r="F5" s="51"/>
      <c r="O5" s="284"/>
      <c r="P5" s="284"/>
      <c r="Q5" s="431"/>
      <c r="R5" s="284"/>
      <c r="S5" s="431"/>
      <c r="T5" s="284"/>
      <c r="U5" s="431"/>
      <c r="V5" s="284"/>
      <c r="W5" s="431" t="s">
        <v>459</v>
      </c>
      <c r="X5" s="431"/>
      <c r="Y5" s="431" t="s">
        <v>459</v>
      </c>
      <c r="Z5" s="460"/>
    </row>
    <row r="6" spans="1:26" ht="15" customHeight="1">
      <c r="A6" s="53" t="s">
        <v>33</v>
      </c>
      <c r="B6" s="53"/>
      <c r="C6" s="53"/>
      <c r="D6" s="53"/>
      <c r="E6" s="53" t="s">
        <v>34</v>
      </c>
      <c r="F6" s="53"/>
      <c r="G6" s="53" t="s">
        <v>25</v>
      </c>
      <c r="H6" s="53"/>
      <c r="I6" s="53" t="s">
        <v>25</v>
      </c>
      <c r="J6" s="53"/>
      <c r="K6" s="53" t="s">
        <v>25</v>
      </c>
      <c r="L6" s="53"/>
      <c r="M6" s="53" t="s">
        <v>25</v>
      </c>
      <c r="N6" s="432"/>
      <c r="O6" s="431" t="s">
        <v>25</v>
      </c>
      <c r="P6" s="431"/>
      <c r="Q6" s="819" t="s">
        <v>330</v>
      </c>
      <c r="R6" s="819"/>
      <c r="S6" s="819"/>
      <c r="T6" s="819"/>
      <c r="U6" s="819"/>
      <c r="V6" s="271"/>
      <c r="W6" s="431" t="s">
        <v>15</v>
      </c>
      <c r="X6" s="431"/>
      <c r="Y6" s="431" t="s">
        <v>15</v>
      </c>
      <c r="Z6" s="460"/>
    </row>
    <row r="7" spans="1:26" ht="15" customHeight="1">
      <c r="A7" s="54" t="s">
        <v>35</v>
      </c>
      <c r="B7" s="53"/>
      <c r="C7" s="54" t="s">
        <v>178</v>
      </c>
      <c r="D7" s="53"/>
      <c r="E7" s="54" t="s">
        <v>36</v>
      </c>
      <c r="F7" s="53"/>
      <c r="G7" s="54">
        <v>2008</v>
      </c>
      <c r="H7" s="53"/>
      <c r="I7" s="54">
        <v>2009</v>
      </c>
      <c r="J7" s="53"/>
      <c r="K7" s="54">
        <v>2010</v>
      </c>
      <c r="L7" s="53"/>
      <c r="M7" s="54">
        <v>2011</v>
      </c>
      <c r="N7" s="285"/>
      <c r="O7" s="17">
        <v>2012</v>
      </c>
      <c r="P7" s="281"/>
      <c r="Q7" s="17">
        <v>2013</v>
      </c>
      <c r="R7" s="281"/>
      <c r="S7" s="17">
        <v>2014</v>
      </c>
      <c r="T7" s="281"/>
      <c r="U7" s="17">
        <v>2015</v>
      </c>
      <c r="V7" s="271"/>
      <c r="W7" s="17">
        <v>2008</v>
      </c>
      <c r="X7" s="271"/>
      <c r="Y7" s="17">
        <v>2009</v>
      </c>
      <c r="Z7" s="460"/>
    </row>
    <row r="8" spans="1:26" ht="15" customHeight="1"/>
    <row r="9" spans="1:26" ht="15" customHeight="1">
      <c r="A9" s="55">
        <v>1</v>
      </c>
      <c r="C9" s="164" t="s">
        <v>295</v>
      </c>
      <c r="G9" s="169"/>
      <c r="H9" s="169"/>
      <c r="I9" s="169"/>
      <c r="J9" s="169"/>
      <c r="K9" s="383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70"/>
      <c r="X9" s="169"/>
      <c r="Y9" s="170"/>
    </row>
    <row r="10" spans="1:26" ht="15" customHeight="1">
      <c r="A10" s="55">
        <f>A9+1</f>
        <v>2</v>
      </c>
      <c r="C10" s="164"/>
      <c r="G10" s="169"/>
      <c r="H10" s="169"/>
      <c r="I10" s="169"/>
      <c r="J10" s="169"/>
      <c r="K10" s="383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390"/>
      <c r="X10" s="169"/>
      <c r="Y10" s="170"/>
    </row>
    <row r="11" spans="1:26" ht="15" customHeight="1">
      <c r="A11" s="531">
        <f t="shared" ref="A11:A74" si="0">A10+1</f>
        <v>3</v>
      </c>
      <c r="C11" s="335" t="s">
        <v>296</v>
      </c>
      <c r="G11" s="169"/>
      <c r="H11" s="169"/>
      <c r="I11" s="383"/>
      <c r="J11" s="383"/>
      <c r="K11" s="383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390"/>
      <c r="X11" s="169"/>
      <c r="Y11" s="170"/>
    </row>
    <row r="12" spans="1:26" ht="15" customHeight="1">
      <c r="A12" s="531">
        <f t="shared" si="0"/>
        <v>4</v>
      </c>
      <c r="C12" s="100" t="s">
        <v>301</v>
      </c>
      <c r="E12" s="531" t="s">
        <v>750</v>
      </c>
      <c r="G12" s="186">
        <f>G32+G33</f>
        <v>-600</v>
      </c>
      <c r="H12" s="148"/>
      <c r="I12" s="190">
        <f>I32</f>
        <v>-150</v>
      </c>
      <c r="J12" s="189"/>
      <c r="K12" s="190">
        <f>K32</f>
        <v>-150</v>
      </c>
      <c r="L12" s="148"/>
      <c r="M12" s="190">
        <f>M32</f>
        <v>-150</v>
      </c>
      <c r="N12" s="190"/>
      <c r="O12" s="190">
        <f>O32</f>
        <v>-150</v>
      </c>
      <c r="P12" s="190"/>
      <c r="Q12" s="190">
        <f>Q32</f>
        <v>0</v>
      </c>
      <c r="R12" s="190"/>
      <c r="S12" s="190">
        <f>S32</f>
        <v>0</v>
      </c>
      <c r="T12" s="190"/>
      <c r="U12" s="190">
        <f>U32</f>
        <v>0</v>
      </c>
      <c r="V12" s="148"/>
      <c r="W12" s="190">
        <f>W32</f>
        <v>-150</v>
      </c>
      <c r="X12" s="148"/>
      <c r="Y12" s="186">
        <f>Y32</f>
        <v>-150</v>
      </c>
    </row>
    <row r="13" spans="1:26" ht="15" customHeight="1">
      <c r="A13" s="531">
        <f t="shared" si="0"/>
        <v>5</v>
      </c>
      <c r="C13" s="100" t="s">
        <v>395</v>
      </c>
      <c r="E13" s="531" t="s">
        <v>699</v>
      </c>
      <c r="G13" s="186">
        <f>+G43</f>
        <v>-124</v>
      </c>
      <c r="H13" s="148"/>
      <c r="I13" s="190">
        <f>+I43</f>
        <v>-141</v>
      </c>
      <c r="J13" s="189"/>
      <c r="K13" s="190">
        <v>-141</v>
      </c>
      <c r="L13" s="148"/>
      <c r="M13" s="190">
        <v>0</v>
      </c>
      <c r="N13" s="190"/>
      <c r="O13" s="190">
        <v>0</v>
      </c>
      <c r="P13" s="190"/>
      <c r="Q13" s="190">
        <v>0</v>
      </c>
      <c r="R13" s="190"/>
      <c r="S13" s="190">
        <v>0</v>
      </c>
      <c r="T13" s="190"/>
      <c r="U13" s="190">
        <v>0</v>
      </c>
      <c r="V13" s="148"/>
      <c r="W13" s="190">
        <f>+W43</f>
        <v>-123</v>
      </c>
      <c r="X13" s="148"/>
      <c r="Y13" s="186">
        <f>+Y43</f>
        <v>-123</v>
      </c>
    </row>
    <row r="14" spans="1:26" ht="15" customHeight="1">
      <c r="A14" s="531">
        <f t="shared" si="0"/>
        <v>6</v>
      </c>
      <c r="C14" s="100" t="s">
        <v>11</v>
      </c>
      <c r="E14" s="531" t="s">
        <v>700</v>
      </c>
      <c r="G14" s="86">
        <f>+G53</f>
        <v>-147</v>
      </c>
      <c r="H14" s="86"/>
      <c r="I14" s="138">
        <f>+I53</f>
        <v>-147</v>
      </c>
      <c r="J14" s="138"/>
      <c r="K14" s="138">
        <f>+K53+K51</f>
        <v>0</v>
      </c>
      <c r="L14" s="86"/>
      <c r="M14" s="138">
        <v>0</v>
      </c>
      <c r="N14" s="138"/>
      <c r="O14" s="138">
        <f>+O53</f>
        <v>0</v>
      </c>
      <c r="P14" s="138"/>
      <c r="Q14" s="138">
        <f>+Q53</f>
        <v>0</v>
      </c>
      <c r="R14" s="138"/>
      <c r="S14" s="138">
        <f>+S53</f>
        <v>0</v>
      </c>
      <c r="T14" s="138"/>
      <c r="U14" s="138">
        <f>+U53</f>
        <v>0</v>
      </c>
      <c r="V14" s="86"/>
      <c r="W14" s="138">
        <f>+W53</f>
        <v>-154</v>
      </c>
      <c r="X14" s="86"/>
      <c r="Y14" s="86">
        <f>+Y53</f>
        <v>-154</v>
      </c>
    </row>
    <row r="15" spans="1:26" ht="15" customHeight="1">
      <c r="A15" s="531">
        <f t="shared" si="0"/>
        <v>7</v>
      </c>
      <c r="C15" s="146" t="s">
        <v>527</v>
      </c>
      <c r="E15" s="531" t="s">
        <v>701</v>
      </c>
      <c r="G15" s="86">
        <v>0</v>
      </c>
      <c r="H15" s="86"/>
      <c r="I15" s="138">
        <v>0</v>
      </c>
      <c r="J15" s="138"/>
      <c r="K15" s="138">
        <v>0</v>
      </c>
      <c r="L15" s="86"/>
      <c r="M15" s="138">
        <v>0</v>
      </c>
      <c r="N15" s="138"/>
      <c r="O15" s="138">
        <v>0</v>
      </c>
      <c r="P15" s="138"/>
      <c r="Q15" s="138">
        <f>+Q61</f>
        <v>-22.2</v>
      </c>
      <c r="R15" s="138"/>
      <c r="S15" s="138">
        <f>+S61</f>
        <v>-22.2</v>
      </c>
      <c r="T15" s="138"/>
      <c r="U15" s="138">
        <f>+U61</f>
        <v>-22.2</v>
      </c>
      <c r="V15" s="86"/>
      <c r="W15" s="138">
        <f>+W61</f>
        <v>0</v>
      </c>
      <c r="X15" s="86"/>
      <c r="Y15" s="138">
        <f>+Y61</f>
        <v>0</v>
      </c>
    </row>
    <row r="16" spans="1:26" s="530" customFormat="1" ht="15" customHeight="1">
      <c r="A16" s="531">
        <f t="shared" si="0"/>
        <v>8</v>
      </c>
      <c r="C16" s="146" t="s">
        <v>526</v>
      </c>
      <c r="E16" s="531" t="s">
        <v>702</v>
      </c>
      <c r="G16" s="86">
        <v>0</v>
      </c>
      <c r="H16" s="86"/>
      <c r="I16" s="138">
        <v>0</v>
      </c>
      <c r="J16" s="138"/>
      <c r="K16" s="138">
        <v>0</v>
      </c>
      <c r="L16" s="86"/>
      <c r="M16" s="138">
        <v>0</v>
      </c>
      <c r="N16" s="138"/>
      <c r="O16" s="138">
        <v>0</v>
      </c>
      <c r="P16" s="138"/>
      <c r="Q16" s="138">
        <f>+Q69</f>
        <v>-11</v>
      </c>
      <c r="R16" s="138"/>
      <c r="S16" s="138">
        <f>+S69</f>
        <v>-11</v>
      </c>
      <c r="T16" s="138"/>
      <c r="U16" s="138">
        <f>+U69</f>
        <v>-11</v>
      </c>
      <c r="V16" s="86"/>
      <c r="W16" s="138">
        <f>+W69</f>
        <v>0</v>
      </c>
      <c r="X16" s="86"/>
      <c r="Y16" s="138">
        <f>+Y69</f>
        <v>0</v>
      </c>
    </row>
    <row r="17" spans="1:26" s="530" customFormat="1" ht="15" customHeight="1">
      <c r="A17" s="531">
        <f t="shared" si="0"/>
        <v>9</v>
      </c>
      <c r="C17" s="146" t="s">
        <v>598</v>
      </c>
      <c r="E17" s="531" t="s">
        <v>703</v>
      </c>
      <c r="G17" s="138">
        <f>+G79</f>
        <v>0</v>
      </c>
      <c r="H17" s="86"/>
      <c r="I17" s="138">
        <f>+I79</f>
        <v>0</v>
      </c>
      <c r="J17" s="138"/>
      <c r="K17" s="138">
        <f>+K79</f>
        <v>0</v>
      </c>
      <c r="L17" s="86"/>
      <c r="M17" s="138">
        <f>+M80</f>
        <v>0</v>
      </c>
      <c r="N17" s="138"/>
      <c r="O17" s="138">
        <f>+O80</f>
        <v>0</v>
      </c>
      <c r="P17" s="138"/>
      <c r="Q17" s="138">
        <f>+Q77</f>
        <v>-7</v>
      </c>
      <c r="R17" s="138"/>
      <c r="S17" s="138">
        <f>+S77</f>
        <v>-7</v>
      </c>
      <c r="T17" s="138"/>
      <c r="U17" s="138">
        <f>+U77</f>
        <v>-6</v>
      </c>
      <c r="V17" s="86"/>
      <c r="W17" s="138">
        <v>0</v>
      </c>
      <c r="X17" s="86"/>
      <c r="Y17" s="138">
        <v>0</v>
      </c>
    </row>
    <row r="18" spans="1:26" ht="15" customHeight="1" thickBot="1">
      <c r="A18" s="531">
        <f t="shared" si="0"/>
        <v>10</v>
      </c>
      <c r="C18" s="336" t="s">
        <v>293</v>
      </c>
      <c r="E18" s="68" t="s">
        <v>338</v>
      </c>
      <c r="G18" s="194">
        <f>SUM(G12:G17)</f>
        <v>-871</v>
      </c>
      <c r="H18" s="60"/>
      <c r="I18" s="194">
        <f>SUM(I12:I17)</f>
        <v>-438</v>
      </c>
      <c r="J18" s="125"/>
      <c r="K18" s="194">
        <f>SUM(K12:K17)</f>
        <v>-291</v>
      </c>
      <c r="L18" s="60"/>
      <c r="M18" s="194">
        <f>SUM(M12:M17)</f>
        <v>-150</v>
      </c>
      <c r="N18" s="138"/>
      <c r="O18" s="194">
        <f>SUM(O12:O17)</f>
        <v>-150</v>
      </c>
      <c r="P18" s="138"/>
      <c r="Q18" s="194">
        <f>SUM(Q12:Q17)</f>
        <v>-40.200000000000003</v>
      </c>
      <c r="R18" s="138"/>
      <c r="S18" s="194">
        <f>SUM(S12:S17)</f>
        <v>-40.200000000000003</v>
      </c>
      <c r="T18" s="138"/>
      <c r="U18" s="194">
        <f>SUM(U12:U17)</f>
        <v>-39.200000000000003</v>
      </c>
      <c r="V18" s="60"/>
      <c r="W18" s="194">
        <f>SUM(W12:W17)</f>
        <v>-427</v>
      </c>
      <c r="X18" s="60"/>
      <c r="Y18" s="194">
        <f>SUM(Y12:Y17)</f>
        <v>-427</v>
      </c>
    </row>
    <row r="19" spans="1:26" ht="15" customHeight="1" thickTop="1">
      <c r="A19" s="531">
        <f t="shared" si="0"/>
        <v>11</v>
      </c>
      <c r="C19" s="164"/>
      <c r="G19" s="186"/>
      <c r="H19" s="148"/>
      <c r="I19" s="190"/>
      <c r="J19" s="189"/>
      <c r="K19" s="190"/>
      <c r="L19" s="148"/>
      <c r="M19" s="190"/>
      <c r="N19" s="190"/>
      <c r="O19" s="190"/>
      <c r="P19" s="190"/>
      <c r="Q19" s="190"/>
      <c r="R19" s="190"/>
      <c r="S19" s="190"/>
      <c r="T19" s="190"/>
      <c r="U19" s="190"/>
      <c r="V19" s="148"/>
      <c r="W19" s="190"/>
      <c r="X19" s="148"/>
      <c r="Y19" s="186"/>
    </row>
    <row r="20" spans="1:26" ht="15" customHeight="1">
      <c r="A20" s="531">
        <f t="shared" si="0"/>
        <v>12</v>
      </c>
      <c r="C20" s="335" t="s">
        <v>297</v>
      </c>
      <c r="I20" s="115"/>
      <c r="J20" s="115"/>
      <c r="K20" s="115"/>
      <c r="O20" s="115"/>
      <c r="P20" s="115"/>
      <c r="Q20" s="115"/>
      <c r="R20" s="115"/>
      <c r="S20" s="115"/>
      <c r="T20" s="115"/>
      <c r="U20" s="115"/>
      <c r="W20" s="115"/>
    </row>
    <row r="21" spans="1:26" ht="15" customHeight="1">
      <c r="A21" s="531">
        <f t="shared" si="0"/>
        <v>13</v>
      </c>
      <c r="C21" s="100" t="s">
        <v>291</v>
      </c>
      <c r="E21" s="531" t="s">
        <v>704</v>
      </c>
      <c r="G21" s="186">
        <f>G36</f>
        <v>-133</v>
      </c>
      <c r="H21" s="148"/>
      <c r="I21" s="190">
        <f>I36</f>
        <v>-320.5</v>
      </c>
      <c r="J21" s="189"/>
      <c r="K21" s="190">
        <f>K36</f>
        <v>-420</v>
      </c>
      <c r="L21" s="148"/>
      <c r="M21" s="190">
        <f>M36</f>
        <v>-490</v>
      </c>
      <c r="N21" s="190"/>
      <c r="O21" s="190">
        <f>O36</f>
        <v>-548</v>
      </c>
      <c r="P21" s="190"/>
      <c r="Q21" s="190">
        <f>Q36</f>
        <v>-401.875</v>
      </c>
      <c r="R21" s="190"/>
      <c r="S21" s="190">
        <f>S36</f>
        <v>-96.625</v>
      </c>
      <c r="T21" s="190"/>
      <c r="U21" s="190">
        <f>U36</f>
        <v>0</v>
      </c>
      <c r="V21" s="148"/>
      <c r="W21" s="190">
        <f>W36</f>
        <v>90</v>
      </c>
      <c r="X21" s="148"/>
      <c r="Y21" s="186">
        <f>Y36</f>
        <v>75</v>
      </c>
    </row>
    <row r="22" spans="1:26" ht="15" customHeight="1">
      <c r="A22" s="531">
        <f t="shared" si="0"/>
        <v>14</v>
      </c>
      <c r="C22" s="100" t="s">
        <v>395</v>
      </c>
      <c r="E22" s="531" t="s">
        <v>705</v>
      </c>
      <c r="G22" s="186">
        <f>G46</f>
        <v>427</v>
      </c>
      <c r="H22" s="148"/>
      <c r="I22" s="190">
        <f>I46</f>
        <v>353.5</v>
      </c>
      <c r="J22" s="189"/>
      <c r="K22" s="190">
        <v>213</v>
      </c>
      <c r="L22" s="148"/>
      <c r="M22" s="190">
        <v>0</v>
      </c>
      <c r="N22" s="190"/>
      <c r="O22" s="190">
        <v>0</v>
      </c>
      <c r="P22" s="190"/>
      <c r="Q22" s="190">
        <v>0</v>
      </c>
      <c r="R22" s="190"/>
      <c r="S22" s="190">
        <v>0</v>
      </c>
      <c r="T22" s="190"/>
      <c r="U22" s="190">
        <v>0</v>
      </c>
      <c r="V22" s="148"/>
      <c r="W22" s="190">
        <f>W46</f>
        <v>398.5</v>
      </c>
      <c r="X22" s="148"/>
      <c r="Y22" s="186">
        <f>Y46</f>
        <v>305.5</v>
      </c>
    </row>
    <row r="23" spans="1:26" ht="15" customHeight="1">
      <c r="A23" s="531">
        <f t="shared" si="0"/>
        <v>15</v>
      </c>
      <c r="C23" s="100" t="s">
        <v>456</v>
      </c>
      <c r="E23" s="531" t="s">
        <v>706</v>
      </c>
      <c r="G23" s="186">
        <f>+G56</f>
        <v>153</v>
      </c>
      <c r="H23" s="148"/>
      <c r="I23" s="190">
        <f>+I56</f>
        <v>204</v>
      </c>
      <c r="J23" s="189"/>
      <c r="K23" s="190">
        <f>K56</f>
        <v>443</v>
      </c>
      <c r="L23" s="148"/>
      <c r="M23" s="190">
        <v>0</v>
      </c>
      <c r="N23" s="190"/>
      <c r="O23" s="190">
        <v>0</v>
      </c>
      <c r="P23" s="190"/>
      <c r="Q23" s="190">
        <v>0</v>
      </c>
      <c r="R23" s="190"/>
      <c r="S23" s="190">
        <v>0</v>
      </c>
      <c r="T23" s="190"/>
      <c r="U23" s="190">
        <v>0</v>
      </c>
      <c r="V23" s="148"/>
      <c r="W23" s="190">
        <f>+W56</f>
        <v>156</v>
      </c>
      <c r="X23" s="148"/>
      <c r="Y23" s="186">
        <f>+Y56</f>
        <v>77</v>
      </c>
    </row>
    <row r="24" spans="1:26" ht="15" customHeight="1">
      <c r="A24" s="531">
        <f t="shared" si="0"/>
        <v>16</v>
      </c>
      <c r="C24" s="146" t="s">
        <v>527</v>
      </c>
      <c r="E24" s="531" t="s">
        <v>707</v>
      </c>
      <c r="G24" s="186">
        <f>G64</f>
        <v>0</v>
      </c>
      <c r="H24" s="148"/>
      <c r="I24" s="423">
        <f>I64</f>
        <v>0</v>
      </c>
      <c r="J24" s="189"/>
      <c r="K24" s="423">
        <f>K64</f>
        <v>0</v>
      </c>
      <c r="L24" s="148"/>
      <c r="M24" s="423">
        <f>M64</f>
        <v>0</v>
      </c>
      <c r="N24" s="190"/>
      <c r="O24" s="423">
        <f>O64</f>
        <v>0</v>
      </c>
      <c r="P24" s="190"/>
      <c r="Q24" s="423">
        <f>Q64</f>
        <v>99.9</v>
      </c>
      <c r="R24" s="190"/>
      <c r="S24" s="423">
        <f>S64</f>
        <v>188.70000000000002</v>
      </c>
      <c r="T24" s="190"/>
      <c r="U24" s="423">
        <f>U64</f>
        <v>166.50000000000003</v>
      </c>
      <c r="V24" s="148"/>
      <c r="W24" s="423">
        <f>W64</f>
        <v>0</v>
      </c>
      <c r="X24" s="148"/>
      <c r="Y24" s="423">
        <f>Y64</f>
        <v>0</v>
      </c>
    </row>
    <row r="25" spans="1:26" s="530" customFormat="1" ht="15" customHeight="1">
      <c r="A25" s="531">
        <f t="shared" si="0"/>
        <v>17</v>
      </c>
      <c r="C25" s="146" t="s">
        <v>526</v>
      </c>
      <c r="E25" s="531" t="s">
        <v>708</v>
      </c>
      <c r="G25" s="423">
        <f>+G72</f>
        <v>16.5</v>
      </c>
      <c r="H25" s="435"/>
      <c r="I25" s="423">
        <f>+I72</f>
        <v>33</v>
      </c>
      <c r="J25" s="438"/>
      <c r="K25" s="423">
        <f>+K72</f>
        <v>33</v>
      </c>
      <c r="L25" s="435"/>
      <c r="M25" s="423">
        <f>+M72</f>
        <v>33</v>
      </c>
      <c r="N25" s="190"/>
      <c r="O25" s="423">
        <f>+O72</f>
        <v>33</v>
      </c>
      <c r="P25" s="190"/>
      <c r="Q25" s="423">
        <f>+Q72</f>
        <v>27.5</v>
      </c>
      <c r="R25" s="190"/>
      <c r="S25" s="423">
        <f>+S72</f>
        <v>16.5</v>
      </c>
      <c r="T25" s="190"/>
      <c r="U25" s="423">
        <f>+U72</f>
        <v>5.5</v>
      </c>
      <c r="V25" s="435"/>
      <c r="W25" s="190">
        <v>0</v>
      </c>
      <c r="X25" s="435"/>
      <c r="Y25" s="423">
        <v>0</v>
      </c>
    </row>
    <row r="26" spans="1:26" s="530" customFormat="1" ht="15" customHeight="1">
      <c r="A26" s="531">
        <f>A25+1</f>
        <v>18</v>
      </c>
      <c r="C26" s="146" t="s">
        <v>598</v>
      </c>
      <c r="E26" s="531" t="s">
        <v>709</v>
      </c>
      <c r="G26" s="423">
        <v>0</v>
      </c>
      <c r="H26" s="435"/>
      <c r="I26" s="190">
        <v>0</v>
      </c>
      <c r="J26" s="438"/>
      <c r="K26" s="190">
        <v>0</v>
      </c>
      <c r="L26" s="435"/>
      <c r="M26" s="190">
        <v>0</v>
      </c>
      <c r="N26" s="190"/>
      <c r="O26" s="190">
        <v>0</v>
      </c>
      <c r="P26" s="190"/>
      <c r="Q26" s="190">
        <f>+Q80</f>
        <v>6.5</v>
      </c>
      <c r="R26" s="190"/>
      <c r="S26" s="190">
        <f>+S80</f>
        <v>9.5</v>
      </c>
      <c r="T26" s="190"/>
      <c r="U26" s="190">
        <f>+U80</f>
        <v>3</v>
      </c>
      <c r="V26" s="435"/>
      <c r="W26" s="190">
        <v>0</v>
      </c>
      <c r="X26" s="435"/>
      <c r="Y26" s="423">
        <v>0</v>
      </c>
    </row>
    <row r="27" spans="1:26" ht="15" customHeight="1" thickBot="1">
      <c r="A27" s="531">
        <f t="shared" si="0"/>
        <v>19</v>
      </c>
      <c r="C27" s="336" t="s">
        <v>298</v>
      </c>
      <c r="E27" s="68" t="s">
        <v>299</v>
      </c>
      <c r="G27" s="172">
        <f>SUM(G21:G26)</f>
        <v>463.5</v>
      </c>
      <c r="H27" s="148"/>
      <c r="I27" s="172">
        <f>SUM(I21:I26)</f>
        <v>270</v>
      </c>
      <c r="J27" s="189"/>
      <c r="K27" s="172">
        <f>SUM(K21:K26)</f>
        <v>269</v>
      </c>
      <c r="L27" s="148"/>
      <c r="M27" s="172">
        <f>SUM(M21:M26)</f>
        <v>-457</v>
      </c>
      <c r="N27" s="190"/>
      <c r="O27" s="172">
        <f>SUM(O21:O26)</f>
        <v>-515</v>
      </c>
      <c r="P27" s="190"/>
      <c r="Q27" s="172">
        <f>SUM(Q21:Q26)</f>
        <v>-267.97500000000002</v>
      </c>
      <c r="R27" s="190"/>
      <c r="S27" s="172">
        <f>SUM(S21:S26)</f>
        <v>118.07500000000002</v>
      </c>
      <c r="T27" s="190"/>
      <c r="U27" s="172">
        <f>SUM(U21:U26)</f>
        <v>175.00000000000003</v>
      </c>
      <c r="V27" s="148"/>
      <c r="W27" s="386">
        <f>SUM(W21:W23)</f>
        <v>644.5</v>
      </c>
      <c r="X27" s="148"/>
      <c r="Y27" s="172">
        <f>SUM(Y21:Y23)</f>
        <v>457.5</v>
      </c>
    </row>
    <row r="28" spans="1:26" ht="15" customHeight="1" thickTop="1">
      <c r="A28" s="531">
        <f t="shared" si="0"/>
        <v>20</v>
      </c>
      <c r="C28" s="192"/>
      <c r="G28" s="186"/>
      <c r="H28" s="148"/>
      <c r="I28" s="190"/>
      <c r="J28" s="189"/>
      <c r="K28" s="190"/>
      <c r="L28" s="148"/>
      <c r="M28" s="190"/>
      <c r="N28" s="190"/>
      <c r="O28" s="190"/>
      <c r="P28" s="190"/>
      <c r="Q28" s="190"/>
      <c r="R28" s="190"/>
      <c r="S28" s="190"/>
      <c r="T28" s="190"/>
      <c r="U28" s="190"/>
      <c r="V28" s="148"/>
      <c r="W28" s="190"/>
      <c r="X28" s="148"/>
      <c r="Y28" s="186"/>
    </row>
    <row r="29" spans="1:26" ht="15" customHeight="1">
      <c r="A29" s="531">
        <f t="shared" si="0"/>
        <v>21</v>
      </c>
      <c r="C29" s="337" t="s">
        <v>301</v>
      </c>
      <c r="G29" s="148"/>
      <c r="H29" s="148"/>
      <c r="I29" s="189"/>
      <c r="J29" s="189"/>
      <c r="K29" s="189"/>
      <c r="L29" s="148"/>
      <c r="M29" s="148"/>
      <c r="N29" s="148"/>
      <c r="O29" s="189"/>
      <c r="P29" s="189"/>
      <c r="Q29" s="189"/>
      <c r="R29" s="189"/>
      <c r="S29" s="189"/>
      <c r="T29" s="189"/>
      <c r="U29" s="189"/>
      <c r="V29" s="148"/>
      <c r="W29" s="189"/>
      <c r="X29" s="148"/>
      <c r="Y29" s="148"/>
    </row>
    <row r="30" spans="1:26" ht="15" customHeight="1">
      <c r="A30" s="531">
        <f t="shared" si="0"/>
        <v>22</v>
      </c>
      <c r="C30" s="530" t="s">
        <v>594</v>
      </c>
      <c r="G30" s="189">
        <v>30</v>
      </c>
      <c r="H30" s="189"/>
      <c r="I30" s="189">
        <f>+G34</f>
        <v>-296</v>
      </c>
      <c r="J30" s="189"/>
      <c r="K30" s="189">
        <f>+I34</f>
        <v>-345</v>
      </c>
      <c r="L30" s="189"/>
      <c r="M30" s="189">
        <f>+K34</f>
        <v>-495</v>
      </c>
      <c r="N30" s="189"/>
      <c r="O30" s="189">
        <f>+M34</f>
        <v>-485</v>
      </c>
      <c r="P30" s="189"/>
      <c r="Q30" s="438">
        <f>+O34+0.5</f>
        <v>-610.5</v>
      </c>
      <c r="R30" s="438"/>
      <c r="S30" s="438">
        <f>+Q34</f>
        <v>-193.25</v>
      </c>
      <c r="T30" s="497"/>
      <c r="U30" s="497">
        <f>+S34</f>
        <v>0</v>
      </c>
      <c r="V30" s="189"/>
      <c r="W30" s="189">
        <v>30</v>
      </c>
      <c r="X30" s="189"/>
      <c r="Y30" s="189">
        <f>W34</f>
        <v>150</v>
      </c>
      <c r="Z30" s="115"/>
    </row>
    <row r="31" spans="1:26" ht="15" customHeight="1">
      <c r="A31" s="531">
        <f t="shared" si="0"/>
        <v>23</v>
      </c>
      <c r="C31" s="282" t="s">
        <v>451</v>
      </c>
      <c r="E31" s="531" t="s">
        <v>782</v>
      </c>
      <c r="G31" s="189">
        <v>274</v>
      </c>
      <c r="H31" s="189"/>
      <c r="I31" s="189">
        <v>101</v>
      </c>
      <c r="J31" s="189"/>
      <c r="K31" s="189">
        <v>0</v>
      </c>
      <c r="L31" s="189"/>
      <c r="M31" s="189">
        <v>160</v>
      </c>
      <c r="N31" s="189"/>
      <c r="O31" s="189">
        <v>24</v>
      </c>
      <c r="P31" s="189"/>
      <c r="Q31" s="438">
        <f>S8.9!I16+0.25</f>
        <v>417.25</v>
      </c>
      <c r="R31" s="438"/>
      <c r="S31" s="438">
        <f>S8.9!K23+0.25</f>
        <v>193.25</v>
      </c>
      <c r="T31" s="497"/>
      <c r="U31" s="497">
        <v>0</v>
      </c>
      <c r="V31" s="189"/>
      <c r="W31" s="190">
        <v>720</v>
      </c>
      <c r="X31" s="189"/>
      <c r="Y31" s="189">
        <v>0</v>
      </c>
      <c r="Z31" s="115"/>
    </row>
    <row r="32" spans="1:26" ht="15" customHeight="1">
      <c r="A32" s="531">
        <f t="shared" si="0"/>
        <v>24</v>
      </c>
      <c r="C32" s="282" t="s">
        <v>471</v>
      </c>
      <c r="G32" s="138">
        <v>-150</v>
      </c>
      <c r="H32" s="86"/>
      <c r="I32" s="138">
        <v>-150</v>
      </c>
      <c r="J32" s="138"/>
      <c r="K32" s="138">
        <v>-150</v>
      </c>
      <c r="L32" s="86"/>
      <c r="M32" s="86">
        <v>-150</v>
      </c>
      <c r="N32" s="86"/>
      <c r="O32" s="138">
        <v>-150</v>
      </c>
      <c r="P32" s="138"/>
      <c r="Q32" s="138">
        <v>0</v>
      </c>
      <c r="R32" s="138"/>
      <c r="S32" s="138">
        <v>0</v>
      </c>
      <c r="T32" s="770"/>
      <c r="U32" s="770">
        <v>0</v>
      </c>
      <c r="V32" s="86"/>
      <c r="W32" s="138">
        <v>-150</v>
      </c>
      <c r="X32" s="86"/>
      <c r="Y32" s="138">
        <v>-150</v>
      </c>
      <c r="Z32" s="115"/>
    </row>
    <row r="33" spans="1:30" ht="15" customHeight="1">
      <c r="A33" s="531">
        <f t="shared" si="0"/>
        <v>25</v>
      </c>
      <c r="C33" s="282" t="s">
        <v>839</v>
      </c>
      <c r="G33" s="145">
        <v>-450</v>
      </c>
      <c r="H33" s="60"/>
      <c r="I33" s="145">
        <v>0</v>
      </c>
      <c r="J33" s="125"/>
      <c r="K33" s="145">
        <v>0</v>
      </c>
      <c r="L33" s="60"/>
      <c r="M33" s="145">
        <v>0</v>
      </c>
      <c r="N33" s="138"/>
      <c r="O33" s="145">
        <v>0</v>
      </c>
      <c r="P33" s="138"/>
      <c r="Q33" s="145">
        <v>0</v>
      </c>
      <c r="R33" s="138"/>
      <c r="S33" s="145">
        <v>0</v>
      </c>
      <c r="T33" s="770"/>
      <c r="U33" s="771">
        <v>0</v>
      </c>
      <c r="V33" s="125"/>
      <c r="W33" s="145">
        <v>-450</v>
      </c>
      <c r="X33" s="60"/>
      <c r="Y33" s="145">
        <v>0</v>
      </c>
      <c r="Z33" s="115"/>
    </row>
    <row r="34" spans="1:30" ht="15" customHeight="1">
      <c r="A34" s="531">
        <f t="shared" si="0"/>
        <v>26</v>
      </c>
      <c r="C34" s="330" t="s">
        <v>679</v>
      </c>
      <c r="G34" s="191">
        <f>G32+G31+G30+G33</f>
        <v>-296</v>
      </c>
      <c r="H34" s="148"/>
      <c r="I34" s="191">
        <f>I32+I31+I30</f>
        <v>-345</v>
      </c>
      <c r="J34" s="189"/>
      <c r="K34" s="191">
        <f>K32+K31+K30</f>
        <v>-495</v>
      </c>
      <c r="L34" s="148"/>
      <c r="M34" s="191">
        <f>M32+M31+M30</f>
        <v>-485</v>
      </c>
      <c r="N34" s="190"/>
      <c r="O34" s="191">
        <f>O32+O31+O30</f>
        <v>-611</v>
      </c>
      <c r="P34" s="190"/>
      <c r="Q34" s="191">
        <f>Q32+Q31+Q30</f>
        <v>-193.25</v>
      </c>
      <c r="R34" s="190"/>
      <c r="S34" s="191">
        <f>S32+S31+S30</f>
        <v>0</v>
      </c>
      <c r="T34" s="773"/>
      <c r="U34" s="772">
        <f>U32+U31+U30</f>
        <v>0</v>
      </c>
      <c r="V34" s="438"/>
      <c r="W34" s="191">
        <f>W32+W31+W30+W33</f>
        <v>150</v>
      </c>
      <c r="X34" s="148"/>
      <c r="Y34" s="185">
        <f>Y32+Y31+Y30+Y33</f>
        <v>0</v>
      </c>
      <c r="Z34" s="115"/>
    </row>
    <row r="35" spans="1:30" ht="15" customHeight="1">
      <c r="A35" s="531">
        <f t="shared" si="0"/>
        <v>27</v>
      </c>
      <c r="C35" s="167"/>
      <c r="G35" s="189"/>
      <c r="H35" s="148"/>
      <c r="I35" s="189"/>
      <c r="J35" s="189"/>
      <c r="K35" s="189"/>
      <c r="L35" s="148"/>
      <c r="M35" s="189"/>
      <c r="N35" s="189"/>
      <c r="O35" s="189"/>
      <c r="P35" s="189"/>
      <c r="Q35" s="438"/>
      <c r="R35" s="438"/>
      <c r="S35" s="438"/>
      <c r="T35" s="497"/>
      <c r="U35" s="497"/>
      <c r="V35" s="438"/>
      <c r="W35" s="189"/>
      <c r="X35" s="148"/>
      <c r="Y35" s="148"/>
      <c r="Z35" s="115"/>
    </row>
    <row r="36" spans="1:30" ht="15" customHeight="1" thickBot="1">
      <c r="A36" s="531">
        <f t="shared" si="0"/>
        <v>28</v>
      </c>
      <c r="C36" s="330" t="s">
        <v>694</v>
      </c>
      <c r="E36" s="531" t="s">
        <v>667</v>
      </c>
      <c r="G36" s="382">
        <f>(G34+G30)/2</f>
        <v>-133</v>
      </c>
      <c r="H36" s="148"/>
      <c r="I36" s="382">
        <f>(I34+I30)/2</f>
        <v>-320.5</v>
      </c>
      <c r="J36" s="189"/>
      <c r="K36" s="382">
        <f>(K34+K30)/2</f>
        <v>-420</v>
      </c>
      <c r="L36" s="148"/>
      <c r="M36" s="382">
        <f>(M34+M30)/2</f>
        <v>-490</v>
      </c>
      <c r="N36" s="190"/>
      <c r="O36" s="382">
        <f>(O34+O30)/2</f>
        <v>-548</v>
      </c>
      <c r="P36" s="190"/>
      <c r="Q36" s="382">
        <f>(Q34+Q30)/2</f>
        <v>-401.875</v>
      </c>
      <c r="R36" s="190"/>
      <c r="S36" s="382">
        <f>(S34+S30)/2</f>
        <v>-96.625</v>
      </c>
      <c r="T36" s="773"/>
      <c r="U36" s="774">
        <f>(U34+U30)/2</f>
        <v>0</v>
      </c>
      <c r="V36" s="438"/>
      <c r="W36" s="382">
        <f>(W34+W30)/2</f>
        <v>90</v>
      </c>
      <c r="X36" s="148"/>
      <c r="Y36" s="193">
        <f>(Y34+Y30)/2</f>
        <v>75</v>
      </c>
      <c r="Z36" s="115"/>
      <c r="AD36" s="52" t="s">
        <v>27</v>
      </c>
    </row>
    <row r="37" spans="1:30" ht="15" customHeight="1" thickTop="1">
      <c r="A37" s="531">
        <f t="shared" si="0"/>
        <v>29</v>
      </c>
      <c r="C37" s="167"/>
      <c r="G37" s="189"/>
      <c r="H37" s="148"/>
      <c r="I37" s="189"/>
      <c r="J37" s="189"/>
      <c r="K37" s="189"/>
      <c r="L37" s="148"/>
      <c r="M37" s="189"/>
      <c r="N37" s="189"/>
      <c r="O37" s="189"/>
      <c r="P37" s="189"/>
      <c r="Q37" s="189"/>
      <c r="R37" s="189"/>
      <c r="S37" s="189"/>
      <c r="T37" s="189"/>
      <c r="U37" s="438"/>
      <c r="V37" s="438"/>
      <c r="W37" s="189"/>
      <c r="X37" s="148"/>
      <c r="Y37" s="148"/>
      <c r="Z37" s="115"/>
    </row>
    <row r="38" spans="1:30" ht="15" customHeight="1">
      <c r="A38" s="531">
        <f t="shared" si="0"/>
        <v>30</v>
      </c>
      <c r="C38" s="337" t="s">
        <v>395</v>
      </c>
      <c r="G38" s="189"/>
      <c r="H38" s="189"/>
      <c r="I38" s="189"/>
      <c r="J38" s="189"/>
      <c r="K38" s="438"/>
      <c r="L38" s="189"/>
      <c r="M38" s="438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15"/>
    </row>
    <row r="39" spans="1:30" ht="15" customHeight="1">
      <c r="A39" s="531">
        <f t="shared" si="0"/>
        <v>31</v>
      </c>
      <c r="C39" s="530" t="s">
        <v>594</v>
      </c>
      <c r="G39" s="189">
        <v>430</v>
      </c>
      <c r="H39" s="189"/>
      <c r="I39" s="189">
        <f>+G44</f>
        <v>424</v>
      </c>
      <c r="J39" s="189"/>
      <c r="K39" s="438">
        <f>+I44</f>
        <v>283</v>
      </c>
      <c r="L39" s="189"/>
      <c r="M39" s="438">
        <f>+K44</f>
        <v>142</v>
      </c>
      <c r="N39" s="189"/>
      <c r="O39" s="438">
        <f>+M44</f>
        <v>0</v>
      </c>
      <c r="P39" s="189"/>
      <c r="Q39" s="438">
        <f>+O44</f>
        <v>0</v>
      </c>
      <c r="R39" s="189"/>
      <c r="S39" s="438">
        <f>+Q44</f>
        <v>0</v>
      </c>
      <c r="T39" s="189"/>
      <c r="U39" s="438">
        <f>+S44</f>
        <v>0</v>
      </c>
      <c r="V39" s="189"/>
      <c r="W39" s="189">
        <v>430</v>
      </c>
      <c r="X39" s="189"/>
      <c r="Y39" s="189">
        <f>W44</f>
        <v>367</v>
      </c>
      <c r="Z39" s="115"/>
    </row>
    <row r="40" spans="1:30" s="530" customFormat="1" ht="15" customHeight="1">
      <c r="A40" s="531">
        <f t="shared" si="0"/>
        <v>32</v>
      </c>
      <c r="C40" s="282" t="s">
        <v>672</v>
      </c>
      <c r="E40" s="531" t="s">
        <v>634</v>
      </c>
      <c r="G40" s="438">
        <v>0</v>
      </c>
      <c r="H40" s="438"/>
      <c r="I40" s="438">
        <v>0</v>
      </c>
      <c r="J40" s="438"/>
      <c r="K40" s="438">
        <v>0</v>
      </c>
      <c r="L40" s="438"/>
      <c r="M40" s="438">
        <v>-283</v>
      </c>
      <c r="N40" s="438"/>
      <c r="O40" s="438">
        <v>0</v>
      </c>
      <c r="P40" s="438"/>
      <c r="Q40" s="438">
        <v>0</v>
      </c>
      <c r="R40" s="438"/>
      <c r="S40" s="438">
        <v>0</v>
      </c>
      <c r="T40" s="438"/>
      <c r="U40" s="438">
        <v>0</v>
      </c>
      <c r="V40" s="438"/>
      <c r="W40" s="438">
        <v>0</v>
      </c>
      <c r="X40" s="438"/>
      <c r="Y40" s="438">
        <v>0</v>
      </c>
      <c r="Z40" s="463"/>
    </row>
    <row r="41" spans="1:30" s="530" customFormat="1" ht="15" customHeight="1">
      <c r="A41" s="531">
        <f t="shared" si="0"/>
        <v>33</v>
      </c>
      <c r="C41" s="282" t="s">
        <v>837</v>
      </c>
      <c r="E41" s="531" t="s">
        <v>635</v>
      </c>
      <c r="G41" s="438">
        <v>0</v>
      </c>
      <c r="H41" s="438"/>
      <c r="I41" s="438">
        <v>0</v>
      </c>
      <c r="J41" s="438"/>
      <c r="K41" s="438">
        <v>0</v>
      </c>
      <c r="L41" s="438"/>
      <c r="M41" s="438">
        <v>141</v>
      </c>
      <c r="N41" s="438"/>
      <c r="O41" s="438">
        <v>0</v>
      </c>
      <c r="P41" s="438"/>
      <c r="Q41" s="438">
        <v>0</v>
      </c>
      <c r="R41" s="438"/>
      <c r="S41" s="438">
        <v>0</v>
      </c>
      <c r="T41" s="438"/>
      <c r="U41" s="438">
        <v>0</v>
      </c>
      <c r="V41" s="438"/>
      <c r="W41" s="438">
        <v>0</v>
      </c>
      <c r="X41" s="438"/>
      <c r="Y41" s="438">
        <v>0</v>
      </c>
      <c r="Z41" s="463"/>
    </row>
    <row r="42" spans="1:30" ht="15" customHeight="1">
      <c r="A42" s="531">
        <f t="shared" si="0"/>
        <v>34</v>
      </c>
      <c r="C42" s="282" t="s">
        <v>697</v>
      </c>
      <c r="G42" s="138">
        <v>118</v>
      </c>
      <c r="H42" s="86"/>
      <c r="I42" s="138">
        <v>0</v>
      </c>
      <c r="J42" s="138"/>
      <c r="K42" s="138">
        <v>0</v>
      </c>
      <c r="L42" s="86"/>
      <c r="M42" s="138">
        <v>0</v>
      </c>
      <c r="N42" s="138"/>
      <c r="O42" s="138">
        <v>0</v>
      </c>
      <c r="P42" s="138"/>
      <c r="Q42" s="138">
        <v>0</v>
      </c>
      <c r="R42" s="138"/>
      <c r="S42" s="138">
        <v>0</v>
      </c>
      <c r="T42" s="138"/>
      <c r="U42" s="138">
        <v>0</v>
      </c>
      <c r="V42" s="86"/>
      <c r="W42" s="138">
        <v>60</v>
      </c>
      <c r="X42" s="86"/>
      <c r="Y42" s="86">
        <v>0</v>
      </c>
      <c r="Z42" s="115"/>
    </row>
    <row r="43" spans="1:30" ht="15" customHeight="1">
      <c r="A43" s="531">
        <f t="shared" si="0"/>
        <v>35</v>
      </c>
      <c r="C43" s="282" t="s">
        <v>698</v>
      </c>
      <c r="G43" s="145">
        <v>-124</v>
      </c>
      <c r="H43" s="60"/>
      <c r="I43" s="145">
        <v>-141</v>
      </c>
      <c r="J43" s="125"/>
      <c r="K43" s="145">
        <v>-141</v>
      </c>
      <c r="L43" s="60"/>
      <c r="M43" s="145">
        <v>0</v>
      </c>
      <c r="N43" s="138"/>
      <c r="O43" s="145">
        <v>0</v>
      </c>
      <c r="P43" s="138"/>
      <c r="Q43" s="145">
        <v>0</v>
      </c>
      <c r="R43" s="138"/>
      <c r="S43" s="145">
        <v>0</v>
      </c>
      <c r="T43" s="138"/>
      <c r="U43" s="145">
        <v>0</v>
      </c>
      <c r="V43" s="60"/>
      <c r="W43" s="145">
        <f>-108-15</f>
        <v>-123</v>
      </c>
      <c r="X43" s="60"/>
      <c r="Y43" s="102">
        <f>-108-15</f>
        <v>-123</v>
      </c>
      <c r="Z43" s="115"/>
    </row>
    <row r="44" spans="1:30" ht="15" customHeight="1">
      <c r="A44" s="531">
        <f t="shared" si="0"/>
        <v>36</v>
      </c>
      <c r="C44" s="330" t="s">
        <v>679</v>
      </c>
      <c r="G44" s="191">
        <f>G39+G42+G43</f>
        <v>424</v>
      </c>
      <c r="H44" s="148"/>
      <c r="I44" s="191">
        <f>I39+I42+I43</f>
        <v>283</v>
      </c>
      <c r="J44" s="189"/>
      <c r="K44" s="191">
        <f>K39+K42+K43</f>
        <v>142</v>
      </c>
      <c r="L44" s="148"/>
      <c r="M44" s="191">
        <f>SUM(M39:M43)</f>
        <v>0</v>
      </c>
      <c r="N44" s="190"/>
      <c r="O44" s="191">
        <f>O39+O42+O43</f>
        <v>0</v>
      </c>
      <c r="P44" s="190"/>
      <c r="Q44" s="191">
        <f>Q39+Q42+Q43</f>
        <v>0</v>
      </c>
      <c r="R44" s="190"/>
      <c r="S44" s="191">
        <f>S39+S42+S43</f>
        <v>0</v>
      </c>
      <c r="T44" s="190"/>
      <c r="U44" s="191">
        <f>U39+U42+U43</f>
        <v>0</v>
      </c>
      <c r="V44" s="148"/>
      <c r="W44" s="191">
        <f>W39+W42+W43</f>
        <v>367</v>
      </c>
      <c r="X44" s="148"/>
      <c r="Y44" s="185">
        <f>Y39+Y42+Y43</f>
        <v>244</v>
      </c>
      <c r="Z44" s="115"/>
    </row>
    <row r="45" spans="1:30" ht="15" customHeight="1">
      <c r="A45" s="531">
        <f t="shared" si="0"/>
        <v>37</v>
      </c>
      <c r="C45" s="171"/>
      <c r="G45" s="189"/>
      <c r="H45" s="148"/>
      <c r="I45" s="189"/>
      <c r="J45" s="189"/>
      <c r="K45" s="438"/>
      <c r="L45" s="148"/>
      <c r="M45" s="189"/>
      <c r="N45" s="189"/>
      <c r="O45" s="438"/>
      <c r="P45" s="189"/>
      <c r="Q45" s="438"/>
      <c r="R45" s="189"/>
      <c r="S45" s="438"/>
      <c r="T45" s="189"/>
      <c r="U45" s="438"/>
      <c r="V45" s="148"/>
      <c r="W45" s="189"/>
      <c r="X45" s="148"/>
      <c r="Y45" s="148"/>
      <c r="Z45" s="115"/>
    </row>
    <row r="46" spans="1:30" ht="15" customHeight="1" thickBot="1">
      <c r="A46" s="531">
        <f t="shared" si="0"/>
        <v>38</v>
      </c>
      <c r="C46" s="330" t="s">
        <v>694</v>
      </c>
      <c r="E46" s="531" t="s">
        <v>669</v>
      </c>
      <c r="G46" s="382">
        <f>(G39+G44)/2</f>
        <v>427</v>
      </c>
      <c r="H46" s="148"/>
      <c r="I46" s="382">
        <f>(I39+I44)/2</f>
        <v>353.5</v>
      </c>
      <c r="J46" s="189"/>
      <c r="K46" s="382">
        <f>(K39+K44)/2</f>
        <v>212.5</v>
      </c>
      <c r="L46" s="148"/>
      <c r="M46" s="382">
        <v>0</v>
      </c>
      <c r="N46" s="190"/>
      <c r="O46" s="382">
        <f>(O39+O44)/2</f>
        <v>0</v>
      </c>
      <c r="P46" s="190"/>
      <c r="Q46" s="382">
        <f>(Q39+Q44)/2</f>
        <v>0</v>
      </c>
      <c r="R46" s="190"/>
      <c r="S46" s="382">
        <f>(S39+S44)/2</f>
        <v>0</v>
      </c>
      <c r="T46" s="190"/>
      <c r="U46" s="382">
        <f>(U39+U44)/2</f>
        <v>0</v>
      </c>
      <c r="V46" s="148"/>
      <c r="W46" s="382">
        <f>(W39+W44)/2</f>
        <v>398.5</v>
      </c>
      <c r="X46" s="148"/>
      <c r="Y46" s="193">
        <f>(Y39+Y44)/2</f>
        <v>305.5</v>
      </c>
      <c r="Z46" s="115"/>
    </row>
    <row r="47" spans="1:30" ht="15" customHeight="1" thickTop="1">
      <c r="A47" s="531">
        <f t="shared" si="0"/>
        <v>39</v>
      </c>
      <c r="G47" s="189"/>
      <c r="H47" s="189"/>
      <c r="I47" s="189"/>
      <c r="J47" s="189"/>
      <c r="K47" s="438"/>
      <c r="L47" s="189"/>
      <c r="M47" s="190"/>
      <c r="N47" s="189"/>
      <c r="O47" s="189"/>
      <c r="P47" s="189"/>
      <c r="Q47" s="189"/>
      <c r="R47" s="189"/>
      <c r="S47" s="189"/>
      <c r="T47" s="189"/>
      <c r="U47" s="189"/>
      <c r="V47" s="189"/>
      <c r="W47" s="148"/>
      <c r="X47" s="189"/>
      <c r="Y47" s="148"/>
      <c r="Z47" s="115"/>
    </row>
    <row r="48" spans="1:30" ht="15" customHeight="1">
      <c r="A48" s="531">
        <f t="shared" si="0"/>
        <v>40</v>
      </c>
      <c r="C48" s="337" t="s">
        <v>396</v>
      </c>
      <c r="G48" s="189"/>
      <c r="H48" s="189"/>
      <c r="I48" s="189"/>
      <c r="J48" s="189"/>
      <c r="K48" s="438"/>
      <c r="L48" s="189"/>
      <c r="M48" s="438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</row>
    <row r="49" spans="1:26" ht="15" customHeight="1">
      <c r="A49" s="531">
        <f t="shared" si="0"/>
        <v>41</v>
      </c>
      <c r="C49" s="530" t="s">
        <v>594</v>
      </c>
      <c r="G49" s="190">
        <v>158</v>
      </c>
      <c r="H49" s="190"/>
      <c r="I49" s="190">
        <f>+G54</f>
        <v>148</v>
      </c>
      <c r="J49" s="190"/>
      <c r="K49" s="190">
        <f>+I54</f>
        <v>260</v>
      </c>
      <c r="L49" s="190"/>
      <c r="M49" s="190">
        <f>+K54</f>
        <v>618</v>
      </c>
      <c r="N49" s="190"/>
      <c r="O49" s="438">
        <f>+M54</f>
        <v>0</v>
      </c>
      <c r="P49" s="190"/>
      <c r="Q49" s="438">
        <f>+O54</f>
        <v>0</v>
      </c>
      <c r="R49" s="190"/>
      <c r="S49" s="438">
        <f>+Q54</f>
        <v>0</v>
      </c>
      <c r="T49" s="190"/>
      <c r="U49" s="438">
        <f>+S54</f>
        <v>0</v>
      </c>
      <c r="V49" s="190"/>
      <c r="W49" s="190">
        <v>158</v>
      </c>
      <c r="X49" s="190"/>
      <c r="Y49" s="190">
        <f>W54</f>
        <v>154</v>
      </c>
    </row>
    <row r="50" spans="1:26" ht="15" customHeight="1">
      <c r="A50" s="531">
        <f t="shared" si="0"/>
        <v>42</v>
      </c>
      <c r="C50" s="282" t="s">
        <v>672</v>
      </c>
      <c r="E50" s="531" t="s">
        <v>634</v>
      </c>
      <c r="G50" s="190">
        <v>0</v>
      </c>
      <c r="H50" s="190"/>
      <c r="I50" s="190">
        <v>0</v>
      </c>
      <c r="J50" s="190">
        <v>0</v>
      </c>
      <c r="K50" s="190">
        <v>0</v>
      </c>
      <c r="L50" s="190"/>
      <c r="M50" s="190">
        <f>-618-49</f>
        <v>-667</v>
      </c>
      <c r="N50" s="190"/>
      <c r="O50" s="438">
        <v>0</v>
      </c>
      <c r="P50" s="190"/>
      <c r="Q50" s="438">
        <v>0</v>
      </c>
      <c r="R50" s="190"/>
      <c r="S50" s="438">
        <v>0</v>
      </c>
      <c r="T50" s="190"/>
      <c r="U50" s="438">
        <v>0</v>
      </c>
      <c r="V50" s="190"/>
      <c r="W50" s="190">
        <v>0</v>
      </c>
      <c r="X50" s="190"/>
      <c r="Y50" s="190">
        <v>0</v>
      </c>
    </row>
    <row r="51" spans="1:26" s="530" customFormat="1" ht="15" customHeight="1">
      <c r="A51" s="531">
        <f t="shared" si="0"/>
        <v>43</v>
      </c>
      <c r="C51" s="282" t="s">
        <v>837</v>
      </c>
      <c r="E51" s="531" t="s">
        <v>635</v>
      </c>
      <c r="G51" s="190">
        <v>0</v>
      </c>
      <c r="H51" s="190"/>
      <c r="I51" s="190">
        <v>0</v>
      </c>
      <c r="J51" s="190"/>
      <c r="K51" s="190">
        <v>0</v>
      </c>
      <c r="L51" s="190"/>
      <c r="M51" s="190">
        <v>35</v>
      </c>
      <c r="N51" s="190"/>
      <c r="O51" s="138">
        <v>0</v>
      </c>
      <c r="P51" s="190"/>
      <c r="Q51" s="138">
        <v>0</v>
      </c>
      <c r="R51" s="190"/>
      <c r="S51" s="138">
        <v>0</v>
      </c>
      <c r="T51" s="190"/>
      <c r="U51" s="138">
        <v>0</v>
      </c>
      <c r="V51" s="190"/>
      <c r="W51" s="190">
        <v>0</v>
      </c>
      <c r="X51" s="138"/>
      <c r="Y51" s="86">
        <v>0</v>
      </c>
      <c r="Z51" s="445"/>
    </row>
    <row r="52" spans="1:26" ht="15" customHeight="1">
      <c r="A52" s="531">
        <f t="shared" si="0"/>
        <v>44</v>
      </c>
      <c r="C52" s="282" t="s">
        <v>452</v>
      </c>
      <c r="G52" s="189">
        <v>137</v>
      </c>
      <c r="H52" s="189"/>
      <c r="I52" s="189">
        <v>259</v>
      </c>
      <c r="J52" s="189"/>
      <c r="K52" s="438">
        <f>358</f>
        <v>358</v>
      </c>
      <c r="L52" s="189"/>
      <c r="M52" s="190">
        <v>14</v>
      </c>
      <c r="N52" s="189"/>
      <c r="O52" s="438">
        <v>0</v>
      </c>
      <c r="P52" s="189"/>
      <c r="Q52" s="438">
        <v>0</v>
      </c>
      <c r="R52" s="189"/>
      <c r="S52" s="438">
        <v>0</v>
      </c>
      <c r="T52" s="189"/>
      <c r="U52" s="438">
        <v>0</v>
      </c>
      <c r="V52" s="189"/>
      <c r="W52" s="189">
        <v>150</v>
      </c>
      <c r="X52" s="189"/>
      <c r="Y52" s="189">
        <v>0</v>
      </c>
    </row>
    <row r="53" spans="1:26" ht="15" customHeight="1">
      <c r="A53" s="531">
        <f t="shared" si="0"/>
        <v>45</v>
      </c>
      <c r="C53" s="282" t="s">
        <v>668</v>
      </c>
      <c r="E53" s="52"/>
      <c r="G53" s="190">
        <v>-147</v>
      </c>
      <c r="H53" s="190"/>
      <c r="I53" s="190">
        <v>-147</v>
      </c>
      <c r="J53" s="190"/>
      <c r="K53" s="190">
        <v>0</v>
      </c>
      <c r="L53" s="190"/>
      <c r="M53" s="190">
        <v>0</v>
      </c>
      <c r="N53" s="190"/>
      <c r="O53" s="145">
        <v>0</v>
      </c>
      <c r="P53" s="190"/>
      <c r="Q53" s="145">
        <v>0</v>
      </c>
      <c r="R53" s="190"/>
      <c r="S53" s="145">
        <v>0</v>
      </c>
      <c r="T53" s="190"/>
      <c r="U53" s="145">
        <v>0</v>
      </c>
      <c r="V53" s="189"/>
      <c r="W53" s="191">
        <v>-154</v>
      </c>
      <c r="X53" s="138">
        <v>0</v>
      </c>
      <c r="Y53" s="102">
        <v>-154</v>
      </c>
    </row>
    <row r="54" spans="1:26" ht="15" customHeight="1">
      <c r="A54" s="531">
        <f t="shared" si="0"/>
        <v>46</v>
      </c>
      <c r="C54" s="330" t="s">
        <v>679</v>
      </c>
      <c r="E54" s="52"/>
      <c r="G54" s="610">
        <f>G49+G52+G53:G53</f>
        <v>148</v>
      </c>
      <c r="H54" s="435"/>
      <c r="I54" s="610">
        <f>I49+I52+I53:I53</f>
        <v>260</v>
      </c>
      <c r="J54" s="438"/>
      <c r="K54" s="610">
        <f>SUM(K49:K53)</f>
        <v>618</v>
      </c>
      <c r="L54" s="435"/>
      <c r="M54" s="610">
        <f>SUM(M49:M53)</f>
        <v>0</v>
      </c>
      <c r="N54" s="190"/>
      <c r="O54" s="191">
        <f>O49+O53+O51</f>
        <v>0</v>
      </c>
      <c r="P54" s="190"/>
      <c r="Q54" s="191">
        <f>Q49+Q53+Q51</f>
        <v>0</v>
      </c>
      <c r="R54" s="190"/>
      <c r="S54" s="191">
        <f>S49+S53+S51</f>
        <v>0</v>
      </c>
      <c r="T54" s="190"/>
      <c r="U54" s="191">
        <f>U49+U53+U51</f>
        <v>0</v>
      </c>
      <c r="V54" s="148"/>
      <c r="W54" s="185">
        <f>W49+W52+W53:W53</f>
        <v>154</v>
      </c>
      <c r="X54" s="148"/>
      <c r="Y54" s="185">
        <f>Y49+Y52+Y53:Y53</f>
        <v>0</v>
      </c>
    </row>
    <row r="55" spans="1:26" ht="15" customHeight="1">
      <c r="A55" s="531">
        <f t="shared" si="0"/>
        <v>47</v>
      </c>
      <c r="C55" s="171"/>
      <c r="G55" s="148"/>
      <c r="H55" s="148"/>
      <c r="I55" s="189"/>
      <c r="J55" s="189"/>
      <c r="K55" s="438"/>
      <c r="L55" s="189"/>
      <c r="M55" s="190"/>
      <c r="N55" s="189"/>
      <c r="O55" s="438"/>
      <c r="P55" s="189"/>
      <c r="Q55" s="438"/>
      <c r="R55" s="189"/>
      <c r="S55" s="438"/>
      <c r="T55" s="189"/>
      <c r="U55" s="438"/>
      <c r="V55" s="148"/>
      <c r="W55" s="148"/>
      <c r="X55" s="148"/>
      <c r="Y55" s="148"/>
    </row>
    <row r="56" spans="1:26" ht="15" customHeight="1" thickBot="1">
      <c r="A56" s="531">
        <f t="shared" si="0"/>
        <v>48</v>
      </c>
      <c r="C56" s="330" t="s">
        <v>694</v>
      </c>
      <c r="E56" s="531" t="s">
        <v>670</v>
      </c>
      <c r="G56" s="193">
        <f>(G54+G49)/2</f>
        <v>153</v>
      </c>
      <c r="H56" s="148"/>
      <c r="I56" s="382">
        <f>(I54+I49)/2</f>
        <v>204</v>
      </c>
      <c r="J56" s="189"/>
      <c r="K56" s="382">
        <f>(K54+K49)/2+4</f>
        <v>443</v>
      </c>
      <c r="L56" s="148"/>
      <c r="M56" s="382">
        <v>0</v>
      </c>
      <c r="N56" s="190"/>
      <c r="O56" s="382">
        <f>(O49+O54)/2</f>
        <v>0</v>
      </c>
      <c r="P56" s="190"/>
      <c r="Q56" s="382">
        <f>(Q49+Q54)/2</f>
        <v>0</v>
      </c>
      <c r="R56" s="190"/>
      <c r="S56" s="382">
        <f>(S49+S54)/2</f>
        <v>0</v>
      </c>
      <c r="T56" s="190"/>
      <c r="U56" s="382">
        <f>(U49+U54)/2</f>
        <v>0</v>
      </c>
      <c r="V56" s="148"/>
      <c r="W56" s="193">
        <f>(W54+W49)/2</f>
        <v>156</v>
      </c>
      <c r="X56" s="148"/>
      <c r="Y56" s="193">
        <f>(Y54+Y49)/2</f>
        <v>77</v>
      </c>
    </row>
    <row r="57" spans="1:26" ht="15" customHeight="1" thickTop="1">
      <c r="A57" s="531">
        <f t="shared" si="0"/>
        <v>49</v>
      </c>
      <c r="C57" s="100"/>
      <c r="G57" s="169"/>
      <c r="H57" s="169"/>
      <c r="I57" s="383"/>
      <c r="J57" s="383"/>
      <c r="K57" s="383"/>
      <c r="L57" s="169"/>
      <c r="M57" s="390"/>
      <c r="N57" s="383"/>
      <c r="O57" s="383"/>
      <c r="P57" s="383"/>
      <c r="Q57" s="383"/>
      <c r="R57" s="383"/>
      <c r="S57" s="383"/>
      <c r="T57" s="383"/>
      <c r="U57" s="383"/>
      <c r="V57" s="169"/>
      <c r="W57" s="170"/>
      <c r="X57" s="169"/>
      <c r="Y57" s="170"/>
    </row>
    <row r="58" spans="1:26" ht="15" customHeight="1">
      <c r="A58" s="531">
        <f t="shared" si="0"/>
        <v>50</v>
      </c>
      <c r="C58" s="337" t="s">
        <v>527</v>
      </c>
      <c r="G58" s="169"/>
      <c r="H58" s="169"/>
      <c r="I58" s="383"/>
      <c r="J58" s="383"/>
      <c r="K58" s="383"/>
      <c r="L58" s="169"/>
      <c r="M58" s="169"/>
      <c r="N58" s="169"/>
      <c r="O58" s="383"/>
      <c r="P58" s="383"/>
      <c r="Q58" s="383"/>
      <c r="R58" s="383"/>
      <c r="S58" s="383"/>
      <c r="T58" s="383"/>
      <c r="U58" s="383"/>
      <c r="V58" s="169"/>
      <c r="W58" s="170"/>
      <c r="X58" s="169"/>
      <c r="Y58" s="170"/>
    </row>
    <row r="59" spans="1:26" ht="15" customHeight="1">
      <c r="A59" s="531">
        <f t="shared" si="0"/>
        <v>51</v>
      </c>
      <c r="C59" s="530" t="s">
        <v>594</v>
      </c>
      <c r="G59" s="438">
        <v>0</v>
      </c>
      <c r="H59" s="438"/>
      <c r="I59" s="438">
        <f>+G62</f>
        <v>0</v>
      </c>
      <c r="J59" s="438"/>
      <c r="K59" s="438">
        <f>+I62</f>
        <v>0</v>
      </c>
      <c r="L59" s="438"/>
      <c r="M59" s="438">
        <f>+K62</f>
        <v>0</v>
      </c>
      <c r="N59" s="459"/>
      <c r="O59" s="438">
        <f>+M62</f>
        <v>0</v>
      </c>
      <c r="P59" s="459"/>
      <c r="Q59" s="138">
        <f>+O62</f>
        <v>0</v>
      </c>
      <c r="R59" s="138"/>
      <c r="S59" s="138">
        <f>+Q62</f>
        <v>199.8</v>
      </c>
      <c r="T59" s="138"/>
      <c r="U59" s="138">
        <f>+S62</f>
        <v>177.60000000000002</v>
      </c>
      <c r="V59" s="169"/>
      <c r="W59" s="438">
        <v>0</v>
      </c>
      <c r="X59" s="169"/>
      <c r="Y59" s="438">
        <v>0</v>
      </c>
    </row>
    <row r="60" spans="1:26" ht="15" customHeight="1">
      <c r="A60" s="531">
        <f t="shared" si="0"/>
        <v>52</v>
      </c>
      <c r="C60" s="282" t="s">
        <v>477</v>
      </c>
      <c r="G60" s="438">
        <v>0</v>
      </c>
      <c r="H60" s="438"/>
      <c r="I60" s="438">
        <v>0</v>
      </c>
      <c r="J60" s="438"/>
      <c r="K60" s="438">
        <v>0</v>
      </c>
      <c r="L60" s="438"/>
      <c r="M60" s="438">
        <v>0</v>
      </c>
      <c r="N60" s="169"/>
      <c r="O60" s="438">
        <v>0</v>
      </c>
      <c r="P60" s="383"/>
      <c r="Q60" s="138">
        <v>222</v>
      </c>
      <c r="R60" s="138"/>
      <c r="S60" s="138">
        <v>0</v>
      </c>
      <c r="T60" s="138"/>
      <c r="U60" s="138">
        <v>0</v>
      </c>
      <c r="V60" s="169"/>
      <c r="W60" s="438">
        <v>0</v>
      </c>
      <c r="X60" s="169"/>
      <c r="Y60" s="438">
        <v>0</v>
      </c>
    </row>
    <row r="61" spans="1:26" ht="15" customHeight="1">
      <c r="A61" s="531">
        <f t="shared" si="0"/>
        <v>53</v>
      </c>
      <c r="C61" s="282" t="s">
        <v>478</v>
      </c>
      <c r="G61" s="138">
        <v>0</v>
      </c>
      <c r="H61" s="86"/>
      <c r="I61" s="138">
        <v>0</v>
      </c>
      <c r="J61" s="138"/>
      <c r="K61" s="138">
        <v>0</v>
      </c>
      <c r="L61" s="86"/>
      <c r="M61" s="86">
        <v>0</v>
      </c>
      <c r="N61" s="169"/>
      <c r="O61" s="86">
        <v>0</v>
      </c>
      <c r="P61" s="383"/>
      <c r="Q61" s="145">
        <f>-222/10</f>
        <v>-22.2</v>
      </c>
      <c r="R61" s="138"/>
      <c r="S61" s="145">
        <f>-222/10</f>
        <v>-22.2</v>
      </c>
      <c r="T61" s="138"/>
      <c r="U61" s="145">
        <f>-222/10</f>
        <v>-22.2</v>
      </c>
      <c r="V61" s="169"/>
      <c r="W61" s="86">
        <v>0</v>
      </c>
      <c r="X61" s="169"/>
      <c r="Y61" s="86">
        <v>0</v>
      </c>
    </row>
    <row r="62" spans="1:26" ht="15" customHeight="1">
      <c r="A62" s="531">
        <f t="shared" si="0"/>
        <v>54</v>
      </c>
      <c r="C62" s="330" t="s">
        <v>679</v>
      </c>
      <c r="G62" s="610">
        <f>SUM(G59:G61)</f>
        <v>0</v>
      </c>
      <c r="H62" s="435"/>
      <c r="I62" s="610">
        <f>I61+I60+I59</f>
        <v>0</v>
      </c>
      <c r="J62" s="438"/>
      <c r="K62" s="610">
        <f>K61+K60+K59</f>
        <v>0</v>
      </c>
      <c r="L62" s="435"/>
      <c r="M62" s="610">
        <f>M61+M60+M59</f>
        <v>0</v>
      </c>
      <c r="N62" s="169"/>
      <c r="O62" s="610">
        <f>O61+O60+O59</f>
        <v>0</v>
      </c>
      <c r="P62" s="383"/>
      <c r="Q62" s="191">
        <f>+Q59+Q60+Q61</f>
        <v>199.8</v>
      </c>
      <c r="R62" s="190"/>
      <c r="S62" s="191">
        <f>SUM(S59:S61)</f>
        <v>177.60000000000002</v>
      </c>
      <c r="T62" s="190"/>
      <c r="U62" s="191">
        <f>SUM(U59:U61)</f>
        <v>155.40000000000003</v>
      </c>
      <c r="V62" s="169"/>
      <c r="W62" s="610">
        <f>W61+W60+W59</f>
        <v>0</v>
      </c>
      <c r="X62" s="169"/>
      <c r="Y62" s="610">
        <f>Y61+Y60+Y59</f>
        <v>0</v>
      </c>
    </row>
    <row r="63" spans="1:26" ht="15" customHeight="1">
      <c r="A63" s="531">
        <f t="shared" si="0"/>
        <v>55</v>
      </c>
      <c r="C63" s="171"/>
      <c r="G63" s="438"/>
      <c r="H63" s="435"/>
      <c r="I63" s="438"/>
      <c r="J63" s="438"/>
      <c r="K63" s="438"/>
      <c r="L63" s="435"/>
      <c r="M63" s="438"/>
      <c r="N63" s="169"/>
      <c r="O63" s="438"/>
      <c r="P63" s="383"/>
      <c r="Q63" s="438"/>
      <c r="R63" s="438"/>
      <c r="S63" s="438"/>
      <c r="T63" s="438"/>
      <c r="U63" s="438"/>
      <c r="V63" s="169"/>
      <c r="W63" s="438"/>
      <c r="X63" s="169"/>
      <c r="Y63" s="438"/>
    </row>
    <row r="64" spans="1:26" ht="15" customHeight="1" thickBot="1">
      <c r="A64" s="531">
        <f t="shared" si="0"/>
        <v>56</v>
      </c>
      <c r="C64" s="330" t="s">
        <v>694</v>
      </c>
      <c r="E64" s="531" t="s">
        <v>671</v>
      </c>
      <c r="G64" s="382">
        <f>(G62+G59)/2</f>
        <v>0</v>
      </c>
      <c r="H64" s="435"/>
      <c r="I64" s="382">
        <f>(I62+I59)/2</f>
        <v>0</v>
      </c>
      <c r="J64" s="438"/>
      <c r="K64" s="382">
        <f>(K62+K59)/2</f>
        <v>0</v>
      </c>
      <c r="L64" s="435"/>
      <c r="M64" s="382">
        <f>(M62+M59)/2</f>
        <v>0</v>
      </c>
      <c r="N64" s="169"/>
      <c r="O64" s="382">
        <f>(O62+O59)/2</f>
        <v>0</v>
      </c>
      <c r="P64" s="383"/>
      <c r="Q64" s="382">
        <f>(Q59+Q62)/2</f>
        <v>99.9</v>
      </c>
      <c r="R64" s="190"/>
      <c r="S64" s="382">
        <f>(S59+S62)/2</f>
        <v>188.70000000000002</v>
      </c>
      <c r="T64" s="190"/>
      <c r="U64" s="382">
        <f>(U59+U62)/2</f>
        <v>166.50000000000003</v>
      </c>
      <c r="V64" s="169"/>
      <c r="W64" s="382">
        <f>(W62+W59)/2</f>
        <v>0</v>
      </c>
      <c r="X64" s="169"/>
      <c r="Y64" s="382">
        <f>(Y62+Y59)/2</f>
        <v>0</v>
      </c>
    </row>
    <row r="65" spans="1:25" ht="15" customHeight="1" thickTop="1">
      <c r="A65" s="531">
        <f t="shared" si="0"/>
        <v>57</v>
      </c>
      <c r="C65" s="100"/>
      <c r="G65" s="169"/>
      <c r="H65" s="169"/>
      <c r="I65" s="169"/>
      <c r="J65" s="169"/>
      <c r="K65" s="383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70"/>
      <c r="X65" s="169"/>
      <c r="Y65" s="170"/>
    </row>
    <row r="66" spans="1:25" ht="15" customHeight="1">
      <c r="A66" s="531">
        <f t="shared" si="0"/>
        <v>58</v>
      </c>
      <c r="C66" s="337" t="s">
        <v>526</v>
      </c>
      <c r="D66" s="530"/>
      <c r="E66" s="531"/>
      <c r="F66" s="530"/>
      <c r="N66" s="169"/>
      <c r="O66" s="383"/>
      <c r="P66" s="383"/>
      <c r="Q66" s="383"/>
      <c r="R66" s="383"/>
      <c r="S66" s="383"/>
      <c r="T66" s="383"/>
      <c r="U66" s="383"/>
      <c r="V66" s="169"/>
      <c r="W66" s="170"/>
      <c r="X66" s="169"/>
      <c r="Y66" s="170"/>
    </row>
    <row r="67" spans="1:25" ht="15" customHeight="1">
      <c r="A67" s="531">
        <f t="shared" si="0"/>
        <v>59</v>
      </c>
      <c r="C67" s="530" t="s">
        <v>594</v>
      </c>
      <c r="D67" s="530"/>
      <c r="E67" s="531"/>
      <c r="F67" s="530"/>
      <c r="G67" s="438">
        <v>0</v>
      </c>
      <c r="H67" s="438"/>
      <c r="I67" s="438">
        <f>+G70</f>
        <v>33</v>
      </c>
      <c r="J67" s="438"/>
      <c r="K67" s="438">
        <f>+I70</f>
        <v>33</v>
      </c>
      <c r="L67" s="438"/>
      <c r="M67" s="438">
        <f>+K70</f>
        <v>33</v>
      </c>
      <c r="N67" s="459"/>
      <c r="O67" s="438">
        <f>+M70</f>
        <v>33</v>
      </c>
      <c r="P67" s="459"/>
      <c r="Q67" s="138">
        <f>+O70</f>
        <v>33</v>
      </c>
      <c r="R67" s="138"/>
      <c r="S67" s="138">
        <f>+Q70</f>
        <v>22</v>
      </c>
      <c r="T67" s="138"/>
      <c r="U67" s="138">
        <f>+S70</f>
        <v>11</v>
      </c>
      <c r="V67" s="169"/>
      <c r="W67" s="438">
        <v>0</v>
      </c>
      <c r="X67" s="169"/>
      <c r="Y67" s="438">
        <v>0</v>
      </c>
    </row>
    <row r="68" spans="1:25" ht="15" customHeight="1">
      <c r="A68" s="531">
        <f t="shared" si="0"/>
        <v>60</v>
      </c>
      <c r="C68" s="282" t="s">
        <v>477</v>
      </c>
      <c r="D68" s="530"/>
      <c r="E68" s="531"/>
      <c r="F68" s="530"/>
      <c r="G68" s="438">
        <v>33</v>
      </c>
      <c r="H68" s="438"/>
      <c r="I68" s="438">
        <v>0</v>
      </c>
      <c r="J68" s="438"/>
      <c r="K68" s="438">
        <v>0</v>
      </c>
      <c r="L68" s="438"/>
      <c r="M68" s="438">
        <v>0</v>
      </c>
      <c r="N68" s="169"/>
      <c r="O68" s="438">
        <v>0</v>
      </c>
      <c r="P68" s="383"/>
      <c r="Q68" s="138">
        <v>0</v>
      </c>
      <c r="R68" s="138"/>
      <c r="S68" s="138">
        <v>0</v>
      </c>
      <c r="T68" s="138"/>
      <c r="U68" s="138">
        <v>0</v>
      </c>
      <c r="V68" s="169"/>
      <c r="W68" s="438">
        <v>0</v>
      </c>
      <c r="X68" s="169"/>
      <c r="Y68" s="438">
        <v>0</v>
      </c>
    </row>
    <row r="69" spans="1:25" ht="15" customHeight="1">
      <c r="A69" s="531">
        <f t="shared" si="0"/>
        <v>61</v>
      </c>
      <c r="C69" s="282" t="s">
        <v>478</v>
      </c>
      <c r="D69" s="530"/>
      <c r="E69" s="531"/>
      <c r="F69" s="530"/>
      <c r="G69" s="138">
        <v>0</v>
      </c>
      <c r="H69" s="86"/>
      <c r="I69" s="138">
        <v>0</v>
      </c>
      <c r="J69" s="138"/>
      <c r="K69" s="138">
        <v>0</v>
      </c>
      <c r="L69" s="86"/>
      <c r="M69" s="86">
        <v>0</v>
      </c>
      <c r="N69" s="169"/>
      <c r="O69" s="86">
        <v>0</v>
      </c>
      <c r="P69" s="383"/>
      <c r="Q69" s="145">
        <v>-11</v>
      </c>
      <c r="R69" s="138"/>
      <c r="S69" s="145">
        <v>-11</v>
      </c>
      <c r="T69" s="138"/>
      <c r="U69" s="145">
        <v>-11</v>
      </c>
      <c r="V69" s="169"/>
      <c r="W69" s="86">
        <v>0</v>
      </c>
      <c r="X69" s="169"/>
      <c r="Y69" s="86">
        <v>0</v>
      </c>
    </row>
    <row r="70" spans="1:25" ht="15" customHeight="1">
      <c r="A70" s="531">
        <f t="shared" si="0"/>
        <v>62</v>
      </c>
      <c r="C70" s="330" t="s">
        <v>82</v>
      </c>
      <c r="D70" s="530"/>
      <c r="E70" s="531"/>
      <c r="F70" s="530"/>
      <c r="G70" s="610">
        <f>SUM(G67:G69)</f>
        <v>33</v>
      </c>
      <c r="H70" s="435"/>
      <c r="I70" s="610">
        <f>I69+I68+I67</f>
        <v>33</v>
      </c>
      <c r="J70" s="438"/>
      <c r="K70" s="610">
        <f>K69+K68+K67</f>
        <v>33</v>
      </c>
      <c r="L70" s="435"/>
      <c r="M70" s="610">
        <f>M69+M68+M67</f>
        <v>33</v>
      </c>
      <c r="N70" s="169"/>
      <c r="O70" s="610">
        <f>O69+O68+O67</f>
        <v>33</v>
      </c>
      <c r="P70" s="383"/>
      <c r="Q70" s="191">
        <f>+Q67+Q68+Q69</f>
        <v>22</v>
      </c>
      <c r="R70" s="190"/>
      <c r="S70" s="191">
        <f>SUM(S67:S69)</f>
        <v>11</v>
      </c>
      <c r="T70" s="190"/>
      <c r="U70" s="191">
        <f>SUM(U67:U69)</f>
        <v>0</v>
      </c>
      <c r="V70" s="169"/>
      <c r="W70" s="610">
        <f>W69+W68+W67</f>
        <v>0</v>
      </c>
      <c r="X70" s="169"/>
      <c r="Y70" s="610">
        <f>Y69+Y68+Y67</f>
        <v>0</v>
      </c>
    </row>
    <row r="71" spans="1:25" ht="15" customHeight="1">
      <c r="A71" s="531">
        <f t="shared" si="0"/>
        <v>63</v>
      </c>
      <c r="C71" s="330"/>
      <c r="D71" s="530"/>
      <c r="E71" s="531"/>
      <c r="F71" s="530"/>
      <c r="G71" s="438"/>
      <c r="H71" s="435"/>
      <c r="I71" s="438"/>
      <c r="J71" s="438"/>
      <c r="K71" s="438"/>
      <c r="L71" s="435"/>
      <c r="M71" s="438"/>
      <c r="N71" s="169"/>
      <c r="O71" s="438"/>
      <c r="P71" s="383"/>
      <c r="Q71" s="438"/>
      <c r="R71" s="438"/>
      <c r="S71" s="438"/>
      <c r="T71" s="438"/>
      <c r="U71" s="438"/>
      <c r="V71" s="169"/>
      <c r="W71" s="438"/>
      <c r="X71" s="169"/>
      <c r="Y71" s="438"/>
    </row>
    <row r="72" spans="1:25" ht="15" customHeight="1" thickBot="1">
      <c r="A72" s="531">
        <f t="shared" si="0"/>
        <v>64</v>
      </c>
      <c r="C72" s="330" t="s">
        <v>694</v>
      </c>
      <c r="D72" s="530"/>
      <c r="E72" s="531" t="s">
        <v>676</v>
      </c>
      <c r="F72" s="530"/>
      <c r="G72" s="382">
        <f>(G70+G67)/2</f>
        <v>16.5</v>
      </c>
      <c r="H72" s="435"/>
      <c r="I72" s="382">
        <f>(I70+I67)/2</f>
        <v>33</v>
      </c>
      <c r="J72" s="438"/>
      <c r="K72" s="382">
        <f>(K70+K67)/2</f>
        <v>33</v>
      </c>
      <c r="L72" s="435"/>
      <c r="M72" s="382">
        <f>(M70+M67)/2</f>
        <v>33</v>
      </c>
      <c r="N72" s="169"/>
      <c r="O72" s="382">
        <f>(O70+O67)/2</f>
        <v>33</v>
      </c>
      <c r="P72" s="383"/>
      <c r="Q72" s="382">
        <f>(Q67+Q70)/2</f>
        <v>27.5</v>
      </c>
      <c r="R72" s="190"/>
      <c r="S72" s="382">
        <f>(S67+S70)/2</f>
        <v>16.5</v>
      </c>
      <c r="T72" s="190"/>
      <c r="U72" s="382">
        <f>(U67+U70)/2</f>
        <v>5.5</v>
      </c>
      <c r="V72" s="169"/>
      <c r="W72" s="382">
        <f>(W70+W67)/2</f>
        <v>0</v>
      </c>
      <c r="X72" s="169"/>
      <c r="Y72" s="382">
        <f>(Y70+Y67)/2</f>
        <v>0</v>
      </c>
    </row>
    <row r="73" spans="1:25" s="530" customFormat="1" ht="15" customHeight="1" thickTop="1">
      <c r="A73" s="531">
        <f t="shared" si="0"/>
        <v>65</v>
      </c>
      <c r="C73" s="146"/>
      <c r="E73" s="531"/>
      <c r="G73" s="190"/>
      <c r="H73" s="438"/>
      <c r="I73" s="190"/>
      <c r="J73" s="190"/>
      <c r="K73" s="190"/>
      <c r="L73" s="438"/>
      <c r="M73" s="438"/>
      <c r="N73" s="169"/>
      <c r="O73" s="169"/>
      <c r="P73" s="169"/>
      <c r="Q73" s="169"/>
      <c r="R73" s="169"/>
      <c r="S73" s="169"/>
      <c r="T73" s="169"/>
      <c r="U73" s="169"/>
      <c r="V73" s="169"/>
      <c r="W73" s="170"/>
      <c r="X73" s="169"/>
      <c r="Y73" s="170"/>
    </row>
    <row r="74" spans="1:25" s="530" customFormat="1" ht="15" customHeight="1">
      <c r="A74" s="531">
        <f t="shared" si="0"/>
        <v>66</v>
      </c>
      <c r="C74" s="337" t="s">
        <v>598</v>
      </c>
      <c r="E74" s="531"/>
      <c r="N74" s="438"/>
      <c r="O74" s="438"/>
      <c r="P74" s="438"/>
      <c r="Q74" s="438"/>
      <c r="R74" s="438"/>
      <c r="S74" s="438"/>
      <c r="T74" s="438"/>
      <c r="U74" s="438"/>
      <c r="V74" s="438"/>
      <c r="W74" s="438"/>
      <c r="X74" s="438"/>
      <c r="Y74" s="438"/>
    </row>
    <row r="75" spans="1:25" s="530" customFormat="1" ht="15" customHeight="1">
      <c r="A75" s="531">
        <f t="shared" ref="A75:A80" si="1">A74+1</f>
        <v>67</v>
      </c>
      <c r="C75" s="530" t="s">
        <v>594</v>
      </c>
      <c r="E75" s="531"/>
      <c r="G75" s="438">
        <v>0</v>
      </c>
      <c r="H75" s="438"/>
      <c r="I75" s="438">
        <f>+G78</f>
        <v>0</v>
      </c>
      <c r="J75" s="438"/>
      <c r="K75" s="438">
        <f>+I78</f>
        <v>0</v>
      </c>
      <c r="L75" s="190"/>
      <c r="M75" s="190">
        <f>+K77</f>
        <v>0</v>
      </c>
      <c r="N75" s="190"/>
      <c r="O75" s="138">
        <f>+M78</f>
        <v>0</v>
      </c>
      <c r="P75" s="138"/>
      <c r="Q75" s="138">
        <v>0</v>
      </c>
      <c r="R75" s="138"/>
      <c r="S75" s="138">
        <f>Q78</f>
        <v>13</v>
      </c>
      <c r="T75" s="190"/>
      <c r="U75" s="138">
        <f>S78</f>
        <v>6</v>
      </c>
      <c r="V75" s="190"/>
      <c r="W75" s="438">
        <v>0</v>
      </c>
      <c r="X75" s="190"/>
      <c r="Y75" s="438">
        <v>0</v>
      </c>
    </row>
    <row r="76" spans="1:25" s="530" customFormat="1" ht="15" customHeight="1">
      <c r="A76" s="531">
        <f t="shared" si="1"/>
        <v>68</v>
      </c>
      <c r="B76" s="531"/>
      <c r="C76" s="282" t="s">
        <v>477</v>
      </c>
      <c r="E76" s="531"/>
      <c r="G76" s="438">
        <v>0</v>
      </c>
      <c r="H76" s="438"/>
      <c r="I76" s="438">
        <v>0</v>
      </c>
      <c r="J76" s="438"/>
      <c r="K76" s="438">
        <v>0</v>
      </c>
      <c r="L76" s="438"/>
      <c r="M76" s="190">
        <v>0</v>
      </c>
      <c r="N76" s="438"/>
      <c r="O76" s="138">
        <v>0</v>
      </c>
      <c r="P76" s="138"/>
      <c r="Q76" s="138">
        <v>20</v>
      </c>
      <c r="R76" s="138"/>
      <c r="S76" s="138">
        <v>0</v>
      </c>
      <c r="T76" s="438"/>
      <c r="U76" s="138">
        <v>0</v>
      </c>
      <c r="V76" s="438"/>
      <c r="W76" s="438">
        <v>0</v>
      </c>
      <c r="X76" s="190"/>
      <c r="Y76" s="438">
        <v>0</v>
      </c>
    </row>
    <row r="77" spans="1:25" s="530" customFormat="1" ht="15" customHeight="1">
      <c r="A77" s="531">
        <f t="shared" si="1"/>
        <v>69</v>
      </c>
      <c r="C77" s="282" t="s">
        <v>478</v>
      </c>
      <c r="G77" s="138">
        <v>0</v>
      </c>
      <c r="H77" s="86"/>
      <c r="I77" s="138">
        <v>0</v>
      </c>
      <c r="J77" s="138"/>
      <c r="K77" s="138">
        <v>0</v>
      </c>
      <c r="L77" s="190"/>
      <c r="M77" s="191">
        <v>0</v>
      </c>
      <c r="N77" s="190"/>
      <c r="O77" s="145">
        <v>0</v>
      </c>
      <c r="P77" s="138"/>
      <c r="Q77" s="145">
        <v>-7</v>
      </c>
      <c r="R77" s="138"/>
      <c r="S77" s="145">
        <v>-7</v>
      </c>
      <c r="T77" s="190"/>
      <c r="U77" s="145">
        <v>-6</v>
      </c>
      <c r="V77" s="438"/>
      <c r="W77" s="86">
        <v>0</v>
      </c>
      <c r="X77" s="138"/>
      <c r="Y77" s="86">
        <v>0</v>
      </c>
    </row>
    <row r="78" spans="1:25" s="530" customFormat="1" ht="15" customHeight="1">
      <c r="A78" s="531">
        <f t="shared" si="1"/>
        <v>70</v>
      </c>
      <c r="C78" s="330" t="s">
        <v>679</v>
      </c>
      <c r="G78" s="610">
        <f>SUM(G75:G77)</f>
        <v>0</v>
      </c>
      <c r="H78" s="435"/>
      <c r="I78" s="610">
        <f>I77+I76+I75</f>
        <v>0</v>
      </c>
      <c r="J78" s="438"/>
      <c r="K78" s="610">
        <f>K77+K76+K75</f>
        <v>0</v>
      </c>
      <c r="L78" s="435"/>
      <c r="M78" s="191">
        <f>SUM(M75:M77)</f>
        <v>0</v>
      </c>
      <c r="N78" s="190"/>
      <c r="O78" s="191">
        <f>+O75+O76+O77</f>
        <v>0</v>
      </c>
      <c r="P78" s="190"/>
      <c r="Q78" s="191">
        <f>+Q75+Q76+Q77</f>
        <v>13</v>
      </c>
      <c r="R78" s="190"/>
      <c r="S78" s="191">
        <f>SUM(S75:S77)</f>
        <v>6</v>
      </c>
      <c r="T78" s="190"/>
      <c r="U78" s="191">
        <f>SUM(U75:U77)</f>
        <v>0</v>
      </c>
      <c r="V78" s="435"/>
      <c r="W78" s="610">
        <f>W77+W76+W75</f>
        <v>0</v>
      </c>
      <c r="X78" s="423"/>
      <c r="Y78" s="610">
        <f>Y77+Y76+Y75</f>
        <v>0</v>
      </c>
    </row>
    <row r="79" spans="1:25" s="530" customFormat="1" ht="15" customHeight="1">
      <c r="A79" s="531">
        <f t="shared" si="1"/>
        <v>71</v>
      </c>
      <c r="C79" s="330"/>
      <c r="E79" s="531"/>
      <c r="G79" s="438"/>
      <c r="H79" s="435"/>
      <c r="I79" s="438"/>
      <c r="J79" s="438"/>
      <c r="K79" s="438"/>
      <c r="L79" s="438"/>
      <c r="M79" s="190"/>
      <c r="N79" s="438"/>
      <c r="O79" s="438"/>
      <c r="P79" s="438"/>
      <c r="Q79" s="438"/>
      <c r="R79" s="438"/>
      <c r="S79" s="438"/>
      <c r="T79" s="438"/>
      <c r="U79" s="438"/>
      <c r="V79" s="435"/>
      <c r="W79" s="438"/>
      <c r="X79" s="423"/>
      <c r="Y79" s="438"/>
    </row>
    <row r="80" spans="1:25" s="530" customFormat="1" ht="15" customHeight="1" thickBot="1">
      <c r="A80" s="531">
        <f t="shared" si="1"/>
        <v>72</v>
      </c>
      <c r="C80" s="330" t="s">
        <v>694</v>
      </c>
      <c r="E80" s="531" t="s">
        <v>677</v>
      </c>
      <c r="G80" s="382">
        <f>(G78+G75)/2</f>
        <v>0</v>
      </c>
      <c r="H80" s="435"/>
      <c r="I80" s="382">
        <f>(I78+I75)/2</f>
        <v>0</v>
      </c>
      <c r="J80" s="438"/>
      <c r="K80" s="382">
        <f>(K78+K75)/2</f>
        <v>0</v>
      </c>
      <c r="L80" s="435"/>
      <c r="M80" s="382">
        <f>(M78+M75)/2</f>
        <v>0</v>
      </c>
      <c r="N80" s="190"/>
      <c r="O80" s="382">
        <f>(O75+O78)/2</f>
        <v>0</v>
      </c>
      <c r="P80" s="190"/>
      <c r="Q80" s="382">
        <f>(Q75+Q78)/2</f>
        <v>6.5</v>
      </c>
      <c r="R80" s="190"/>
      <c r="S80" s="382">
        <f>(S75+S78)/2</f>
        <v>9.5</v>
      </c>
      <c r="T80" s="190"/>
      <c r="U80" s="382">
        <f>(U75+U78)/2</f>
        <v>3</v>
      </c>
      <c r="V80" s="435"/>
      <c r="W80" s="382">
        <f>(W78+W75)/2</f>
        <v>0</v>
      </c>
      <c r="X80" s="423"/>
      <c r="Y80" s="382">
        <f>(Y78+Y75)/2</f>
        <v>0</v>
      </c>
    </row>
    <row r="81" spans="1:25" ht="15.75" thickTop="1">
      <c r="C81" s="100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70"/>
      <c r="X81" s="169"/>
      <c r="Y81" s="170"/>
    </row>
    <row r="82" spans="1:25">
      <c r="C82" s="100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70"/>
      <c r="X82" s="169"/>
      <c r="Y82" s="170"/>
    </row>
    <row r="83" spans="1:25">
      <c r="A83" s="55"/>
      <c r="C83" s="100"/>
    </row>
    <row r="84" spans="1:25">
      <c r="A84" s="55"/>
    </row>
    <row r="85" spans="1:25" ht="10.5" customHeight="1"/>
    <row r="86" spans="1:25" ht="10.5" customHeight="1"/>
    <row r="87" spans="1:25" ht="10.5" customHeight="1"/>
    <row r="88" spans="1:25" ht="10.5" customHeight="1"/>
    <row r="89" spans="1:25" ht="10.5" customHeight="1"/>
    <row r="90" spans="1:25" ht="10.5" customHeight="1"/>
    <row r="91" spans="1:25" ht="10.5" customHeight="1"/>
    <row r="92" spans="1:25" ht="10.5" customHeight="1"/>
    <row r="93" spans="1:25" ht="10.5" customHeight="1"/>
    <row r="94" spans="1:25" ht="10.5" customHeight="1"/>
    <row r="95" spans="1:25" ht="10.5" customHeight="1"/>
    <row r="96" spans="1:25" ht="10.5" customHeight="1"/>
    <row r="97" ht="10.5" customHeight="1"/>
  </sheetData>
  <customSheetViews>
    <customSheetView guid="{275E5119-9E8C-43ED-ACD2-DF40CF10B219}" scale="70">
      <selection activeCell="M22" sqref="M22"/>
      <pageMargins left="0.69" right="1" top="0.74" bottom="0.69" header="0.5" footer="0.5"/>
      <pageSetup scale="6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22" sqref="M22"/>
      <pageMargins left="0.69" right="1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36" top="0.74" bottom="0.69" header="0.5" footer="0.5"/>
  <pageSetup scale="43" orientation="landscape" r:id="rId3"/>
  <headerFooter alignWithMargins="0"/>
  <colBreaks count="1" manualBreakCount="1">
    <brk id="2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view="pageBreakPreview" zoomScale="85" zoomScaleNormal="115" zoomScaleSheetLayoutView="85" workbookViewId="0">
      <selection activeCell="S14" sqref="S14"/>
    </sheetView>
  </sheetViews>
  <sheetFormatPr defaultColWidth="7.5703125" defaultRowHeight="15"/>
  <cols>
    <col min="1" max="1" width="8.5703125" style="530" customWidth="1"/>
    <col min="2" max="2" width="2.5703125" style="530" customWidth="1"/>
    <col min="3" max="3" width="58.85546875" style="530" customWidth="1"/>
    <col min="4" max="4" width="2.5703125" style="530" customWidth="1"/>
    <col min="5" max="5" width="15" style="531" bestFit="1" customWidth="1"/>
    <col min="6" max="8" width="2.5703125" style="530" customWidth="1"/>
    <col min="9" max="9" width="10.7109375" style="530" customWidth="1"/>
    <col min="10" max="10" width="2.140625" style="530" customWidth="1"/>
    <col min="11" max="11" width="10.7109375" style="530" customWidth="1"/>
    <col min="12" max="12" width="3.42578125" style="530" customWidth="1"/>
    <col min="13" max="13" width="10.7109375" style="530" customWidth="1"/>
    <col min="14" max="14" width="2.5703125" style="530" customWidth="1"/>
    <col min="15" max="15" width="7" style="530" customWidth="1"/>
    <col min="16" max="16384" width="7.5703125" style="530"/>
  </cols>
  <sheetData>
    <row r="1" spans="1:15" ht="15.75">
      <c r="A1" s="61" t="s">
        <v>540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109" t="s">
        <v>518</v>
      </c>
    </row>
    <row r="2" spans="1:15" ht="15.75">
      <c r="A2" s="61" t="s">
        <v>463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33"/>
    </row>
    <row r="3" spans="1:15" ht="15.75">
      <c r="A3" s="61" t="s">
        <v>301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33"/>
    </row>
    <row r="4" spans="1:15" ht="15.75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33"/>
    </row>
    <row r="5" spans="1:15" ht="15.75">
      <c r="A5" s="61"/>
      <c r="B5" s="62"/>
      <c r="C5" s="62"/>
      <c r="D5" s="62"/>
      <c r="F5" s="62"/>
      <c r="H5" s="400"/>
      <c r="I5" s="536"/>
      <c r="J5" s="400"/>
      <c r="K5" s="536"/>
      <c r="L5" s="400"/>
      <c r="M5" s="536"/>
      <c r="N5" s="400"/>
      <c r="O5" s="460"/>
    </row>
    <row r="6" spans="1:15" ht="15.75">
      <c r="A6" s="536" t="s">
        <v>33</v>
      </c>
      <c r="B6" s="536"/>
      <c r="C6" s="536"/>
      <c r="D6" s="536"/>
      <c r="E6" s="536" t="s">
        <v>34</v>
      </c>
      <c r="F6" s="536"/>
      <c r="G6" s="536"/>
      <c r="H6" s="536"/>
      <c r="I6" s="819" t="s">
        <v>330</v>
      </c>
      <c r="J6" s="819"/>
      <c r="K6" s="819"/>
      <c r="L6" s="819"/>
      <c r="M6" s="819"/>
      <c r="N6" s="271"/>
      <c r="O6" s="460"/>
    </row>
    <row r="7" spans="1:15" ht="15.75">
      <c r="A7" s="535" t="s">
        <v>35</v>
      </c>
      <c r="B7" s="536"/>
      <c r="C7" s="535" t="s">
        <v>178</v>
      </c>
      <c r="D7" s="536"/>
      <c r="E7" s="535" t="s">
        <v>36</v>
      </c>
      <c r="F7" s="536"/>
      <c r="G7" s="536"/>
      <c r="H7" s="401"/>
      <c r="I7" s="535">
        <v>2013</v>
      </c>
      <c r="J7" s="401"/>
      <c r="K7" s="535">
        <v>2014</v>
      </c>
      <c r="L7" s="401"/>
      <c r="M7" s="535">
        <v>2015</v>
      </c>
      <c r="N7" s="271"/>
      <c r="O7" s="460"/>
    </row>
    <row r="9" spans="1:15" ht="15.75">
      <c r="A9" s="531">
        <v>1</v>
      </c>
      <c r="C9" s="436" t="s">
        <v>528</v>
      </c>
      <c r="G9" s="168"/>
      <c r="H9" s="169"/>
      <c r="I9" s="169"/>
      <c r="J9" s="169"/>
      <c r="K9" s="169"/>
      <c r="L9" s="169"/>
      <c r="M9" s="169"/>
      <c r="N9" s="169"/>
    </row>
    <row r="10" spans="1:15">
      <c r="A10" s="531">
        <f t="shared" ref="A10:A23" si="0">A9+1</f>
        <v>2</v>
      </c>
      <c r="C10" s="146" t="s">
        <v>530</v>
      </c>
      <c r="G10" s="188"/>
      <c r="H10" s="190"/>
      <c r="I10" s="190">
        <v>93</v>
      </c>
      <c r="J10" s="190"/>
      <c r="K10" s="190">
        <v>0</v>
      </c>
      <c r="L10" s="190"/>
      <c r="M10" s="190">
        <v>0</v>
      </c>
      <c r="N10" s="435"/>
    </row>
    <row r="11" spans="1:15">
      <c r="A11" s="531">
        <f t="shared" si="0"/>
        <v>3</v>
      </c>
      <c r="C11" s="146" t="s">
        <v>529</v>
      </c>
      <c r="G11" s="188"/>
      <c r="H11" s="190"/>
      <c r="I11" s="190">
        <v>81</v>
      </c>
      <c r="J11" s="190"/>
      <c r="K11" s="190">
        <v>0</v>
      </c>
      <c r="L11" s="190"/>
      <c r="M11" s="190">
        <v>0</v>
      </c>
      <c r="N11" s="435"/>
    </row>
    <row r="12" spans="1:15">
      <c r="A12" s="531">
        <f t="shared" si="0"/>
        <v>4</v>
      </c>
      <c r="C12" s="146" t="s">
        <v>531</v>
      </c>
      <c r="G12" s="86"/>
      <c r="H12" s="138"/>
      <c r="I12" s="138">
        <v>8</v>
      </c>
      <c r="J12" s="138"/>
      <c r="K12" s="138">
        <v>0</v>
      </c>
      <c r="L12" s="138"/>
      <c r="M12" s="138">
        <v>0</v>
      </c>
      <c r="N12" s="86"/>
    </row>
    <row r="13" spans="1:15">
      <c r="A13" s="531">
        <f t="shared" si="0"/>
        <v>5</v>
      </c>
      <c r="C13" s="146" t="s">
        <v>532</v>
      </c>
      <c r="G13" s="86"/>
      <c r="H13" s="138"/>
      <c r="I13" s="138">
        <v>9</v>
      </c>
      <c r="J13" s="138"/>
      <c r="K13" s="138">
        <v>0</v>
      </c>
      <c r="L13" s="138"/>
      <c r="M13" s="138">
        <v>0</v>
      </c>
      <c r="N13" s="86"/>
    </row>
    <row r="14" spans="1:15">
      <c r="A14" s="531">
        <f t="shared" si="0"/>
        <v>6</v>
      </c>
      <c r="C14" s="146" t="s">
        <v>781</v>
      </c>
      <c r="G14" s="86"/>
      <c r="H14" s="138"/>
      <c r="I14" s="138">
        <v>90</v>
      </c>
      <c r="J14" s="138"/>
      <c r="K14" s="138">
        <v>0</v>
      </c>
      <c r="L14" s="138"/>
      <c r="M14" s="138">
        <v>0</v>
      </c>
      <c r="N14" s="86"/>
    </row>
    <row r="15" spans="1:15">
      <c r="A15" s="531">
        <f t="shared" si="0"/>
        <v>7</v>
      </c>
      <c r="C15" s="146" t="s">
        <v>533</v>
      </c>
      <c r="G15" s="86"/>
      <c r="H15" s="138"/>
      <c r="I15" s="138">
        <v>136</v>
      </c>
      <c r="J15" s="138"/>
      <c r="K15" s="138">
        <v>0</v>
      </c>
      <c r="L15" s="138"/>
      <c r="M15" s="138">
        <v>0</v>
      </c>
      <c r="N15" s="86"/>
    </row>
    <row r="16" spans="1:15" ht="16.5" thickBot="1">
      <c r="A16" s="531">
        <f t="shared" si="0"/>
        <v>8</v>
      </c>
      <c r="C16" s="336" t="s">
        <v>217</v>
      </c>
      <c r="E16" s="531" t="s">
        <v>665</v>
      </c>
      <c r="G16" s="140"/>
      <c r="H16" s="138"/>
      <c r="I16" s="391">
        <f>SUM(I10:I15)</f>
        <v>417</v>
      </c>
      <c r="J16" s="138"/>
      <c r="K16" s="391">
        <f>SUM(K10:K15)</f>
        <v>0</v>
      </c>
      <c r="L16" s="138"/>
      <c r="M16" s="391">
        <f>SUM(M10:M15)</f>
        <v>0</v>
      </c>
      <c r="N16" s="60"/>
    </row>
    <row r="17" spans="1:14" ht="16.5" thickTop="1">
      <c r="A17" s="531">
        <f t="shared" si="0"/>
        <v>9</v>
      </c>
      <c r="C17" s="269"/>
      <c r="G17" s="188"/>
      <c r="H17" s="190"/>
      <c r="I17" s="190"/>
      <c r="J17" s="190"/>
      <c r="K17" s="190"/>
      <c r="L17" s="190"/>
      <c r="M17" s="190"/>
      <c r="N17" s="435"/>
    </row>
    <row r="18" spans="1:14" ht="15.75">
      <c r="A18" s="531">
        <f t="shared" si="0"/>
        <v>10</v>
      </c>
      <c r="C18" s="436" t="s">
        <v>534</v>
      </c>
      <c r="H18" s="463"/>
      <c r="I18" s="463"/>
      <c r="J18" s="463"/>
      <c r="K18" s="463"/>
      <c r="L18" s="463"/>
      <c r="M18" s="463"/>
    </row>
    <row r="19" spans="1:14">
      <c r="A19" s="531">
        <f t="shared" si="0"/>
        <v>11</v>
      </c>
      <c r="C19" s="146" t="s">
        <v>530</v>
      </c>
      <c r="G19" s="188"/>
      <c r="H19" s="190"/>
      <c r="I19" s="190">
        <v>0</v>
      </c>
      <c r="J19" s="190"/>
      <c r="K19" s="190">
        <v>60</v>
      </c>
      <c r="L19" s="190"/>
      <c r="M19" s="190">
        <v>0</v>
      </c>
      <c r="N19" s="435"/>
    </row>
    <row r="20" spans="1:14">
      <c r="A20" s="531">
        <f t="shared" si="0"/>
        <v>12</v>
      </c>
      <c r="C20" s="146" t="s">
        <v>532</v>
      </c>
      <c r="G20" s="188"/>
      <c r="H20" s="190"/>
      <c r="I20" s="190">
        <v>0</v>
      </c>
      <c r="J20" s="190"/>
      <c r="K20" s="190">
        <v>13</v>
      </c>
      <c r="L20" s="190"/>
      <c r="M20" s="190">
        <v>0</v>
      </c>
      <c r="N20" s="435"/>
    </row>
    <row r="21" spans="1:14">
      <c r="A21" s="531">
        <f t="shared" si="0"/>
        <v>13</v>
      </c>
      <c r="C21" s="146" t="s">
        <v>781</v>
      </c>
      <c r="G21" s="188"/>
      <c r="H21" s="190"/>
      <c r="I21" s="190">
        <v>0</v>
      </c>
      <c r="J21" s="190"/>
      <c r="K21" s="190">
        <v>45</v>
      </c>
      <c r="L21" s="190"/>
      <c r="M21" s="190">
        <v>0</v>
      </c>
      <c r="N21" s="435"/>
    </row>
    <row r="22" spans="1:14">
      <c r="A22" s="531">
        <f t="shared" si="0"/>
        <v>14</v>
      </c>
      <c r="C22" s="146" t="s">
        <v>533</v>
      </c>
      <c r="G22" s="188"/>
      <c r="H22" s="190"/>
      <c r="I22" s="190">
        <v>0</v>
      </c>
      <c r="J22" s="190"/>
      <c r="K22" s="190">
        <v>75</v>
      </c>
      <c r="L22" s="190"/>
      <c r="M22" s="190">
        <v>0</v>
      </c>
      <c r="N22" s="435"/>
    </row>
    <row r="23" spans="1:14" ht="16.5" thickBot="1">
      <c r="A23" s="531">
        <f t="shared" si="0"/>
        <v>15</v>
      </c>
      <c r="C23" s="336" t="s">
        <v>217</v>
      </c>
      <c r="E23" s="531" t="s">
        <v>665</v>
      </c>
      <c r="G23" s="188"/>
      <c r="H23" s="190"/>
      <c r="I23" s="386">
        <f>SUM(I19:I22)</f>
        <v>0</v>
      </c>
      <c r="J23" s="190"/>
      <c r="K23" s="386">
        <f>SUM(K19:K22)</f>
        <v>193</v>
      </c>
      <c r="L23" s="190"/>
      <c r="M23" s="386">
        <f>SUM(M19:M22)</f>
        <v>0</v>
      </c>
      <c r="N23" s="435"/>
    </row>
    <row r="24" spans="1:14" ht="18" thickTop="1">
      <c r="C24" s="192"/>
      <c r="G24" s="188"/>
      <c r="H24" s="190"/>
      <c r="I24" s="190"/>
      <c r="J24" s="190"/>
      <c r="K24" s="190"/>
      <c r="L24" s="190"/>
      <c r="M24" s="190"/>
      <c r="N24" s="435"/>
    </row>
    <row r="25" spans="1:14">
      <c r="C25" s="146"/>
      <c r="G25" s="168"/>
      <c r="H25" s="169"/>
      <c r="I25" s="169"/>
      <c r="J25" s="169"/>
      <c r="K25" s="169"/>
      <c r="L25" s="169"/>
      <c r="M25" s="169"/>
      <c r="N25" s="169"/>
    </row>
    <row r="26" spans="1:14">
      <c r="C26" s="146"/>
      <c r="G26" s="168"/>
      <c r="H26" s="169"/>
      <c r="I26" s="169"/>
      <c r="J26" s="169"/>
      <c r="K26" s="169"/>
      <c r="L26" s="169"/>
      <c r="M26" s="169"/>
      <c r="N26" s="169"/>
    </row>
    <row r="27" spans="1:14">
      <c r="C27" s="146"/>
      <c r="G27" s="168"/>
      <c r="H27" s="169"/>
      <c r="I27" s="169"/>
      <c r="J27" s="169"/>
      <c r="K27" s="169"/>
      <c r="L27" s="169"/>
      <c r="M27" s="169"/>
      <c r="N27" s="169"/>
    </row>
    <row r="28" spans="1:14">
      <c r="A28" s="531"/>
      <c r="C28" s="146"/>
      <c r="G28" s="168"/>
      <c r="H28" s="169"/>
      <c r="I28" s="169"/>
      <c r="J28" s="169"/>
      <c r="K28" s="169"/>
      <c r="L28" s="169"/>
      <c r="M28" s="169"/>
      <c r="N28" s="169"/>
    </row>
    <row r="29" spans="1:14">
      <c r="A29" s="531"/>
      <c r="C29" s="146"/>
      <c r="G29" s="168"/>
      <c r="H29" s="169"/>
      <c r="I29" s="169"/>
      <c r="J29" s="169"/>
      <c r="K29" s="169"/>
      <c r="L29" s="169"/>
      <c r="M29" s="169"/>
      <c r="N29" s="169"/>
    </row>
    <row r="30" spans="1:14" ht="10.5" customHeight="1">
      <c r="C30" s="146"/>
      <c r="G30" s="56"/>
    </row>
    <row r="31" spans="1:14" ht="10.5" customHeight="1"/>
    <row r="32" spans="1:14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</sheetData>
  <mergeCells count="1">
    <mergeCell ref="I6:M6"/>
  </mergeCells>
  <pageMargins left="0.5" right="0.36" top="0.74" bottom="0.69" header="0.5" footer="0.5"/>
  <pageSetup scale="97" orientation="landscape" r:id="rId1"/>
  <headerFooter alignWithMargins="0"/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3" enableFormatConditionsCalculation="0">
    <pageSetUpPr fitToPage="1"/>
  </sheetPr>
  <dimension ref="A1:Z64"/>
  <sheetViews>
    <sheetView zoomScale="85" zoomScaleNormal="85" zoomScaleSheetLayoutView="75" workbookViewId="0">
      <selection activeCell="AG28" sqref="AG28"/>
    </sheetView>
  </sheetViews>
  <sheetFormatPr defaultColWidth="8" defaultRowHeight="15"/>
  <cols>
    <col min="1" max="1" width="7.42578125" style="21" customWidth="1"/>
    <col min="2" max="2" width="2.28515625" style="21" customWidth="1"/>
    <col min="3" max="3" width="55.42578125" style="21" customWidth="1"/>
    <col min="4" max="4" width="2.28515625" style="21" customWidth="1"/>
    <col min="5" max="5" width="12.85546875" style="21" customWidth="1"/>
    <col min="6" max="6" width="2.28515625" style="21" customWidth="1"/>
    <col min="7" max="7" width="9.7109375" style="21" customWidth="1"/>
    <col min="8" max="8" width="2.28515625" style="21" customWidth="1"/>
    <col min="9" max="9" width="9.7109375" style="21" customWidth="1"/>
    <col min="10" max="10" width="2.28515625" style="21" customWidth="1"/>
    <col min="11" max="11" width="9.7109375" style="21" customWidth="1"/>
    <col min="12" max="12" width="2.28515625" style="21" customWidth="1"/>
    <col min="13" max="13" width="9.7109375" style="21" customWidth="1"/>
    <col min="14" max="14" width="2.28515625" style="21" customWidth="1"/>
    <col min="15" max="15" width="9.7109375" style="21" customWidth="1"/>
    <col min="16" max="16" width="2.28515625" style="21" customWidth="1"/>
    <col min="17" max="17" width="9.7109375" style="21" customWidth="1"/>
    <col min="18" max="18" width="2.28515625" style="21" customWidth="1"/>
    <col min="19" max="19" width="9.7109375" style="21" customWidth="1"/>
    <col min="20" max="20" width="2.28515625" style="21" customWidth="1"/>
    <col min="21" max="21" width="9.7109375" style="21" customWidth="1"/>
    <col min="22" max="22" width="2.28515625" style="21" customWidth="1"/>
    <col min="23" max="23" width="12.42578125" style="21" customWidth="1"/>
    <col min="24" max="24" width="2.28515625" style="21" customWidth="1"/>
    <col min="25" max="25" width="11.28515625" style="21" customWidth="1"/>
    <col min="26" max="26" width="2.28515625" style="530" customWidth="1"/>
    <col min="27" max="16384" width="8" style="21"/>
  </cols>
  <sheetData>
    <row r="1" spans="1:26" s="266" customFormat="1" ht="15.75">
      <c r="A1" s="644" t="s">
        <v>540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109" t="s">
        <v>516</v>
      </c>
    </row>
    <row r="2" spans="1:26" ht="15.75">
      <c r="A2" s="644" t="s">
        <v>463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33"/>
    </row>
    <row r="3" spans="1:26" ht="15.75">
      <c r="A3" s="644" t="s">
        <v>59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33"/>
    </row>
    <row r="4" spans="1:26" ht="15.75">
      <c r="A4" s="644" t="s">
        <v>32</v>
      </c>
      <c r="B4" s="644"/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33"/>
    </row>
    <row r="5" spans="1:26" ht="17.25" customHeight="1">
      <c r="A5" s="22"/>
      <c r="B5" s="22"/>
      <c r="C5" s="22"/>
      <c r="D5" s="22"/>
      <c r="E5" s="22"/>
      <c r="O5" s="284"/>
      <c r="P5" s="284"/>
      <c r="Q5" s="431"/>
      <c r="R5" s="284"/>
      <c r="S5" s="431"/>
      <c r="T5" s="284"/>
      <c r="U5" s="431"/>
      <c r="V5" s="284"/>
      <c r="W5" s="431" t="s">
        <v>459</v>
      </c>
      <c r="X5" s="431"/>
      <c r="Y5" s="431" t="s">
        <v>459</v>
      </c>
      <c r="Z5" s="633"/>
    </row>
    <row r="6" spans="1:26" ht="15.75">
      <c r="A6" s="22" t="s">
        <v>33</v>
      </c>
      <c r="B6" s="22"/>
      <c r="C6" s="22"/>
      <c r="D6" s="22"/>
      <c r="E6" s="22" t="s">
        <v>34</v>
      </c>
      <c r="F6" s="10"/>
      <c r="G6" s="10" t="s">
        <v>25</v>
      </c>
      <c r="H6" s="10"/>
      <c r="I6" s="10" t="s">
        <v>25</v>
      </c>
      <c r="J6" s="10"/>
      <c r="K6" s="10" t="s">
        <v>25</v>
      </c>
      <c r="L6" s="10"/>
      <c r="M6" s="10" t="s">
        <v>25</v>
      </c>
      <c r="N6" s="10"/>
      <c r="O6" s="431" t="s">
        <v>25</v>
      </c>
      <c r="P6" s="431"/>
      <c r="Q6" s="819" t="s">
        <v>330</v>
      </c>
      <c r="R6" s="819"/>
      <c r="S6" s="819"/>
      <c r="T6" s="819"/>
      <c r="U6" s="819"/>
      <c r="V6" s="271"/>
      <c r="W6" s="431" t="s">
        <v>15</v>
      </c>
      <c r="X6" s="431"/>
      <c r="Y6" s="431" t="s">
        <v>15</v>
      </c>
      <c r="Z6" s="633"/>
    </row>
    <row r="7" spans="1:26" ht="15.75">
      <c r="A7" s="23" t="s">
        <v>35</v>
      </c>
      <c r="B7" s="22"/>
      <c r="C7" s="23" t="s">
        <v>178</v>
      </c>
      <c r="D7" s="22"/>
      <c r="E7" s="23" t="s">
        <v>36</v>
      </c>
      <c r="F7" s="10"/>
      <c r="G7" s="12">
        <v>2008</v>
      </c>
      <c r="H7" s="10"/>
      <c r="I7" s="468">
        <v>2009</v>
      </c>
      <c r="J7" s="278"/>
      <c r="K7" s="468">
        <v>2010</v>
      </c>
      <c r="L7" s="278"/>
      <c r="M7" s="468">
        <v>2011</v>
      </c>
      <c r="N7" s="10"/>
      <c r="O7" s="17">
        <v>2012</v>
      </c>
      <c r="P7" s="281"/>
      <c r="Q7" s="17">
        <v>2013</v>
      </c>
      <c r="R7" s="281"/>
      <c r="S7" s="17">
        <v>2014</v>
      </c>
      <c r="T7" s="281"/>
      <c r="U7" s="17">
        <v>2015</v>
      </c>
      <c r="V7" s="271"/>
      <c r="W7" s="17">
        <v>2008</v>
      </c>
      <c r="X7" s="271"/>
      <c r="Y7" s="17">
        <v>2009</v>
      </c>
      <c r="Z7" s="285"/>
    </row>
    <row r="8" spans="1:26" ht="7.5" customHeight="1">
      <c r="I8" s="48"/>
      <c r="J8" s="48"/>
      <c r="K8" s="48"/>
      <c r="L8" s="48"/>
      <c r="M8" s="48"/>
    </row>
    <row r="9" spans="1:26">
      <c r="A9" s="24">
        <v>1</v>
      </c>
      <c r="C9" s="372" t="s">
        <v>565</v>
      </c>
      <c r="E9" s="24" t="s">
        <v>286</v>
      </c>
      <c r="F9" s="202"/>
      <c r="G9" s="202">
        <f>+S1.1!G18</f>
        <v>8593.406930000001</v>
      </c>
      <c r="H9" s="202"/>
      <c r="I9" s="202">
        <f>+S1.1!I18</f>
        <v>9474</v>
      </c>
      <c r="J9" s="202"/>
      <c r="K9" s="202">
        <f>+S1.1!K18</f>
        <v>9624.8402999999998</v>
      </c>
      <c r="L9" s="202"/>
      <c r="M9" s="202">
        <f>+S1.1!M18</f>
        <v>9798.9852110000011</v>
      </c>
      <c r="N9" s="202"/>
      <c r="O9" s="202">
        <f>+S1.1!O18</f>
        <v>11058.881460000001</v>
      </c>
      <c r="P9" s="202"/>
      <c r="Q9" s="202">
        <f>+S1.1!Q18</f>
        <v>11735.420052087527</v>
      </c>
      <c r="R9" s="202"/>
      <c r="S9" s="202">
        <f>+S1.1!S18</f>
        <v>12319.3831526922</v>
      </c>
      <c r="T9" s="202"/>
      <c r="U9" s="202">
        <f>+S1.1!U18</f>
        <v>12506.963537894997</v>
      </c>
      <c r="V9" s="202"/>
      <c r="W9" s="202">
        <f>S1.1!W18</f>
        <v>8643.7362243139341</v>
      </c>
      <c r="X9" s="202"/>
      <c r="Y9" s="202">
        <f>S1.1!Y18</f>
        <v>8826</v>
      </c>
      <c r="Z9" s="202"/>
    </row>
    <row r="10" spans="1:26">
      <c r="A10" s="24">
        <v>2</v>
      </c>
      <c r="C10" s="530" t="s">
        <v>564</v>
      </c>
      <c r="E10" s="24" t="s">
        <v>279</v>
      </c>
      <c r="F10" s="202"/>
      <c r="G10" s="202">
        <f>+S1.1!G16</f>
        <v>24157</v>
      </c>
      <c r="H10" s="202"/>
      <c r="I10" s="202">
        <f>+S1.1!I16</f>
        <v>23211</v>
      </c>
      <c r="J10" s="202"/>
      <c r="K10" s="202">
        <f>+S1.1!K16</f>
        <v>23462</v>
      </c>
      <c r="L10" s="202"/>
      <c r="M10" s="202">
        <f>+S1.1!M16</f>
        <v>24093</v>
      </c>
      <c r="N10" s="202"/>
      <c r="O10" s="202">
        <f>+S1.1!O16</f>
        <v>26923.076719999997</v>
      </c>
      <c r="P10" s="202"/>
      <c r="Q10" s="202">
        <f>+S1.1!Q16</f>
        <v>25630.442949550608</v>
      </c>
      <c r="R10" s="202"/>
      <c r="S10" s="202">
        <f>+S1.1!S16</f>
        <v>26471.969639509352</v>
      </c>
      <c r="T10" s="202"/>
      <c r="U10" s="202">
        <f>+S1.1!U16</f>
        <v>27013.042575394182</v>
      </c>
      <c r="V10" s="202"/>
      <c r="W10" s="201">
        <f>S1.1!W16</f>
        <v>24121.34669996368</v>
      </c>
      <c r="X10" s="201"/>
      <c r="Y10" s="201">
        <f>S1.1!Y16</f>
        <v>23840.825063281893</v>
      </c>
      <c r="Z10" s="201"/>
    </row>
    <row r="11" spans="1:26">
      <c r="A11" s="24">
        <v>3</v>
      </c>
      <c r="C11" s="21" t="s">
        <v>241</v>
      </c>
      <c r="E11" s="24" t="s">
        <v>282</v>
      </c>
      <c r="F11" s="202"/>
      <c r="G11" s="202">
        <f>+S1.1!G17</f>
        <v>6603.13</v>
      </c>
      <c r="H11" s="202"/>
      <c r="I11" s="202">
        <f>+S1.1!I17</f>
        <v>3757.9479999999999</v>
      </c>
      <c r="J11" s="202"/>
      <c r="K11" s="202">
        <f>+S1.1!K17</f>
        <v>5146.3510000000006</v>
      </c>
      <c r="L11" s="202"/>
      <c r="M11" s="202">
        <f>+S1.1!M17</f>
        <v>5539</v>
      </c>
      <c r="N11" s="202"/>
      <c r="O11" s="202">
        <f>+S1.1!O17</f>
        <v>5637</v>
      </c>
      <c r="P11" s="202"/>
      <c r="Q11" s="202">
        <f>+S1.1!Q17</f>
        <v>6611</v>
      </c>
      <c r="R11" s="202"/>
      <c r="S11" s="202">
        <f>+S1.1!S17</f>
        <v>6700.6</v>
      </c>
      <c r="T11" s="202"/>
      <c r="U11" s="202">
        <f>+S1.1!U17</f>
        <v>6703.7</v>
      </c>
      <c r="V11" s="202"/>
      <c r="W11" s="201">
        <f>S1.1!W17</f>
        <v>5828.7308712466902</v>
      </c>
      <c r="X11" s="201"/>
      <c r="Y11" s="201">
        <f>S1.1!Y17</f>
        <v>5396.8141513462342</v>
      </c>
      <c r="Z11" s="201"/>
    </row>
    <row r="12" spans="1:26">
      <c r="A12" s="24">
        <v>5</v>
      </c>
      <c r="C12" s="21" t="s">
        <v>270</v>
      </c>
      <c r="E12" s="24" t="s">
        <v>319</v>
      </c>
      <c r="F12" s="202"/>
      <c r="G12" s="313">
        <f>+S1.1!G19</f>
        <v>231</v>
      </c>
      <c r="H12" s="202"/>
      <c r="I12" s="313">
        <f>+S1.1!I19</f>
        <v>239</v>
      </c>
      <c r="J12" s="202"/>
      <c r="K12" s="313">
        <f>+S1.1!K19</f>
        <v>230</v>
      </c>
      <c r="L12" s="202"/>
      <c r="M12" s="313">
        <f>+S1.1!M19</f>
        <v>235</v>
      </c>
      <c r="N12" s="202"/>
      <c r="O12" s="313">
        <f>+S1.1!O19</f>
        <v>249.7</v>
      </c>
      <c r="P12" s="202"/>
      <c r="Q12" s="313">
        <f>+S1.1!Q19</f>
        <v>257</v>
      </c>
      <c r="R12" s="202"/>
      <c r="S12" s="313">
        <f>+S1.1!S19</f>
        <v>264.5</v>
      </c>
      <c r="T12" s="202"/>
      <c r="U12" s="313">
        <f>+S1.1!U19</f>
        <v>273</v>
      </c>
      <c r="V12" s="202"/>
      <c r="W12" s="313">
        <f>S1.1!W19</f>
        <v>244.45627912500004</v>
      </c>
      <c r="X12" s="202"/>
      <c r="Y12" s="313">
        <f>S1.1!Y19</f>
        <v>254.23453029000007</v>
      </c>
      <c r="Z12" s="204"/>
    </row>
    <row r="13" spans="1:26">
      <c r="A13" s="24">
        <v>6</v>
      </c>
      <c r="C13" s="21" t="s">
        <v>189</v>
      </c>
      <c r="E13" s="24"/>
      <c r="F13" s="202"/>
      <c r="G13" s="202">
        <f>SUM(G9:G12)</f>
        <v>39584.536930000002</v>
      </c>
      <c r="H13" s="202"/>
      <c r="I13" s="202">
        <f>SUM(I9:I12)</f>
        <v>36681.947999999997</v>
      </c>
      <c r="J13" s="202"/>
      <c r="K13" s="202">
        <f>SUM(K9:K12)</f>
        <v>38463.191299999999</v>
      </c>
      <c r="L13" s="202"/>
      <c r="M13" s="202">
        <f>SUM(M9:M12)</f>
        <v>39665.985210999999</v>
      </c>
      <c r="N13" s="202"/>
      <c r="O13" s="202">
        <f>SUM(O9:O12)</f>
        <v>43868.658179999999</v>
      </c>
      <c r="P13" s="202"/>
      <c r="Q13" s="202">
        <f>SUM(Q9:Q12)</f>
        <v>44233.863001638136</v>
      </c>
      <c r="R13" s="202"/>
      <c r="S13" s="202">
        <f>SUM(S9:S12)</f>
        <v>45756.452792201548</v>
      </c>
      <c r="T13" s="202"/>
      <c r="U13" s="202">
        <f>SUM(U9:U12)</f>
        <v>46496.706113289176</v>
      </c>
      <c r="V13" s="202"/>
      <c r="W13" s="202">
        <f>SUM(W9:W12)</f>
        <v>38838.270074649306</v>
      </c>
      <c r="X13" s="202"/>
      <c r="Y13" s="202">
        <f>SUM(Y9:Y12)</f>
        <v>38317.873744918128</v>
      </c>
      <c r="Z13" s="202"/>
    </row>
    <row r="14" spans="1:26">
      <c r="A14" s="24">
        <v>7</v>
      </c>
      <c r="C14" s="48" t="s">
        <v>192</v>
      </c>
      <c r="E14" s="24"/>
      <c r="F14" s="202"/>
      <c r="G14" s="202">
        <v>5</v>
      </c>
      <c r="H14" s="202"/>
      <c r="I14" s="202">
        <v>5</v>
      </c>
      <c r="J14" s="202"/>
      <c r="K14" s="202">
        <v>5</v>
      </c>
      <c r="L14" s="202"/>
      <c r="M14" s="202">
        <v>5</v>
      </c>
      <c r="N14" s="202"/>
      <c r="O14" s="202">
        <v>5</v>
      </c>
      <c r="P14" s="202"/>
      <c r="Q14" s="202">
        <v>7</v>
      </c>
      <c r="R14" s="202"/>
      <c r="S14" s="202">
        <v>7</v>
      </c>
      <c r="T14" s="202"/>
      <c r="U14" s="202">
        <v>7</v>
      </c>
      <c r="V14" s="202"/>
      <c r="W14" s="202">
        <v>5.42</v>
      </c>
      <c r="X14" s="202"/>
      <c r="Y14" s="202">
        <v>5.42</v>
      </c>
      <c r="Z14" s="202"/>
    </row>
    <row r="15" spans="1:26">
      <c r="A15" s="24">
        <v>8</v>
      </c>
      <c r="C15" s="48" t="s">
        <v>302</v>
      </c>
      <c r="D15" s="48"/>
      <c r="E15" s="142"/>
      <c r="F15" s="202"/>
      <c r="G15" s="203">
        <f>G14/365*G13</f>
        <v>542.25393054794517</v>
      </c>
      <c r="H15" s="202"/>
      <c r="I15" s="203">
        <f>I14/365*I13</f>
        <v>502.49243835616431</v>
      </c>
      <c r="J15" s="202"/>
      <c r="K15" s="203">
        <f>K14/365*K13</f>
        <v>526.8930315068493</v>
      </c>
      <c r="L15" s="202"/>
      <c r="M15" s="203">
        <f>M14/365*M13</f>
        <v>543.36966042465747</v>
      </c>
      <c r="N15" s="202"/>
      <c r="O15" s="203">
        <f>O14/365*O13</f>
        <v>600.94052301369857</v>
      </c>
      <c r="P15" s="202"/>
      <c r="Q15" s="203">
        <f>Q14/365*Q13</f>
        <v>848.32066030538897</v>
      </c>
      <c r="R15" s="202"/>
      <c r="S15" s="203">
        <f>S14/365*S13</f>
        <v>877.52101245318045</v>
      </c>
      <c r="T15" s="202"/>
      <c r="U15" s="203">
        <f>U14/365*U13</f>
        <v>891.71765148773761</v>
      </c>
      <c r="V15" s="202"/>
      <c r="W15" s="203">
        <f>W14/365*W13</f>
        <v>576.72170905369649</v>
      </c>
      <c r="X15" s="202"/>
      <c r="Y15" s="203">
        <f>Y14/365*Y13</f>
        <v>568.9941799930308</v>
      </c>
      <c r="Z15" s="204"/>
    </row>
    <row r="16" spans="1:26" ht="7.5" customHeight="1">
      <c r="A16" s="24"/>
      <c r="E16" s="24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</row>
    <row r="17" spans="1:26">
      <c r="A17" s="24">
        <v>9</v>
      </c>
      <c r="C17" s="530" t="s">
        <v>584</v>
      </c>
      <c r="E17" s="24"/>
      <c r="F17" s="202"/>
      <c r="G17" s="202">
        <f>554</f>
        <v>554</v>
      </c>
      <c r="H17" s="202"/>
      <c r="I17" s="202">
        <v>250</v>
      </c>
      <c r="J17" s="202"/>
      <c r="K17" s="202">
        <v>12.5</v>
      </c>
      <c r="L17" s="202"/>
      <c r="M17" s="202">
        <v>540</v>
      </c>
      <c r="N17" s="202"/>
      <c r="O17" s="202">
        <v>172</v>
      </c>
      <c r="P17" s="202"/>
      <c r="Q17" s="202">
        <v>0</v>
      </c>
      <c r="R17" s="202"/>
      <c r="S17" s="202">
        <f>+S10.1!Q39</f>
        <v>248</v>
      </c>
      <c r="T17" s="202"/>
      <c r="U17" s="202">
        <f>+S10.1!U37</f>
        <v>828.13423459074579</v>
      </c>
      <c r="V17" s="202"/>
      <c r="W17" s="202">
        <v>0</v>
      </c>
      <c r="X17" s="202"/>
      <c r="Y17" s="202">
        <v>300</v>
      </c>
      <c r="Z17" s="202"/>
    </row>
    <row r="18" spans="1:26">
      <c r="A18" s="24">
        <v>10</v>
      </c>
      <c r="C18" s="48" t="s">
        <v>345</v>
      </c>
      <c r="E18" s="24"/>
      <c r="F18" s="202"/>
      <c r="G18" s="202">
        <v>22</v>
      </c>
      <c r="H18" s="202"/>
      <c r="I18" s="202">
        <v>22</v>
      </c>
      <c r="J18" s="202"/>
      <c r="K18" s="202">
        <v>22</v>
      </c>
      <c r="L18" s="202"/>
      <c r="M18" s="202">
        <v>22</v>
      </c>
      <c r="N18" s="202"/>
      <c r="O18" s="202">
        <v>22</v>
      </c>
      <c r="P18" s="202"/>
      <c r="Q18" s="202">
        <v>22</v>
      </c>
      <c r="R18" s="202"/>
      <c r="S18" s="202">
        <v>22</v>
      </c>
      <c r="T18" s="202"/>
      <c r="U18" s="202">
        <v>22</v>
      </c>
      <c r="V18" s="202"/>
      <c r="W18" s="202">
        <v>22</v>
      </c>
      <c r="X18" s="202"/>
      <c r="Y18" s="202">
        <f>W18</f>
        <v>22</v>
      </c>
      <c r="Z18" s="202"/>
    </row>
    <row r="19" spans="1:26">
      <c r="A19" s="24">
        <v>11</v>
      </c>
      <c r="C19" s="48" t="s">
        <v>346</v>
      </c>
      <c r="D19" s="48"/>
      <c r="E19" s="142"/>
      <c r="F19" s="202"/>
      <c r="G19" s="203">
        <f>G18/365*G17</f>
        <v>33.391780821917813</v>
      </c>
      <c r="H19" s="202"/>
      <c r="I19" s="203">
        <f>I18/365*I17</f>
        <v>15.068493150684931</v>
      </c>
      <c r="J19" s="202"/>
      <c r="K19" s="203">
        <f>K18/365*K17</f>
        <v>0.75342465753424659</v>
      </c>
      <c r="L19" s="202"/>
      <c r="M19" s="203">
        <f>M18/365*M17</f>
        <v>32.547945205479451</v>
      </c>
      <c r="N19" s="202"/>
      <c r="O19" s="203">
        <f>O18/365*O17</f>
        <v>10.367123287671234</v>
      </c>
      <c r="P19" s="202"/>
      <c r="Q19" s="203">
        <f>Q18/365*Q17</f>
        <v>0</v>
      </c>
      <c r="R19" s="202"/>
      <c r="S19" s="203">
        <f>S18/365*S17</f>
        <v>14.947945205479453</v>
      </c>
      <c r="T19" s="202"/>
      <c r="U19" s="203">
        <f>U18/365*U17</f>
        <v>49.91494016711345</v>
      </c>
      <c r="V19" s="202"/>
      <c r="W19" s="203">
        <f>W18/365*W17</f>
        <v>0</v>
      </c>
      <c r="X19" s="202"/>
      <c r="Y19" s="203">
        <f>Y18/365*Y17</f>
        <v>18.082191780821919</v>
      </c>
      <c r="Z19" s="204"/>
    </row>
    <row r="20" spans="1:26" ht="6" customHeight="1">
      <c r="A20" s="24"/>
      <c r="E20" s="24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>
      <c r="A21" s="24">
        <v>12</v>
      </c>
      <c r="C21" s="530" t="s">
        <v>585</v>
      </c>
      <c r="E21" s="24"/>
      <c r="F21" s="201"/>
      <c r="G21" s="201">
        <v>672</v>
      </c>
      <c r="H21" s="201"/>
      <c r="I21" s="201">
        <v>592</v>
      </c>
      <c r="J21" s="201"/>
      <c r="K21" s="201">
        <v>-289</v>
      </c>
      <c r="L21" s="201"/>
      <c r="M21" s="201">
        <v>90</v>
      </c>
      <c r="N21" s="201"/>
      <c r="O21" s="201">
        <v>172</v>
      </c>
      <c r="P21" s="201"/>
      <c r="Q21" s="201">
        <f>-S10.1!Q39</f>
        <v>-248</v>
      </c>
      <c r="R21" s="201"/>
      <c r="S21" s="201">
        <f>+S10.1!S39</f>
        <v>704</v>
      </c>
      <c r="T21" s="201"/>
      <c r="U21" s="201">
        <v>50</v>
      </c>
      <c r="V21" s="201"/>
      <c r="W21" s="202">
        <v>344</v>
      </c>
      <c r="X21" s="201"/>
      <c r="Y21" s="202">
        <v>-211</v>
      </c>
      <c r="Z21" s="202"/>
    </row>
    <row r="22" spans="1:26">
      <c r="A22" s="24">
        <v>13</v>
      </c>
      <c r="C22" s="48" t="s">
        <v>249</v>
      </c>
      <c r="E22" s="24"/>
      <c r="F22" s="202"/>
      <c r="G22" s="202">
        <v>204</v>
      </c>
      <c r="H22" s="202"/>
      <c r="I22" s="202">
        <v>204</v>
      </c>
      <c r="J22" s="202"/>
      <c r="K22" s="202">
        <v>204</v>
      </c>
      <c r="L22" s="202"/>
      <c r="M22" s="202">
        <v>204</v>
      </c>
      <c r="N22" s="202"/>
      <c r="O22" s="202">
        <v>204</v>
      </c>
      <c r="P22" s="202"/>
      <c r="Q22" s="202">
        <v>204</v>
      </c>
      <c r="R22" s="202"/>
      <c r="S22" s="202">
        <v>204</v>
      </c>
      <c r="T22" s="202"/>
      <c r="U22" s="202">
        <v>204</v>
      </c>
      <c r="V22" s="202"/>
      <c r="W22" s="202">
        <v>204</v>
      </c>
      <c r="X22" s="202"/>
      <c r="Y22" s="202">
        <v>204</v>
      </c>
      <c r="Z22" s="202"/>
    </row>
    <row r="23" spans="1:26">
      <c r="A23" s="24">
        <v>14</v>
      </c>
      <c r="C23" s="48" t="s">
        <v>303</v>
      </c>
      <c r="D23" s="48"/>
      <c r="E23" s="142"/>
      <c r="F23" s="202"/>
      <c r="G23" s="203">
        <f>G22/365*G21</f>
        <v>375.58356164383565</v>
      </c>
      <c r="H23" s="202"/>
      <c r="I23" s="203">
        <f>I22/365*I21</f>
        <v>330.87123287671233</v>
      </c>
      <c r="J23" s="202"/>
      <c r="K23" s="203">
        <f>K22/365*K21</f>
        <v>-161.52328767123288</v>
      </c>
      <c r="L23" s="202"/>
      <c r="M23" s="203">
        <f>M22/365*M21</f>
        <v>50.301369863013704</v>
      </c>
      <c r="N23" s="202"/>
      <c r="O23" s="203">
        <f>O22/365*O21</f>
        <v>96.131506849315073</v>
      </c>
      <c r="P23" s="202"/>
      <c r="Q23" s="203">
        <f>Q22/365*Q21</f>
        <v>-138.60821917808221</v>
      </c>
      <c r="R23" s="202"/>
      <c r="S23" s="203">
        <f>S22/365*S21</f>
        <v>393.46849315068494</v>
      </c>
      <c r="T23" s="202"/>
      <c r="U23" s="203">
        <f>U22/365*U21</f>
        <v>27.945205479452056</v>
      </c>
      <c r="V23" s="202"/>
      <c r="W23" s="203">
        <f>W22/365*W21</f>
        <v>192.26301369863015</v>
      </c>
      <c r="X23" s="202"/>
      <c r="Y23" s="203">
        <f>Y22/365*Y21</f>
        <v>-117.92876712328768</v>
      </c>
      <c r="Z23" s="204"/>
    </row>
    <row r="24" spans="1:26" ht="9" customHeight="1">
      <c r="A24" s="24"/>
      <c r="E24" s="24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</row>
    <row r="25" spans="1:26">
      <c r="A25" s="24">
        <v>15</v>
      </c>
      <c r="C25" s="530" t="s">
        <v>890</v>
      </c>
      <c r="E25" s="24"/>
      <c r="F25" s="202"/>
      <c r="G25" s="202">
        <f>+(1784+1849+1629)/3</f>
        <v>1754</v>
      </c>
      <c r="H25" s="202"/>
      <c r="I25" s="202">
        <f>+(1849+1629+1789)/3</f>
        <v>1755.6666666666667</v>
      </c>
      <c r="J25" s="202"/>
      <c r="K25" s="202">
        <f>+(1629+1789+1888)/3</f>
        <v>1768.6666666666667</v>
      </c>
      <c r="L25" s="202"/>
      <c r="M25" s="202">
        <f>+(2139+1789+1887)/3</f>
        <v>1938.3333333333333</v>
      </c>
      <c r="N25" s="202"/>
      <c r="O25" s="202">
        <v>2018</v>
      </c>
      <c r="P25" s="202"/>
      <c r="Q25" s="202">
        <f>+(2139+1789+1887)/3</f>
        <v>1938.3333333333333</v>
      </c>
      <c r="R25" s="202"/>
      <c r="S25" s="202">
        <f>+(2139+1789+1887)/3</f>
        <v>1938.3333333333333</v>
      </c>
      <c r="T25" s="202"/>
      <c r="U25" s="202">
        <f>+(2139+1789+1887)/3</f>
        <v>1938.3333333333333</v>
      </c>
      <c r="V25" s="202"/>
      <c r="W25" s="202">
        <v>1857.8645241666668</v>
      </c>
      <c r="X25" s="202"/>
      <c r="Y25" s="202">
        <v>1941.6409038750005</v>
      </c>
      <c r="Z25" s="202"/>
    </row>
    <row r="26" spans="1:26" ht="8.25" customHeight="1">
      <c r="A26" s="24"/>
      <c r="E26" s="24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</row>
    <row r="27" spans="1:26">
      <c r="A27" s="24">
        <v>16</v>
      </c>
      <c r="C27" s="463" t="s">
        <v>586</v>
      </c>
      <c r="D27" s="48"/>
      <c r="E27" s="166" t="s">
        <v>664</v>
      </c>
      <c r="F27" s="202"/>
      <c r="G27" s="313">
        <f>+S8.11!G48</f>
        <v>114.66115078167736</v>
      </c>
      <c r="H27" s="202"/>
      <c r="I27" s="313">
        <f>+S8.11!I48</f>
        <v>90.303199347461316</v>
      </c>
      <c r="J27" s="202"/>
      <c r="K27" s="313">
        <f>+S8.11!K48</f>
        <v>105.30102779235087</v>
      </c>
      <c r="L27" s="202"/>
      <c r="M27" s="313">
        <f>+S8.11!M48</f>
        <v>128.90299396816516</v>
      </c>
      <c r="N27" s="202"/>
      <c r="O27" s="313">
        <f>+S8.11!O48</f>
        <v>137.29534009253121</v>
      </c>
      <c r="P27" s="202"/>
      <c r="Q27" s="313">
        <f>+S8.11!Q48</f>
        <v>163.28046698763001</v>
      </c>
      <c r="R27" s="202"/>
      <c r="S27" s="313">
        <f>+S8.11!S48</f>
        <v>175.62248508832448</v>
      </c>
      <c r="T27" s="202"/>
      <c r="U27" s="313">
        <f>+S8.11!U48</f>
        <v>169.54911258838655</v>
      </c>
      <c r="V27" s="202"/>
      <c r="W27" s="313">
        <f>S8.11!W48</f>
        <v>111.33641989486907</v>
      </c>
      <c r="X27" s="202"/>
      <c r="Y27" s="313">
        <f>S8.11!Y48</f>
        <v>97.734716796754086</v>
      </c>
      <c r="Z27" s="204"/>
    </row>
    <row r="28" spans="1:26" ht="9" customHeight="1">
      <c r="A28" s="24"/>
      <c r="C28" s="48"/>
      <c r="D28" s="48"/>
      <c r="E28" s="48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4"/>
      <c r="X28" s="202"/>
      <c r="Y28" s="204"/>
      <c r="Z28" s="204"/>
    </row>
    <row r="29" spans="1:26">
      <c r="A29" s="24">
        <v>17</v>
      </c>
      <c r="C29" s="48" t="s">
        <v>190</v>
      </c>
      <c r="D29" s="48"/>
      <c r="E29" s="48"/>
      <c r="F29" s="202"/>
      <c r="G29" s="202">
        <f>+S8.1!O32</f>
        <v>1819</v>
      </c>
      <c r="H29" s="202"/>
      <c r="I29" s="202">
        <f>+S8.1!O42</f>
        <v>1895</v>
      </c>
      <c r="J29" s="202"/>
      <c r="K29" s="202">
        <f>+S8.1!O52</f>
        <v>1884</v>
      </c>
      <c r="L29" s="202"/>
      <c r="M29" s="202">
        <f>S8.1!O62</f>
        <v>1930.6984727375575</v>
      </c>
      <c r="N29" s="202"/>
      <c r="O29" s="202">
        <f>S8.1!O72</f>
        <v>2158.1427859951673</v>
      </c>
      <c r="P29" s="202"/>
      <c r="Q29" s="202">
        <f>S8.1!O82</f>
        <v>2404.2786911915773</v>
      </c>
      <c r="R29" s="202"/>
      <c r="S29" s="202">
        <f>S8.1!O92</f>
        <v>2793.1371179855801</v>
      </c>
      <c r="T29" s="202"/>
      <c r="U29" s="202">
        <f>S8.1!O102</f>
        <v>3105.133401835415</v>
      </c>
      <c r="V29" s="202"/>
      <c r="W29" s="204">
        <f>S8.1!$O$114</f>
        <v>1870</v>
      </c>
      <c r="X29" s="202"/>
      <c r="Y29" s="204">
        <f>S8.1!$O$124</f>
        <v>1934</v>
      </c>
      <c r="Z29" s="204"/>
    </row>
    <row r="30" spans="1:26">
      <c r="A30" s="24">
        <v>18</v>
      </c>
      <c r="C30" s="48" t="s">
        <v>191</v>
      </c>
      <c r="D30" s="48"/>
      <c r="E30" s="48"/>
      <c r="F30" s="202"/>
      <c r="G30" s="204">
        <v>-52</v>
      </c>
      <c r="H30" s="202"/>
      <c r="I30" s="204">
        <v>-52</v>
      </c>
      <c r="J30" s="202"/>
      <c r="K30" s="204">
        <v>-52</v>
      </c>
      <c r="L30" s="202"/>
      <c r="M30" s="204">
        <v>-52</v>
      </c>
      <c r="N30" s="202"/>
      <c r="O30" s="204">
        <v>-52</v>
      </c>
      <c r="P30" s="202"/>
      <c r="Q30" s="204">
        <v>-52</v>
      </c>
      <c r="R30" s="202"/>
      <c r="S30" s="204">
        <v>-52</v>
      </c>
      <c r="T30" s="202"/>
      <c r="U30" s="204">
        <v>-52</v>
      </c>
      <c r="V30" s="202"/>
      <c r="W30" s="204">
        <v>-52</v>
      </c>
      <c r="X30" s="202"/>
      <c r="Y30" s="204">
        <v>-52</v>
      </c>
      <c r="Z30" s="204"/>
    </row>
    <row r="31" spans="1:26">
      <c r="A31" s="24">
        <v>19</v>
      </c>
      <c r="C31" s="48" t="s">
        <v>304</v>
      </c>
      <c r="D31" s="48"/>
      <c r="E31" s="48"/>
      <c r="F31" s="202"/>
      <c r="G31" s="203">
        <f>G30/365*G29</f>
        <v>-259.14520547945204</v>
      </c>
      <c r="H31" s="202"/>
      <c r="I31" s="203">
        <f>I30/365*I29</f>
        <v>-269.97260273972603</v>
      </c>
      <c r="J31" s="202"/>
      <c r="K31" s="203">
        <f>K30/365*K29</f>
        <v>-268.40547945205481</v>
      </c>
      <c r="L31" s="202"/>
      <c r="M31" s="203">
        <f>M30/365*M29</f>
        <v>-275.05841255439174</v>
      </c>
      <c r="N31" s="202"/>
      <c r="O31" s="203">
        <f>O30/365*O29</f>
        <v>-307.46143800479098</v>
      </c>
      <c r="P31" s="202"/>
      <c r="Q31" s="203">
        <f>Q30/365*Q29</f>
        <v>-342.52737518345759</v>
      </c>
      <c r="R31" s="202"/>
      <c r="S31" s="203">
        <f>S30/365*S29</f>
        <v>-397.92638393219221</v>
      </c>
      <c r="T31" s="202"/>
      <c r="U31" s="203">
        <f>U30/365*U29</f>
        <v>-442.37516957655225</v>
      </c>
      <c r="V31" s="202"/>
      <c r="W31" s="203">
        <f>W30/365*W29</f>
        <v>-266.41095890410958</v>
      </c>
      <c r="X31" s="202"/>
      <c r="Y31" s="203">
        <f>Y30/365*Y29</f>
        <v>-275.52876712328765</v>
      </c>
      <c r="Z31" s="204"/>
    </row>
    <row r="32" spans="1:26" ht="7.5" customHeight="1">
      <c r="A32" s="24"/>
      <c r="C32" s="48"/>
      <c r="D32" s="48"/>
      <c r="E32" s="48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5"/>
      <c r="X32" s="204"/>
      <c r="Y32" s="205"/>
      <c r="Z32" s="204"/>
    </row>
    <row r="33" spans="1:26">
      <c r="A33" s="24">
        <v>20</v>
      </c>
      <c r="C33" s="48" t="s">
        <v>193</v>
      </c>
      <c r="D33" s="48"/>
      <c r="E33" s="48"/>
      <c r="F33" s="204"/>
      <c r="G33" s="204">
        <f>+S8.1!O34/2</f>
        <v>672</v>
      </c>
      <c r="H33" s="204"/>
      <c r="I33" s="204">
        <v>1135</v>
      </c>
      <c r="J33" s="204"/>
      <c r="K33" s="204">
        <f>S8.1!O54/2</f>
        <v>1093.5</v>
      </c>
      <c r="L33" s="204"/>
      <c r="M33" s="204">
        <f>S8.1!O64/2</f>
        <v>1167.6507636312213</v>
      </c>
      <c r="N33" s="204"/>
      <c r="O33" s="204">
        <f>+S8.1!O74/2</f>
        <v>1241.9286070024164</v>
      </c>
      <c r="P33" s="204"/>
      <c r="Q33" s="204">
        <f>+S8.1!O84/2</f>
        <v>1451.8606544042113</v>
      </c>
      <c r="R33" s="204"/>
      <c r="S33" s="204">
        <f>+S8.1!O94/2</f>
        <v>1730.93144100721</v>
      </c>
      <c r="T33" s="204"/>
      <c r="U33" s="204">
        <f>+S8.1!O104/2</f>
        <v>1948.9332990822925</v>
      </c>
      <c r="V33" s="204"/>
      <c r="W33" s="204">
        <f>S8.1!$O$116/2</f>
        <v>824.5</v>
      </c>
      <c r="X33" s="204"/>
      <c r="Y33" s="204">
        <f>S8.1!$O$126/2</f>
        <v>870.5</v>
      </c>
      <c r="Z33" s="204"/>
    </row>
    <row r="34" spans="1:26">
      <c r="A34" s="24">
        <v>21</v>
      </c>
      <c r="C34" s="48" t="s">
        <v>194</v>
      </c>
      <c r="D34" s="48"/>
      <c r="E34" s="48"/>
      <c r="F34" s="201"/>
      <c r="G34" s="201">
        <v>-4</v>
      </c>
      <c r="H34" s="201"/>
      <c r="I34" s="201">
        <v>-4</v>
      </c>
      <c r="J34" s="201"/>
      <c r="K34" s="201">
        <v>-4</v>
      </c>
      <c r="L34" s="201"/>
      <c r="M34" s="201">
        <v>-4</v>
      </c>
      <c r="N34" s="201"/>
      <c r="O34" s="201">
        <v>-4</v>
      </c>
      <c r="P34" s="201"/>
      <c r="Q34" s="201">
        <v>-4</v>
      </c>
      <c r="R34" s="201"/>
      <c r="S34" s="201">
        <v>-4</v>
      </c>
      <c r="T34" s="201"/>
      <c r="U34" s="201">
        <v>-4</v>
      </c>
      <c r="V34" s="201"/>
      <c r="W34" s="201">
        <v>-4</v>
      </c>
      <c r="X34" s="201"/>
      <c r="Y34" s="201">
        <v>-4</v>
      </c>
      <c r="Z34" s="201"/>
    </row>
    <row r="35" spans="1:26">
      <c r="A35" s="24">
        <v>22</v>
      </c>
      <c r="C35" s="48" t="s">
        <v>195</v>
      </c>
      <c r="D35" s="48"/>
      <c r="E35" s="48"/>
      <c r="F35" s="202"/>
      <c r="G35" s="203">
        <f>G34/365*G33</f>
        <v>-7.3643835616438356</v>
      </c>
      <c r="H35" s="202"/>
      <c r="I35" s="203">
        <f>I34/365*I33</f>
        <v>-12.438356164383562</v>
      </c>
      <c r="J35" s="202"/>
      <c r="K35" s="203">
        <f>K34/365*K33</f>
        <v>-11.983561643835616</v>
      </c>
      <c r="L35" s="202"/>
      <c r="M35" s="203">
        <f>M34/365*M33</f>
        <v>-12.796172752122972</v>
      </c>
      <c r="N35" s="202"/>
      <c r="O35" s="203">
        <f>O34/365*O33</f>
        <v>-13.610176515094974</v>
      </c>
      <c r="P35" s="202"/>
      <c r="Q35" s="203">
        <f>Q34/365*Q33</f>
        <v>-15.910801692100947</v>
      </c>
      <c r="R35" s="202"/>
      <c r="S35" s="203">
        <f>S34/365*S33</f>
        <v>-18.969111682270793</v>
      </c>
      <c r="T35" s="202"/>
      <c r="U35" s="203">
        <f>U34/365*U33</f>
        <v>-21.358173140627862</v>
      </c>
      <c r="V35" s="202"/>
      <c r="W35" s="203">
        <f>W34/365*W33</f>
        <v>-9.0356164383561648</v>
      </c>
      <c r="X35" s="202"/>
      <c r="Y35" s="203">
        <f>Y34/365*Y33</f>
        <v>-9.5397260273972595</v>
      </c>
      <c r="Z35" s="204"/>
    </row>
    <row r="36" spans="1:26" ht="7.5" customHeight="1">
      <c r="A36" s="24"/>
      <c r="C36" s="48"/>
      <c r="D36" s="48"/>
      <c r="E36" s="48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</row>
    <row r="37" spans="1:26">
      <c r="A37" s="24">
        <v>23</v>
      </c>
      <c r="C37" s="48" t="s">
        <v>193</v>
      </c>
      <c r="D37" s="48"/>
      <c r="E37" s="48"/>
      <c r="F37" s="204"/>
      <c r="G37" s="204">
        <f>G33</f>
        <v>672</v>
      </c>
      <c r="H37" s="204"/>
      <c r="I37" s="204">
        <f>I33</f>
        <v>1135</v>
      </c>
      <c r="J37" s="204"/>
      <c r="K37" s="204">
        <f>K33</f>
        <v>1093.5</v>
      </c>
      <c r="L37" s="204"/>
      <c r="M37" s="204">
        <f>M33</f>
        <v>1167.6507636312213</v>
      </c>
      <c r="N37" s="204"/>
      <c r="O37" s="204">
        <f>O33</f>
        <v>1241.9286070024164</v>
      </c>
      <c r="P37" s="204"/>
      <c r="Q37" s="204">
        <f>Q33</f>
        <v>1451.8606544042113</v>
      </c>
      <c r="R37" s="204"/>
      <c r="S37" s="204">
        <f>S33</f>
        <v>1730.93144100721</v>
      </c>
      <c r="T37" s="204"/>
      <c r="U37" s="204">
        <f>U33</f>
        <v>1948.9332990822925</v>
      </c>
      <c r="V37" s="204"/>
      <c r="W37" s="204">
        <f>W33</f>
        <v>824.5</v>
      </c>
      <c r="X37" s="204"/>
      <c r="Y37" s="204">
        <f>Y33</f>
        <v>870.5</v>
      </c>
      <c r="Z37" s="204"/>
    </row>
    <row r="38" spans="1:26">
      <c r="A38" s="24">
        <v>24</v>
      </c>
      <c r="C38" s="48" t="s">
        <v>196</v>
      </c>
      <c r="D38" s="48"/>
      <c r="E38" s="48"/>
      <c r="F38" s="201"/>
      <c r="G38" s="201">
        <v>42</v>
      </c>
      <c r="H38" s="201"/>
      <c r="I38" s="201">
        <v>42</v>
      </c>
      <c r="J38" s="201"/>
      <c r="K38" s="201">
        <v>42</v>
      </c>
      <c r="L38" s="201"/>
      <c r="M38" s="201">
        <v>42</v>
      </c>
      <c r="N38" s="201"/>
      <c r="O38" s="201">
        <v>42</v>
      </c>
      <c r="P38" s="201"/>
      <c r="Q38" s="201">
        <v>42</v>
      </c>
      <c r="R38" s="201"/>
      <c r="S38" s="201">
        <v>42</v>
      </c>
      <c r="T38" s="201"/>
      <c r="U38" s="201">
        <v>42</v>
      </c>
      <c r="V38" s="201"/>
      <c r="W38" s="201">
        <v>42</v>
      </c>
      <c r="X38" s="201"/>
      <c r="Y38" s="201">
        <v>42</v>
      </c>
      <c r="Z38" s="201"/>
    </row>
    <row r="39" spans="1:26">
      <c r="A39" s="24">
        <v>25</v>
      </c>
      <c r="C39" s="48" t="s">
        <v>197</v>
      </c>
      <c r="D39" s="48"/>
      <c r="E39" s="48"/>
      <c r="F39" s="202"/>
      <c r="G39" s="203">
        <f>G38/365*G37</f>
        <v>77.326027397260276</v>
      </c>
      <c r="H39" s="202"/>
      <c r="I39" s="203">
        <f>I38/365*I37</f>
        <v>130.60273972602741</v>
      </c>
      <c r="J39" s="202"/>
      <c r="K39" s="203">
        <f>K38/365*K37</f>
        <v>125.82739726027397</v>
      </c>
      <c r="L39" s="202"/>
      <c r="M39" s="203">
        <f>M38/365*M37</f>
        <v>134.35981389729122</v>
      </c>
      <c r="N39" s="202"/>
      <c r="O39" s="203">
        <f>O38/365*O37</f>
        <v>142.90685340849723</v>
      </c>
      <c r="P39" s="202"/>
      <c r="Q39" s="203">
        <f>Q38/365*Q37</f>
        <v>167.06341776705995</v>
      </c>
      <c r="R39" s="202"/>
      <c r="S39" s="203">
        <f>S38/365*S37</f>
        <v>199.17567266384333</v>
      </c>
      <c r="T39" s="202"/>
      <c r="U39" s="203">
        <f>U38/365*U37</f>
        <v>224.26081797659256</v>
      </c>
      <c r="V39" s="202"/>
      <c r="W39" s="203">
        <f>W38/365*W37</f>
        <v>94.873972602739727</v>
      </c>
      <c r="X39" s="202"/>
      <c r="Y39" s="203">
        <f>Y38/365*Y37</f>
        <v>100.16712328767123</v>
      </c>
      <c r="Z39" s="204"/>
    </row>
    <row r="40" spans="1:26" ht="7.5" customHeight="1">
      <c r="A40" s="24"/>
      <c r="C40" s="48"/>
      <c r="D40" s="48"/>
      <c r="E40" s="48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4"/>
      <c r="X40" s="202"/>
      <c r="Y40" s="204"/>
      <c r="Z40" s="204"/>
    </row>
    <row r="41" spans="1:26">
      <c r="A41" s="24">
        <v>26</v>
      </c>
      <c r="C41" s="48" t="s">
        <v>198</v>
      </c>
      <c r="D41" s="48"/>
      <c r="E41" s="48"/>
      <c r="F41" s="202"/>
      <c r="G41" s="204">
        <f>+S1.1!G20+S1.1!G21</f>
        <v>2201</v>
      </c>
      <c r="H41" s="202"/>
      <c r="I41" s="204">
        <f>+S1.1!I20+S1.1!I21</f>
        <v>2313</v>
      </c>
      <c r="J41" s="202"/>
      <c r="K41" s="204">
        <f>+S1.1!K20+S1.1!K21</f>
        <v>2462</v>
      </c>
      <c r="L41" s="202"/>
      <c r="M41" s="204">
        <f>+S1.1!M20+S1.1!M21</f>
        <v>2840</v>
      </c>
      <c r="N41" s="202"/>
      <c r="O41" s="204">
        <f>+S1.1!O20+S1.1!O21</f>
        <v>2821</v>
      </c>
      <c r="P41" s="202"/>
      <c r="Q41" s="204">
        <f>+S1.1!Q20+S1.1!Q21</f>
        <v>5125.9487999999992</v>
      </c>
      <c r="R41" s="202"/>
      <c r="S41" s="204">
        <f>+S1.1!S20+S1.1!S21</f>
        <v>5951.8059999999996</v>
      </c>
      <c r="T41" s="202"/>
      <c r="U41" s="204">
        <f>+S1.1!U20+S1.1!U21</f>
        <v>6819.8060000000005</v>
      </c>
      <c r="V41" s="202"/>
      <c r="W41" s="204">
        <f>S1.1!W20+S1.1!W21</f>
        <v>2391.0132753510002</v>
      </c>
      <c r="X41" s="202"/>
      <c r="Y41" s="204">
        <f>S1.1!Y20+S1.1!Y21</f>
        <v>2632.9151753509991</v>
      </c>
      <c r="Z41" s="204"/>
    </row>
    <row r="42" spans="1:26">
      <c r="A42" s="24">
        <v>27</v>
      </c>
      <c r="C42" s="21" t="s">
        <v>196</v>
      </c>
      <c r="E42" s="48"/>
      <c r="F42" s="201"/>
      <c r="G42" s="201">
        <v>42</v>
      </c>
      <c r="H42" s="201"/>
      <c r="I42" s="201">
        <v>42</v>
      </c>
      <c r="J42" s="201"/>
      <c r="K42" s="201">
        <v>42</v>
      </c>
      <c r="L42" s="201"/>
      <c r="M42" s="201">
        <v>42</v>
      </c>
      <c r="N42" s="201"/>
      <c r="O42" s="201">
        <v>42</v>
      </c>
      <c r="P42" s="201"/>
      <c r="Q42" s="201">
        <v>42</v>
      </c>
      <c r="R42" s="201"/>
      <c r="S42" s="201">
        <v>42</v>
      </c>
      <c r="T42" s="201"/>
      <c r="U42" s="201">
        <v>42</v>
      </c>
      <c r="V42" s="201"/>
      <c r="W42" s="201">
        <v>42</v>
      </c>
      <c r="X42" s="201"/>
      <c r="Y42" s="201">
        <f>W42</f>
        <v>42</v>
      </c>
      <c r="Z42" s="201"/>
    </row>
    <row r="43" spans="1:26">
      <c r="A43" s="24">
        <v>28</v>
      </c>
      <c r="C43" s="21" t="s">
        <v>199</v>
      </c>
      <c r="E43" s="48"/>
      <c r="F43" s="202"/>
      <c r="G43" s="203">
        <f>G42/365*G41</f>
        <v>253.26575342465753</v>
      </c>
      <c r="H43" s="202"/>
      <c r="I43" s="203">
        <f>I42/365*I41</f>
        <v>266.15342465753423</v>
      </c>
      <c r="J43" s="202"/>
      <c r="K43" s="203">
        <f>K42/365*K41</f>
        <v>283.29863013698628</v>
      </c>
      <c r="L43" s="202"/>
      <c r="M43" s="203">
        <f>M42/365*M41</f>
        <v>326.79452054794518</v>
      </c>
      <c r="N43" s="202"/>
      <c r="O43" s="203">
        <f>O42/365*O41</f>
        <v>324.60821917808221</v>
      </c>
      <c r="P43" s="202"/>
      <c r="Q43" s="203">
        <f>Q42/365*Q41</f>
        <v>589.83520438356152</v>
      </c>
      <c r="R43" s="202"/>
      <c r="S43" s="203">
        <f>S42/365*S41</f>
        <v>684.86534794520537</v>
      </c>
      <c r="T43" s="202"/>
      <c r="U43" s="203">
        <f>U42/365*U41</f>
        <v>784.74480000000005</v>
      </c>
      <c r="V43" s="202"/>
      <c r="W43" s="203">
        <f>W42/365*W41</f>
        <v>275.13029469792332</v>
      </c>
      <c r="X43" s="202"/>
      <c r="Y43" s="203">
        <f>Y42/365*Y41</f>
        <v>302.96558182121083</v>
      </c>
      <c r="Z43" s="204"/>
    </row>
    <row r="44" spans="1:26" ht="8.25" customHeight="1">
      <c r="A44" s="24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</row>
    <row r="45" spans="1:26" ht="15.75" thickBot="1">
      <c r="A45" s="24">
        <v>29</v>
      </c>
      <c r="C45" s="530" t="s">
        <v>587</v>
      </c>
      <c r="E45" s="24" t="s">
        <v>276</v>
      </c>
      <c r="F45" s="202"/>
      <c r="G45" s="354">
        <v>2901</v>
      </c>
      <c r="H45" s="202"/>
      <c r="I45" s="354">
        <v>2842</v>
      </c>
      <c r="J45" s="202"/>
      <c r="K45" s="354">
        <v>2380</v>
      </c>
      <c r="L45" s="202"/>
      <c r="M45" s="354">
        <v>2903</v>
      </c>
      <c r="N45" s="202"/>
      <c r="O45" s="354">
        <v>3013</v>
      </c>
      <c r="P45" s="202"/>
      <c r="Q45" s="354">
        <v>3207</v>
      </c>
      <c r="R45" s="202"/>
      <c r="S45" s="354">
        <v>3864</v>
      </c>
      <c r="T45" s="202"/>
      <c r="U45" s="354">
        <v>3619</v>
      </c>
      <c r="V45" s="202"/>
      <c r="W45" s="354">
        <v>2833</v>
      </c>
      <c r="X45" s="202"/>
      <c r="Y45" s="354">
        <v>2627</v>
      </c>
      <c r="Z45" s="204"/>
    </row>
    <row r="46" spans="1:26">
      <c r="K46" s="48"/>
      <c r="M46" s="48"/>
    </row>
    <row r="47" spans="1:26">
      <c r="K47" s="48"/>
      <c r="M47" s="48"/>
    </row>
    <row r="48" spans="1:26">
      <c r="K48" s="48"/>
      <c r="M48" s="48"/>
    </row>
    <row r="49" spans="11:13">
      <c r="K49" s="48"/>
      <c r="M49" s="48"/>
    </row>
    <row r="50" spans="11:13">
      <c r="K50" s="48"/>
      <c r="M50" s="48"/>
    </row>
    <row r="51" spans="11:13">
      <c r="K51" s="48"/>
      <c r="M51" s="48"/>
    </row>
    <row r="52" spans="11:13">
      <c r="K52" s="48"/>
      <c r="M52" s="48"/>
    </row>
    <row r="53" spans="11:13">
      <c r="K53" s="48"/>
      <c r="M53" s="48"/>
    </row>
    <row r="54" spans="11:13">
      <c r="K54" s="48"/>
      <c r="M54" s="48"/>
    </row>
    <row r="55" spans="11:13">
      <c r="K55" s="48"/>
      <c r="M55" s="48"/>
    </row>
    <row r="56" spans="11:13">
      <c r="K56" s="48"/>
      <c r="M56" s="48"/>
    </row>
    <row r="57" spans="11:13">
      <c r="K57" s="48"/>
      <c r="M57" s="48"/>
    </row>
    <row r="58" spans="11:13">
      <c r="K58" s="48"/>
      <c r="M58" s="48"/>
    </row>
    <row r="59" spans="11:13">
      <c r="K59" s="48"/>
      <c r="M59" s="48"/>
    </row>
    <row r="60" spans="11:13">
      <c r="K60" s="48"/>
      <c r="M60" s="48"/>
    </row>
    <row r="61" spans="11:13">
      <c r="K61" s="48"/>
      <c r="M61" s="48"/>
    </row>
    <row r="62" spans="11:13">
      <c r="K62" s="48"/>
      <c r="M62" s="48"/>
    </row>
    <row r="63" spans="11:13">
      <c r="K63" s="48"/>
      <c r="M63" s="48"/>
    </row>
    <row r="64" spans="11:13">
      <c r="K64" s="48"/>
      <c r="M64" s="48"/>
    </row>
  </sheetData>
  <customSheetViews>
    <customSheetView guid="{275E5119-9E8C-43ED-ACD2-DF40CF10B219}" scale="70">
      <selection activeCell="M26" sqref="M26"/>
      <pageMargins left="0.59" right="0.72" top="0.64" bottom="0.7" header="0.5" footer="0.5"/>
      <pageSetup scale="7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46" sqref="M46"/>
      <pageMargins left="0.59" right="0.72" top="0.64" bottom="0.7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9" right="0.72" top="0.64" bottom="0.7" header="0.5" footer="0.5"/>
  <pageSetup scale="60" fitToHeight="0" orientation="landscape" r:id="rId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4" enableFormatConditionsCalculation="0">
    <pageSetUpPr fitToPage="1"/>
  </sheetPr>
  <dimension ref="A1:AC49"/>
  <sheetViews>
    <sheetView zoomScale="70" zoomScaleNormal="70" zoomScaleSheetLayoutView="70" workbookViewId="0">
      <selection activeCell="AF32" sqref="AF32"/>
    </sheetView>
  </sheetViews>
  <sheetFormatPr defaultColWidth="8" defaultRowHeight="15"/>
  <cols>
    <col min="1" max="1" width="7.42578125" style="463" customWidth="1"/>
    <col min="2" max="2" width="2.28515625" style="463" customWidth="1"/>
    <col min="3" max="3" width="56" style="463" customWidth="1"/>
    <col min="4" max="4" width="2.28515625" style="463" customWidth="1"/>
    <col min="5" max="5" width="19" style="166" bestFit="1" customWidth="1"/>
    <col min="6" max="6" width="2.28515625" style="463" customWidth="1"/>
    <col min="7" max="7" width="12.7109375" style="463" customWidth="1"/>
    <col min="8" max="8" width="2.28515625" style="463" customWidth="1"/>
    <col min="9" max="9" width="12.7109375" style="463" customWidth="1"/>
    <col min="10" max="10" width="2.28515625" style="463" customWidth="1"/>
    <col min="11" max="11" width="12.7109375" style="463" customWidth="1"/>
    <col min="12" max="12" width="2.28515625" style="463" customWidth="1"/>
    <col min="13" max="13" width="12.7109375" style="463" customWidth="1"/>
    <col min="14" max="14" width="2.28515625" style="463" customWidth="1"/>
    <col min="15" max="15" width="12.7109375" style="463" customWidth="1"/>
    <col min="16" max="16" width="2.28515625" style="463" customWidth="1"/>
    <col min="17" max="17" width="12.7109375" style="463" customWidth="1"/>
    <col min="18" max="18" width="2.28515625" style="463" customWidth="1"/>
    <col min="19" max="19" width="12.7109375" style="463" customWidth="1"/>
    <col min="20" max="20" width="2.28515625" style="463" customWidth="1"/>
    <col min="21" max="21" width="12.7109375" style="463" customWidth="1"/>
    <col min="22" max="22" width="2.28515625" style="463" customWidth="1"/>
    <col min="23" max="23" width="12.7109375" style="463" customWidth="1"/>
    <col min="24" max="24" width="2.28515625" style="463" customWidth="1"/>
    <col min="25" max="25" width="12.7109375" style="463" customWidth="1"/>
    <col min="26" max="26" width="2.28515625" style="463" customWidth="1"/>
    <col min="27" max="27" width="15.85546875" style="463" bestFit="1" customWidth="1"/>
    <col min="28" max="16384" width="8" style="463"/>
  </cols>
  <sheetData>
    <row r="1" spans="1:27" ht="15.75">
      <c r="A1" s="420" t="s">
        <v>540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126" t="s">
        <v>509</v>
      </c>
    </row>
    <row r="2" spans="1:27" ht="15.75">
      <c r="A2" s="420" t="s">
        <v>463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576"/>
    </row>
    <row r="3" spans="1:27" ht="15.75">
      <c r="A3" s="420" t="s">
        <v>349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576"/>
    </row>
    <row r="4" spans="1:27" ht="15.75">
      <c r="A4" s="420" t="s">
        <v>32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576"/>
    </row>
    <row r="5" spans="1:27" ht="15.75">
      <c r="A5" s="576"/>
      <c r="B5" s="576"/>
      <c r="C5" s="576"/>
      <c r="D5" s="576"/>
      <c r="E5" s="576"/>
      <c r="N5" s="400"/>
      <c r="O5" s="400"/>
      <c r="P5" s="400"/>
      <c r="Q5" s="573"/>
      <c r="R5" s="400"/>
      <c r="S5" s="573"/>
      <c r="T5" s="400"/>
      <c r="U5" s="573"/>
      <c r="V5" s="400"/>
      <c r="W5" s="573" t="s">
        <v>459</v>
      </c>
      <c r="X5" s="573"/>
      <c r="Y5" s="573" t="s">
        <v>459</v>
      </c>
    </row>
    <row r="6" spans="1:27" ht="15.75">
      <c r="A6" s="576" t="s">
        <v>33</v>
      </c>
      <c r="B6" s="576"/>
      <c r="C6" s="576"/>
      <c r="D6" s="576"/>
      <c r="E6" s="576" t="s">
        <v>34</v>
      </c>
      <c r="G6" s="576" t="s">
        <v>25</v>
      </c>
      <c r="I6" s="576" t="s">
        <v>25</v>
      </c>
      <c r="K6" s="576" t="s">
        <v>25</v>
      </c>
      <c r="M6" s="576" t="s">
        <v>25</v>
      </c>
      <c r="N6" s="573"/>
      <c r="O6" s="573" t="s">
        <v>25</v>
      </c>
      <c r="P6" s="573"/>
      <c r="Q6" s="819" t="s">
        <v>330</v>
      </c>
      <c r="R6" s="819"/>
      <c r="S6" s="819"/>
      <c r="T6" s="819"/>
      <c r="U6" s="819"/>
      <c r="V6" s="271"/>
      <c r="W6" s="573" t="s">
        <v>15</v>
      </c>
      <c r="X6" s="573"/>
      <c r="Y6" s="573" t="s">
        <v>15</v>
      </c>
      <c r="Z6" s="576"/>
    </row>
    <row r="7" spans="1:27" ht="15.75">
      <c r="A7" s="574" t="s">
        <v>35</v>
      </c>
      <c r="B7" s="576"/>
      <c r="C7" s="574" t="s">
        <v>178</v>
      </c>
      <c r="D7" s="576"/>
      <c r="E7" s="574" t="s">
        <v>36</v>
      </c>
      <c r="G7" s="574">
        <v>2008</v>
      </c>
      <c r="I7" s="574">
        <v>2009</v>
      </c>
      <c r="K7" s="574">
        <v>2010</v>
      </c>
      <c r="M7" s="574">
        <v>2011</v>
      </c>
      <c r="N7" s="401"/>
      <c r="O7" s="572">
        <v>2012</v>
      </c>
      <c r="P7" s="401"/>
      <c r="Q7" s="572">
        <v>2013</v>
      </c>
      <c r="R7" s="401"/>
      <c r="S7" s="572">
        <v>2014</v>
      </c>
      <c r="T7" s="401"/>
      <c r="U7" s="572">
        <v>2015</v>
      </c>
      <c r="V7" s="271"/>
      <c r="W7" s="572">
        <v>2008</v>
      </c>
      <c r="X7" s="271"/>
      <c r="Y7" s="572">
        <v>2009</v>
      </c>
    </row>
    <row r="9" spans="1:27" ht="15.75">
      <c r="A9" s="166">
        <v>1</v>
      </c>
      <c r="C9" s="410" t="s">
        <v>200</v>
      </c>
    </row>
    <row r="10" spans="1:27">
      <c r="A10" s="166">
        <f>A9+1</f>
        <v>2</v>
      </c>
      <c r="C10" s="463" t="s">
        <v>204</v>
      </c>
      <c r="E10" s="380" t="s">
        <v>561</v>
      </c>
      <c r="G10" s="411">
        <f>+S2.1!G70</f>
        <v>44824</v>
      </c>
      <c r="I10" s="411">
        <f>+S2.1!I70</f>
        <v>42724.938999999998</v>
      </c>
      <c r="K10" s="411">
        <f>+S2.1!K70</f>
        <v>44554.658000000003</v>
      </c>
      <c r="M10" s="411">
        <f>+S2.1!M70</f>
        <v>45883.552100000001</v>
      </c>
      <c r="N10" s="411"/>
      <c r="O10" s="411">
        <f>+S2.1!O70</f>
        <v>49922.952310000001</v>
      </c>
      <c r="P10" s="411"/>
      <c r="Q10" s="411">
        <f>+S2.1!R70</f>
        <v>53679</v>
      </c>
      <c r="R10" s="411"/>
      <c r="S10" s="411">
        <f>+S2.1!U70</f>
        <v>57457.8</v>
      </c>
      <c r="T10" s="411"/>
      <c r="U10" s="411">
        <f>+S2.1!X70</f>
        <v>59911.69999999999</v>
      </c>
      <c r="W10" s="411">
        <f>S2.1!AA70</f>
        <v>44021.283350000303</v>
      </c>
      <c r="Y10" s="411">
        <f>S2.1!AD70</f>
        <v>44436.788920269129</v>
      </c>
    </row>
    <row r="11" spans="1:27">
      <c r="A11" s="166">
        <f t="shared" ref="A11:A48" si="0">A10+1</f>
        <v>3</v>
      </c>
      <c r="C11" s="463" t="s">
        <v>202</v>
      </c>
      <c r="G11" s="306">
        <v>0.05</v>
      </c>
      <c r="I11" s="306">
        <v>0.05</v>
      </c>
      <c r="K11" s="306">
        <v>0.05</v>
      </c>
      <c r="M11" s="306">
        <v>0.05</v>
      </c>
      <c r="N11" s="338"/>
      <c r="O11" s="306">
        <v>0.05</v>
      </c>
      <c r="P11" s="338"/>
      <c r="Q11" s="306">
        <v>0.05</v>
      </c>
      <c r="R11" s="338"/>
      <c r="S11" s="306">
        <v>0.05</v>
      </c>
      <c r="T11" s="338"/>
      <c r="U11" s="306">
        <v>0.05</v>
      </c>
      <c r="W11" s="306">
        <v>0.05</v>
      </c>
      <c r="Y11" s="306">
        <v>0.05</v>
      </c>
    </row>
    <row r="12" spans="1:27">
      <c r="A12" s="166">
        <f t="shared" si="0"/>
        <v>4</v>
      </c>
      <c r="C12" s="463" t="s">
        <v>203</v>
      </c>
      <c r="F12" s="125"/>
      <c r="G12" s="125">
        <f>G10*G11</f>
        <v>2241.2000000000003</v>
      </c>
      <c r="H12" s="125"/>
      <c r="I12" s="125">
        <f>I10*I11</f>
        <v>2136.2469500000002</v>
      </c>
      <c r="J12" s="125"/>
      <c r="K12" s="125">
        <f>K10*K11</f>
        <v>2227.7329000000004</v>
      </c>
      <c r="L12" s="125"/>
      <c r="M12" s="125">
        <f>M10*M11</f>
        <v>2294.1776050000003</v>
      </c>
      <c r="N12" s="125"/>
      <c r="O12" s="125">
        <f>O10*O11</f>
        <v>2496.1476155</v>
      </c>
      <c r="P12" s="125"/>
      <c r="Q12" s="125">
        <f>Q10*Q11</f>
        <v>2683.9500000000003</v>
      </c>
      <c r="R12" s="125"/>
      <c r="S12" s="125">
        <f>S10*S11</f>
        <v>2872.8900000000003</v>
      </c>
      <c r="T12" s="125"/>
      <c r="U12" s="125">
        <f>U10*U11</f>
        <v>2995.5849999999996</v>
      </c>
      <c r="V12" s="125"/>
      <c r="W12" s="125">
        <f>W10*W11</f>
        <v>2201.0641675000152</v>
      </c>
      <c r="X12" s="125"/>
      <c r="Y12" s="125">
        <f>Y10*Y11</f>
        <v>2221.8394460134564</v>
      </c>
      <c r="Z12" s="125"/>
    </row>
    <row r="13" spans="1:27">
      <c r="A13" s="166">
        <f t="shared" si="0"/>
        <v>5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7">
      <c r="A14" s="166">
        <f t="shared" si="0"/>
        <v>6</v>
      </c>
      <c r="C14" s="463" t="s">
        <v>205</v>
      </c>
      <c r="F14" s="307"/>
      <c r="G14" s="307">
        <v>41.85</v>
      </c>
      <c r="H14" s="307"/>
      <c r="I14" s="307">
        <v>41.85</v>
      </c>
      <c r="J14" s="307"/>
      <c r="K14" s="307">
        <v>41.85</v>
      </c>
      <c r="L14" s="307"/>
      <c r="M14" s="307">
        <v>41.85</v>
      </c>
      <c r="N14" s="307"/>
      <c r="O14" s="307">
        <v>41.9</v>
      </c>
      <c r="P14" s="307"/>
      <c r="Q14" s="307">
        <v>41.85</v>
      </c>
      <c r="R14" s="307"/>
      <c r="S14" s="307">
        <v>41.85</v>
      </c>
      <c r="T14" s="307"/>
      <c r="U14" s="307">
        <v>41.85</v>
      </c>
      <c r="V14" s="307"/>
      <c r="W14" s="307">
        <v>41.85</v>
      </c>
      <c r="X14" s="307"/>
      <c r="Y14" s="307">
        <v>41.85</v>
      </c>
      <c r="Z14" s="307"/>
    </row>
    <row r="15" spans="1:27">
      <c r="A15" s="166">
        <f t="shared" si="0"/>
        <v>7</v>
      </c>
      <c r="C15" s="463" t="s">
        <v>206</v>
      </c>
      <c r="F15" s="307"/>
      <c r="G15" s="308">
        <v>56.593281923785369</v>
      </c>
      <c r="H15" s="307"/>
      <c r="I15" s="308">
        <f>G15</f>
        <v>56.593281923785369</v>
      </c>
      <c r="J15" s="307"/>
      <c r="K15" s="308">
        <f>I15</f>
        <v>56.593281923785369</v>
      </c>
      <c r="L15" s="307"/>
      <c r="M15" s="308">
        <f>I15</f>
        <v>56.593281923785369</v>
      </c>
      <c r="N15" s="315"/>
      <c r="O15" s="308">
        <f>K15</f>
        <v>56.593281923785369</v>
      </c>
      <c r="P15" s="315"/>
      <c r="Q15" s="308">
        <f>M15</f>
        <v>56.593281923785369</v>
      </c>
      <c r="R15" s="315"/>
      <c r="S15" s="308">
        <f>O15</f>
        <v>56.593281923785369</v>
      </c>
      <c r="T15" s="315"/>
      <c r="U15" s="308">
        <f>Q15</f>
        <v>56.593281923785369</v>
      </c>
      <c r="V15" s="307"/>
      <c r="W15" s="308">
        <v>56.59</v>
      </c>
      <c r="X15" s="307"/>
      <c r="Y15" s="804">
        <v>56.59</v>
      </c>
      <c r="Z15" s="307"/>
      <c r="AA15" s="125"/>
    </row>
    <row r="16" spans="1:27">
      <c r="A16" s="166">
        <f t="shared" si="0"/>
        <v>8</v>
      </c>
      <c r="F16" s="310"/>
      <c r="G16" s="309">
        <f>G14-G15</f>
        <v>-14.743281923785368</v>
      </c>
      <c r="H16" s="310"/>
      <c r="I16" s="309">
        <f>I14-I15</f>
        <v>-14.743281923785368</v>
      </c>
      <c r="J16" s="310"/>
      <c r="K16" s="309">
        <f>K14-K15</f>
        <v>-14.743281923785368</v>
      </c>
      <c r="L16" s="310"/>
      <c r="M16" s="309">
        <f>M14-M15</f>
        <v>-14.743281923785368</v>
      </c>
      <c r="N16" s="309"/>
      <c r="O16" s="309">
        <f>O14-O15</f>
        <v>-14.693281923785371</v>
      </c>
      <c r="P16" s="309"/>
      <c r="Q16" s="309">
        <f>Q14-Q15</f>
        <v>-14.743281923785368</v>
      </c>
      <c r="R16" s="309"/>
      <c r="S16" s="309">
        <f>S14-S15</f>
        <v>-14.743281923785368</v>
      </c>
      <c r="T16" s="309"/>
      <c r="U16" s="309">
        <f>U14-U15</f>
        <v>-14.743281923785368</v>
      </c>
      <c r="V16" s="310"/>
      <c r="W16" s="309">
        <f>W14-W15</f>
        <v>-14.740000000000002</v>
      </c>
      <c r="X16" s="310"/>
      <c r="Y16" s="309">
        <f>Y14-Y15</f>
        <v>-14.740000000000002</v>
      </c>
      <c r="Z16" s="310"/>
    </row>
    <row r="17" spans="1:29">
      <c r="A17" s="166">
        <f t="shared" si="0"/>
        <v>9</v>
      </c>
      <c r="W17" s="451"/>
      <c r="Y17" s="451"/>
    </row>
    <row r="18" spans="1:29">
      <c r="A18" s="166">
        <f t="shared" si="0"/>
        <v>10</v>
      </c>
      <c r="C18" s="463" t="s">
        <v>207</v>
      </c>
      <c r="E18" s="166" t="s">
        <v>589</v>
      </c>
      <c r="G18" s="145">
        <f>G12*G16/365</f>
        <v>-90.527790267363756</v>
      </c>
      <c r="I18" s="145">
        <f>I12*I16/365</f>
        <v>-86.288468610072954</v>
      </c>
      <c r="K18" s="145">
        <f>K12*K16/365</f>
        <v>-89.983819713950581</v>
      </c>
      <c r="M18" s="145">
        <f>M12*M16/365</f>
        <v>-92.667690996574549</v>
      </c>
      <c r="N18" s="138"/>
      <c r="O18" s="145">
        <f>O12*O16/365</f>
        <v>-100.48383736418113</v>
      </c>
      <c r="P18" s="138"/>
      <c r="Q18" s="145">
        <f>Q12*Q16/365</f>
        <v>-108.41159320368148</v>
      </c>
      <c r="R18" s="138"/>
      <c r="S18" s="145">
        <f>S12*S16/365</f>
        <v>-116.04336220828425</v>
      </c>
      <c r="T18" s="138"/>
      <c r="U18" s="145">
        <f>U12*U16/365</f>
        <v>-120.99932652510296</v>
      </c>
      <c r="W18" s="145">
        <f>W12*W16/365</f>
        <v>-88.886810490274598</v>
      </c>
      <c r="Y18" s="145">
        <f>Y12*Y16/365</f>
        <v>-89.725790230789997</v>
      </c>
    </row>
    <row r="19" spans="1:29">
      <c r="A19" s="166">
        <f t="shared" si="0"/>
        <v>11</v>
      </c>
      <c r="AC19" s="311" t="s">
        <v>27</v>
      </c>
    </row>
    <row r="20" spans="1:29" ht="15.75">
      <c r="A20" s="166">
        <f t="shared" si="0"/>
        <v>12</v>
      </c>
      <c r="C20" s="410" t="s">
        <v>201</v>
      </c>
    </row>
    <row r="21" spans="1:29">
      <c r="A21" s="166">
        <f t="shared" si="0"/>
        <v>13</v>
      </c>
      <c r="C21" s="463" t="s">
        <v>185</v>
      </c>
      <c r="E21" s="166" t="s">
        <v>591</v>
      </c>
      <c r="F21" s="125"/>
      <c r="G21" s="125">
        <f>+S1.1!G25</f>
        <v>45725.536930000002</v>
      </c>
      <c r="H21" s="125"/>
      <c r="I21" s="125">
        <f>+S1.1!I25</f>
        <v>43633.948000000004</v>
      </c>
      <c r="J21" s="125"/>
      <c r="K21" s="125">
        <f>+S1.1!K25</f>
        <v>45565.191300000006</v>
      </c>
      <c r="L21" s="125"/>
      <c r="M21" s="125">
        <f>+S1.1!M25</f>
        <v>46982.985210999999</v>
      </c>
      <c r="N21" s="125"/>
      <c r="O21" s="125">
        <f>+S1.1!O25</f>
        <v>51174.658179999999</v>
      </c>
      <c r="P21" s="125"/>
      <c r="Q21" s="125">
        <f>+S1.1!Q25</f>
        <v>54956.011801638131</v>
      </c>
      <c r="R21" s="125"/>
      <c r="S21" s="125">
        <f>+S1.1!S25</f>
        <v>58707.458792201549</v>
      </c>
      <c r="T21" s="125"/>
      <c r="U21" s="125">
        <f>+S1.1!U25</f>
        <v>61186.712113289177</v>
      </c>
      <c r="V21" s="125"/>
      <c r="W21" s="125">
        <f>S1.1!W25</f>
        <v>44831.283350000303</v>
      </c>
      <c r="X21" s="125"/>
      <c r="Y21" s="125">
        <f>S1.1!Y25</f>
        <v>45263.788920269129</v>
      </c>
      <c r="Z21" s="125"/>
    </row>
    <row r="22" spans="1:29">
      <c r="A22" s="166">
        <f t="shared" si="0"/>
        <v>14</v>
      </c>
      <c r="C22" s="463" t="s">
        <v>270</v>
      </c>
      <c r="E22" s="166" t="s">
        <v>319</v>
      </c>
      <c r="F22" s="125"/>
      <c r="G22" s="125">
        <f>-S1.1!G19</f>
        <v>-231</v>
      </c>
      <c r="H22" s="125"/>
      <c r="I22" s="125">
        <f>-S1.1!I19</f>
        <v>-239</v>
      </c>
      <c r="J22" s="125"/>
      <c r="K22" s="125">
        <f>-S1.1!K19</f>
        <v>-230</v>
      </c>
      <c r="L22" s="125"/>
      <c r="M22" s="125">
        <f>-S1.1!M19</f>
        <v>-235</v>
      </c>
      <c r="N22" s="125"/>
      <c r="O22" s="125">
        <f>-S1.1!O19</f>
        <v>-249.7</v>
      </c>
      <c r="P22" s="125"/>
      <c r="Q22" s="125">
        <f>-S1.1!Q19</f>
        <v>-257</v>
      </c>
      <c r="R22" s="125"/>
      <c r="S22" s="125">
        <f>-S1.1!S19</f>
        <v>-264.5</v>
      </c>
      <c r="T22" s="125"/>
      <c r="U22" s="125">
        <f>-S1.1!U19</f>
        <v>-273</v>
      </c>
      <c r="V22" s="125"/>
      <c r="W22" s="125">
        <f>-S1.1!W19</f>
        <v>-244.45627912500004</v>
      </c>
      <c r="X22" s="125"/>
      <c r="Y22" s="125">
        <f>-S1.1!Y19</f>
        <v>-254.23453029000007</v>
      </c>
      <c r="Z22" s="125"/>
    </row>
    <row r="23" spans="1:29">
      <c r="A23" s="166">
        <f t="shared" si="0"/>
        <v>15</v>
      </c>
      <c r="C23" s="463" t="s">
        <v>186</v>
      </c>
      <c r="F23" s="125"/>
      <c r="G23" s="125">
        <f>-4526.234</f>
        <v>-4526.2340000000004</v>
      </c>
      <c r="H23" s="125"/>
      <c r="I23" s="125">
        <v>-5068.8703500000001</v>
      </c>
      <c r="J23" s="125"/>
      <c r="K23" s="125">
        <v>-5448.629640000001</v>
      </c>
      <c r="L23" s="125"/>
      <c r="M23" s="125">
        <v>-5418.6191899999967</v>
      </c>
      <c r="N23" s="125"/>
      <c r="O23" s="125">
        <v>-5522.263289999999</v>
      </c>
      <c r="P23" s="125"/>
      <c r="Q23" s="125">
        <v>-5929.4028775670959</v>
      </c>
      <c r="R23" s="125"/>
      <c r="S23" s="125">
        <v>-6208.2682410498119</v>
      </c>
      <c r="T23" s="125"/>
      <c r="U23" s="125">
        <v>-6411.5977953652364</v>
      </c>
      <c r="V23" s="125"/>
      <c r="W23" s="125">
        <v>-4602.1411873037569</v>
      </c>
      <c r="X23" s="125"/>
      <c r="Y23" s="125">
        <v>-4761.6685838741596</v>
      </c>
      <c r="Z23" s="125"/>
    </row>
    <row r="24" spans="1:29">
      <c r="A24" s="166">
        <f t="shared" si="0"/>
        <v>16</v>
      </c>
      <c r="C24" s="463" t="s">
        <v>29</v>
      </c>
      <c r="E24" s="166" t="s">
        <v>317</v>
      </c>
      <c r="F24" s="125"/>
      <c r="G24" s="125">
        <f>-S1.1!G20</f>
        <v>-3181</v>
      </c>
      <c r="H24" s="125"/>
      <c r="I24" s="125">
        <f>-S1.1!I20</f>
        <v>-3446</v>
      </c>
      <c r="J24" s="125"/>
      <c r="K24" s="125">
        <f>-S1.1!K20</f>
        <v>-3683</v>
      </c>
      <c r="L24" s="125"/>
      <c r="M24" s="125">
        <v>-4129</v>
      </c>
      <c r="N24" s="125"/>
      <c r="O24" s="125">
        <f>-S1.1!O20</f>
        <v>-4192</v>
      </c>
      <c r="P24" s="125"/>
      <c r="Q24" s="125">
        <f>-S1.1!Q20</f>
        <v>-6569.9487999999992</v>
      </c>
      <c r="R24" s="125"/>
      <c r="S24" s="125">
        <f>-S1.1!S20</f>
        <v>-7508.8059999999996</v>
      </c>
      <c r="T24" s="125"/>
      <c r="U24" s="125">
        <f>-S1.1!U20</f>
        <v>-8568.8060000000005</v>
      </c>
      <c r="V24" s="125"/>
      <c r="W24" s="125">
        <f>-S1.1!W20</f>
        <v>-3354</v>
      </c>
      <c r="X24" s="125"/>
      <c r="Y24" s="125">
        <f>-S1.1!Y20</f>
        <v>-3661</v>
      </c>
      <c r="Z24" s="125"/>
    </row>
    <row r="25" spans="1:29">
      <c r="A25" s="166">
        <f t="shared" si="0"/>
        <v>17</v>
      </c>
      <c r="C25" s="463" t="s">
        <v>566</v>
      </c>
      <c r="E25" s="166" t="s">
        <v>300</v>
      </c>
      <c r="F25" s="125"/>
      <c r="G25" s="125">
        <f>-S1.1!G21</f>
        <v>980</v>
      </c>
      <c r="H25" s="125"/>
      <c r="I25" s="125">
        <f>-S1.1!I21</f>
        <v>1133</v>
      </c>
      <c r="J25" s="125"/>
      <c r="K25" s="125">
        <f>-S1.1!K21</f>
        <v>1221</v>
      </c>
      <c r="L25" s="125"/>
      <c r="M25" s="125">
        <v>1289</v>
      </c>
      <c r="N25" s="125"/>
      <c r="O25" s="125">
        <f>-S1.1!O21</f>
        <v>1371</v>
      </c>
      <c r="P25" s="125"/>
      <c r="Q25" s="125">
        <f>-S1.1!Q21</f>
        <v>1444</v>
      </c>
      <c r="R25" s="125"/>
      <c r="S25" s="125">
        <f>-S1.1!S21</f>
        <v>1557</v>
      </c>
      <c r="T25" s="125"/>
      <c r="U25" s="125">
        <f>-S1.1!U21</f>
        <v>1749</v>
      </c>
      <c r="V25" s="125"/>
      <c r="W25" s="125">
        <f>-S1.1!W21</f>
        <v>962.98672464899994</v>
      </c>
      <c r="X25" s="125"/>
      <c r="Y25" s="125">
        <f>-S1.1!Y21</f>
        <v>1028.0848246490009</v>
      </c>
      <c r="Z25" s="125"/>
    </row>
    <row r="26" spans="1:29">
      <c r="A26" s="166">
        <f t="shared" si="0"/>
        <v>18</v>
      </c>
      <c r="C26" s="463" t="s">
        <v>188</v>
      </c>
      <c r="E26" s="166" t="s">
        <v>288</v>
      </c>
      <c r="F26" s="125"/>
      <c r="G26" s="125">
        <f>-S1.1!G24</f>
        <v>94</v>
      </c>
      <c r="H26" s="125"/>
      <c r="I26" s="125">
        <f>-S1.1!I24</f>
        <v>-10</v>
      </c>
      <c r="J26" s="125"/>
      <c r="K26" s="125">
        <f>-S1.1!K24</f>
        <v>-278</v>
      </c>
      <c r="L26" s="125"/>
      <c r="M26" s="125">
        <v>62</v>
      </c>
      <c r="N26" s="125"/>
      <c r="O26" s="125">
        <f>+S1.1!O24</f>
        <v>-307</v>
      </c>
      <c r="P26" s="125"/>
      <c r="Q26" s="125">
        <f>+S1.1!Q24</f>
        <v>248</v>
      </c>
      <c r="R26" s="125"/>
      <c r="S26" s="125">
        <f>+S1.1!S24</f>
        <v>704</v>
      </c>
      <c r="T26" s="125"/>
      <c r="U26" s="125">
        <f>+S1.1!U24</f>
        <v>828</v>
      </c>
      <c r="V26" s="125"/>
      <c r="W26" s="125">
        <f>-S1.1!W24</f>
        <v>344</v>
      </c>
      <c r="X26" s="125"/>
      <c r="Y26" s="125">
        <f>-S1.1!Y24</f>
        <v>-211</v>
      </c>
      <c r="Z26" s="125"/>
    </row>
    <row r="27" spans="1:29">
      <c r="A27" s="166">
        <f t="shared" si="0"/>
        <v>19</v>
      </c>
      <c r="C27" s="463" t="s">
        <v>397</v>
      </c>
      <c r="F27" s="125"/>
      <c r="G27" s="125">
        <f>+'S8.8 '!G52</f>
        <v>137</v>
      </c>
      <c r="H27" s="125"/>
      <c r="I27" s="125">
        <f>+'S8.8 '!I52</f>
        <v>259</v>
      </c>
      <c r="J27" s="125"/>
      <c r="K27" s="125">
        <f>+'S8.8 '!K52</f>
        <v>358</v>
      </c>
      <c r="L27" s="125"/>
      <c r="M27" s="125">
        <f>+'S8.8 '!M52</f>
        <v>14</v>
      </c>
      <c r="N27" s="125"/>
      <c r="O27" s="125">
        <v>0</v>
      </c>
      <c r="P27" s="125"/>
      <c r="Q27" s="125">
        <v>0</v>
      </c>
      <c r="R27" s="125"/>
      <c r="S27" s="125">
        <v>0</v>
      </c>
      <c r="T27" s="125"/>
      <c r="U27" s="125">
        <v>0</v>
      </c>
      <c r="V27" s="125"/>
      <c r="W27" s="125">
        <f>+'S8.8 '!W52</f>
        <v>150</v>
      </c>
      <c r="X27" s="125"/>
      <c r="Y27" s="125">
        <f>+'S8.8 '!Y52</f>
        <v>0</v>
      </c>
      <c r="Z27" s="125"/>
    </row>
    <row r="28" spans="1:29">
      <c r="A28" s="166">
        <f t="shared" si="0"/>
        <v>20</v>
      </c>
      <c r="C28" s="463" t="s">
        <v>399</v>
      </c>
      <c r="F28" s="125"/>
      <c r="G28" s="125">
        <f>+'S8.8 '!G53</f>
        <v>-147</v>
      </c>
      <c r="H28" s="125"/>
      <c r="I28" s="125">
        <f>+'S8.8 '!I53</f>
        <v>-147</v>
      </c>
      <c r="J28" s="125"/>
      <c r="K28" s="125">
        <f>+'S8.8 '!K53</f>
        <v>0</v>
      </c>
      <c r="L28" s="125"/>
      <c r="M28" s="125">
        <f>+'S8.8 '!M53</f>
        <v>0</v>
      </c>
      <c r="N28" s="125"/>
      <c r="O28" s="125">
        <v>0</v>
      </c>
      <c r="P28" s="125"/>
      <c r="Q28" s="125">
        <v>0</v>
      </c>
      <c r="R28" s="125"/>
      <c r="S28" s="125">
        <v>0</v>
      </c>
      <c r="T28" s="125"/>
      <c r="U28" s="125">
        <v>0</v>
      </c>
      <c r="V28" s="125"/>
      <c r="W28" s="125">
        <f>+'S8.8 '!W53</f>
        <v>-154</v>
      </c>
      <c r="X28" s="125"/>
      <c r="Y28" s="125">
        <f>+'S8.8 '!Y53</f>
        <v>-154</v>
      </c>
      <c r="Z28" s="125"/>
    </row>
    <row r="29" spans="1:29">
      <c r="A29" s="166">
        <f t="shared" si="0"/>
        <v>21</v>
      </c>
      <c r="C29" s="463" t="s">
        <v>243</v>
      </c>
      <c r="F29" s="125"/>
      <c r="G29" s="125">
        <f>+'S8.8 '!G42</f>
        <v>118</v>
      </c>
      <c r="H29" s="125"/>
      <c r="I29" s="125">
        <f>+'S8.8 '!I42</f>
        <v>0</v>
      </c>
      <c r="J29" s="125"/>
      <c r="K29" s="125">
        <f>+'S8.8 '!K42</f>
        <v>0</v>
      </c>
      <c r="L29" s="125"/>
      <c r="M29" s="125">
        <f>+'S8.8 '!M42</f>
        <v>0</v>
      </c>
      <c r="N29" s="125"/>
      <c r="O29" s="125">
        <v>0</v>
      </c>
      <c r="P29" s="125"/>
      <c r="Q29" s="125">
        <v>0</v>
      </c>
      <c r="R29" s="125"/>
      <c r="S29" s="125">
        <v>0</v>
      </c>
      <c r="T29" s="125"/>
      <c r="U29" s="125">
        <v>0</v>
      </c>
      <c r="V29" s="125"/>
      <c r="W29" s="125">
        <f>+'S8.8 '!W42</f>
        <v>60</v>
      </c>
      <c r="X29" s="125"/>
      <c r="Y29" s="125">
        <f>+'S8.8 '!Y42</f>
        <v>0</v>
      </c>
      <c r="Z29" s="125"/>
    </row>
    <row r="30" spans="1:29">
      <c r="A30" s="166">
        <f t="shared" si="0"/>
        <v>22</v>
      </c>
      <c r="C30" s="463" t="s">
        <v>239</v>
      </c>
      <c r="F30" s="125"/>
      <c r="G30" s="125">
        <f>+'S8.8 '!G43</f>
        <v>-124</v>
      </c>
      <c r="H30" s="125"/>
      <c r="I30" s="125">
        <f>+'S8.8 '!I43</f>
        <v>-141</v>
      </c>
      <c r="J30" s="125"/>
      <c r="K30" s="125">
        <f>+'S8.8 '!K43</f>
        <v>-141</v>
      </c>
      <c r="L30" s="125"/>
      <c r="M30" s="125">
        <f>+'S8.8 '!M43</f>
        <v>0</v>
      </c>
      <c r="N30" s="125"/>
      <c r="O30" s="125">
        <v>0</v>
      </c>
      <c r="P30" s="125"/>
      <c r="Q30" s="125">
        <v>0</v>
      </c>
      <c r="R30" s="125"/>
      <c r="S30" s="125">
        <v>0</v>
      </c>
      <c r="T30" s="125"/>
      <c r="U30" s="125">
        <v>0</v>
      </c>
      <c r="V30" s="125"/>
      <c r="W30" s="125">
        <f>+'S8.8 '!W43</f>
        <v>-123</v>
      </c>
      <c r="X30" s="125"/>
      <c r="Y30" s="125">
        <f>+'S8.8 '!Y43</f>
        <v>-123</v>
      </c>
      <c r="Z30" s="125"/>
    </row>
    <row r="31" spans="1:29">
      <c r="A31" s="166">
        <f t="shared" si="0"/>
        <v>23</v>
      </c>
      <c r="C31" s="314" t="s">
        <v>289</v>
      </c>
      <c r="F31" s="125"/>
      <c r="G31" s="125">
        <f>+'S8.4 '!G39</f>
        <v>0</v>
      </c>
      <c r="H31" s="125"/>
      <c r="I31" s="125">
        <f>+'S8.4 '!I39</f>
        <v>-147</v>
      </c>
      <c r="J31" s="125"/>
      <c r="K31" s="125">
        <f>+'S8.4 '!K39</f>
        <v>-100</v>
      </c>
      <c r="L31" s="125"/>
      <c r="M31" s="125">
        <f>+'S8.4 '!M39</f>
        <v>-100</v>
      </c>
      <c r="N31" s="125"/>
      <c r="O31" s="125">
        <f>+'S8.4 '!O39</f>
        <v>-100</v>
      </c>
      <c r="P31" s="125"/>
      <c r="Q31" s="125">
        <f>+'S8.4 '!Q39</f>
        <v>-100</v>
      </c>
      <c r="R31" s="125">
        <f>+'S8.4 '!R39</f>
        <v>0</v>
      </c>
      <c r="S31" s="125">
        <f>+'S8.4 '!S39</f>
        <v>-100</v>
      </c>
      <c r="T31" s="125"/>
      <c r="U31" s="125">
        <f>+'S8.4 '!U39</f>
        <v>-100</v>
      </c>
      <c r="V31" s="125"/>
      <c r="W31" s="125">
        <f>+'S8.4 '!W39</f>
        <v>-60</v>
      </c>
      <c r="X31" s="125"/>
      <c r="Y31" s="125">
        <f>+'S8.4 '!Y39</f>
        <v>-60</v>
      </c>
      <c r="Z31" s="125"/>
    </row>
    <row r="32" spans="1:29">
      <c r="A32" s="166">
        <f t="shared" si="0"/>
        <v>24</v>
      </c>
      <c r="C32" s="314" t="s">
        <v>292</v>
      </c>
      <c r="F32" s="125"/>
      <c r="G32" s="125">
        <f>+'S8.4 '!G38</f>
        <v>75</v>
      </c>
      <c r="H32" s="125"/>
      <c r="I32" s="125">
        <f>+'S8.4 '!I38</f>
        <v>97</v>
      </c>
      <c r="J32" s="125"/>
      <c r="K32" s="125">
        <f>+'S8.4 '!K38</f>
        <v>86</v>
      </c>
      <c r="L32" s="125"/>
      <c r="M32" s="125">
        <f>+'S8.4 '!M38</f>
        <v>86</v>
      </c>
      <c r="N32" s="125"/>
      <c r="O32" s="125">
        <f>+'S8.4 '!O38</f>
        <v>86</v>
      </c>
      <c r="P32" s="125"/>
      <c r="Q32" s="125">
        <f>+'S8.4 '!Q38</f>
        <v>123</v>
      </c>
      <c r="R32" s="125">
        <f>+'S8.4 '!R40</f>
        <v>0</v>
      </c>
      <c r="S32" s="125">
        <f>+'S8.4 '!S38</f>
        <v>123</v>
      </c>
      <c r="T32" s="125"/>
      <c r="U32" s="125">
        <f>+'S8.4 '!U38</f>
        <v>123</v>
      </c>
      <c r="V32" s="125"/>
      <c r="W32" s="125">
        <f>+'S8.4 '!W38</f>
        <v>86</v>
      </c>
      <c r="X32" s="125"/>
      <c r="Y32" s="125">
        <f>+'S8.4 '!Y38</f>
        <v>86</v>
      </c>
      <c r="Z32" s="125"/>
    </row>
    <row r="33" spans="1:26">
      <c r="A33" s="166">
        <f t="shared" si="0"/>
        <v>25</v>
      </c>
      <c r="C33" s="463" t="s">
        <v>301</v>
      </c>
      <c r="F33" s="125"/>
      <c r="G33" s="125">
        <f>+'S8.8 '!G31</f>
        <v>274</v>
      </c>
      <c r="H33" s="125"/>
      <c r="I33" s="125">
        <f>+'S8.8 '!I31</f>
        <v>101</v>
      </c>
      <c r="J33" s="125"/>
      <c r="K33" s="125">
        <f>+'S8.8 '!K31</f>
        <v>0</v>
      </c>
      <c r="L33" s="125"/>
      <c r="M33" s="125">
        <f>+'S8.8 '!M31</f>
        <v>160</v>
      </c>
      <c r="N33" s="125"/>
      <c r="O33" s="125">
        <f>+'S8.8 '!O31</f>
        <v>24</v>
      </c>
      <c r="P33" s="125"/>
      <c r="Q33" s="125">
        <f>+'S8.8 '!Q31</f>
        <v>417.25</v>
      </c>
      <c r="R33" s="125"/>
      <c r="S33" s="125">
        <f>+'S8.8 '!S31</f>
        <v>193.25</v>
      </c>
      <c r="T33" s="125"/>
      <c r="U33" s="125">
        <f>+'S8.8 '!U31</f>
        <v>0</v>
      </c>
      <c r="V33" s="125"/>
      <c r="W33" s="125">
        <f>+'S8.8 '!W31</f>
        <v>720</v>
      </c>
      <c r="X33" s="125"/>
      <c r="Y33" s="125">
        <f>+'S8.8 '!Y31</f>
        <v>0</v>
      </c>
      <c r="Z33" s="125"/>
    </row>
    <row r="34" spans="1:26">
      <c r="A34" s="166">
        <f t="shared" si="0"/>
        <v>26</v>
      </c>
      <c r="C34" s="463" t="s">
        <v>84</v>
      </c>
      <c r="F34" s="125"/>
      <c r="G34" s="125">
        <f>+'S8.8 '!G32</f>
        <v>-150</v>
      </c>
      <c r="H34" s="125"/>
      <c r="I34" s="125">
        <f>+'S8.8 '!I32</f>
        <v>-150</v>
      </c>
      <c r="J34" s="125"/>
      <c r="K34" s="125">
        <f>+'S8.8 '!K32</f>
        <v>-150</v>
      </c>
      <c r="L34" s="125"/>
      <c r="M34" s="125">
        <f>+'S8.8 '!M32</f>
        <v>-150</v>
      </c>
      <c r="N34" s="125"/>
      <c r="O34" s="125">
        <f>+'S8.8 '!O32</f>
        <v>-150</v>
      </c>
      <c r="P34" s="125"/>
      <c r="Q34" s="125">
        <f>+'S8.8 '!Q32</f>
        <v>0</v>
      </c>
      <c r="R34" s="125"/>
      <c r="S34" s="125">
        <f>+'S8.8 '!S32</f>
        <v>0</v>
      </c>
      <c r="T34" s="125"/>
      <c r="U34" s="125">
        <f>+'S8.8 '!U32</f>
        <v>0</v>
      </c>
      <c r="V34" s="125"/>
      <c r="W34" s="125">
        <f>+'S8.8 '!W32</f>
        <v>-150</v>
      </c>
      <c r="X34" s="125"/>
      <c r="Y34" s="125">
        <f>+'S8.8 '!Y32</f>
        <v>-150</v>
      </c>
      <c r="Z34" s="125"/>
    </row>
    <row r="35" spans="1:26">
      <c r="A35" s="166">
        <f t="shared" si="0"/>
        <v>27</v>
      </c>
      <c r="C35" s="463" t="s">
        <v>641</v>
      </c>
      <c r="E35" s="166" t="s">
        <v>643</v>
      </c>
      <c r="F35" s="125"/>
      <c r="G35" s="125">
        <v>0</v>
      </c>
      <c r="H35" s="125"/>
      <c r="I35" s="125">
        <v>0</v>
      </c>
      <c r="J35" s="125"/>
      <c r="K35" s="125">
        <v>0</v>
      </c>
      <c r="L35" s="125"/>
      <c r="M35" s="125">
        <v>0</v>
      </c>
      <c r="N35" s="125"/>
      <c r="O35" s="125">
        <v>0</v>
      </c>
      <c r="P35" s="125"/>
      <c r="Q35" s="125">
        <f>+'S8.8 '!Q60+'S8.8 '!Q68+'S8.8 '!Q76</f>
        <v>242</v>
      </c>
      <c r="R35" s="125"/>
      <c r="S35" s="125">
        <f>+'S8.8 '!S60+'S8.8 '!S68+'S8.8 '!S76</f>
        <v>0</v>
      </c>
      <c r="T35" s="125"/>
      <c r="U35" s="125">
        <f>+'S8.8 '!U60+'S8.8 '!U68+'S8.8 '!U76</f>
        <v>0</v>
      </c>
      <c r="V35" s="125"/>
      <c r="W35" s="125">
        <v>0</v>
      </c>
      <c r="X35" s="125"/>
      <c r="Y35" s="125">
        <v>0</v>
      </c>
      <c r="Z35" s="125"/>
    </row>
    <row r="36" spans="1:26">
      <c r="A36" s="166">
        <f t="shared" si="0"/>
        <v>28</v>
      </c>
      <c r="C36" s="463" t="s">
        <v>642</v>
      </c>
      <c r="E36" s="166" t="s">
        <v>662</v>
      </c>
      <c r="F36" s="125"/>
      <c r="G36" s="125">
        <v>0</v>
      </c>
      <c r="H36" s="125"/>
      <c r="I36" s="125">
        <v>0</v>
      </c>
      <c r="J36" s="125"/>
      <c r="K36" s="125">
        <v>0</v>
      </c>
      <c r="L36" s="125"/>
      <c r="M36" s="125">
        <v>0</v>
      </c>
      <c r="N36" s="125"/>
      <c r="O36" s="125">
        <v>0</v>
      </c>
      <c r="P36" s="125"/>
      <c r="Q36" s="125">
        <f>+'S8.8 '!Q61+'S8.8 '!Q69+'S8.8 '!Q77</f>
        <v>-40.200000000000003</v>
      </c>
      <c r="R36" s="125"/>
      <c r="S36" s="125">
        <f>+'S8.8 '!S61+'S8.8 '!S69+'S8.8 '!S77</f>
        <v>-40.200000000000003</v>
      </c>
      <c r="T36" s="125"/>
      <c r="U36" s="125">
        <f>+'S8.8 '!U61+'S8.8 '!U69+'S8.8 '!U77</f>
        <v>-39.200000000000003</v>
      </c>
      <c r="V36" s="125"/>
      <c r="W36" s="125">
        <v>0</v>
      </c>
      <c r="X36" s="125"/>
      <c r="Y36" s="125">
        <v>0</v>
      </c>
      <c r="Z36" s="125"/>
    </row>
    <row r="37" spans="1:26">
      <c r="A37" s="166">
        <f t="shared" si="0"/>
        <v>29</v>
      </c>
      <c r="C37" s="463" t="s">
        <v>347</v>
      </c>
      <c r="F37" s="125"/>
      <c r="G37" s="145">
        <f>S9.1!F39</f>
        <v>9906</v>
      </c>
      <c r="H37" s="125"/>
      <c r="I37" s="145">
        <f>S9.1!H39</f>
        <v>6253</v>
      </c>
      <c r="J37" s="125"/>
      <c r="K37" s="145">
        <f>S9.1!J39</f>
        <v>9388</v>
      </c>
      <c r="L37" s="125"/>
      <c r="M37" s="145">
        <v>14297</v>
      </c>
      <c r="N37" s="138"/>
      <c r="O37" s="145">
        <f>+S9.1!N39</f>
        <v>14590.403</v>
      </c>
      <c r="P37" s="138"/>
      <c r="Q37" s="145">
        <f>+S9.1!P39</f>
        <v>20281.716</v>
      </c>
      <c r="R37" s="138"/>
      <c r="S37" s="145">
        <f>+S9.1!R39</f>
        <v>22417.48</v>
      </c>
      <c r="T37" s="138"/>
      <c r="U37" s="145">
        <f>+S9.1!T39</f>
        <v>20819.735000000001</v>
      </c>
      <c r="V37" s="125"/>
      <c r="W37" s="145">
        <f>S9.1!V39</f>
        <v>9299</v>
      </c>
      <c r="X37" s="125"/>
      <c r="Y37" s="145">
        <f>S9.1!X39</f>
        <v>7718</v>
      </c>
      <c r="Z37" s="125"/>
    </row>
    <row r="38" spans="1:26">
      <c r="A38" s="166">
        <f t="shared" si="0"/>
        <v>30</v>
      </c>
      <c r="C38" s="463" t="s">
        <v>187</v>
      </c>
      <c r="G38" s="411">
        <f>SUM(G21:G37)</f>
        <v>48950.302930000005</v>
      </c>
      <c r="I38" s="411">
        <f>SUM(I21:I37)</f>
        <v>42128.077650000007</v>
      </c>
      <c r="K38" s="411">
        <f>SUM(K21:K37)</f>
        <v>46587.561660000007</v>
      </c>
      <c r="M38" s="411">
        <f>SUM(M21:M37)</f>
        <v>52858.366021000002</v>
      </c>
      <c r="N38" s="411"/>
      <c r="O38" s="411">
        <f>SUM(O21:O37)</f>
        <v>56725.097889999997</v>
      </c>
      <c r="P38" s="411"/>
      <c r="Q38" s="411">
        <f>SUM(Q21:Q37)</f>
        <v>64815.42612407104</v>
      </c>
      <c r="R38" s="411"/>
      <c r="S38" s="411">
        <f>SUM(S21:S37)</f>
        <v>69580.414551151742</v>
      </c>
      <c r="T38" s="411"/>
      <c r="U38" s="411">
        <f>SUM(U21:U37)</f>
        <v>69313.843317923951</v>
      </c>
      <c r="W38" s="411">
        <f>SUM(W21:W37)</f>
        <v>47765.67260822055</v>
      </c>
      <c r="Y38" s="411">
        <f>SUM(Y21:Y37)</f>
        <v>44720.970630753967</v>
      </c>
    </row>
    <row r="39" spans="1:26">
      <c r="A39" s="166">
        <f t="shared" si="0"/>
        <v>31</v>
      </c>
      <c r="C39" s="463" t="s">
        <v>180</v>
      </c>
      <c r="G39" s="306">
        <v>0.05</v>
      </c>
      <c r="I39" s="306">
        <v>0.05</v>
      </c>
      <c r="K39" s="306">
        <v>0.05</v>
      </c>
      <c r="M39" s="306">
        <v>0.05</v>
      </c>
      <c r="N39" s="338"/>
      <c r="O39" s="306">
        <v>0.05</v>
      </c>
      <c r="P39" s="338"/>
      <c r="Q39" s="306">
        <v>0.05</v>
      </c>
      <c r="R39" s="338"/>
      <c r="S39" s="306">
        <v>0.05</v>
      </c>
      <c r="T39" s="338"/>
      <c r="U39" s="306">
        <v>0.05</v>
      </c>
      <c r="W39" s="306">
        <f>W11</f>
        <v>0.05</v>
      </c>
      <c r="Y39" s="306">
        <f>Y11</f>
        <v>0.05</v>
      </c>
    </row>
    <row r="40" spans="1:26">
      <c r="A40" s="166">
        <f t="shared" si="0"/>
        <v>32</v>
      </c>
      <c r="C40" s="463" t="s">
        <v>208</v>
      </c>
      <c r="F40" s="451"/>
      <c r="G40" s="416">
        <f>G39*G38</f>
        <v>2447.5151465000004</v>
      </c>
      <c r="H40" s="451"/>
      <c r="I40" s="416">
        <f>I39*I38</f>
        <v>2106.4038825000002</v>
      </c>
      <c r="J40" s="451"/>
      <c r="K40" s="416">
        <f>K39*K38</f>
        <v>2329.3780830000005</v>
      </c>
      <c r="L40" s="451"/>
      <c r="M40" s="416">
        <f>M39*M38</f>
        <v>2642.9183010500001</v>
      </c>
      <c r="N40" s="416"/>
      <c r="O40" s="416">
        <f>O39*O38</f>
        <v>2836.2548944999999</v>
      </c>
      <c r="P40" s="416"/>
      <c r="Q40" s="416">
        <f>Q39*Q38</f>
        <v>3240.7713062035523</v>
      </c>
      <c r="R40" s="416"/>
      <c r="S40" s="416">
        <f>S39*S38</f>
        <v>3479.0207275575872</v>
      </c>
      <c r="T40" s="416"/>
      <c r="U40" s="416">
        <f>U39*U38</f>
        <v>3465.6921658961978</v>
      </c>
      <c r="V40" s="451"/>
      <c r="W40" s="416">
        <f>W39*W38</f>
        <v>2388.2836304110274</v>
      </c>
      <c r="X40" s="451"/>
      <c r="Y40" s="416">
        <f>Y39*Y38</f>
        <v>2236.0485315376986</v>
      </c>
      <c r="Z40" s="451"/>
    </row>
    <row r="41" spans="1:26">
      <c r="A41" s="166">
        <f t="shared" si="0"/>
        <v>33</v>
      </c>
    </row>
    <row r="42" spans="1:26">
      <c r="A42" s="166">
        <f t="shared" si="0"/>
        <v>34</v>
      </c>
      <c r="C42" s="463" t="s">
        <v>209</v>
      </c>
      <c r="F42" s="315"/>
      <c r="G42" s="315">
        <v>26</v>
      </c>
      <c r="H42" s="315"/>
      <c r="I42" s="315">
        <f>G42</f>
        <v>26</v>
      </c>
      <c r="J42" s="315"/>
      <c r="K42" s="315">
        <f>I42</f>
        <v>26</v>
      </c>
      <c r="L42" s="315"/>
      <c r="M42" s="315">
        <f>I42</f>
        <v>26</v>
      </c>
      <c r="N42" s="315"/>
      <c r="O42" s="315">
        <f>K42</f>
        <v>26</v>
      </c>
      <c r="P42" s="315"/>
      <c r="Q42" s="315">
        <f>M42</f>
        <v>26</v>
      </c>
      <c r="R42" s="315"/>
      <c r="S42" s="315">
        <f>O42</f>
        <v>26</v>
      </c>
      <c r="T42" s="315"/>
      <c r="U42" s="315">
        <f>Q42</f>
        <v>26</v>
      </c>
      <c r="V42" s="315"/>
      <c r="W42" s="315">
        <v>26</v>
      </c>
      <c r="X42" s="315"/>
      <c r="Y42" s="315">
        <v>26</v>
      </c>
      <c r="Z42" s="315"/>
    </row>
    <row r="43" spans="1:26">
      <c r="A43" s="166">
        <f t="shared" si="0"/>
        <v>35</v>
      </c>
      <c r="C43" s="463" t="s">
        <v>206</v>
      </c>
      <c r="F43" s="307"/>
      <c r="G43" s="308">
        <v>56.6</v>
      </c>
      <c r="H43" s="307"/>
      <c r="I43" s="308">
        <f>G43</f>
        <v>56.6</v>
      </c>
      <c r="J43" s="307"/>
      <c r="K43" s="308">
        <f>I43</f>
        <v>56.6</v>
      </c>
      <c r="L43" s="307"/>
      <c r="M43" s="308">
        <f>I43</f>
        <v>56.6</v>
      </c>
      <c r="N43" s="315"/>
      <c r="O43" s="308">
        <f>K43</f>
        <v>56.6</v>
      </c>
      <c r="P43" s="315"/>
      <c r="Q43" s="308">
        <f>M43</f>
        <v>56.6</v>
      </c>
      <c r="R43" s="315"/>
      <c r="S43" s="308">
        <f>O43</f>
        <v>56.6</v>
      </c>
      <c r="T43" s="315"/>
      <c r="U43" s="308">
        <f>Q43</f>
        <v>56.6</v>
      </c>
      <c r="V43" s="307"/>
      <c r="W43" s="308">
        <v>56.6</v>
      </c>
      <c r="X43" s="307"/>
      <c r="Y43" s="308">
        <v>56.6</v>
      </c>
      <c r="Z43" s="307"/>
    </row>
    <row r="44" spans="1:26">
      <c r="A44" s="166">
        <f t="shared" si="0"/>
        <v>36</v>
      </c>
      <c r="F44" s="316"/>
      <c r="G44" s="316">
        <f>G43-G42</f>
        <v>30.6</v>
      </c>
      <c r="H44" s="316"/>
      <c r="I44" s="316">
        <f>I43-I42</f>
        <v>30.6</v>
      </c>
      <c r="J44" s="316"/>
      <c r="K44" s="316">
        <f>K43-K42</f>
        <v>30.6</v>
      </c>
      <c r="L44" s="316"/>
      <c r="M44" s="316">
        <f>M43-M42</f>
        <v>30.6</v>
      </c>
      <c r="N44" s="316"/>
      <c r="O44" s="316">
        <f>O43-O42</f>
        <v>30.6</v>
      </c>
      <c r="P44" s="316"/>
      <c r="Q44" s="316">
        <f>Q43-Q42</f>
        <v>30.6</v>
      </c>
      <c r="R44" s="316"/>
      <c r="S44" s="316">
        <f>S43-S42</f>
        <v>30.6</v>
      </c>
      <c r="T44" s="316"/>
      <c r="U44" s="316">
        <f>U43-U42</f>
        <v>30.6</v>
      </c>
      <c r="V44" s="316"/>
      <c r="W44" s="316">
        <f>W43-W42</f>
        <v>30.6</v>
      </c>
      <c r="X44" s="316"/>
      <c r="Y44" s="316">
        <f>Y43-Y42</f>
        <v>30.6</v>
      </c>
      <c r="Z44" s="316"/>
    </row>
    <row r="45" spans="1:26">
      <c r="A45" s="166">
        <f t="shared" si="0"/>
        <v>37</v>
      </c>
      <c r="W45" s="411"/>
    </row>
    <row r="46" spans="1:26">
      <c r="A46" s="166">
        <f t="shared" si="0"/>
        <v>38</v>
      </c>
      <c r="C46" s="463" t="s">
        <v>207</v>
      </c>
      <c r="E46" s="166" t="s">
        <v>663</v>
      </c>
      <c r="G46" s="395">
        <f>G40*G44/365</f>
        <v>205.18894104904112</v>
      </c>
      <c r="I46" s="395">
        <f>I40*I44/365</f>
        <v>176.59166795753427</v>
      </c>
      <c r="K46" s="395">
        <f>K40*K44/365</f>
        <v>195.28484750630145</v>
      </c>
      <c r="M46" s="395">
        <f>M40*M44/365</f>
        <v>221.57068496473971</v>
      </c>
      <c r="N46" s="416"/>
      <c r="O46" s="395">
        <f>O40*O44/365</f>
        <v>237.77917745671235</v>
      </c>
      <c r="P46" s="416"/>
      <c r="Q46" s="395">
        <f>Q40*Q44/365</f>
        <v>271.6920601913115</v>
      </c>
      <c r="R46" s="416"/>
      <c r="S46" s="395">
        <f>S40*S44/365</f>
        <v>291.66584729660872</v>
      </c>
      <c r="T46" s="416"/>
      <c r="U46" s="395">
        <f>U40*U44/365</f>
        <v>290.54843911348951</v>
      </c>
      <c r="W46" s="395">
        <f>W40*W44/365</f>
        <v>200.22323038514367</v>
      </c>
      <c r="Y46" s="395">
        <f>Y40*Y44/365</f>
        <v>187.46050702754408</v>
      </c>
    </row>
    <row r="47" spans="1:26">
      <c r="A47" s="166">
        <f t="shared" si="0"/>
        <v>39</v>
      </c>
      <c r="W47" s="411"/>
    </row>
    <row r="48" spans="1:26" ht="15.75" thickBot="1">
      <c r="A48" s="166">
        <f t="shared" si="0"/>
        <v>40</v>
      </c>
      <c r="C48" s="463" t="s">
        <v>348</v>
      </c>
      <c r="E48" s="166" t="s">
        <v>590</v>
      </c>
      <c r="G48" s="317">
        <f>G18+G46</f>
        <v>114.66115078167736</v>
      </c>
      <c r="I48" s="317">
        <f>I18+I46</f>
        <v>90.303199347461316</v>
      </c>
      <c r="K48" s="317">
        <f>K18+K46</f>
        <v>105.30102779235087</v>
      </c>
      <c r="M48" s="317">
        <f>M18+M46</f>
        <v>128.90299396816516</v>
      </c>
      <c r="N48" s="416"/>
      <c r="O48" s="317">
        <f>O18+O46</f>
        <v>137.29534009253121</v>
      </c>
      <c r="P48" s="416"/>
      <c r="Q48" s="317">
        <f>Q18+Q46</f>
        <v>163.28046698763001</v>
      </c>
      <c r="R48" s="416"/>
      <c r="S48" s="317">
        <f>S18+S46</f>
        <v>175.62248508832448</v>
      </c>
      <c r="T48" s="416"/>
      <c r="U48" s="317">
        <f>U18+U46</f>
        <v>169.54911258838655</v>
      </c>
      <c r="W48" s="317">
        <f>W18+W46</f>
        <v>111.33641989486907</v>
      </c>
      <c r="Y48" s="317">
        <f>Y18+Y46</f>
        <v>97.734716796754086</v>
      </c>
    </row>
    <row r="49" spans="1:1">
      <c r="A49" s="166"/>
    </row>
  </sheetData>
  <customSheetViews>
    <customSheetView guid="{275E5119-9E8C-43ED-ACD2-DF40CF10B219}" scale="70" fitToPage="1">
      <selection activeCell="M47" sqref="M47"/>
      <pageMargins left="0.5" right="0.47" top="0.55000000000000004" bottom="1" header="0.5" footer="0.5"/>
      <pageSetup scale="64" orientation="landscape" horizontalDpi="4294967292" verticalDpi="4294967292" r:id="rId1"/>
      <headerFooter alignWithMargins="0"/>
    </customSheetView>
    <customSheetView guid="{D346ECD1-ED60-4F74-8B02-572F89E41ACB}" scale="70" showPageBreaks="1" fitToPage="1" showRuler="0">
      <selection activeCell="M47" sqref="M47"/>
      <pageMargins left="0.5" right="0.47" top="0.55000000000000004" bottom="1" header="0.5" footer="0.5"/>
      <pageSetup scale="52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ageMargins left="0.5" right="0.47" top="0.55000000000000004" bottom="1" header="0.5" footer="0.5"/>
  <pageSetup scale="54" orientation="landscape" r:id="rId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5" enableFormatConditionsCalculation="0">
    <pageSetUpPr fitToPage="1"/>
  </sheetPr>
  <dimension ref="A1:Z29"/>
  <sheetViews>
    <sheetView zoomScaleNormal="100" zoomScaleSheetLayoutView="85" workbookViewId="0">
      <selection activeCell="P14" sqref="P14"/>
    </sheetView>
  </sheetViews>
  <sheetFormatPr defaultRowHeight="15"/>
  <cols>
    <col min="1" max="1" width="9.140625" style="530"/>
    <col min="2" max="2" width="46.7109375" style="530" bestFit="1" customWidth="1"/>
    <col min="3" max="3" width="2.28515625" style="445" customWidth="1"/>
    <col min="4" max="4" width="12.140625" style="531" customWidth="1"/>
    <col min="5" max="5" width="2.7109375" style="530" customWidth="1"/>
    <col min="6" max="6" width="12.140625" style="530" customWidth="1"/>
    <col min="7" max="7" width="2.28515625" style="530" customWidth="1"/>
    <col min="8" max="8" width="12.140625" style="530" customWidth="1"/>
    <col min="9" max="9" width="2.28515625" style="530" customWidth="1"/>
    <col min="10" max="10" width="12.140625" style="530" customWidth="1"/>
    <col min="11" max="11" width="2.28515625" style="530" customWidth="1"/>
    <col min="12" max="12" width="12.140625" style="530" customWidth="1"/>
    <col min="13" max="13" width="2.28515625" style="530" customWidth="1"/>
    <col min="14" max="14" width="12.140625" style="530" customWidth="1"/>
    <col min="15" max="15" width="2.28515625" style="530" customWidth="1"/>
    <col min="16" max="16" width="12.140625" style="530" customWidth="1"/>
    <col min="17" max="17" width="2.28515625" style="530" customWidth="1"/>
    <col min="18" max="18" width="12.140625" style="530" customWidth="1"/>
    <col min="19" max="19" width="2.28515625" style="530" customWidth="1"/>
    <col min="20" max="20" width="12.140625" style="530" customWidth="1"/>
    <col min="21" max="21" width="2.28515625" style="530" customWidth="1"/>
    <col min="22" max="22" width="12.140625" style="530" customWidth="1"/>
    <col min="23" max="23" width="2.28515625" style="530" customWidth="1"/>
    <col min="24" max="24" width="12.140625" style="530" customWidth="1"/>
    <col min="25" max="25" width="2.28515625" style="530" customWidth="1"/>
    <col min="26" max="26" width="8.28515625" style="530" customWidth="1"/>
    <col min="27" max="16384" width="9.140625" style="530"/>
  </cols>
  <sheetData>
    <row r="1" spans="1:26" ht="15.75">
      <c r="Y1" s="109" t="s">
        <v>539</v>
      </c>
    </row>
    <row r="2" spans="1:26" ht="15.75">
      <c r="A2" s="822" t="s">
        <v>540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822"/>
      <c r="V2" s="822"/>
      <c r="W2" s="573"/>
    </row>
    <row r="3" spans="1:26" ht="15.75">
      <c r="A3" s="822" t="s">
        <v>463</v>
      </c>
      <c r="B3" s="822"/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822"/>
      <c r="O3" s="822"/>
      <c r="P3" s="822"/>
      <c r="Q3" s="822"/>
      <c r="R3" s="822"/>
      <c r="S3" s="822"/>
      <c r="T3" s="822"/>
      <c r="U3" s="822"/>
      <c r="V3" s="822"/>
      <c r="W3" s="573"/>
      <c r="X3" s="573"/>
    </row>
    <row r="4" spans="1:26" ht="15.75">
      <c r="A4" s="822" t="s">
        <v>171</v>
      </c>
      <c r="B4" s="822"/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822"/>
      <c r="R4" s="822"/>
      <c r="S4" s="822"/>
      <c r="T4" s="822"/>
      <c r="U4" s="822"/>
      <c r="V4" s="822"/>
      <c r="W4" s="573"/>
      <c r="X4" s="573"/>
    </row>
    <row r="5" spans="1:26" ht="15.75">
      <c r="A5" s="828" t="s">
        <v>109</v>
      </c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828"/>
      <c r="O5" s="828"/>
      <c r="P5" s="828"/>
      <c r="Q5" s="828"/>
      <c r="R5" s="828"/>
      <c r="S5" s="828"/>
      <c r="T5" s="828"/>
      <c r="U5" s="828"/>
      <c r="V5" s="828"/>
      <c r="W5" s="579"/>
      <c r="X5" s="579"/>
    </row>
    <row r="6" spans="1:26" ht="15.75">
      <c r="E6" s="463"/>
      <c r="F6" s="463"/>
      <c r="G6" s="463"/>
      <c r="H6" s="463"/>
      <c r="I6" s="463"/>
      <c r="J6" s="463"/>
      <c r="K6" s="463"/>
      <c r="L6" s="463"/>
      <c r="M6" s="463"/>
      <c r="N6" s="400"/>
      <c r="O6" s="400"/>
      <c r="P6" s="573"/>
      <c r="Q6" s="400"/>
      <c r="R6" s="573"/>
      <c r="S6" s="400"/>
      <c r="T6" s="573"/>
      <c r="U6" s="463"/>
      <c r="V6" s="573" t="s">
        <v>459</v>
      </c>
      <c r="W6" s="463"/>
      <c r="X6" s="573" t="s">
        <v>459</v>
      </c>
    </row>
    <row r="7" spans="1:26" ht="15.75">
      <c r="A7" s="573" t="s">
        <v>33</v>
      </c>
      <c r="D7" s="573" t="s">
        <v>34</v>
      </c>
      <c r="E7" s="463"/>
      <c r="F7" s="273" t="s">
        <v>25</v>
      </c>
      <c r="G7" s="463"/>
      <c r="H7" s="273" t="s">
        <v>25</v>
      </c>
      <c r="I7" s="463"/>
      <c r="J7" s="273" t="s">
        <v>25</v>
      </c>
      <c r="K7" s="463"/>
      <c r="L7" s="273" t="s">
        <v>25</v>
      </c>
      <c r="M7" s="273"/>
      <c r="N7" s="573" t="s">
        <v>25</v>
      </c>
      <c r="O7" s="573"/>
      <c r="P7" s="819" t="s">
        <v>330</v>
      </c>
      <c r="Q7" s="819"/>
      <c r="R7" s="819"/>
      <c r="S7" s="819"/>
      <c r="T7" s="819"/>
      <c r="U7" s="463"/>
      <c r="V7" s="573" t="s">
        <v>15</v>
      </c>
      <c r="W7" s="573"/>
      <c r="X7" s="573" t="s">
        <v>15</v>
      </c>
    </row>
    <row r="8" spans="1:26" ht="15.75">
      <c r="A8" s="572" t="s">
        <v>35</v>
      </c>
      <c r="B8" s="444" t="s">
        <v>178</v>
      </c>
      <c r="C8" s="113"/>
      <c r="D8" s="572" t="s">
        <v>36</v>
      </c>
      <c r="E8" s="463"/>
      <c r="F8" s="519">
        <v>2008</v>
      </c>
      <c r="G8" s="528"/>
      <c r="H8" s="519">
        <v>2009</v>
      </c>
      <c r="I8" s="528"/>
      <c r="J8" s="519">
        <v>2010</v>
      </c>
      <c r="K8" s="528"/>
      <c r="L8" s="519">
        <v>2011</v>
      </c>
      <c r="M8" s="524"/>
      <c r="N8" s="522">
        <v>2012</v>
      </c>
      <c r="O8" s="524"/>
      <c r="P8" s="522">
        <v>2013</v>
      </c>
      <c r="Q8" s="524"/>
      <c r="R8" s="522">
        <v>2014</v>
      </c>
      <c r="S8" s="524"/>
      <c r="T8" s="522">
        <v>2015</v>
      </c>
      <c r="U8" s="528"/>
      <c r="V8" s="519">
        <v>2008</v>
      </c>
      <c r="W8" s="528"/>
      <c r="X8" s="519">
        <v>2009</v>
      </c>
      <c r="Y8" s="527"/>
      <c r="Z8" s="573"/>
    </row>
    <row r="9" spans="1:26"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V9" s="463"/>
      <c r="W9" s="463"/>
      <c r="X9" s="463"/>
    </row>
    <row r="10" spans="1:26" ht="15.75">
      <c r="A10" s="520">
        <f>A9+1</f>
        <v>1</v>
      </c>
      <c r="B10" s="422" t="s">
        <v>72</v>
      </c>
      <c r="C10" s="113"/>
      <c r="D10" s="57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  <c r="W10" s="463"/>
      <c r="X10" s="463"/>
    </row>
    <row r="11" spans="1:26" ht="7.5" customHeight="1">
      <c r="A11" s="520"/>
      <c r="B11" s="422"/>
      <c r="C11" s="113"/>
      <c r="D11" s="57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  <c r="P11" s="463"/>
      <c r="Q11" s="463"/>
      <c r="R11" s="463"/>
      <c r="S11" s="463"/>
      <c r="T11" s="463"/>
      <c r="U11" s="463"/>
      <c r="V11" s="463"/>
      <c r="W11" s="463"/>
      <c r="X11" s="463"/>
    </row>
    <row r="12" spans="1:26">
      <c r="A12" s="520">
        <v>2</v>
      </c>
      <c r="B12" s="530" t="s">
        <v>166</v>
      </c>
      <c r="E12" s="463"/>
      <c r="F12" s="125">
        <v>36205</v>
      </c>
      <c r="G12" s="463"/>
      <c r="H12" s="125">
        <f>+F17</f>
        <v>38338</v>
      </c>
      <c r="I12" s="463"/>
      <c r="J12" s="125">
        <f>+H17</f>
        <v>41379</v>
      </c>
      <c r="K12" s="463"/>
      <c r="L12" s="125">
        <f>+J17</f>
        <v>44938</v>
      </c>
      <c r="M12" s="125"/>
      <c r="N12" s="125">
        <f>+L17</f>
        <v>50503</v>
      </c>
      <c r="O12" s="125"/>
      <c r="P12" s="125">
        <f>+N17</f>
        <v>54075</v>
      </c>
      <c r="Q12" s="125"/>
      <c r="R12" s="125">
        <f>+P17</f>
        <v>57851.142</v>
      </c>
      <c r="S12" s="125"/>
      <c r="T12" s="125">
        <f>+R17</f>
        <v>62404.142</v>
      </c>
      <c r="U12" s="463"/>
      <c r="V12" s="125">
        <v>36205</v>
      </c>
      <c r="W12" s="463"/>
      <c r="X12" s="125">
        <f>+V17</f>
        <v>38765</v>
      </c>
    </row>
    <row r="13" spans="1:26" ht="7.5" customHeight="1">
      <c r="A13" s="520"/>
      <c r="D13" s="166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125"/>
      <c r="W13" s="463"/>
      <c r="X13" s="125"/>
      <c r="Z13" s="463"/>
    </row>
    <row r="14" spans="1:26">
      <c r="A14" s="520">
        <v>3</v>
      </c>
      <c r="B14" s="530" t="s">
        <v>807</v>
      </c>
      <c r="D14" s="166"/>
      <c r="E14" s="463"/>
      <c r="F14" s="125">
        <v>2133</v>
      </c>
      <c r="G14" s="463"/>
      <c r="H14" s="125">
        <v>3072</v>
      </c>
      <c r="I14" s="463"/>
      <c r="J14" s="125">
        <v>3771</v>
      </c>
      <c r="K14" s="463"/>
      <c r="L14" s="125">
        <v>5732</v>
      </c>
      <c r="M14" s="125"/>
      <c r="N14" s="125">
        <v>3618</v>
      </c>
      <c r="O14" s="125"/>
      <c r="P14" s="125">
        <v>3918.1419999999998</v>
      </c>
      <c r="Q14" s="125"/>
      <c r="R14" s="125">
        <v>4695</v>
      </c>
      <c r="S14" s="125"/>
      <c r="T14" s="125">
        <v>4426</v>
      </c>
      <c r="U14" s="463"/>
      <c r="V14" s="125">
        <v>2560</v>
      </c>
      <c r="W14" s="463"/>
      <c r="X14" s="125">
        <v>2506</v>
      </c>
      <c r="Z14" s="463"/>
    </row>
    <row r="15" spans="1:26">
      <c r="A15" s="520">
        <v>4</v>
      </c>
      <c r="B15" s="530" t="s">
        <v>167</v>
      </c>
      <c r="D15" s="166"/>
      <c r="E15" s="463"/>
      <c r="F15" s="145">
        <v>0</v>
      </c>
      <c r="G15" s="463"/>
      <c r="H15" s="145">
        <v>-31</v>
      </c>
      <c r="I15" s="463"/>
      <c r="J15" s="145">
        <v>-212</v>
      </c>
      <c r="K15" s="463"/>
      <c r="L15" s="145">
        <v>-167</v>
      </c>
      <c r="M15" s="138"/>
      <c r="N15" s="145">
        <v>-46</v>
      </c>
      <c r="O15" s="138"/>
      <c r="P15" s="145">
        <v>-142</v>
      </c>
      <c r="Q15" s="138"/>
      <c r="R15" s="145">
        <v>-142</v>
      </c>
      <c r="S15" s="138"/>
      <c r="T15" s="145">
        <v>-142</v>
      </c>
      <c r="U15" s="463"/>
      <c r="V15" s="145">
        <v>0</v>
      </c>
      <c r="W15" s="463"/>
      <c r="X15" s="145">
        <v>0</v>
      </c>
      <c r="Z15" s="438"/>
    </row>
    <row r="16" spans="1:26" ht="7.5" customHeight="1">
      <c r="A16" s="520"/>
      <c r="D16" s="166"/>
      <c r="E16" s="463"/>
      <c r="F16" s="125"/>
      <c r="G16" s="463"/>
      <c r="H16" s="125"/>
      <c r="I16" s="463"/>
      <c r="J16" s="125"/>
      <c r="K16" s="463"/>
      <c r="L16" s="125"/>
      <c r="M16" s="125"/>
      <c r="N16" s="125"/>
      <c r="O16" s="125"/>
      <c r="P16" s="125"/>
      <c r="Q16" s="125"/>
      <c r="R16" s="125"/>
      <c r="S16" s="125"/>
      <c r="T16" s="125"/>
      <c r="U16" s="463"/>
      <c r="V16" s="125"/>
      <c r="W16" s="463"/>
      <c r="X16" s="125"/>
      <c r="Z16" s="463"/>
    </row>
    <row r="17" spans="1:26">
      <c r="A17" s="520">
        <v>5</v>
      </c>
      <c r="B17" s="530" t="s">
        <v>168</v>
      </c>
      <c r="D17" s="166"/>
      <c r="E17" s="463"/>
      <c r="F17" s="125">
        <f>SUM(F12:F15)</f>
        <v>38338</v>
      </c>
      <c r="G17" s="463"/>
      <c r="H17" s="125">
        <f>SUM(H12:H15)</f>
        <v>41379</v>
      </c>
      <c r="I17" s="463"/>
      <c r="J17" s="125">
        <f>SUM(J12:J15)</f>
        <v>44938</v>
      </c>
      <c r="K17" s="463"/>
      <c r="L17" s="125">
        <f>SUM(L12:L15)</f>
        <v>50503</v>
      </c>
      <c r="M17" s="125"/>
      <c r="N17" s="125">
        <f>SUM(N12:N15)</f>
        <v>54075</v>
      </c>
      <c r="O17" s="125"/>
      <c r="P17" s="125">
        <f>SUM(P12:P15)</f>
        <v>57851.142</v>
      </c>
      <c r="Q17" s="125"/>
      <c r="R17" s="125">
        <f>SUM(R12:R15)</f>
        <v>62404.142</v>
      </c>
      <c r="S17" s="125"/>
      <c r="T17" s="125">
        <f>SUM(T12:T15)</f>
        <v>66688.141999999993</v>
      </c>
      <c r="U17" s="463"/>
      <c r="V17" s="125">
        <f>SUM(V12:V15)</f>
        <v>38765</v>
      </c>
      <c r="W17" s="463"/>
      <c r="X17" s="125">
        <f>SUM(X12:X15)</f>
        <v>41271</v>
      </c>
      <c r="Z17" s="438"/>
    </row>
    <row r="18" spans="1:26" ht="7.5" customHeight="1">
      <c r="A18" s="520"/>
      <c r="D18" s="166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125"/>
      <c r="W18" s="463"/>
      <c r="X18" s="125"/>
      <c r="Z18" s="463"/>
    </row>
    <row r="19" spans="1:26" ht="15.75">
      <c r="A19" s="520">
        <v>6</v>
      </c>
      <c r="B19" s="422" t="s">
        <v>71</v>
      </c>
      <c r="C19" s="113"/>
      <c r="D19" s="576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125"/>
      <c r="W19" s="463"/>
      <c r="X19" s="125"/>
      <c r="Z19" s="463"/>
    </row>
    <row r="20" spans="1:26" ht="7.5" customHeight="1">
      <c r="A20" s="520"/>
      <c r="D20" s="166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125"/>
      <c r="W20" s="463"/>
      <c r="X20" s="125"/>
      <c r="Z20" s="463"/>
    </row>
    <row r="21" spans="1:26">
      <c r="A21" s="520">
        <v>7</v>
      </c>
      <c r="B21" s="530" t="s">
        <v>305</v>
      </c>
      <c r="D21" s="166"/>
      <c r="E21" s="463"/>
      <c r="F21" s="125">
        <v>13709</v>
      </c>
      <c r="G21" s="463"/>
      <c r="H21" s="125">
        <f>+F26</f>
        <v>14689</v>
      </c>
      <c r="I21" s="463"/>
      <c r="J21" s="125">
        <f>+H26</f>
        <v>15791</v>
      </c>
      <c r="K21" s="463"/>
      <c r="L21" s="125">
        <f>+J26</f>
        <v>16800</v>
      </c>
      <c r="M21" s="125"/>
      <c r="N21" s="125">
        <f>+L26</f>
        <v>17922</v>
      </c>
      <c r="O21" s="125"/>
      <c r="P21" s="125">
        <f>+N26</f>
        <v>19247</v>
      </c>
      <c r="Q21" s="125"/>
      <c r="R21" s="125">
        <f>+P26</f>
        <v>20549</v>
      </c>
      <c r="S21" s="125"/>
      <c r="T21" s="125">
        <f>+R26</f>
        <v>21964</v>
      </c>
      <c r="U21" s="463"/>
      <c r="V21" s="125">
        <v>13709</v>
      </c>
      <c r="W21" s="463"/>
      <c r="X21" s="125">
        <f>+V26</f>
        <v>14671.986724648999</v>
      </c>
    </row>
    <row r="22" spans="1:26" ht="7.5" customHeight="1">
      <c r="A22" s="520"/>
      <c r="B22" s="530" t="s">
        <v>27</v>
      </c>
      <c r="D22" s="166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Z22" s="463"/>
    </row>
    <row r="23" spans="1:26">
      <c r="A23" s="520">
        <v>8</v>
      </c>
      <c r="B23" s="530" t="s">
        <v>169</v>
      </c>
      <c r="D23" s="166" t="s">
        <v>320</v>
      </c>
      <c r="E23" s="463"/>
      <c r="F23" s="125">
        <v>980</v>
      </c>
      <c r="G23" s="463"/>
      <c r="H23" s="125">
        <v>1133</v>
      </c>
      <c r="I23" s="463"/>
      <c r="J23" s="125">
        <v>1221</v>
      </c>
      <c r="K23" s="463"/>
      <c r="L23" s="125">
        <v>1289</v>
      </c>
      <c r="M23" s="125"/>
      <c r="N23" s="125">
        <f>1371</f>
        <v>1371</v>
      </c>
      <c r="O23" s="125"/>
      <c r="P23" s="125">
        <v>1444</v>
      </c>
      <c r="Q23" s="125"/>
      <c r="R23" s="125">
        <v>1557</v>
      </c>
      <c r="S23" s="125"/>
      <c r="T23" s="125">
        <v>1749</v>
      </c>
      <c r="U23" s="463"/>
      <c r="V23" s="125">
        <v>962.98672464899994</v>
      </c>
      <c r="W23" s="463"/>
      <c r="X23" s="125">
        <v>1028.0848246490009</v>
      </c>
      <c r="Z23" s="463"/>
    </row>
    <row r="24" spans="1:26">
      <c r="A24" s="520">
        <f>A23+1</f>
        <v>9</v>
      </c>
      <c r="B24" s="530" t="s">
        <v>167</v>
      </c>
      <c r="D24" s="166"/>
      <c r="E24" s="463"/>
      <c r="F24" s="145">
        <v>0</v>
      </c>
      <c r="G24" s="463"/>
      <c r="H24" s="145">
        <v>-31</v>
      </c>
      <c r="I24" s="463"/>
      <c r="J24" s="145">
        <v>-212</v>
      </c>
      <c r="K24" s="463"/>
      <c r="L24" s="145">
        <f>+L15</f>
        <v>-167</v>
      </c>
      <c r="M24" s="138"/>
      <c r="N24" s="145">
        <f>+N15</f>
        <v>-46</v>
      </c>
      <c r="O24" s="138"/>
      <c r="P24" s="145">
        <f>+P15</f>
        <v>-142</v>
      </c>
      <c r="Q24" s="138"/>
      <c r="R24" s="145">
        <f>+R15</f>
        <v>-142</v>
      </c>
      <c r="S24" s="138"/>
      <c r="T24" s="145">
        <f>+T15</f>
        <v>-142</v>
      </c>
      <c r="U24" s="463"/>
      <c r="V24" s="145">
        <v>0</v>
      </c>
      <c r="W24" s="463"/>
      <c r="X24" s="145">
        <v>0</v>
      </c>
      <c r="Z24" s="463"/>
    </row>
    <row r="25" spans="1:26" ht="7.5" customHeight="1">
      <c r="A25" s="520"/>
      <c r="D25" s="166"/>
      <c r="E25" s="463"/>
      <c r="F25" s="125"/>
      <c r="G25" s="463"/>
      <c r="H25" s="125"/>
      <c r="I25" s="463"/>
      <c r="J25" s="125"/>
      <c r="K25" s="463"/>
      <c r="L25" s="125"/>
      <c r="M25" s="125"/>
      <c r="N25" s="125"/>
      <c r="O25" s="125"/>
      <c r="P25" s="125"/>
      <c r="Q25" s="125"/>
      <c r="R25" s="125"/>
      <c r="S25" s="125"/>
      <c r="T25" s="125"/>
      <c r="U25" s="463"/>
      <c r="V25" s="125"/>
      <c r="W25" s="463"/>
      <c r="X25" s="125"/>
      <c r="Z25" s="463"/>
    </row>
    <row r="26" spans="1:26">
      <c r="A26" s="520">
        <v>10</v>
      </c>
      <c r="B26" s="530" t="s">
        <v>306</v>
      </c>
      <c r="D26" s="166"/>
      <c r="E26" s="463"/>
      <c r="F26" s="125">
        <f>SUM(F21:F24)</f>
        <v>14689</v>
      </c>
      <c r="G26" s="463"/>
      <c r="H26" s="125">
        <f>SUM(H21:H24)</f>
        <v>15791</v>
      </c>
      <c r="I26" s="463"/>
      <c r="J26" s="125">
        <f>SUM(J21:J24)</f>
        <v>16800</v>
      </c>
      <c r="K26" s="463"/>
      <c r="L26" s="125">
        <f>SUM(L21:L24)</f>
        <v>17922</v>
      </c>
      <c r="M26" s="125"/>
      <c r="N26" s="125">
        <f>SUM(N21:N24)</f>
        <v>19247</v>
      </c>
      <c r="O26" s="125"/>
      <c r="P26" s="125">
        <f>SUM(P21:P24)</f>
        <v>20549</v>
      </c>
      <c r="Q26" s="125"/>
      <c r="R26" s="125">
        <f>SUM(R21:R24)</f>
        <v>21964</v>
      </c>
      <c r="S26" s="125"/>
      <c r="T26" s="125">
        <f>SUM(T21:T24)</f>
        <v>23571</v>
      </c>
      <c r="U26" s="463"/>
      <c r="V26" s="125">
        <f>SUM(V21:V24)</f>
        <v>14671.986724648999</v>
      </c>
      <c r="W26" s="463"/>
      <c r="X26" s="125">
        <f>SUM(X21:X24)</f>
        <v>15700.071549298</v>
      </c>
      <c r="Z26" s="463"/>
    </row>
    <row r="27" spans="1:26" ht="7.5" customHeight="1">
      <c r="A27" s="520"/>
      <c r="D27" s="166"/>
      <c r="E27" s="463"/>
      <c r="F27" s="125"/>
      <c r="G27" s="463"/>
      <c r="H27" s="125"/>
      <c r="I27" s="463"/>
      <c r="J27" s="125"/>
      <c r="K27" s="463"/>
      <c r="L27" s="125"/>
      <c r="M27" s="125"/>
      <c r="N27" s="125"/>
      <c r="O27" s="125"/>
      <c r="P27" s="125"/>
      <c r="Q27" s="125"/>
      <c r="R27" s="125"/>
      <c r="S27" s="125"/>
      <c r="T27" s="125"/>
      <c r="U27" s="463"/>
      <c r="V27" s="125"/>
      <c r="W27" s="463"/>
      <c r="X27" s="125"/>
      <c r="Z27" s="463"/>
    </row>
    <row r="28" spans="1:26" ht="15.75">
      <c r="A28" s="520">
        <v>11</v>
      </c>
      <c r="B28" s="422" t="s">
        <v>170</v>
      </c>
      <c r="C28" s="113"/>
      <c r="D28" s="166" t="s">
        <v>277</v>
      </c>
      <c r="E28" s="463"/>
      <c r="F28" s="580">
        <f>+F17-F26</f>
        <v>23649</v>
      </c>
      <c r="G28" s="463"/>
      <c r="H28" s="580">
        <f>+H17-H26</f>
        <v>25588</v>
      </c>
      <c r="I28" s="463"/>
      <c r="J28" s="580">
        <f>+J17-J26</f>
        <v>28138</v>
      </c>
      <c r="K28" s="463"/>
      <c r="L28" s="580">
        <f>+L17-L26</f>
        <v>32581</v>
      </c>
      <c r="M28" s="190"/>
      <c r="N28" s="580">
        <f>+N17-N26</f>
        <v>34828</v>
      </c>
      <c r="O28" s="190"/>
      <c r="P28" s="580">
        <f>+P17-P26</f>
        <v>37302.142</v>
      </c>
      <c r="Q28" s="190"/>
      <c r="R28" s="580">
        <f>+R17-R26</f>
        <v>40440.142</v>
      </c>
      <c r="S28" s="190"/>
      <c r="T28" s="580">
        <f>+T17-T26</f>
        <v>43117.141999999993</v>
      </c>
      <c r="U28" s="463"/>
      <c r="V28" s="580">
        <f>+V17-V26</f>
        <v>24093.013275351001</v>
      </c>
      <c r="W28" s="463"/>
      <c r="X28" s="580">
        <f>+X17-X26</f>
        <v>25570.928450701998</v>
      </c>
      <c r="Z28" s="463"/>
    </row>
    <row r="29" spans="1:26">
      <c r="A29" s="520"/>
      <c r="D29" s="166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3"/>
      <c r="S29" s="463"/>
      <c r="T29" s="463"/>
      <c r="U29" s="463"/>
      <c r="V29" s="463"/>
      <c r="W29" s="463"/>
      <c r="X29" s="463"/>
      <c r="Z29" s="463"/>
    </row>
  </sheetData>
  <customSheetViews>
    <customSheetView guid="{275E5119-9E8C-43ED-ACD2-DF40CF10B219}" scale="75">
      <selection activeCell="J23" sqref="J23"/>
      <pageMargins left="0.57999999999999996" right="0.56999999999999995" top="1" bottom="1" header="0.5" footer="0.5"/>
      <pageSetup scale="80" fitToHeight="2" orientation="landscape" r:id="rId1"/>
      <headerFooter alignWithMargins="0"/>
    </customSheetView>
    <customSheetView guid="{D346ECD1-ED60-4F74-8B02-572F89E41ACB}" scale="75" showPageBreaks="1" showRuler="0">
      <selection activeCell="J23" sqref="J23"/>
      <pageMargins left="0.57999999999999996" right="0.56999999999999995" top="1" bottom="1" header="0.5" footer="0.5"/>
      <pageSetup scale="80" fitToHeight="2" orientation="landscape" r:id="rId2"/>
      <headerFooter alignWithMargins="0"/>
    </customSheetView>
  </customSheetViews>
  <mergeCells count="5">
    <mergeCell ref="A2:V2"/>
    <mergeCell ref="A3:V3"/>
    <mergeCell ref="A4:V4"/>
    <mergeCell ref="A5:V5"/>
    <mergeCell ref="P7:T7"/>
  </mergeCells>
  <phoneticPr fontId="11" type="noConversion"/>
  <pageMargins left="0.57999999999999996" right="0.56999999999999995" top="1" bottom="1" header="0.5" footer="0.5"/>
  <pageSetup scale="59" orientation="landscape" r:id="rId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6" enableFormatConditionsCalculation="0">
    <pageSetUpPr fitToPage="1"/>
  </sheetPr>
  <dimension ref="A1:Y44"/>
  <sheetViews>
    <sheetView zoomScale="85" zoomScaleNormal="85" zoomScaleSheetLayoutView="70" workbookViewId="0">
      <selection activeCell="AD28" sqref="AD28"/>
    </sheetView>
  </sheetViews>
  <sheetFormatPr defaultRowHeight="15"/>
  <cols>
    <col min="1" max="1" width="6" style="74" bestFit="1" customWidth="1"/>
    <col min="2" max="2" width="40" style="76" bestFit="1" customWidth="1"/>
    <col min="3" max="3" width="2.28515625" style="76" customWidth="1"/>
    <col min="4" max="4" width="12.5703125" style="76" bestFit="1" customWidth="1"/>
    <col min="5" max="5" width="2.7109375" style="76" customWidth="1"/>
    <col min="6" max="6" width="12" style="76" customWidth="1"/>
    <col min="7" max="7" width="2.28515625" style="76" customWidth="1"/>
    <col min="8" max="8" width="12" style="76" customWidth="1"/>
    <col min="9" max="9" width="2.28515625" style="76" customWidth="1"/>
    <col min="10" max="10" width="12" style="76" customWidth="1"/>
    <col min="11" max="11" width="2.28515625" style="76" customWidth="1"/>
    <col min="12" max="12" width="12" style="76" customWidth="1"/>
    <col min="13" max="13" width="2.28515625" style="76" customWidth="1"/>
    <col min="14" max="14" width="12" style="76" customWidth="1"/>
    <col min="15" max="15" width="2.28515625" style="76" customWidth="1"/>
    <col min="16" max="16" width="12" style="76" customWidth="1"/>
    <col min="17" max="17" width="2.28515625" style="76" customWidth="1"/>
    <col min="18" max="18" width="12" style="76" customWidth="1"/>
    <col min="19" max="19" width="2.28515625" style="76" customWidth="1"/>
    <col min="20" max="20" width="12" style="76" customWidth="1"/>
    <col min="21" max="21" width="2.28515625" style="76" customWidth="1"/>
    <col min="22" max="22" width="12" style="76" customWidth="1"/>
    <col min="23" max="23" width="2.28515625" style="76" customWidth="1"/>
    <col min="24" max="24" width="12" style="76" customWidth="1"/>
    <col min="25" max="25" width="2.28515625" style="76" customWidth="1"/>
    <col min="26" max="16384" width="9.140625" style="80"/>
  </cols>
  <sheetData>
    <row r="1" spans="1:25" s="266" customFormat="1" ht="15.75">
      <c r="A1" s="61" t="s">
        <v>540</v>
      </c>
      <c r="B1" s="13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 t="s">
        <v>510</v>
      </c>
    </row>
    <row r="2" spans="1:25" s="266" customFormat="1" ht="15.75">
      <c r="A2" s="822" t="s">
        <v>463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822"/>
      <c r="V2" s="822"/>
      <c r="W2" s="822"/>
      <c r="X2" s="822"/>
      <c r="Y2" s="78"/>
    </row>
    <row r="3" spans="1:25" s="267" customFormat="1" ht="15.75">
      <c r="A3" s="822" t="s">
        <v>233</v>
      </c>
      <c r="B3" s="822"/>
      <c r="C3" s="822"/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822"/>
      <c r="O3" s="822"/>
      <c r="P3" s="822"/>
      <c r="Q3" s="822"/>
      <c r="R3" s="822"/>
      <c r="S3" s="822"/>
      <c r="T3" s="822"/>
      <c r="U3" s="822"/>
      <c r="V3" s="822"/>
      <c r="W3" s="822"/>
      <c r="X3" s="822"/>
      <c r="Y3" s="79"/>
    </row>
    <row r="4" spans="1:25" ht="15.75">
      <c r="A4" s="829" t="s">
        <v>32</v>
      </c>
      <c r="B4" s="829"/>
      <c r="C4" s="829"/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  <c r="O4" s="829"/>
      <c r="P4" s="829"/>
      <c r="Q4" s="829"/>
      <c r="R4" s="829"/>
      <c r="S4" s="829"/>
      <c r="T4" s="829"/>
      <c r="U4" s="829"/>
      <c r="V4" s="829"/>
      <c r="W4" s="829"/>
      <c r="X4" s="829"/>
      <c r="Y4" s="80"/>
    </row>
    <row r="5" spans="1:25" s="268" customFormat="1" ht="15.75">
      <c r="A5" s="77"/>
      <c r="B5" s="75"/>
      <c r="C5" s="75"/>
      <c r="D5" s="75"/>
      <c r="E5" s="81"/>
      <c r="F5" s="81"/>
      <c r="G5" s="81"/>
      <c r="H5" s="81"/>
      <c r="I5" s="81"/>
      <c r="J5" s="81"/>
      <c r="K5" s="81"/>
      <c r="L5" s="81"/>
      <c r="M5" s="81"/>
      <c r="N5" s="284"/>
      <c r="O5" s="284"/>
      <c r="P5" s="431"/>
      <c r="Q5" s="284"/>
      <c r="R5" s="431"/>
      <c r="S5" s="284"/>
      <c r="T5" s="431"/>
      <c r="U5" s="463"/>
      <c r="V5" s="10" t="s">
        <v>459</v>
      </c>
      <c r="W5" s="463"/>
      <c r="X5" s="10" t="s">
        <v>459</v>
      </c>
      <c r="Y5" s="81"/>
    </row>
    <row r="6" spans="1:25" s="268" customFormat="1" ht="15.75">
      <c r="A6" s="65" t="s">
        <v>33</v>
      </c>
      <c r="B6" s="110"/>
      <c r="C6" s="110"/>
      <c r="D6" s="105" t="s">
        <v>34</v>
      </c>
      <c r="E6" s="272"/>
      <c r="F6" s="273" t="s">
        <v>25</v>
      </c>
      <c r="G6" s="272"/>
      <c r="H6" s="273" t="s">
        <v>25</v>
      </c>
      <c r="I6" s="272"/>
      <c r="J6" s="273" t="s">
        <v>25</v>
      </c>
      <c r="K6" s="272"/>
      <c r="L6" s="273" t="s">
        <v>25</v>
      </c>
      <c r="M6" s="272"/>
      <c r="N6" s="431" t="s">
        <v>25</v>
      </c>
      <c r="O6" s="431"/>
      <c r="P6" s="819" t="s">
        <v>330</v>
      </c>
      <c r="Q6" s="819"/>
      <c r="R6" s="819"/>
      <c r="S6" s="819"/>
      <c r="T6" s="819"/>
      <c r="U6" s="463"/>
      <c r="V6" s="10" t="s">
        <v>15</v>
      </c>
      <c r="W6" s="10"/>
      <c r="X6" s="10" t="s">
        <v>15</v>
      </c>
      <c r="Y6" s="82"/>
    </row>
    <row r="7" spans="1:25" s="268" customFormat="1" ht="15.75">
      <c r="A7" s="67" t="s">
        <v>35</v>
      </c>
      <c r="B7" s="111" t="s">
        <v>178</v>
      </c>
      <c r="C7" s="113"/>
      <c r="D7" s="104" t="s">
        <v>36</v>
      </c>
      <c r="E7" s="110"/>
      <c r="F7" s="104">
        <v>2008</v>
      </c>
      <c r="G7" s="110"/>
      <c r="H7" s="104">
        <v>2009</v>
      </c>
      <c r="I7" s="110"/>
      <c r="J7" s="104">
        <v>2010</v>
      </c>
      <c r="K7" s="110"/>
      <c r="L7" s="104">
        <v>2011</v>
      </c>
      <c r="M7" s="110"/>
      <c r="N7" s="17">
        <v>2012</v>
      </c>
      <c r="O7" s="281"/>
      <c r="P7" s="17">
        <v>2013</v>
      </c>
      <c r="Q7" s="281"/>
      <c r="R7" s="17">
        <v>2014</v>
      </c>
      <c r="S7" s="281"/>
      <c r="T7" s="17">
        <v>2015</v>
      </c>
      <c r="U7" s="463"/>
      <c r="V7" s="464">
        <v>2008</v>
      </c>
      <c r="W7" s="463"/>
      <c r="X7" s="464">
        <v>2009</v>
      </c>
      <c r="Y7" s="82"/>
    </row>
    <row r="8" spans="1:25" s="268" customFormat="1" ht="15.75">
      <c r="A8" s="77"/>
      <c r="B8" s="75"/>
      <c r="C8" s="75"/>
      <c r="D8" s="75"/>
      <c r="E8" s="82"/>
      <c r="F8" s="82"/>
      <c r="G8" s="82"/>
      <c r="H8" s="82"/>
      <c r="I8" s="82"/>
      <c r="J8" s="82"/>
      <c r="K8" s="82"/>
      <c r="L8" s="82"/>
      <c r="M8" s="82"/>
      <c r="N8" s="465"/>
      <c r="O8" s="465"/>
      <c r="P8" s="465"/>
      <c r="Q8" s="465"/>
      <c r="R8" s="465"/>
      <c r="S8" s="465"/>
      <c r="T8" s="465"/>
      <c r="U8" s="465"/>
      <c r="V8" s="465"/>
      <c r="W8" s="465"/>
      <c r="X8" s="465"/>
      <c r="Y8" s="82"/>
    </row>
    <row r="9" spans="1:25" s="268" customFormat="1">
      <c r="A9" s="74">
        <v>1</v>
      </c>
      <c r="B9" s="530" t="s">
        <v>895</v>
      </c>
      <c r="C9" s="75"/>
      <c r="D9" s="75"/>
      <c r="E9" s="176"/>
      <c r="F9" s="360">
        <v>1035</v>
      </c>
      <c r="G9" s="176"/>
      <c r="H9" s="174">
        <f>F43</f>
        <v>1771</v>
      </c>
      <c r="I9" s="175"/>
      <c r="J9" s="174">
        <f>H43</f>
        <v>555</v>
      </c>
      <c r="K9" s="175"/>
      <c r="L9" s="174">
        <f>+J43</f>
        <v>3095</v>
      </c>
      <c r="M9" s="176"/>
      <c r="N9" s="174">
        <f>+L43</f>
        <v>5767</v>
      </c>
      <c r="O9" s="176"/>
      <c r="P9" s="174">
        <f>+N43</f>
        <v>3241</v>
      </c>
      <c r="Q9" s="176"/>
      <c r="R9" s="174">
        <f>+P43</f>
        <v>1560.5067059999999</v>
      </c>
      <c r="S9" s="176"/>
      <c r="T9" s="174">
        <f>+R43</f>
        <v>960.50670600000001</v>
      </c>
      <c r="U9" s="176"/>
      <c r="V9" s="174">
        <v>1035</v>
      </c>
      <c r="W9" s="176"/>
      <c r="X9" s="174">
        <f>+V43</f>
        <v>620</v>
      </c>
      <c r="Y9" s="82"/>
    </row>
    <row r="10" spans="1:25" s="268" customFormat="1" ht="15.75">
      <c r="A10" s="74">
        <f>A9+1</f>
        <v>2</v>
      </c>
      <c r="B10" s="75"/>
      <c r="C10" s="75"/>
      <c r="D10" s="75"/>
      <c r="E10" s="176"/>
      <c r="F10" s="176"/>
      <c r="G10" s="176"/>
      <c r="H10" s="175"/>
      <c r="I10" s="175"/>
      <c r="J10" s="175"/>
      <c r="K10" s="175"/>
      <c r="L10" s="175"/>
      <c r="M10" s="176"/>
      <c r="N10" s="175"/>
      <c r="O10" s="176"/>
      <c r="P10" s="175"/>
      <c r="Q10" s="176"/>
      <c r="R10" s="175"/>
      <c r="S10" s="176"/>
      <c r="T10" s="175"/>
      <c r="U10" s="176"/>
      <c r="V10" s="177"/>
      <c r="W10" s="175"/>
      <c r="X10" s="177"/>
      <c r="Y10" s="82"/>
    </row>
    <row r="11" spans="1:25" s="268" customFormat="1" ht="15.75">
      <c r="A11" s="531">
        <f t="shared" ref="A11:A43" si="0">A10+1</f>
        <v>3</v>
      </c>
      <c r="B11" s="116" t="s">
        <v>244</v>
      </c>
      <c r="C11" s="75"/>
      <c r="D11" s="75"/>
      <c r="E11" s="176"/>
      <c r="F11" s="176"/>
      <c r="G11" s="176"/>
      <c r="H11" s="175"/>
      <c r="I11" s="175"/>
      <c r="J11" s="175"/>
      <c r="K11" s="175"/>
      <c r="L11" s="175"/>
      <c r="M11" s="176"/>
      <c r="N11" s="175"/>
      <c r="O11" s="176"/>
      <c r="P11" s="175"/>
      <c r="Q11" s="176"/>
      <c r="R11" s="175"/>
      <c r="S11" s="176"/>
      <c r="T11" s="175"/>
      <c r="U11" s="176"/>
      <c r="V11" s="177"/>
      <c r="W11" s="175"/>
      <c r="X11" s="177"/>
      <c r="Y11" s="82"/>
    </row>
    <row r="12" spans="1:25" s="268" customFormat="1">
      <c r="A12" s="531">
        <f t="shared" si="0"/>
        <v>4</v>
      </c>
      <c r="B12" s="183" t="s">
        <v>245</v>
      </c>
      <c r="C12" s="75"/>
      <c r="D12" s="75"/>
      <c r="E12" s="176"/>
      <c r="F12" s="360">
        <v>853</v>
      </c>
      <c r="G12" s="176"/>
      <c r="H12" s="174">
        <v>779</v>
      </c>
      <c r="I12" s="175"/>
      <c r="J12" s="174">
        <v>1810</v>
      </c>
      <c r="K12" s="175"/>
      <c r="L12" s="174">
        <v>1651.6849999999999</v>
      </c>
      <c r="M12" s="176"/>
      <c r="N12" s="174">
        <v>3115.105</v>
      </c>
      <c r="O12" s="176"/>
      <c r="P12" s="174">
        <v>6696.0579999999991</v>
      </c>
      <c r="Q12" s="176"/>
      <c r="R12" s="174">
        <v>7758.5</v>
      </c>
      <c r="S12" s="176"/>
      <c r="T12" s="174">
        <v>5900</v>
      </c>
      <c r="U12" s="176"/>
      <c r="V12" s="179">
        <v>1083</v>
      </c>
      <c r="W12" s="175"/>
      <c r="X12" s="179">
        <v>1193</v>
      </c>
      <c r="Y12" s="82"/>
    </row>
    <row r="13" spans="1:25" s="268" customFormat="1">
      <c r="A13" s="531">
        <f t="shared" si="0"/>
        <v>5</v>
      </c>
      <c r="B13" s="75"/>
      <c r="C13" s="75"/>
      <c r="D13" s="75"/>
      <c r="E13" s="176"/>
      <c r="F13" s="180">
        <f>SUM(F12:F12)</f>
        <v>853</v>
      </c>
      <c r="G13" s="176"/>
      <c r="H13" s="180">
        <f>SUM(H12:H12)</f>
        <v>779</v>
      </c>
      <c r="I13" s="175"/>
      <c r="J13" s="180">
        <f>SUM(J12:J12)</f>
        <v>1810</v>
      </c>
      <c r="K13" s="175"/>
      <c r="L13" s="180">
        <f>SUM(L12:L12)</f>
        <v>1651.6849999999999</v>
      </c>
      <c r="M13" s="176"/>
      <c r="N13" s="180">
        <f>SUM(N12:N12)</f>
        <v>3115.105</v>
      </c>
      <c r="O13" s="176"/>
      <c r="P13" s="180">
        <f>SUM(P12:P12)</f>
        <v>6696.0579999999991</v>
      </c>
      <c r="Q13" s="176"/>
      <c r="R13" s="180">
        <f>SUM(R12:R12)</f>
        <v>7758.5</v>
      </c>
      <c r="S13" s="176"/>
      <c r="T13" s="180">
        <f>SUM(T12:T12)</f>
        <v>5900</v>
      </c>
      <c r="U13" s="176"/>
      <c r="V13" s="180">
        <f>SUM(V12:V12)</f>
        <v>1083</v>
      </c>
      <c r="W13" s="175"/>
      <c r="X13" s="180">
        <f>SUM(X12:X12)</f>
        <v>1193</v>
      </c>
      <c r="Y13" s="82"/>
    </row>
    <row r="14" spans="1:25" s="268" customFormat="1" ht="15.75">
      <c r="A14" s="531">
        <f t="shared" si="0"/>
        <v>6</v>
      </c>
      <c r="B14" s="269" t="s">
        <v>359</v>
      </c>
      <c r="C14" s="75"/>
      <c r="D14" s="75"/>
      <c r="E14" s="176"/>
      <c r="F14" s="176"/>
      <c r="G14" s="176"/>
      <c r="H14" s="175"/>
      <c r="I14" s="175"/>
      <c r="J14" s="175"/>
      <c r="K14" s="175"/>
      <c r="L14" s="175"/>
      <c r="M14" s="176"/>
      <c r="N14" s="175"/>
      <c r="O14" s="176"/>
      <c r="P14" s="175"/>
      <c r="Q14" s="176"/>
      <c r="R14" s="175"/>
      <c r="S14" s="176"/>
      <c r="T14" s="175"/>
      <c r="U14" s="176"/>
      <c r="V14" s="177"/>
      <c r="W14" s="175"/>
      <c r="X14" s="177"/>
      <c r="Y14" s="82"/>
    </row>
    <row r="15" spans="1:25" s="268" customFormat="1">
      <c r="A15" s="531">
        <f t="shared" si="0"/>
        <v>7</v>
      </c>
      <c r="B15" s="183" t="s">
        <v>360</v>
      </c>
      <c r="C15" s="75"/>
      <c r="D15" s="75"/>
      <c r="E15" s="182"/>
      <c r="F15" s="179">
        <v>1035</v>
      </c>
      <c r="G15" s="182"/>
      <c r="H15" s="179">
        <v>0</v>
      </c>
      <c r="I15" s="181"/>
      <c r="J15" s="179">
        <v>0</v>
      </c>
      <c r="K15" s="181"/>
      <c r="L15" s="179"/>
      <c r="M15" s="182"/>
      <c r="N15" s="179">
        <v>0</v>
      </c>
      <c r="O15" s="182"/>
      <c r="P15" s="179">
        <v>0</v>
      </c>
      <c r="Q15" s="182"/>
      <c r="R15" s="179">
        <v>0</v>
      </c>
      <c r="S15" s="182"/>
      <c r="T15" s="179">
        <v>0</v>
      </c>
      <c r="U15" s="182"/>
      <c r="V15" s="179">
        <v>1008</v>
      </c>
      <c r="W15" s="181"/>
      <c r="X15" s="179">
        <v>0</v>
      </c>
      <c r="Y15" s="82"/>
    </row>
    <row r="16" spans="1:25" s="268" customFormat="1">
      <c r="A16" s="531">
        <f t="shared" si="0"/>
        <v>8</v>
      </c>
      <c r="B16" s="75"/>
      <c r="C16" s="75"/>
      <c r="D16" s="75"/>
      <c r="E16" s="182"/>
      <c r="F16" s="180">
        <f>SUM(F15)</f>
        <v>1035</v>
      </c>
      <c r="G16" s="182"/>
      <c r="H16" s="180">
        <f>SUM(H15)</f>
        <v>0</v>
      </c>
      <c r="I16" s="181"/>
      <c r="J16" s="180">
        <f>SUM(J15)</f>
        <v>0</v>
      </c>
      <c r="K16" s="181"/>
      <c r="L16" s="180">
        <f>SUM(L15)</f>
        <v>0</v>
      </c>
      <c r="M16" s="182"/>
      <c r="N16" s="180">
        <f>SUM(N15)</f>
        <v>0</v>
      </c>
      <c r="O16" s="182"/>
      <c r="P16" s="180">
        <f>SUM(P15)</f>
        <v>0</v>
      </c>
      <c r="Q16" s="182"/>
      <c r="R16" s="180">
        <f>SUM(R15)</f>
        <v>0</v>
      </c>
      <c r="S16" s="182"/>
      <c r="T16" s="180">
        <f>SUM(T15)</f>
        <v>0</v>
      </c>
      <c r="U16" s="182"/>
      <c r="V16" s="180">
        <f>SUM(V15)</f>
        <v>1008</v>
      </c>
      <c r="W16" s="181"/>
      <c r="X16" s="180">
        <f>SUM(X15)</f>
        <v>0</v>
      </c>
      <c r="Y16" s="82"/>
    </row>
    <row r="17" spans="1:25" ht="15.75">
      <c r="A17" s="531">
        <f t="shared" si="0"/>
        <v>9</v>
      </c>
      <c r="B17" s="116" t="s">
        <v>153</v>
      </c>
      <c r="C17" s="83"/>
      <c r="D17" s="83"/>
      <c r="E17" s="182"/>
      <c r="F17" s="182"/>
      <c r="G17" s="182"/>
      <c r="H17" s="181"/>
      <c r="I17" s="181"/>
      <c r="J17" s="181"/>
      <c r="K17" s="181"/>
      <c r="L17" s="181"/>
      <c r="M17" s="182"/>
      <c r="N17" s="181"/>
      <c r="O17" s="182"/>
      <c r="P17" s="181"/>
      <c r="Q17" s="182"/>
      <c r="R17" s="181"/>
      <c r="S17" s="182"/>
      <c r="T17" s="181"/>
      <c r="U17" s="182"/>
      <c r="V17" s="174"/>
      <c r="W17" s="181"/>
      <c r="X17" s="174"/>
    </row>
    <row r="18" spans="1:25">
      <c r="A18" s="531">
        <f t="shared" si="0"/>
        <v>10</v>
      </c>
      <c r="B18" s="83" t="s">
        <v>154</v>
      </c>
      <c r="C18" s="83"/>
      <c r="D18" s="121"/>
      <c r="E18" s="182"/>
      <c r="F18" s="360">
        <v>3244</v>
      </c>
      <c r="G18" s="182"/>
      <c r="H18" s="174">
        <v>3437</v>
      </c>
      <c r="I18" s="181"/>
      <c r="J18" s="174">
        <v>3396.5</v>
      </c>
      <c r="K18" s="181"/>
      <c r="L18" s="174">
        <v>6077.5</v>
      </c>
      <c r="M18" s="182"/>
      <c r="N18" s="174">
        <v>4918.5</v>
      </c>
      <c r="O18" s="182"/>
      <c r="P18" s="174">
        <v>5148.9279999999999</v>
      </c>
      <c r="Q18" s="182"/>
      <c r="R18" s="174">
        <v>5370</v>
      </c>
      <c r="S18" s="182"/>
      <c r="T18" s="174">
        <v>5570</v>
      </c>
      <c r="U18" s="182"/>
      <c r="V18" s="174">
        <v>3140.5</v>
      </c>
      <c r="W18" s="181"/>
      <c r="X18" s="174">
        <v>2961.5</v>
      </c>
    </row>
    <row r="19" spans="1:25">
      <c r="A19" s="531">
        <f t="shared" si="0"/>
        <v>11</v>
      </c>
      <c r="B19" s="83" t="s">
        <v>155</v>
      </c>
      <c r="C19" s="83"/>
      <c r="D19" s="121"/>
      <c r="E19" s="182"/>
      <c r="F19" s="360">
        <v>3395</v>
      </c>
      <c r="G19" s="182"/>
      <c r="H19" s="174">
        <v>1203</v>
      </c>
      <c r="I19" s="181"/>
      <c r="J19" s="174">
        <v>2250.5</v>
      </c>
      <c r="K19" s="181"/>
      <c r="L19" s="174">
        <v>4626.0219999999999</v>
      </c>
      <c r="M19" s="182"/>
      <c r="N19" s="174">
        <v>4017.95</v>
      </c>
      <c r="O19" s="182"/>
      <c r="P19" s="174">
        <v>4136.5</v>
      </c>
      <c r="Q19" s="182"/>
      <c r="R19" s="174">
        <v>4638</v>
      </c>
      <c r="S19" s="182"/>
      <c r="T19" s="174">
        <v>4084.2</v>
      </c>
      <c r="U19" s="182"/>
      <c r="V19" s="174">
        <v>2966.5</v>
      </c>
      <c r="W19" s="181"/>
      <c r="X19" s="174">
        <v>2531.5</v>
      </c>
    </row>
    <row r="20" spans="1:25">
      <c r="A20" s="531">
        <f t="shared" si="0"/>
        <v>12</v>
      </c>
      <c r="B20" s="83" t="s">
        <v>174</v>
      </c>
      <c r="C20" s="83"/>
      <c r="D20" s="121"/>
      <c r="E20" s="182"/>
      <c r="F20" s="360">
        <v>839</v>
      </c>
      <c r="G20" s="182"/>
      <c r="H20" s="174">
        <v>354</v>
      </c>
      <c r="I20" s="181"/>
      <c r="J20" s="174">
        <v>486</v>
      </c>
      <c r="K20" s="181"/>
      <c r="L20" s="174">
        <v>1045</v>
      </c>
      <c r="M20" s="182"/>
      <c r="N20" s="174">
        <v>456</v>
      </c>
      <c r="O20" s="182"/>
      <c r="P20" s="174">
        <v>420</v>
      </c>
      <c r="Q20" s="182"/>
      <c r="R20" s="174">
        <v>945</v>
      </c>
      <c r="S20" s="182"/>
      <c r="T20" s="174">
        <v>813</v>
      </c>
      <c r="U20" s="182"/>
      <c r="V20" s="174">
        <v>506</v>
      </c>
      <c r="W20" s="181"/>
      <c r="X20" s="174">
        <v>495</v>
      </c>
    </row>
    <row r="21" spans="1:25">
      <c r="A21" s="531">
        <f t="shared" si="0"/>
        <v>13</v>
      </c>
      <c r="B21" s="83" t="s">
        <v>156</v>
      </c>
      <c r="C21" s="83"/>
      <c r="D21" s="121"/>
      <c r="E21" s="182"/>
      <c r="F21" s="360">
        <v>31</v>
      </c>
      <c r="G21" s="182"/>
      <c r="H21" s="174">
        <v>0</v>
      </c>
      <c r="I21" s="181"/>
      <c r="J21" s="174">
        <v>460</v>
      </c>
      <c r="K21" s="181"/>
      <c r="L21" s="174">
        <v>199</v>
      </c>
      <c r="M21" s="182"/>
      <c r="N21" s="174">
        <v>283</v>
      </c>
      <c r="O21" s="182"/>
      <c r="P21" s="174">
        <v>600</v>
      </c>
      <c r="Q21" s="182"/>
      <c r="R21" s="174">
        <v>50</v>
      </c>
      <c r="S21" s="182"/>
      <c r="T21" s="174">
        <v>50</v>
      </c>
      <c r="U21" s="182"/>
      <c r="V21" s="174">
        <v>0</v>
      </c>
      <c r="W21" s="181"/>
      <c r="X21" s="174">
        <v>0</v>
      </c>
    </row>
    <row r="22" spans="1:25">
      <c r="A22" s="531">
        <f t="shared" si="0"/>
        <v>14</v>
      </c>
      <c r="B22" s="83" t="s">
        <v>481</v>
      </c>
      <c r="C22" s="83"/>
      <c r="D22" s="121"/>
      <c r="E22" s="182"/>
      <c r="F22" s="360">
        <v>0</v>
      </c>
      <c r="G22" s="182"/>
      <c r="H22" s="174">
        <v>0</v>
      </c>
      <c r="I22" s="181"/>
      <c r="J22" s="174">
        <v>0</v>
      </c>
      <c r="K22" s="181"/>
      <c r="L22" s="174">
        <v>0</v>
      </c>
      <c r="M22" s="182"/>
      <c r="N22" s="174">
        <v>0</v>
      </c>
      <c r="O22" s="182"/>
      <c r="P22" s="174">
        <v>0</v>
      </c>
      <c r="Q22" s="182"/>
      <c r="R22" s="174">
        <v>1580</v>
      </c>
      <c r="S22" s="182"/>
      <c r="T22" s="174">
        <v>2283</v>
      </c>
      <c r="U22" s="182"/>
      <c r="V22" s="174">
        <v>0</v>
      </c>
      <c r="W22" s="181"/>
      <c r="X22" s="174">
        <v>0</v>
      </c>
    </row>
    <row r="23" spans="1:25">
      <c r="A23" s="531">
        <f t="shared" si="0"/>
        <v>15</v>
      </c>
      <c r="B23" s="83" t="s">
        <v>309</v>
      </c>
      <c r="C23" s="83"/>
      <c r="D23" s="121"/>
      <c r="E23" s="182"/>
      <c r="F23" s="360">
        <v>0</v>
      </c>
      <c r="G23" s="182"/>
      <c r="H23" s="174">
        <v>80</v>
      </c>
      <c r="I23" s="181"/>
      <c r="J23" s="174">
        <v>0</v>
      </c>
      <c r="K23" s="181"/>
      <c r="L23" s="174">
        <v>9</v>
      </c>
      <c r="M23" s="182"/>
      <c r="N23" s="174">
        <v>34</v>
      </c>
      <c r="O23" s="182"/>
      <c r="P23" s="174">
        <v>10</v>
      </c>
      <c r="Q23" s="182"/>
      <c r="R23" s="174">
        <v>10</v>
      </c>
      <c r="S23" s="182"/>
      <c r="T23" s="174">
        <v>10</v>
      </c>
      <c r="U23" s="182"/>
      <c r="V23" s="174">
        <v>0</v>
      </c>
      <c r="W23" s="181"/>
      <c r="X23" s="174">
        <v>0</v>
      </c>
    </row>
    <row r="24" spans="1:25" ht="15.75">
      <c r="A24" s="531">
        <f t="shared" si="0"/>
        <v>16</v>
      </c>
      <c r="B24" s="84"/>
      <c r="C24" s="84"/>
      <c r="D24" s="84"/>
      <c r="E24" s="182"/>
      <c r="F24" s="180">
        <f>SUM(F18:F23)</f>
        <v>7509</v>
      </c>
      <c r="G24" s="182"/>
      <c r="H24" s="180">
        <f>SUM(H18:H23)</f>
        <v>5074</v>
      </c>
      <c r="I24" s="181"/>
      <c r="J24" s="180">
        <f>SUM(J18:J23)</f>
        <v>6593</v>
      </c>
      <c r="K24" s="181"/>
      <c r="L24" s="180">
        <f>SUM(L18:L23)</f>
        <v>11956.522000000001</v>
      </c>
      <c r="M24" s="182"/>
      <c r="N24" s="180">
        <f>SUM(N18:N23)</f>
        <v>9709.4500000000007</v>
      </c>
      <c r="O24" s="182"/>
      <c r="P24" s="180">
        <f>SUM(P18:P23)</f>
        <v>10315.428</v>
      </c>
      <c r="Q24" s="182"/>
      <c r="R24" s="180">
        <f>SUM(R18:R23)</f>
        <v>12593</v>
      </c>
      <c r="S24" s="182"/>
      <c r="T24" s="180">
        <f>SUM(T18:T23)</f>
        <v>12810.2</v>
      </c>
      <c r="U24" s="182"/>
      <c r="V24" s="180">
        <f>SUM(V18:V23)</f>
        <v>6613</v>
      </c>
      <c r="W24" s="181"/>
      <c r="X24" s="180">
        <f>SUM(X18:X23)</f>
        <v>5988</v>
      </c>
    </row>
    <row r="25" spans="1:25" ht="15.75">
      <c r="A25" s="531">
        <f t="shared" si="0"/>
        <v>17</v>
      </c>
      <c r="B25" s="422" t="s">
        <v>806</v>
      </c>
      <c r="C25" s="75"/>
      <c r="D25" s="75"/>
      <c r="E25" s="182"/>
      <c r="F25" s="182"/>
      <c r="G25" s="182"/>
      <c r="H25" s="181"/>
      <c r="I25" s="181"/>
      <c r="J25" s="181"/>
      <c r="K25" s="181"/>
      <c r="L25" s="181"/>
      <c r="M25" s="182"/>
      <c r="N25" s="181"/>
      <c r="O25" s="182"/>
      <c r="P25" s="181"/>
      <c r="Q25" s="182"/>
      <c r="R25" s="181"/>
      <c r="S25" s="182"/>
      <c r="T25" s="181"/>
      <c r="U25" s="182"/>
      <c r="V25" s="179"/>
      <c r="W25" s="181"/>
      <c r="X25" s="179"/>
    </row>
    <row r="26" spans="1:25">
      <c r="A26" s="531">
        <f t="shared" si="0"/>
        <v>18</v>
      </c>
      <c r="B26" s="83" t="s">
        <v>157</v>
      </c>
      <c r="C26" s="83"/>
      <c r="D26" s="121"/>
      <c r="E26" s="182"/>
      <c r="F26" s="360">
        <v>45</v>
      </c>
      <c r="G26" s="182"/>
      <c r="H26" s="174">
        <v>37</v>
      </c>
      <c r="I26" s="181"/>
      <c r="J26" s="174">
        <v>176</v>
      </c>
      <c r="K26" s="181"/>
      <c r="L26" s="174">
        <v>67</v>
      </c>
      <c r="M26" s="182"/>
      <c r="N26" s="174">
        <v>178</v>
      </c>
      <c r="O26" s="182"/>
      <c r="P26" s="174">
        <v>117.33</v>
      </c>
      <c r="Q26" s="182"/>
      <c r="R26" s="174">
        <v>167.49</v>
      </c>
      <c r="S26" s="182"/>
      <c r="T26" s="174">
        <v>114.645</v>
      </c>
      <c r="U26" s="182"/>
      <c r="V26" s="174">
        <v>50</v>
      </c>
      <c r="W26" s="181"/>
      <c r="X26" s="174">
        <v>57</v>
      </c>
    </row>
    <row r="27" spans="1:25">
      <c r="A27" s="531">
        <f t="shared" si="0"/>
        <v>19</v>
      </c>
      <c r="B27" s="83" t="s">
        <v>158</v>
      </c>
      <c r="C27" s="83"/>
      <c r="D27" s="121"/>
      <c r="E27" s="182"/>
      <c r="F27" s="360">
        <v>10</v>
      </c>
      <c r="G27" s="182"/>
      <c r="H27" s="174">
        <v>1</v>
      </c>
      <c r="I27" s="181"/>
      <c r="J27" s="174">
        <v>10</v>
      </c>
      <c r="K27" s="181"/>
      <c r="L27" s="174">
        <v>72</v>
      </c>
      <c r="M27" s="182"/>
      <c r="N27" s="174">
        <v>24</v>
      </c>
      <c r="O27" s="182"/>
      <c r="P27" s="174">
        <v>43.6</v>
      </c>
      <c r="Q27" s="182"/>
      <c r="R27" s="174">
        <v>41.73</v>
      </c>
      <c r="S27" s="182"/>
      <c r="T27" s="174">
        <v>33.93</v>
      </c>
      <c r="U27" s="182"/>
      <c r="V27" s="174">
        <v>13</v>
      </c>
      <c r="W27" s="181"/>
      <c r="X27" s="174">
        <v>10</v>
      </c>
    </row>
    <row r="28" spans="1:25">
      <c r="A28" s="531">
        <f t="shared" si="0"/>
        <v>20</v>
      </c>
      <c r="B28" s="83" t="s">
        <v>159</v>
      </c>
      <c r="C28" s="83"/>
      <c r="D28" s="121"/>
      <c r="E28" s="182"/>
      <c r="F28" s="360">
        <v>3</v>
      </c>
      <c r="G28" s="182"/>
      <c r="H28" s="174">
        <v>22</v>
      </c>
      <c r="I28" s="181"/>
      <c r="J28" s="174">
        <v>4</v>
      </c>
      <c r="K28" s="181"/>
      <c r="L28" s="174">
        <v>36</v>
      </c>
      <c r="M28" s="182"/>
      <c r="N28" s="174">
        <v>0</v>
      </c>
      <c r="O28" s="182"/>
      <c r="P28" s="174">
        <v>5</v>
      </c>
      <c r="Q28" s="182"/>
      <c r="R28" s="174">
        <v>5</v>
      </c>
      <c r="S28" s="182"/>
      <c r="T28" s="174">
        <v>5</v>
      </c>
      <c r="U28" s="182"/>
      <c r="V28" s="174">
        <v>6</v>
      </c>
      <c r="W28" s="181"/>
      <c r="X28" s="174">
        <v>5</v>
      </c>
      <c r="Y28" s="128"/>
    </row>
    <row r="29" spans="1:25">
      <c r="A29" s="531">
        <f t="shared" si="0"/>
        <v>21</v>
      </c>
      <c r="B29" s="83" t="s">
        <v>461</v>
      </c>
      <c r="C29" s="83"/>
      <c r="D29" s="121"/>
      <c r="E29" s="182"/>
      <c r="F29" s="360">
        <v>138</v>
      </c>
      <c r="G29" s="182"/>
      <c r="H29" s="174">
        <v>117</v>
      </c>
      <c r="I29" s="181"/>
      <c r="J29" s="174">
        <v>103</v>
      </c>
      <c r="K29" s="181"/>
      <c r="L29" s="174">
        <v>13</v>
      </c>
      <c r="M29" s="182"/>
      <c r="N29" s="174">
        <v>62</v>
      </c>
      <c r="O29" s="182"/>
      <c r="P29" s="174">
        <v>700</v>
      </c>
      <c r="Q29" s="182"/>
      <c r="R29" s="174">
        <v>2.2000000000000002</v>
      </c>
      <c r="S29" s="182"/>
      <c r="T29" s="174">
        <v>52.4</v>
      </c>
      <c r="U29" s="182"/>
      <c r="V29" s="174">
        <v>0</v>
      </c>
      <c r="W29" s="181"/>
      <c r="X29" s="174">
        <v>0</v>
      </c>
      <c r="Y29" s="128"/>
    </row>
    <row r="30" spans="1:25">
      <c r="A30" s="531">
        <f t="shared" si="0"/>
        <v>22</v>
      </c>
      <c r="B30" s="372" t="s">
        <v>573</v>
      </c>
      <c r="C30" s="83"/>
      <c r="D30" s="121"/>
      <c r="E30" s="182"/>
      <c r="F30" s="360">
        <v>0</v>
      </c>
      <c r="G30" s="182"/>
      <c r="H30" s="174">
        <v>0</v>
      </c>
      <c r="I30" s="181"/>
      <c r="J30" s="174">
        <v>0</v>
      </c>
      <c r="K30" s="181"/>
      <c r="L30" s="174">
        <v>491</v>
      </c>
      <c r="M30" s="182"/>
      <c r="N30" s="174">
        <v>688</v>
      </c>
      <c r="O30" s="182"/>
      <c r="P30" s="174">
        <v>650</v>
      </c>
      <c r="Q30" s="182"/>
      <c r="R30" s="174">
        <v>0</v>
      </c>
      <c r="S30" s="182"/>
      <c r="T30" s="174">
        <v>0</v>
      </c>
      <c r="U30" s="182"/>
      <c r="V30" s="174">
        <v>0</v>
      </c>
      <c r="W30" s="181"/>
      <c r="X30" s="174">
        <v>0</v>
      </c>
      <c r="Y30" s="128"/>
    </row>
    <row r="31" spans="1:25" s="498" customFormat="1">
      <c r="A31" s="166">
        <f t="shared" si="0"/>
        <v>23</v>
      </c>
      <c r="B31" s="611" t="s">
        <v>575</v>
      </c>
      <c r="C31" s="611"/>
      <c r="D31" s="419"/>
      <c r="E31" s="181"/>
      <c r="F31" s="174">
        <v>0</v>
      </c>
      <c r="G31" s="181"/>
      <c r="H31" s="174">
        <v>0</v>
      </c>
      <c r="I31" s="181"/>
      <c r="J31" s="174">
        <v>0</v>
      </c>
      <c r="K31" s="181"/>
      <c r="L31" s="174">
        <v>203.58</v>
      </c>
      <c r="M31" s="181"/>
      <c r="N31" s="174">
        <v>142.84800000000001</v>
      </c>
      <c r="O31" s="181"/>
      <c r="P31" s="174">
        <v>135</v>
      </c>
      <c r="Q31" s="181"/>
      <c r="R31" s="174">
        <v>522</v>
      </c>
      <c r="S31" s="181"/>
      <c r="T31" s="174">
        <v>730</v>
      </c>
      <c r="U31" s="181"/>
      <c r="V31" s="174">
        <v>0</v>
      </c>
      <c r="W31" s="181"/>
      <c r="X31" s="174">
        <v>0</v>
      </c>
      <c r="Y31" s="448"/>
    </row>
    <row r="32" spans="1:25">
      <c r="A32" s="531">
        <f t="shared" si="0"/>
        <v>24</v>
      </c>
      <c r="B32" s="83" t="s">
        <v>160</v>
      </c>
      <c r="C32" s="83"/>
      <c r="D32" s="121"/>
      <c r="E32" s="182"/>
      <c r="F32" s="360">
        <v>57</v>
      </c>
      <c r="G32" s="182"/>
      <c r="H32" s="174">
        <v>47</v>
      </c>
      <c r="I32" s="181"/>
      <c r="J32" s="174">
        <v>228</v>
      </c>
      <c r="K32" s="181"/>
      <c r="L32" s="174">
        <v>49</v>
      </c>
      <c r="M32" s="182"/>
      <c r="N32" s="174">
        <v>57</v>
      </c>
      <c r="O32" s="182"/>
      <c r="P32" s="174">
        <v>64.7</v>
      </c>
      <c r="Q32" s="182"/>
      <c r="R32" s="174">
        <v>11.25</v>
      </c>
      <c r="S32" s="182"/>
      <c r="T32" s="174">
        <v>11.7</v>
      </c>
      <c r="U32" s="182"/>
      <c r="V32" s="174">
        <v>102</v>
      </c>
      <c r="W32" s="181"/>
      <c r="X32" s="174">
        <v>54</v>
      </c>
    </row>
    <row r="33" spans="1:25">
      <c r="A33" s="531">
        <f t="shared" si="0"/>
        <v>25</v>
      </c>
      <c r="B33" s="83" t="s">
        <v>161</v>
      </c>
      <c r="C33" s="83"/>
      <c r="D33" s="121"/>
      <c r="E33" s="182"/>
      <c r="F33" s="360">
        <v>139</v>
      </c>
      <c r="G33" s="182"/>
      <c r="H33" s="174">
        <v>100</v>
      </c>
      <c r="I33" s="181"/>
      <c r="J33" s="174">
        <v>358</v>
      </c>
      <c r="K33" s="181"/>
      <c r="L33" s="174">
        <v>257</v>
      </c>
      <c r="M33" s="182"/>
      <c r="N33" s="174">
        <v>421</v>
      </c>
      <c r="O33" s="182"/>
      <c r="P33" s="174">
        <v>424</v>
      </c>
      <c r="Q33" s="182"/>
      <c r="R33" s="174">
        <v>995</v>
      </c>
      <c r="S33" s="182"/>
      <c r="T33" s="174">
        <v>850</v>
      </c>
      <c r="U33" s="182"/>
      <c r="V33" s="174">
        <v>205</v>
      </c>
      <c r="W33" s="181"/>
      <c r="X33" s="174">
        <v>230</v>
      </c>
    </row>
    <row r="34" spans="1:25">
      <c r="A34" s="531">
        <f t="shared" si="0"/>
        <v>26</v>
      </c>
      <c r="B34" s="83" t="s">
        <v>162</v>
      </c>
      <c r="C34" s="83"/>
      <c r="D34" s="121"/>
      <c r="E34" s="182"/>
      <c r="F34" s="360">
        <v>117</v>
      </c>
      <c r="G34" s="182"/>
      <c r="H34" s="174">
        <v>76</v>
      </c>
      <c r="I34" s="181"/>
      <c r="J34" s="174">
        <v>106</v>
      </c>
      <c r="K34" s="181"/>
      <c r="L34" s="174">
        <v>141</v>
      </c>
      <c r="M34" s="182"/>
      <c r="N34" s="174">
        <v>193</v>
      </c>
      <c r="O34" s="182"/>
      <c r="P34" s="174">
        <v>1130.5999999999999</v>
      </c>
      <c r="Q34" s="182"/>
      <c r="R34" s="174">
        <v>321.31</v>
      </c>
      <c r="S34" s="182"/>
      <c r="T34" s="174">
        <v>311.86</v>
      </c>
      <c r="U34" s="182"/>
      <c r="V34" s="174">
        <v>219</v>
      </c>
      <c r="W34" s="181"/>
      <c r="X34" s="174">
        <v>181</v>
      </c>
    </row>
    <row r="35" spans="1:25">
      <c r="A35" s="531">
        <f t="shared" si="0"/>
        <v>27</v>
      </c>
      <c r="B35" s="75"/>
      <c r="C35" s="75"/>
      <c r="D35" s="74"/>
      <c r="E35" s="182"/>
      <c r="F35" s="180">
        <f>SUM(F26:F34)</f>
        <v>509</v>
      </c>
      <c r="G35" s="182"/>
      <c r="H35" s="180">
        <f>SUM(H26:H34)</f>
        <v>400</v>
      </c>
      <c r="I35" s="181"/>
      <c r="J35" s="180">
        <f>SUM(J26:J34)</f>
        <v>985</v>
      </c>
      <c r="K35" s="181"/>
      <c r="L35" s="180">
        <f>SUM(L26:L34)</f>
        <v>1329.58</v>
      </c>
      <c r="M35" s="182"/>
      <c r="N35" s="180">
        <f>SUM(N26:N34)</f>
        <v>1765.848</v>
      </c>
      <c r="O35" s="182"/>
      <c r="P35" s="180">
        <f>SUM(P26:P34)</f>
        <v>3270.23</v>
      </c>
      <c r="Q35" s="182"/>
      <c r="R35" s="180">
        <f>SUM(R26:R34)</f>
        <v>2065.98</v>
      </c>
      <c r="S35" s="182"/>
      <c r="T35" s="180">
        <f>SUM(T26:T34)</f>
        <v>2109.5350000000003</v>
      </c>
      <c r="U35" s="182"/>
      <c r="V35" s="180">
        <f>SUM(V26:V34)</f>
        <v>595</v>
      </c>
      <c r="W35" s="181"/>
      <c r="X35" s="180">
        <f>SUM(X26:X34)</f>
        <v>537</v>
      </c>
    </row>
    <row r="36" spans="1:25">
      <c r="A36" s="531">
        <f t="shared" si="0"/>
        <v>28</v>
      </c>
      <c r="B36" s="75"/>
      <c r="C36" s="75"/>
      <c r="D36" s="74"/>
      <c r="E36" s="182"/>
      <c r="F36" s="182"/>
      <c r="G36" s="182"/>
      <c r="H36" s="181"/>
      <c r="I36" s="181"/>
      <c r="J36" s="181"/>
      <c r="K36" s="181"/>
      <c r="L36" s="181"/>
      <c r="M36" s="182"/>
      <c r="N36" s="181"/>
      <c r="O36" s="182"/>
      <c r="P36" s="181"/>
      <c r="Q36" s="182"/>
      <c r="R36" s="181"/>
      <c r="S36" s="182"/>
      <c r="T36" s="181"/>
      <c r="U36" s="182"/>
      <c r="V36" s="181"/>
      <c r="W36" s="181"/>
      <c r="X36" s="181"/>
    </row>
    <row r="37" spans="1:25">
      <c r="A37" s="531">
        <f t="shared" si="0"/>
        <v>29</v>
      </c>
      <c r="B37" s="75" t="s">
        <v>111</v>
      </c>
      <c r="C37" s="75"/>
      <c r="D37" s="74"/>
      <c r="E37" s="182"/>
      <c r="F37" s="174">
        <v>0</v>
      </c>
      <c r="G37" s="174"/>
      <c r="H37" s="174">
        <v>0</v>
      </c>
      <c r="I37" s="174"/>
      <c r="J37" s="174">
        <v>0</v>
      </c>
      <c r="K37" s="174"/>
      <c r="L37" s="174">
        <v>0</v>
      </c>
      <c r="M37" s="174"/>
      <c r="N37" s="174">
        <v>0</v>
      </c>
      <c r="O37" s="174"/>
      <c r="P37" s="174">
        <v>0</v>
      </c>
      <c r="Q37" s="174"/>
      <c r="R37" s="174">
        <v>0</v>
      </c>
      <c r="S37" s="174"/>
      <c r="T37" s="174">
        <v>0</v>
      </c>
      <c r="U37" s="174"/>
      <c r="V37" s="174">
        <v>0</v>
      </c>
      <c r="W37" s="174"/>
      <c r="X37" s="174">
        <v>0</v>
      </c>
    </row>
    <row r="38" spans="1:25">
      <c r="A38" s="531">
        <f t="shared" si="0"/>
        <v>30</v>
      </c>
      <c r="B38" s="75"/>
      <c r="C38" s="75"/>
      <c r="D38" s="74"/>
      <c r="E38" s="182"/>
      <c r="F38" s="182"/>
      <c r="G38" s="182"/>
      <c r="H38" s="181"/>
      <c r="I38" s="181"/>
      <c r="J38" s="181"/>
      <c r="K38" s="181"/>
      <c r="L38" s="181"/>
      <c r="M38" s="182"/>
      <c r="N38" s="181"/>
      <c r="O38" s="182"/>
      <c r="P38" s="181"/>
      <c r="Q38" s="182"/>
      <c r="R38" s="181"/>
      <c r="S38" s="182"/>
      <c r="T38" s="181"/>
      <c r="U38" s="182"/>
      <c r="V38" s="179"/>
      <c r="W38" s="181"/>
      <c r="X38" s="179"/>
      <c r="Y38" s="222" t="s">
        <v>27</v>
      </c>
    </row>
    <row r="39" spans="1:25" ht="15.75">
      <c r="A39" s="531">
        <f t="shared" si="0"/>
        <v>31</v>
      </c>
      <c r="B39" s="422" t="s">
        <v>656</v>
      </c>
      <c r="C39" s="75"/>
      <c r="D39" s="121"/>
      <c r="E39" s="182"/>
      <c r="F39" s="174">
        <f>SUM(F24,F35,F37,F16,F13)</f>
        <v>9906</v>
      </c>
      <c r="G39" s="182"/>
      <c r="H39" s="174">
        <f>SUM(H24,H35,H37,H16,H13)</f>
        <v>6253</v>
      </c>
      <c r="I39" s="181"/>
      <c r="J39" s="174">
        <f>SUM(J24,J35,J37,J16,J13)</f>
        <v>9388</v>
      </c>
      <c r="K39" s="181"/>
      <c r="L39" s="174">
        <f>SUM(L24,L35,L37,L16,L13)</f>
        <v>14937.787</v>
      </c>
      <c r="M39" s="182"/>
      <c r="N39" s="174">
        <f>SUM(N24,N35,N37,N16,N13)</f>
        <v>14590.403</v>
      </c>
      <c r="O39" s="182"/>
      <c r="P39" s="174">
        <f>SUM(P24,P35,P37,P16,P13)</f>
        <v>20281.716</v>
      </c>
      <c r="Q39" s="182"/>
      <c r="R39" s="174">
        <f>SUM(R24,R35,R37,R16,R13)</f>
        <v>22417.48</v>
      </c>
      <c r="S39" s="182"/>
      <c r="T39" s="174">
        <f>SUM(T24,T35,T37,T16,T13)</f>
        <v>20819.735000000001</v>
      </c>
      <c r="U39" s="182"/>
      <c r="V39" s="174">
        <f>SUM(V24,V35,V37,V16,V13)</f>
        <v>9299</v>
      </c>
      <c r="W39" s="181"/>
      <c r="X39" s="174">
        <f>SUM(X24,X35,X37,X16,X13)</f>
        <v>7718</v>
      </c>
    </row>
    <row r="40" spans="1:25">
      <c r="A40" s="531">
        <f t="shared" si="0"/>
        <v>32</v>
      </c>
      <c r="B40" s="75"/>
      <c r="C40" s="75"/>
      <c r="D40" s="74"/>
      <c r="E40" s="182"/>
      <c r="F40" s="174"/>
      <c r="G40" s="182"/>
      <c r="H40" s="174"/>
      <c r="I40" s="181"/>
      <c r="J40" s="174"/>
      <c r="K40" s="181"/>
      <c r="L40" s="174"/>
      <c r="M40" s="182"/>
      <c r="N40" s="174"/>
      <c r="O40" s="182"/>
      <c r="P40" s="174"/>
      <c r="Q40" s="181"/>
      <c r="R40" s="174"/>
      <c r="S40" s="181"/>
      <c r="T40" s="174"/>
      <c r="U40" s="182"/>
      <c r="V40" s="174"/>
      <c r="W40" s="181"/>
      <c r="X40" s="174"/>
    </row>
    <row r="41" spans="1:25">
      <c r="A41" s="531">
        <f t="shared" si="0"/>
        <v>33</v>
      </c>
      <c r="B41" s="530" t="s">
        <v>657</v>
      </c>
      <c r="C41" s="75"/>
      <c r="D41" s="531" t="s">
        <v>659</v>
      </c>
      <c r="E41" s="181"/>
      <c r="F41" s="178">
        <f>F43-F39-F9</f>
        <v>-9170</v>
      </c>
      <c r="G41" s="181"/>
      <c r="H41" s="178">
        <f>H43-H39-H9</f>
        <v>-7469</v>
      </c>
      <c r="I41" s="181"/>
      <c r="J41" s="178">
        <f>J43-J39-J9</f>
        <v>-6848</v>
      </c>
      <c r="K41" s="181"/>
      <c r="L41" s="178">
        <f>L43-L39-L9</f>
        <v>-12265.787</v>
      </c>
      <c r="M41" s="181"/>
      <c r="N41" s="178">
        <f>N43-N39-N9</f>
        <v>-17116.402999999998</v>
      </c>
      <c r="O41" s="181"/>
      <c r="P41" s="178">
        <f>P43-P39-P9</f>
        <v>-21962.209294</v>
      </c>
      <c r="Q41" s="181"/>
      <c r="R41" s="178">
        <f>R43-R39-R9</f>
        <v>-23017.48</v>
      </c>
      <c r="S41" s="181"/>
      <c r="T41" s="178">
        <f>T43-T39-T9</f>
        <v>-20819.735000000001</v>
      </c>
      <c r="U41" s="181"/>
      <c r="V41" s="178">
        <f>V43-V39-V9</f>
        <v>-9714</v>
      </c>
      <c r="W41" s="181"/>
      <c r="X41" s="178">
        <f>X43-X39-X9</f>
        <v>-7758</v>
      </c>
    </row>
    <row r="42" spans="1:25">
      <c r="A42" s="531">
        <f t="shared" si="0"/>
        <v>34</v>
      </c>
      <c r="B42" s="75"/>
      <c r="C42" s="75"/>
      <c r="D42" s="74"/>
      <c r="E42" s="173"/>
      <c r="F42" s="276"/>
      <c r="G42" s="173"/>
      <c r="H42" s="276"/>
      <c r="I42" s="173"/>
      <c r="J42" s="276"/>
      <c r="K42" s="173"/>
      <c r="L42" s="276"/>
      <c r="M42" s="173"/>
      <c r="N42" s="276"/>
      <c r="O42" s="173"/>
      <c r="P42" s="276"/>
      <c r="Q42" s="173"/>
      <c r="R42" s="276"/>
      <c r="S42" s="173"/>
      <c r="T42" s="276"/>
      <c r="U42" s="173"/>
      <c r="V42" s="276"/>
      <c r="W42" s="173"/>
      <c r="X42" s="276"/>
    </row>
    <row r="43" spans="1:25" ht="15.75" thickBot="1">
      <c r="A43" s="531">
        <f t="shared" si="0"/>
        <v>35</v>
      </c>
      <c r="B43" s="530" t="s">
        <v>658</v>
      </c>
      <c r="C43" s="75"/>
      <c r="D43" s="74" t="s">
        <v>318</v>
      </c>
      <c r="E43" s="173"/>
      <c r="F43" s="277">
        <v>1771</v>
      </c>
      <c r="G43" s="173"/>
      <c r="H43" s="277">
        <v>555</v>
      </c>
      <c r="I43" s="173"/>
      <c r="J43" s="277">
        <v>3095</v>
      </c>
      <c r="K43" s="173"/>
      <c r="L43" s="277">
        <v>5767</v>
      </c>
      <c r="M43" s="173"/>
      <c r="N43" s="277">
        <v>3241</v>
      </c>
      <c r="O43" s="173"/>
      <c r="P43" s="277">
        <v>1560.5067059999999</v>
      </c>
      <c r="Q43" s="173"/>
      <c r="R43" s="277">
        <v>960.50670600000001</v>
      </c>
      <c r="S43" s="173"/>
      <c r="T43" s="277">
        <v>960.50670600000001</v>
      </c>
      <c r="U43" s="173"/>
      <c r="V43" s="277">
        <v>620</v>
      </c>
      <c r="W43" s="173"/>
      <c r="X43" s="277">
        <v>580</v>
      </c>
    </row>
    <row r="44" spans="1:25" ht="15.75" thickTop="1">
      <c r="D44" s="117"/>
      <c r="E44" s="143"/>
      <c r="F44" s="143"/>
      <c r="G44" s="143"/>
      <c r="H44" s="165"/>
      <c r="I44" s="165"/>
      <c r="J44" s="165"/>
      <c r="K44" s="165"/>
      <c r="L44" s="165"/>
      <c r="M44" s="143"/>
      <c r="N44" s="165"/>
      <c r="O44" s="143"/>
      <c r="P44" s="165"/>
      <c r="Q44" s="143"/>
      <c r="R44" s="165"/>
      <c r="S44" s="143"/>
      <c r="T44" s="165"/>
      <c r="U44" s="143"/>
      <c r="V44" s="165"/>
      <c r="W44" s="165"/>
      <c r="X44" s="165"/>
    </row>
  </sheetData>
  <customSheetViews>
    <customSheetView guid="{275E5119-9E8C-43ED-ACD2-DF40CF10B219}" scale="75">
      <selection activeCell="L38" sqref="L38"/>
      <pageMargins left="0.66" right="0.41" top="0.74" bottom="1" header="0.5" footer="0.5"/>
      <pageSetup scale="70" orientation="landscape" horizontalDpi="4294967292" verticalDpi="4294967292" r:id="rId1"/>
      <headerFooter alignWithMargins="0">
        <oddFooter xml:space="preserve">&amp;C&amp;8
</oddFooter>
      </headerFooter>
    </customSheetView>
    <customSheetView guid="{D346ECD1-ED60-4F74-8B02-572F89E41ACB}" scale="75" showPageBreaks="1" showRuler="0">
      <selection activeCell="L38" sqref="L38"/>
      <pageMargins left="0.66" right="0.41" top="0.74" bottom="1" header="0.5" footer="0.5"/>
      <pageSetup scale="70" orientation="landscape" horizontalDpi="4294967292" verticalDpi="4294967292" r:id="rId2"/>
      <headerFooter alignWithMargins="0">
        <oddFooter xml:space="preserve">&amp;C&amp;8
</oddFooter>
      </headerFooter>
    </customSheetView>
  </customSheetViews>
  <mergeCells count="4">
    <mergeCell ref="A2:X2"/>
    <mergeCell ref="A3:X3"/>
    <mergeCell ref="A4:X4"/>
    <mergeCell ref="P6:T6"/>
  </mergeCells>
  <phoneticPr fontId="10" type="noConversion"/>
  <pageMargins left="0.66" right="0.41" top="0.74" bottom="1" header="0.5" footer="0.5"/>
  <pageSetup scale="62" orientation="landscape" r:id="rId3"/>
  <headerFooter alignWithMargins="0">
    <oddFooter xml:space="preserve">&amp;C&amp;8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7" enableFormatConditionsCalculation="0">
    <pageSetUpPr fitToPage="1"/>
  </sheetPr>
  <dimension ref="A1:AD40"/>
  <sheetViews>
    <sheetView view="pageBreakPreview" zoomScaleNormal="85" zoomScaleSheetLayoutView="100" workbookViewId="0">
      <selection activeCell="C32" sqref="C32"/>
    </sheetView>
  </sheetViews>
  <sheetFormatPr defaultRowHeight="12.75"/>
  <cols>
    <col min="1" max="1" width="6" style="294" customWidth="1"/>
    <col min="2" max="2" width="2.28515625" style="294" customWidth="1"/>
    <col min="3" max="3" width="40.28515625" style="294" bestFit="1" customWidth="1"/>
    <col min="4" max="4" width="2.28515625" style="294" customWidth="1"/>
    <col min="5" max="5" width="20.7109375" style="256" bestFit="1" customWidth="1"/>
    <col min="6" max="6" width="2.28515625" style="294" customWidth="1"/>
    <col min="7" max="7" width="10.28515625" style="294" customWidth="1"/>
    <col min="8" max="8" width="2.28515625" style="294" customWidth="1"/>
    <col min="9" max="9" width="10.28515625" style="294" customWidth="1"/>
    <col min="10" max="10" width="2.28515625" style="294" customWidth="1"/>
    <col min="11" max="11" width="10.28515625" style="294" customWidth="1"/>
    <col min="12" max="12" width="2.28515625" style="294" customWidth="1"/>
    <col min="13" max="13" width="10.28515625" style="294" customWidth="1"/>
    <col min="14" max="14" width="2.28515625" style="294" customWidth="1"/>
    <col min="15" max="15" width="10.28515625" style="294" customWidth="1"/>
    <col min="16" max="16" width="2.28515625" style="294" customWidth="1"/>
    <col min="17" max="17" width="10.28515625" style="294" customWidth="1"/>
    <col min="18" max="18" width="2.28515625" style="294" customWidth="1"/>
    <col min="19" max="19" width="10.28515625" style="294" customWidth="1"/>
    <col min="20" max="20" width="2.28515625" style="294" customWidth="1"/>
    <col min="21" max="21" width="10.28515625" style="294" customWidth="1"/>
    <col min="22" max="22" width="2.28515625" style="294" customWidth="1"/>
    <col min="23" max="23" width="10.28515625" style="294" customWidth="1"/>
    <col min="24" max="24" width="2.28515625" style="294" customWidth="1"/>
    <col min="25" max="25" width="10.28515625" style="294" customWidth="1"/>
    <col min="26" max="26" width="2.28515625" style="294" customWidth="1"/>
    <col min="27" max="27" width="1.7109375" style="294" customWidth="1"/>
    <col min="28" max="28" width="2.140625" style="294" customWidth="1"/>
    <col min="29" max="16384" width="9.140625" style="294"/>
  </cols>
  <sheetData>
    <row r="1" spans="1:30" s="643" customFormat="1" ht="15.75">
      <c r="A1" s="420" t="s">
        <v>540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227" t="s">
        <v>538</v>
      </c>
      <c r="AA1" s="634"/>
    </row>
    <row r="2" spans="1:30" s="643" customFormat="1" ht="15.75">
      <c r="A2" s="420" t="s">
        <v>463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634"/>
      <c r="AA2" s="634"/>
    </row>
    <row r="3" spans="1:30" s="643" customFormat="1" ht="15.75">
      <c r="A3" s="420" t="s">
        <v>179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634"/>
      <c r="AA3" s="634"/>
    </row>
    <row r="4" spans="1:30" s="643" customFormat="1" ht="15.75">
      <c r="A4" s="420" t="s">
        <v>32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634"/>
      <c r="AA4" s="634"/>
    </row>
    <row r="5" spans="1:30" s="473" customFormat="1">
      <c r="A5" s="537"/>
      <c r="B5" s="537"/>
      <c r="C5" s="570"/>
      <c r="D5" s="570"/>
      <c r="E5" s="635"/>
      <c r="F5" s="537"/>
      <c r="G5" s="537"/>
      <c r="H5" s="537"/>
      <c r="I5" s="537"/>
      <c r="J5" s="537"/>
      <c r="K5" s="537"/>
      <c r="L5" s="537"/>
      <c r="M5" s="537"/>
      <c r="N5" s="537"/>
      <c r="O5" s="398"/>
      <c r="P5" s="398"/>
      <c r="Q5" s="635"/>
      <c r="R5" s="398"/>
      <c r="S5" s="635"/>
      <c r="T5" s="398"/>
      <c r="U5" s="635"/>
      <c r="W5" s="635" t="s">
        <v>459</v>
      </c>
      <c r="Y5" s="635" t="s">
        <v>459</v>
      </c>
      <c r="AA5" s="537"/>
    </row>
    <row r="6" spans="1:30" s="473" customFormat="1">
      <c r="A6" s="635" t="s">
        <v>33</v>
      </c>
      <c r="B6" s="635"/>
      <c r="C6" s="635"/>
      <c r="D6" s="635"/>
      <c r="E6" s="635" t="s">
        <v>34</v>
      </c>
      <c r="F6" s="635"/>
      <c r="G6" s="635" t="s">
        <v>25</v>
      </c>
      <c r="H6" s="635"/>
      <c r="I6" s="635" t="s">
        <v>25</v>
      </c>
      <c r="J6" s="635"/>
      <c r="K6" s="635" t="s">
        <v>25</v>
      </c>
      <c r="L6" s="635"/>
      <c r="M6" s="635" t="s">
        <v>25</v>
      </c>
      <c r="N6" s="635"/>
      <c r="O6" s="635" t="s">
        <v>25</v>
      </c>
      <c r="P6" s="635"/>
      <c r="Q6" s="825" t="s">
        <v>330</v>
      </c>
      <c r="R6" s="825"/>
      <c r="S6" s="825"/>
      <c r="T6" s="825"/>
      <c r="U6" s="825"/>
      <c r="W6" s="635" t="s">
        <v>15</v>
      </c>
      <c r="X6" s="635"/>
      <c r="Y6" s="635" t="s">
        <v>15</v>
      </c>
      <c r="Z6" s="635"/>
    </row>
    <row r="7" spans="1:30" s="473" customFormat="1">
      <c r="A7" s="240" t="s">
        <v>35</v>
      </c>
      <c r="B7" s="635"/>
      <c r="C7" s="240" t="s">
        <v>178</v>
      </c>
      <c r="D7" s="635"/>
      <c r="E7" s="240" t="s">
        <v>36</v>
      </c>
      <c r="F7" s="538"/>
      <c r="G7" s="518">
        <v>2008</v>
      </c>
      <c r="H7" s="538"/>
      <c r="I7" s="518">
        <v>2009</v>
      </c>
      <c r="J7" s="538"/>
      <c r="K7" s="518">
        <v>2010</v>
      </c>
      <c r="L7" s="538"/>
      <c r="M7" s="518">
        <v>2011</v>
      </c>
      <c r="N7" s="538"/>
      <c r="O7" s="518">
        <v>2012</v>
      </c>
      <c r="P7" s="516"/>
      <c r="Q7" s="518">
        <v>2013</v>
      </c>
      <c r="R7" s="516"/>
      <c r="S7" s="518">
        <v>2014</v>
      </c>
      <c r="T7" s="516"/>
      <c r="U7" s="518">
        <v>2015</v>
      </c>
      <c r="V7" s="517"/>
      <c r="W7" s="518">
        <v>2008</v>
      </c>
      <c r="X7" s="517"/>
      <c r="Y7" s="518">
        <v>2009</v>
      </c>
      <c r="Z7" s="517"/>
    </row>
    <row r="8" spans="1:30" ht="15.75">
      <c r="A8" s="524"/>
      <c r="B8" s="634"/>
      <c r="C8" s="401"/>
      <c r="D8" s="634"/>
      <c r="E8" s="401"/>
      <c r="F8" s="634"/>
      <c r="G8" s="217"/>
      <c r="H8" s="634"/>
      <c r="I8" s="217"/>
      <c r="J8" s="634"/>
      <c r="K8" s="634"/>
      <c r="L8" s="634"/>
      <c r="M8" s="634"/>
      <c r="N8" s="634"/>
      <c r="O8" s="634"/>
      <c r="P8" s="634"/>
      <c r="Q8" s="634"/>
      <c r="R8" s="634"/>
      <c r="S8" s="634"/>
      <c r="T8" s="634"/>
      <c r="U8" s="634"/>
      <c r="V8" s="634"/>
      <c r="W8" s="401"/>
      <c r="X8" s="401"/>
      <c r="Y8" s="401"/>
      <c r="Z8" s="401"/>
    </row>
    <row r="9" spans="1:30">
      <c r="A9" s="642">
        <v>1</v>
      </c>
      <c r="C9" s="473" t="s">
        <v>579</v>
      </c>
      <c r="E9" s="256" t="s">
        <v>27</v>
      </c>
      <c r="F9" s="217"/>
      <c r="G9" s="217">
        <f>1344-118+24</f>
        <v>1250</v>
      </c>
      <c r="H9" s="217"/>
      <c r="I9" s="217">
        <f>2310+25-15-14</f>
        <v>2306</v>
      </c>
      <c r="J9" s="217"/>
      <c r="K9" s="217">
        <f>2203+272+6-16</f>
        <v>2465</v>
      </c>
      <c r="L9" s="217"/>
      <c r="M9" s="217">
        <f>2353+157+20-116-18</f>
        <v>2396</v>
      </c>
      <c r="N9" s="217"/>
      <c r="O9" s="217">
        <v>2177</v>
      </c>
      <c r="P9" s="217"/>
      <c r="Q9" s="217">
        <v>3152</v>
      </c>
      <c r="R9" s="217"/>
      <c r="S9" s="217">
        <v>4166</v>
      </c>
      <c r="T9" s="217"/>
      <c r="U9" s="217">
        <v>4726</v>
      </c>
      <c r="V9" s="217"/>
      <c r="W9" s="217">
        <f>1388-205-71-34-3-7-2-1+13+6+197+90+12+1-6-3-22-10-25-10-3</f>
        <v>1305</v>
      </c>
      <c r="X9" s="217"/>
      <c r="Y9" s="217">
        <f>2062-13-5-1-2-17-6-3-50-12</f>
        <v>1953</v>
      </c>
      <c r="Z9" s="217"/>
      <c r="AD9" s="490"/>
    </row>
    <row r="10" spans="1:30">
      <c r="A10" s="642">
        <f t="shared" ref="A10:A39" si="0">A9+1</f>
        <v>2</v>
      </c>
      <c r="C10" s="229" t="s">
        <v>28</v>
      </c>
      <c r="D10" s="229"/>
      <c r="E10" s="635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</row>
    <row r="11" spans="1:30">
      <c r="A11" s="642">
        <f t="shared" si="0"/>
        <v>3</v>
      </c>
      <c r="C11" s="294" t="s">
        <v>29</v>
      </c>
      <c r="E11" s="256" t="s">
        <v>317</v>
      </c>
      <c r="F11" s="217"/>
      <c r="G11" s="217">
        <f>+S1.1!G20</f>
        <v>3181</v>
      </c>
      <c r="H11" s="217"/>
      <c r="I11" s="217">
        <f>+S1.1!I20</f>
        <v>3446</v>
      </c>
      <c r="J11" s="217"/>
      <c r="K11" s="217">
        <f>+S1.1!K20</f>
        <v>3683</v>
      </c>
      <c r="L11" s="217"/>
      <c r="M11" s="217">
        <f>+S1.1!M20</f>
        <v>4129</v>
      </c>
      <c r="N11" s="217"/>
      <c r="O11" s="217">
        <f>+S1.1!O20</f>
        <v>4192</v>
      </c>
      <c r="P11" s="217"/>
      <c r="Q11" s="217">
        <f>+S1.1!Q20</f>
        <v>6569.9487999999992</v>
      </c>
      <c r="R11" s="217"/>
      <c r="S11" s="217">
        <f>+S1.1!S20</f>
        <v>7508.8059999999996</v>
      </c>
      <c r="T11" s="217"/>
      <c r="U11" s="217">
        <f>+S1.1!U20</f>
        <v>8568.8060000000005</v>
      </c>
      <c r="V11" s="217"/>
      <c r="W11" s="218">
        <f>S1.1!W20</f>
        <v>3354</v>
      </c>
      <c r="X11" s="217"/>
      <c r="Y11" s="217">
        <f>S1.1!Y20</f>
        <v>3661</v>
      </c>
      <c r="Z11" s="217"/>
    </row>
    <row r="12" spans="1:30">
      <c r="A12" s="642">
        <f t="shared" si="0"/>
        <v>4</v>
      </c>
      <c r="C12" s="473" t="s">
        <v>566</v>
      </c>
      <c r="E12" s="256" t="s">
        <v>300</v>
      </c>
      <c r="F12" s="217"/>
      <c r="G12" s="217">
        <f>+S1.1!G21</f>
        <v>-980</v>
      </c>
      <c r="H12" s="217"/>
      <c r="I12" s="217">
        <f>+S1.1!I21</f>
        <v>-1133</v>
      </c>
      <c r="J12" s="217"/>
      <c r="K12" s="217">
        <f>+S1.1!K21</f>
        <v>-1221</v>
      </c>
      <c r="L12" s="217"/>
      <c r="M12" s="217">
        <f>+S1.1!M21</f>
        <v>-1289</v>
      </c>
      <c r="N12" s="217"/>
      <c r="O12" s="217">
        <f>+S1.1!O21</f>
        <v>-1371</v>
      </c>
      <c r="P12" s="217"/>
      <c r="Q12" s="217">
        <f>+S1.1!Q21</f>
        <v>-1444</v>
      </c>
      <c r="R12" s="217"/>
      <c r="S12" s="217">
        <f>+S1.1!S21</f>
        <v>-1557</v>
      </c>
      <c r="T12" s="217"/>
      <c r="U12" s="217">
        <f>+S1.1!U21</f>
        <v>-1749</v>
      </c>
      <c r="V12" s="217"/>
      <c r="W12" s="218">
        <f>S1.1!W21</f>
        <v>-962.98672464899994</v>
      </c>
      <c r="X12" s="217"/>
      <c r="Y12" s="217">
        <f>S1.1!Y21</f>
        <v>-1028.0848246490009</v>
      </c>
      <c r="Z12" s="217"/>
    </row>
    <row r="13" spans="1:30">
      <c r="A13" s="642">
        <f t="shared" si="0"/>
        <v>5</v>
      </c>
      <c r="C13" s="473" t="s">
        <v>580</v>
      </c>
      <c r="F13" s="217"/>
      <c r="G13" s="217">
        <v>21</v>
      </c>
      <c r="H13" s="217"/>
      <c r="I13" s="217">
        <v>27</v>
      </c>
      <c r="J13" s="217"/>
      <c r="K13" s="217">
        <v>25</v>
      </c>
      <c r="L13" s="217"/>
      <c r="M13" s="217">
        <v>25</v>
      </c>
      <c r="N13" s="217"/>
      <c r="O13" s="217">
        <v>28</v>
      </c>
      <c r="P13" s="217"/>
      <c r="Q13" s="217">
        <v>25</v>
      </c>
      <c r="R13" s="217"/>
      <c r="S13" s="217">
        <v>25</v>
      </c>
      <c r="T13" s="217"/>
      <c r="U13" s="217">
        <v>25</v>
      </c>
      <c r="V13" s="217"/>
      <c r="W13" s="217">
        <v>18</v>
      </c>
      <c r="X13" s="217"/>
      <c r="Y13" s="217">
        <v>18</v>
      </c>
      <c r="Z13" s="217"/>
    </row>
    <row r="14" spans="1:30">
      <c r="A14" s="642">
        <f>A13+1</f>
        <v>6</v>
      </c>
      <c r="C14" s="473" t="s">
        <v>581</v>
      </c>
      <c r="E14" s="565" t="s">
        <v>675</v>
      </c>
      <c r="F14" s="217"/>
      <c r="G14" s="217">
        <f>-'S8.8 '!G43</f>
        <v>124</v>
      </c>
      <c r="H14" s="217"/>
      <c r="I14" s="217">
        <f>-'S8.8 '!I43</f>
        <v>141</v>
      </c>
      <c r="J14" s="217"/>
      <c r="K14" s="217">
        <f>-'S8.8 '!K43</f>
        <v>141</v>
      </c>
      <c r="L14" s="217"/>
      <c r="M14" s="217">
        <v>0</v>
      </c>
      <c r="N14" s="217"/>
      <c r="O14" s="217">
        <v>0</v>
      </c>
      <c r="P14" s="217"/>
      <c r="Q14" s="217">
        <v>0</v>
      </c>
      <c r="R14" s="217"/>
      <c r="S14" s="217">
        <v>0</v>
      </c>
      <c r="T14" s="217"/>
      <c r="U14" s="217">
        <v>0</v>
      </c>
      <c r="V14" s="217"/>
      <c r="W14" s="217">
        <f>-'S8.8 '!W43</f>
        <v>123</v>
      </c>
      <c r="X14" s="217"/>
      <c r="Y14" s="217">
        <f>-'S8.8 '!Y43</f>
        <v>123</v>
      </c>
      <c r="Z14" s="217"/>
    </row>
    <row r="15" spans="1:30">
      <c r="A15" s="642">
        <f t="shared" si="0"/>
        <v>7</v>
      </c>
      <c r="C15" s="473" t="s">
        <v>84</v>
      </c>
      <c r="E15" s="565" t="s">
        <v>749</v>
      </c>
      <c r="F15" s="217"/>
      <c r="G15" s="217">
        <f>-'S8.8 '!G32-'S8.8 '!G33</f>
        <v>600</v>
      </c>
      <c r="H15" s="217"/>
      <c r="I15" s="217">
        <f>-'S8.8 '!I32</f>
        <v>150</v>
      </c>
      <c r="J15" s="217"/>
      <c r="K15" s="217">
        <f>-'S8.8 '!K32</f>
        <v>150</v>
      </c>
      <c r="L15" s="217"/>
      <c r="M15" s="217">
        <f>+'S8.8 '!M18*-1</f>
        <v>150</v>
      </c>
      <c r="N15" s="217"/>
      <c r="O15" s="217">
        <f>+'S8.8 '!O18*-1</f>
        <v>150</v>
      </c>
      <c r="P15" s="217"/>
      <c r="Q15" s="217">
        <f>+'S8.8 '!Q18*-1</f>
        <v>40.200000000000003</v>
      </c>
      <c r="R15" s="217"/>
      <c r="S15" s="217">
        <f>+'S8.8 '!S18*-1</f>
        <v>40.200000000000003</v>
      </c>
      <c r="T15" s="217"/>
      <c r="U15" s="217">
        <f>+'S8.8 '!U18*-1</f>
        <v>39.200000000000003</v>
      </c>
      <c r="V15" s="217"/>
      <c r="W15" s="217">
        <f>-'S8.8 '!W32</f>
        <v>150</v>
      </c>
      <c r="X15" s="217"/>
      <c r="Y15" s="217">
        <f>-'S8.8 '!Y32</f>
        <v>150</v>
      </c>
      <c r="Z15" s="217"/>
    </row>
    <row r="16" spans="1:30">
      <c r="A16" s="642">
        <f t="shared" si="0"/>
        <v>8</v>
      </c>
      <c r="C16" s="473" t="s">
        <v>292</v>
      </c>
      <c r="E16" s="565" t="s">
        <v>747</v>
      </c>
      <c r="F16" s="217"/>
      <c r="G16" s="217">
        <v>75</v>
      </c>
      <c r="H16" s="217"/>
      <c r="I16" s="217">
        <v>97</v>
      </c>
      <c r="J16" s="217"/>
      <c r="K16" s="217">
        <v>86</v>
      </c>
      <c r="L16" s="217"/>
      <c r="M16" s="217">
        <f>+'S8.4 '!M38</f>
        <v>86</v>
      </c>
      <c r="N16" s="217"/>
      <c r="O16" s="217">
        <f>+'S8.4 '!O38</f>
        <v>86</v>
      </c>
      <c r="P16" s="217"/>
      <c r="Q16" s="217">
        <f>+'S8.4 '!Q38</f>
        <v>123</v>
      </c>
      <c r="R16" s="217"/>
      <c r="S16" s="217">
        <f>+'S8.4 '!S38</f>
        <v>123</v>
      </c>
      <c r="T16" s="217"/>
      <c r="U16" s="217">
        <f>+'S8.4 '!U38</f>
        <v>123</v>
      </c>
      <c r="V16" s="217"/>
      <c r="W16" s="217">
        <f>+'S8.4 '!W38</f>
        <v>86</v>
      </c>
      <c r="X16" s="217"/>
      <c r="Y16" s="217">
        <f>+'S8.4 '!Y38</f>
        <v>86</v>
      </c>
      <c r="Z16" s="217"/>
    </row>
    <row r="17" spans="1:30">
      <c r="A17" s="642">
        <f t="shared" si="0"/>
        <v>9</v>
      </c>
      <c r="C17" s="473" t="s">
        <v>582</v>
      </c>
      <c r="E17" s="565" t="s">
        <v>674</v>
      </c>
      <c r="F17" s="217"/>
      <c r="G17" s="217">
        <f>-'S8.8 '!G53</f>
        <v>147</v>
      </c>
      <c r="H17" s="217"/>
      <c r="I17" s="217">
        <f>-'S8.8 '!I53</f>
        <v>147</v>
      </c>
      <c r="J17" s="217"/>
      <c r="K17" s="217">
        <f>-'S8.8 '!K53</f>
        <v>0</v>
      </c>
      <c r="L17" s="217"/>
      <c r="M17" s="217">
        <f>-'S8.8 '!M53</f>
        <v>0</v>
      </c>
      <c r="N17" s="217"/>
      <c r="O17" s="217">
        <v>0</v>
      </c>
      <c r="P17" s="217"/>
      <c r="Q17" s="217">
        <v>0</v>
      </c>
      <c r="R17" s="217"/>
      <c r="S17" s="217">
        <v>0</v>
      </c>
      <c r="T17" s="217"/>
      <c r="U17" s="217">
        <v>0</v>
      </c>
      <c r="V17" s="217"/>
      <c r="W17" s="217">
        <f>-'S8.8 '!W53</f>
        <v>154</v>
      </c>
      <c r="X17" s="217"/>
      <c r="Y17" s="217">
        <f>-'S8.8 '!Y53</f>
        <v>154</v>
      </c>
      <c r="Z17" s="217"/>
    </row>
    <row r="18" spans="1:30">
      <c r="A18" s="642">
        <f t="shared" si="0"/>
        <v>10</v>
      </c>
      <c r="C18" s="473" t="s">
        <v>583</v>
      </c>
      <c r="E18" s="565"/>
      <c r="F18" s="217"/>
      <c r="G18" s="217">
        <f>+'S8.4 '!G31*-0.7+'S8.4 '!G23*0.7</f>
        <v>415.8</v>
      </c>
      <c r="H18" s="217"/>
      <c r="I18" s="217">
        <f>+'S8.4 '!I31*-0.7+'S8.4 '!I23*0.7</f>
        <v>447.99999999999994</v>
      </c>
      <c r="J18" s="217"/>
      <c r="K18" s="217">
        <f>+'S8.4 '!K31*-0.7+'S8.4 '!K23*0.7</f>
        <v>546.69999999999993</v>
      </c>
      <c r="L18" s="217"/>
      <c r="M18" s="217">
        <f>+'S8.4 '!M31*-0.7+'S8.4 '!M23*0.7</f>
        <v>590.09999999999991</v>
      </c>
      <c r="N18" s="217"/>
      <c r="O18" s="217">
        <f>+'S8.4 '!O31*-0.7+'S8.4 '!O23*0.7</f>
        <v>870.1</v>
      </c>
      <c r="P18" s="217"/>
      <c r="Q18" s="217">
        <f>+'S8.4 '!Q31*-0.7+'S8.4 '!Q23*0.7</f>
        <v>870.1</v>
      </c>
      <c r="R18" s="217"/>
      <c r="S18" s="217">
        <f>+'S8.4 '!S31*-0.7+'S8.4 '!S23*0.7</f>
        <v>870.1</v>
      </c>
      <c r="T18" s="217"/>
      <c r="U18" s="217">
        <f>+'S8.4 '!U31*-0.7+'S8.4 '!U23*0.7</f>
        <v>870.1</v>
      </c>
      <c r="V18" s="217"/>
      <c r="W18" s="217">
        <f>+'S8.4 '!W22+'S8.4 '!W30</f>
        <v>647.76368785157433</v>
      </c>
      <c r="X18" s="217"/>
      <c r="Y18" s="217">
        <f>+'S8.4 '!Y22+'S8.4 '!Y30</f>
        <v>683.02950912266886</v>
      </c>
      <c r="Z18" s="217"/>
    </row>
    <row r="19" spans="1:30">
      <c r="A19" s="642">
        <f t="shared" si="0"/>
        <v>11</v>
      </c>
      <c r="C19" s="294" t="s">
        <v>648</v>
      </c>
      <c r="F19" s="217"/>
      <c r="G19" s="356">
        <f>SUM(G11:G18)</f>
        <v>3583.8</v>
      </c>
      <c r="H19" s="217"/>
      <c r="I19" s="356">
        <f>SUM(I11:I18)</f>
        <v>3323</v>
      </c>
      <c r="J19" s="217"/>
      <c r="K19" s="356">
        <f>SUM(K11:K18)</f>
        <v>3410.7</v>
      </c>
      <c r="L19" s="217"/>
      <c r="M19" s="356">
        <f>SUM(M11:M18)</f>
        <v>3691.1</v>
      </c>
      <c r="N19" s="217"/>
      <c r="O19" s="356">
        <f>SUM(O11:O18)</f>
        <v>3955.1</v>
      </c>
      <c r="P19" s="217"/>
      <c r="Q19" s="356">
        <f>SUM(Q11:Q18)</f>
        <v>6184.2487999999994</v>
      </c>
      <c r="R19" s="217"/>
      <c r="S19" s="356">
        <f>SUM(S11:S18)</f>
        <v>7010.1059999999998</v>
      </c>
      <c r="T19" s="217"/>
      <c r="U19" s="356">
        <f>SUM(U11:U18)</f>
        <v>7877.1060000000007</v>
      </c>
      <c r="V19" s="217"/>
      <c r="W19" s="355">
        <f>SUM(W11:W18)</f>
        <v>3569.7769632025747</v>
      </c>
      <c r="X19" s="219"/>
      <c r="Y19" s="356">
        <f>SUM(Y11:Y18)</f>
        <v>3846.9446844736681</v>
      </c>
      <c r="Z19" s="219"/>
    </row>
    <row r="20" spans="1:30">
      <c r="A20" s="642">
        <f t="shared" si="0"/>
        <v>12</v>
      </c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8"/>
      <c r="X20" s="217"/>
      <c r="Y20" s="217"/>
      <c r="Z20" s="217"/>
      <c r="AD20" s="221"/>
    </row>
    <row r="21" spans="1:30">
      <c r="A21" s="642">
        <f t="shared" si="0"/>
        <v>13</v>
      </c>
      <c r="C21" s="229" t="s">
        <v>30</v>
      </c>
      <c r="D21" s="229"/>
      <c r="E21" s="635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8"/>
      <c r="X21" s="217"/>
      <c r="Y21" s="217"/>
      <c r="Z21" s="217"/>
    </row>
    <row r="22" spans="1:30">
      <c r="A22" s="642">
        <f t="shared" si="0"/>
        <v>14</v>
      </c>
      <c r="C22" s="294" t="s">
        <v>31</v>
      </c>
      <c r="F22" s="217"/>
      <c r="G22" s="217">
        <v>3460.9050000000002</v>
      </c>
      <c r="H22" s="217"/>
      <c r="I22" s="217">
        <v>3668</v>
      </c>
      <c r="J22" s="217"/>
      <c r="K22" s="217">
        <v>3006</v>
      </c>
      <c r="L22" s="217"/>
      <c r="M22" s="217">
        <v>3085</v>
      </c>
      <c r="N22" s="217"/>
      <c r="O22" s="217">
        <v>3558.5</v>
      </c>
      <c r="P22" s="217"/>
      <c r="Q22" s="217">
        <v>4522.8100000000004</v>
      </c>
      <c r="R22" s="217"/>
      <c r="S22" s="217">
        <v>5688.8940000000002</v>
      </c>
      <c r="T22" s="217"/>
      <c r="U22" s="217">
        <v>6650.558</v>
      </c>
      <c r="V22" s="217"/>
      <c r="W22" s="218">
        <v>3514.797</v>
      </c>
      <c r="X22" s="217"/>
      <c r="Y22" s="218">
        <v>3700.0590000000002</v>
      </c>
      <c r="Z22" s="217"/>
    </row>
    <row r="23" spans="1:30">
      <c r="A23" s="642">
        <f t="shared" si="0"/>
        <v>15</v>
      </c>
      <c r="C23" s="294" t="s">
        <v>240</v>
      </c>
      <c r="E23" s="565" t="s">
        <v>453</v>
      </c>
      <c r="F23" s="217"/>
      <c r="G23" s="217">
        <f>+'S8.8 '!G42</f>
        <v>118</v>
      </c>
      <c r="H23" s="217"/>
      <c r="I23" s="217">
        <f>+'S8.8 '!I42</f>
        <v>0</v>
      </c>
      <c r="J23" s="217"/>
      <c r="K23" s="217">
        <f>+'S8.8 '!K42</f>
        <v>0</v>
      </c>
      <c r="L23" s="217"/>
      <c r="M23" s="217">
        <v>0</v>
      </c>
      <c r="N23" s="217"/>
      <c r="O23" s="217">
        <v>0</v>
      </c>
      <c r="P23" s="217"/>
      <c r="Q23" s="217">
        <v>0</v>
      </c>
      <c r="R23" s="217"/>
      <c r="S23" s="217">
        <v>0</v>
      </c>
      <c r="T23" s="217"/>
      <c r="U23" s="217">
        <v>0</v>
      </c>
      <c r="V23" s="217"/>
      <c r="W23" s="218">
        <f>+'S8.8 '!W42</f>
        <v>60</v>
      </c>
      <c r="X23" s="217"/>
      <c r="Y23" s="218">
        <f>+'S8.8 '!Y42</f>
        <v>0</v>
      </c>
      <c r="Z23" s="217"/>
    </row>
    <row r="24" spans="1:30">
      <c r="A24" s="642">
        <f t="shared" si="0"/>
        <v>16</v>
      </c>
      <c r="C24" s="294" t="s">
        <v>213</v>
      </c>
      <c r="E24" s="565" t="s">
        <v>654</v>
      </c>
      <c r="F24" s="217"/>
      <c r="G24" s="217">
        <f>+'S8.8 '!G31</f>
        <v>274</v>
      </c>
      <c r="H24" s="217"/>
      <c r="I24" s="217">
        <f>+'S8.8 '!I31</f>
        <v>101</v>
      </c>
      <c r="J24" s="217"/>
      <c r="K24" s="217">
        <f>+'S8.8 '!K31</f>
        <v>0</v>
      </c>
      <c r="L24" s="217"/>
      <c r="M24" s="217">
        <f>+'S8.8 '!M31</f>
        <v>160</v>
      </c>
      <c r="N24" s="217"/>
      <c r="O24" s="217">
        <f>+'S8.8 '!O31</f>
        <v>24</v>
      </c>
      <c r="P24" s="217"/>
      <c r="Q24" s="217">
        <f>+'S8.8 '!Q31</f>
        <v>417.25</v>
      </c>
      <c r="R24" s="217"/>
      <c r="S24" s="217">
        <f>+'S8.8 '!S31</f>
        <v>193.25</v>
      </c>
      <c r="T24" s="217"/>
      <c r="U24" s="217">
        <f>+'S8.8 '!U31</f>
        <v>0</v>
      </c>
      <c r="V24" s="217"/>
      <c r="W24" s="218">
        <v>720</v>
      </c>
      <c r="X24" s="217"/>
      <c r="Y24" s="218">
        <v>0</v>
      </c>
      <c r="Z24" s="217"/>
    </row>
    <row r="25" spans="1:30">
      <c r="A25" s="642">
        <f t="shared" si="0"/>
        <v>17</v>
      </c>
      <c r="C25" s="294" t="s">
        <v>289</v>
      </c>
      <c r="E25" s="565" t="s">
        <v>655</v>
      </c>
      <c r="F25" s="217"/>
      <c r="G25" s="218">
        <f>-'S8.4 '!G39</f>
        <v>0</v>
      </c>
      <c r="H25" s="217"/>
      <c r="I25" s="218">
        <f>-'S8.4 '!I39</f>
        <v>147</v>
      </c>
      <c r="J25" s="217"/>
      <c r="K25" s="218">
        <f>-'S8.4 '!K39</f>
        <v>100</v>
      </c>
      <c r="L25" s="217"/>
      <c r="M25" s="217">
        <f>+'S8.4 '!M39*-1</f>
        <v>100</v>
      </c>
      <c r="N25" s="217"/>
      <c r="O25" s="217">
        <v>0</v>
      </c>
      <c r="P25" s="217"/>
      <c r="Q25" s="217">
        <f>+'S8.4 '!Q39*-1</f>
        <v>100</v>
      </c>
      <c r="R25" s="217"/>
      <c r="S25" s="217">
        <f>+'S8.4 '!S39*-1</f>
        <v>100</v>
      </c>
      <c r="T25" s="217"/>
      <c r="U25" s="217">
        <f>+'S8.4 '!U39*-1</f>
        <v>100</v>
      </c>
      <c r="V25" s="217"/>
      <c r="W25" s="218">
        <f>-'S8.4 '!W39</f>
        <v>60</v>
      </c>
      <c r="X25" s="217"/>
      <c r="Y25" s="218">
        <f>-'S8.4 '!Y39</f>
        <v>60</v>
      </c>
      <c r="Z25" s="217"/>
    </row>
    <row r="26" spans="1:30">
      <c r="A26" s="642">
        <f t="shared" si="0"/>
        <v>18</v>
      </c>
      <c r="C26" s="294" t="s">
        <v>838</v>
      </c>
      <c r="E26" s="256" t="s">
        <v>729</v>
      </c>
      <c r="F26" s="217"/>
      <c r="G26" s="217">
        <f>+'S8.8 '!G52</f>
        <v>137</v>
      </c>
      <c r="H26" s="217"/>
      <c r="I26" s="217">
        <f>+'S8.8 '!I52</f>
        <v>259</v>
      </c>
      <c r="J26" s="217"/>
      <c r="K26" s="217">
        <f>+'S8.8 '!K52</f>
        <v>358</v>
      </c>
      <c r="L26" s="217"/>
      <c r="M26" s="217">
        <f>S9.1!L30</f>
        <v>491</v>
      </c>
      <c r="N26" s="217"/>
      <c r="O26" s="217">
        <f>S9.1!N30</f>
        <v>688</v>
      </c>
      <c r="P26" s="217"/>
      <c r="Q26" s="217">
        <f>S9.1!P30</f>
        <v>650</v>
      </c>
      <c r="R26" s="217"/>
      <c r="S26" s="217">
        <v>0</v>
      </c>
      <c r="T26" s="217"/>
      <c r="U26" s="217">
        <v>0</v>
      </c>
      <c r="V26" s="217"/>
      <c r="W26" s="218">
        <f>+'S8.8 '!W52</f>
        <v>150</v>
      </c>
      <c r="X26" s="217"/>
      <c r="Y26" s="218">
        <f>+'S8.8 '!Y52</f>
        <v>0</v>
      </c>
      <c r="Z26" s="217"/>
    </row>
    <row r="27" spans="1:30">
      <c r="A27" s="642">
        <f t="shared" si="0"/>
        <v>19</v>
      </c>
      <c r="C27" s="294" t="s">
        <v>902</v>
      </c>
      <c r="E27" s="565" t="s">
        <v>748</v>
      </c>
      <c r="F27" s="217"/>
      <c r="G27" s="218">
        <f>-'S8.4 '!G23-'S8.4 '!G31</f>
        <v>668</v>
      </c>
      <c r="H27" s="217"/>
      <c r="I27" s="218">
        <f>-'S8.4 '!I23-'S8.4 '!I31</f>
        <v>688</v>
      </c>
      <c r="J27" s="217"/>
      <c r="K27" s="218">
        <f>-'S8.4 '!K23-'S8.4 '!K31</f>
        <v>821</v>
      </c>
      <c r="L27" s="217"/>
      <c r="M27" s="217">
        <f>-'S8.4 '!M31-'S8.4 '!M23</f>
        <v>865</v>
      </c>
      <c r="N27" s="217"/>
      <c r="O27" s="217">
        <f>-'S8.4 '!O31-'S8.4 '!O23</f>
        <v>1317</v>
      </c>
      <c r="P27" s="217"/>
      <c r="Q27" s="217">
        <f>-'S8.4 '!Q31-'S8.4 '!Q23</f>
        <v>1317</v>
      </c>
      <c r="R27" s="217"/>
      <c r="S27" s="217">
        <f>-'S8.4 '!S31-'S8.4 '!S23</f>
        <v>1317</v>
      </c>
      <c r="T27" s="217"/>
      <c r="U27" s="217">
        <f>-'S8.4 '!U31-'S8.4 '!U23</f>
        <v>1317</v>
      </c>
      <c r="V27" s="217"/>
      <c r="W27" s="218">
        <f>-'S8.4 '!W23-'S8.4 '!W31</f>
        <v>647.76368785157433</v>
      </c>
      <c r="X27" s="217"/>
      <c r="Y27" s="218">
        <f>-'S8.4 '!Y23-'S8.4 '!Y31</f>
        <v>683.02950912266886</v>
      </c>
      <c r="Z27" s="217"/>
    </row>
    <row r="28" spans="1:30">
      <c r="A28" s="642">
        <f t="shared" si="0"/>
        <v>20</v>
      </c>
      <c r="C28" s="294" t="s">
        <v>422</v>
      </c>
      <c r="F28" s="217"/>
      <c r="G28" s="217">
        <v>214.6</v>
      </c>
      <c r="H28" s="217"/>
      <c r="I28" s="217">
        <v>243</v>
      </c>
      <c r="J28" s="217"/>
      <c r="K28" s="217">
        <v>238</v>
      </c>
      <c r="L28" s="217"/>
      <c r="M28" s="217">
        <v>193</v>
      </c>
      <c r="N28" s="217"/>
      <c r="O28" s="217">
        <v>277</v>
      </c>
      <c r="P28" s="217"/>
      <c r="Q28" s="217">
        <v>286.58875145400003</v>
      </c>
      <c r="R28" s="217"/>
      <c r="S28" s="217">
        <v>296.61935775489002</v>
      </c>
      <c r="T28" s="217"/>
      <c r="U28" s="217">
        <v>289.8</v>
      </c>
      <c r="V28" s="217"/>
      <c r="W28" s="218">
        <v>358.37550000000005</v>
      </c>
      <c r="X28" s="217"/>
      <c r="Y28" s="218">
        <v>376.29427500000008</v>
      </c>
      <c r="Z28" s="217"/>
    </row>
    <row r="29" spans="1:30">
      <c r="A29" s="642">
        <f t="shared" si="0"/>
        <v>21</v>
      </c>
      <c r="C29" s="473" t="s">
        <v>470</v>
      </c>
      <c r="F29" s="217"/>
      <c r="G29" s="217">
        <f>15+23</f>
        <v>38</v>
      </c>
      <c r="H29" s="217"/>
      <c r="I29" s="217">
        <f>58</f>
        <v>58</v>
      </c>
      <c r="J29" s="217"/>
      <c r="K29" s="217">
        <v>0</v>
      </c>
      <c r="L29" s="217"/>
      <c r="M29" s="217">
        <v>0</v>
      </c>
      <c r="N29" s="217"/>
      <c r="O29" s="217">
        <f>170-142</f>
        <v>28</v>
      </c>
      <c r="P29" s="217"/>
      <c r="Q29" s="217">
        <v>0</v>
      </c>
      <c r="R29" s="217"/>
      <c r="S29" s="217">
        <v>0</v>
      </c>
      <c r="T29" s="217"/>
      <c r="U29" s="217">
        <v>0</v>
      </c>
      <c r="V29" s="217"/>
      <c r="W29" s="218">
        <v>0</v>
      </c>
      <c r="X29" s="217"/>
      <c r="Y29" s="218">
        <v>0</v>
      </c>
      <c r="Z29" s="217"/>
    </row>
    <row r="30" spans="1:30">
      <c r="A30" s="642">
        <f t="shared" si="0"/>
        <v>22</v>
      </c>
      <c r="C30" s="294" t="s">
        <v>464</v>
      </c>
      <c r="F30" s="217"/>
      <c r="G30" s="217">
        <v>0</v>
      </c>
      <c r="H30" s="217"/>
      <c r="I30" s="217">
        <v>0</v>
      </c>
      <c r="J30" s="217"/>
      <c r="K30" s="217">
        <v>185</v>
      </c>
      <c r="L30" s="217"/>
      <c r="M30" s="217">
        <v>100</v>
      </c>
      <c r="N30" s="217"/>
      <c r="O30" s="217">
        <v>64</v>
      </c>
      <c r="P30" s="217"/>
      <c r="Q30" s="217">
        <v>70</v>
      </c>
      <c r="R30" s="217"/>
      <c r="S30" s="217">
        <v>70</v>
      </c>
      <c r="T30" s="217"/>
      <c r="U30" s="217">
        <v>70</v>
      </c>
      <c r="V30" s="217"/>
      <c r="W30" s="218">
        <v>0</v>
      </c>
      <c r="X30" s="217"/>
      <c r="Y30" s="218">
        <v>0</v>
      </c>
      <c r="Z30" s="217"/>
    </row>
    <row r="31" spans="1:30">
      <c r="A31" s="642">
        <f>A30+1</f>
        <v>23</v>
      </c>
      <c r="C31" s="294" t="s">
        <v>903</v>
      </c>
      <c r="F31" s="217"/>
      <c r="G31" s="217">
        <v>10.555999999999999</v>
      </c>
      <c r="H31" s="217"/>
      <c r="I31" s="217">
        <v>10.555999999999999</v>
      </c>
      <c r="J31" s="217"/>
      <c r="K31" s="217">
        <v>11.202999999999999</v>
      </c>
      <c r="L31" s="217"/>
      <c r="M31" s="217">
        <v>10</v>
      </c>
      <c r="N31" s="217"/>
      <c r="O31" s="217">
        <v>10</v>
      </c>
      <c r="P31" s="217"/>
      <c r="Q31" s="217">
        <f>+S7.2!H55*0.75*0.07+10</f>
        <v>44.125</v>
      </c>
      <c r="R31" s="217"/>
      <c r="S31" s="217">
        <f>+Q31</f>
        <v>44.125</v>
      </c>
      <c r="T31" s="217"/>
      <c r="U31" s="217">
        <f>+Q31</f>
        <v>44.125</v>
      </c>
      <c r="V31" s="217"/>
      <c r="W31" s="218">
        <v>10</v>
      </c>
      <c r="X31" s="217"/>
      <c r="Y31" s="218">
        <v>9</v>
      </c>
      <c r="Z31" s="217"/>
    </row>
    <row r="32" spans="1:30">
      <c r="A32" s="642">
        <f t="shared" si="0"/>
        <v>24</v>
      </c>
      <c r="C32" s="294" t="s">
        <v>835</v>
      </c>
      <c r="F32" s="217"/>
      <c r="G32" s="217">
        <v>431.4</v>
      </c>
      <c r="H32" s="217"/>
      <c r="I32" s="217">
        <v>325</v>
      </c>
      <c r="J32" s="217"/>
      <c r="K32" s="217">
        <v>732</v>
      </c>
      <c r="L32" s="217"/>
      <c r="M32" s="217">
        <v>1054</v>
      </c>
      <c r="N32" s="217"/>
      <c r="O32" s="217">
        <v>1122</v>
      </c>
      <c r="P32" s="217"/>
      <c r="Q32" s="217">
        <v>1102.54423801179</v>
      </c>
      <c r="R32" s="217"/>
      <c r="S32" s="217">
        <v>1120.54423801179</v>
      </c>
      <c r="T32" s="217"/>
      <c r="U32" s="217">
        <v>1371.175551364181</v>
      </c>
      <c r="V32" s="217"/>
      <c r="W32" s="218">
        <v>350</v>
      </c>
      <c r="X32" s="219"/>
      <c r="Y32" s="218">
        <v>350</v>
      </c>
      <c r="Z32" s="219"/>
    </row>
    <row r="33" spans="1:26">
      <c r="A33" s="642">
        <f t="shared" si="0"/>
        <v>25</v>
      </c>
      <c r="C33" s="294" t="s">
        <v>648</v>
      </c>
      <c r="F33" s="217"/>
      <c r="G33" s="356">
        <f>SUM(G22:G32)</f>
        <v>5352.4610000000002</v>
      </c>
      <c r="H33" s="217"/>
      <c r="I33" s="356">
        <f>SUM(I22:I32)</f>
        <v>5499.5559999999996</v>
      </c>
      <c r="J33" s="217"/>
      <c r="K33" s="356">
        <f>SUM(K22:K32)</f>
        <v>5451.2030000000004</v>
      </c>
      <c r="L33" s="217"/>
      <c r="M33" s="356">
        <f>SUM(M22:M32)</f>
        <v>6058</v>
      </c>
      <c r="N33" s="217"/>
      <c r="O33" s="356">
        <f>SUM(O22:O32)</f>
        <v>7088.5</v>
      </c>
      <c r="P33" s="217"/>
      <c r="Q33" s="356">
        <f>SUM(Q22:Q32)</f>
        <v>8510.3179894657897</v>
      </c>
      <c r="R33" s="217"/>
      <c r="S33" s="356">
        <f>SUM(S22:S32)</f>
        <v>8830.4325957666806</v>
      </c>
      <c r="T33" s="217"/>
      <c r="U33" s="356">
        <f>SUM(U22:U32)</f>
        <v>9842.6585513641803</v>
      </c>
      <c r="V33" s="217"/>
      <c r="W33" s="356">
        <f>SUM(W22:W32)</f>
        <v>5870.9361878515747</v>
      </c>
      <c r="X33" s="217"/>
      <c r="Y33" s="356">
        <f>SUM(Y22:Y32)</f>
        <v>5178.3827841226694</v>
      </c>
      <c r="Z33" s="217"/>
    </row>
    <row r="34" spans="1:26">
      <c r="A34" s="642">
        <f t="shared" si="0"/>
        <v>26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</row>
    <row r="35" spans="1:26">
      <c r="A35" s="642">
        <f t="shared" si="0"/>
        <v>27</v>
      </c>
      <c r="C35" s="294" t="s">
        <v>649</v>
      </c>
      <c r="F35" s="217"/>
      <c r="G35" s="217">
        <f>+G9+G19-G33</f>
        <v>-518.66100000000006</v>
      </c>
      <c r="H35" s="217"/>
      <c r="I35" s="217">
        <f>+I9+I19-I33</f>
        <v>129.44400000000041</v>
      </c>
      <c r="J35" s="217"/>
      <c r="K35" s="217">
        <f>+K9+K19-K33</f>
        <v>424.49699999999939</v>
      </c>
      <c r="L35" s="217"/>
      <c r="M35" s="217">
        <f>+M9+M19-M33</f>
        <v>29.100000000000364</v>
      </c>
      <c r="N35" s="217"/>
      <c r="O35" s="217">
        <f>+O9+O19-O33</f>
        <v>-956.39999999999964</v>
      </c>
      <c r="P35" s="217"/>
      <c r="Q35" s="217">
        <f>+Q9+Q19-Q33</f>
        <v>825.93081053420974</v>
      </c>
      <c r="R35" s="217"/>
      <c r="S35" s="217">
        <f>+S9+S19-S33</f>
        <v>2345.6734042333192</v>
      </c>
      <c r="T35" s="217"/>
      <c r="U35" s="217">
        <f>+U9+U19-U33</f>
        <v>2760.4474486358195</v>
      </c>
      <c r="V35" s="217"/>
      <c r="W35" s="217">
        <f>+W9+W19-W33</f>
        <v>-996.15922464899995</v>
      </c>
      <c r="X35" s="219"/>
      <c r="Y35" s="217">
        <f>+Y9+Y19-Y33</f>
        <v>621.56190035099917</v>
      </c>
      <c r="Z35" s="219"/>
    </row>
    <row r="36" spans="1:26">
      <c r="A36" s="642">
        <f t="shared" si="0"/>
        <v>28</v>
      </c>
      <c r="C36" s="294" t="s">
        <v>650</v>
      </c>
      <c r="F36" s="469"/>
      <c r="G36" s="470">
        <v>0.34499999999999997</v>
      </c>
      <c r="H36" s="469"/>
      <c r="I36" s="470">
        <v>0.34</v>
      </c>
      <c r="J36" s="469"/>
      <c r="K36" s="470">
        <v>0.33</v>
      </c>
      <c r="L36" s="469"/>
      <c r="M36" s="470">
        <v>0.315</v>
      </c>
      <c r="N36" s="469"/>
      <c r="O36" s="470">
        <v>0.3</v>
      </c>
      <c r="P36" s="469"/>
      <c r="Q36" s="470">
        <v>0.3</v>
      </c>
      <c r="R36" s="469"/>
      <c r="S36" s="470">
        <v>0.3</v>
      </c>
      <c r="T36" s="469"/>
      <c r="U36" s="470">
        <v>0.3</v>
      </c>
      <c r="V36" s="469"/>
      <c r="W36" s="470">
        <v>0.34499999999999997</v>
      </c>
      <c r="X36" s="469"/>
      <c r="Y36" s="470">
        <v>0.34</v>
      </c>
      <c r="Z36" s="469"/>
    </row>
    <row r="37" spans="1:26">
      <c r="A37" s="642">
        <f t="shared" si="0"/>
        <v>29</v>
      </c>
      <c r="C37" s="294" t="s">
        <v>188</v>
      </c>
      <c r="F37" s="217"/>
      <c r="G37" s="217">
        <f>+G35*G36</f>
        <v>-178.93804500000002</v>
      </c>
      <c r="H37" s="217"/>
      <c r="I37" s="217">
        <f>+I35*I36</f>
        <v>44.010960000000146</v>
      </c>
      <c r="J37" s="217"/>
      <c r="K37" s="217">
        <f>+K35*K36</f>
        <v>140.08400999999981</v>
      </c>
      <c r="L37" s="217"/>
      <c r="M37" s="217">
        <f>+M35*M36</f>
        <v>9.1665000000001147</v>
      </c>
      <c r="N37" s="217"/>
      <c r="O37" s="217">
        <f>+O35*O36</f>
        <v>-286.9199999999999</v>
      </c>
      <c r="P37" s="217"/>
      <c r="Q37" s="217">
        <f>+Q35*Q36</f>
        <v>247.77924316026292</v>
      </c>
      <c r="R37" s="217"/>
      <c r="S37" s="217">
        <f>+S35*S36</f>
        <v>703.70202126999573</v>
      </c>
      <c r="T37" s="217"/>
      <c r="U37" s="217">
        <f>+U35*U36</f>
        <v>828.13423459074579</v>
      </c>
      <c r="V37" s="217"/>
      <c r="W37" s="217">
        <f>+W35*W36</f>
        <v>-343.67493250390498</v>
      </c>
      <c r="X37" s="217"/>
      <c r="Y37" s="217">
        <f>+Y35*Y36</f>
        <v>211.33104611933973</v>
      </c>
      <c r="Z37" s="217"/>
    </row>
    <row r="38" spans="1:26">
      <c r="A38" s="642">
        <f t="shared" si="0"/>
        <v>30</v>
      </c>
      <c r="C38" s="294" t="s">
        <v>651</v>
      </c>
      <c r="F38" s="217"/>
      <c r="G38" s="219">
        <v>85</v>
      </c>
      <c r="H38" s="217"/>
      <c r="I38" s="219">
        <v>-34</v>
      </c>
      <c r="J38" s="217"/>
      <c r="K38" s="219">
        <v>138</v>
      </c>
      <c r="L38" s="217"/>
      <c r="M38" s="219">
        <v>52</v>
      </c>
      <c r="N38" s="217"/>
      <c r="O38" s="219">
        <v>-20</v>
      </c>
      <c r="P38" s="217"/>
      <c r="Q38" s="219">
        <v>0</v>
      </c>
      <c r="R38" s="217"/>
      <c r="S38" s="219">
        <v>0</v>
      </c>
      <c r="T38" s="217"/>
      <c r="U38" s="219">
        <v>0</v>
      </c>
      <c r="V38" s="217"/>
      <c r="W38" s="219">
        <v>0</v>
      </c>
      <c r="X38" s="217"/>
      <c r="Y38" s="219">
        <v>0</v>
      </c>
      <c r="Z38" s="217"/>
    </row>
    <row r="39" spans="1:26" ht="13.5" thickBot="1">
      <c r="A39" s="642">
        <f t="shared" si="0"/>
        <v>31</v>
      </c>
      <c r="C39" s="294" t="s">
        <v>652</v>
      </c>
      <c r="E39" s="256" t="s">
        <v>288</v>
      </c>
      <c r="F39" s="221"/>
      <c r="G39" s="389">
        <f>ROUND(SUM(G37:G38),0)</f>
        <v>-94</v>
      </c>
      <c r="H39" s="221"/>
      <c r="I39" s="389">
        <f>ROUND(SUM(I37:I38),0)</f>
        <v>10</v>
      </c>
      <c r="J39" s="221"/>
      <c r="K39" s="389">
        <f>ROUND(SUM(K37:K38),0)</f>
        <v>278</v>
      </c>
      <c r="L39" s="221"/>
      <c r="M39" s="389">
        <f>ROUND(SUM(M37:M38),0)</f>
        <v>61</v>
      </c>
      <c r="N39" s="221"/>
      <c r="O39" s="389">
        <f>ROUND(SUM(O37:O38),0)</f>
        <v>-307</v>
      </c>
      <c r="P39" s="221"/>
      <c r="Q39" s="389">
        <f>ROUND(SUM(Q37:Q38),0)</f>
        <v>248</v>
      </c>
      <c r="R39" s="221"/>
      <c r="S39" s="389">
        <f>ROUND(SUM(S37:S38),0)</f>
        <v>704</v>
      </c>
      <c r="T39" s="221"/>
      <c r="U39" s="389">
        <f>ROUND(SUM(U37:U38),0)</f>
        <v>828</v>
      </c>
      <c r="V39" s="221"/>
      <c r="W39" s="389">
        <f>ROUND(SUM(W37:W38),0)</f>
        <v>-344</v>
      </c>
      <c r="X39" s="221"/>
      <c r="Y39" s="389">
        <f>ROUND(SUM(Y37:Y38),0)</f>
        <v>211</v>
      </c>
      <c r="Z39" s="221"/>
    </row>
    <row r="40" spans="1:26" ht="13.5" thickTop="1"/>
  </sheetData>
  <customSheetViews>
    <customSheetView guid="{275E5119-9E8C-43ED-ACD2-DF40CF10B219}" topLeftCell="A4">
      <selection activeCell="M38" sqref="M38"/>
      <pageMargins left="0.75" right="0.75" top="0.69" bottom="1" header="0.5" footer="0.5"/>
      <pageSetup scale="70" orientation="landscape" r:id="rId1"/>
      <headerFooter alignWithMargins="0"/>
    </customSheetView>
    <customSheetView guid="{D346ECD1-ED60-4F74-8B02-572F89E41ACB}" showPageBreaks="1" showRuler="0" topLeftCell="A4">
      <selection activeCell="M39" sqref="M39"/>
      <pageMargins left="0.75" right="0.75" top="0.69" bottom="1" header="0.5" footer="0.5"/>
      <pageSetup scale="70" orientation="landscape" r:id="rId2"/>
      <headerFooter alignWithMargins="0"/>
    </customSheetView>
  </customSheetViews>
  <mergeCells count="1">
    <mergeCell ref="Q6:U6"/>
  </mergeCells>
  <phoneticPr fontId="11" type="noConversion"/>
  <pageMargins left="0.75" right="0.75" top="0.69" bottom="1" header="0.5" footer="0.5"/>
  <pageSetup scale="62" orientation="landscape" r:id="rId3"/>
  <headerFooter alignWithMargins="0"/>
  <colBreaks count="1" manualBreakCount="1">
    <brk id="28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M58"/>
  <sheetViews>
    <sheetView view="pageBreakPreview" zoomScale="60" zoomScaleNormal="100" workbookViewId="0">
      <selection activeCell="D21" sqref="D21"/>
    </sheetView>
  </sheetViews>
  <sheetFormatPr defaultColWidth="9.140625" defaultRowHeight="12.75"/>
  <cols>
    <col min="1" max="1" width="9.5703125" style="542" customWidth="1"/>
    <col min="2" max="2" width="73" style="542" bestFit="1" customWidth="1"/>
    <col min="3" max="3" width="15.140625" style="543" customWidth="1"/>
    <col min="4" max="4" width="11.85546875" style="542" bestFit="1" customWidth="1"/>
    <col min="5" max="5" width="2.28515625" style="542" customWidth="1"/>
    <col min="6" max="256" width="9.140625" style="542"/>
    <col min="257" max="257" width="9.5703125" style="542" customWidth="1"/>
    <col min="258" max="258" width="60.7109375" style="542" customWidth="1"/>
    <col min="259" max="259" width="18" style="542" customWidth="1"/>
    <col min="260" max="260" width="11.85546875" style="542" bestFit="1" customWidth="1"/>
    <col min="261" max="512" width="9.140625" style="542"/>
    <col min="513" max="513" width="9.5703125" style="542" customWidth="1"/>
    <col min="514" max="514" width="60.7109375" style="542" customWidth="1"/>
    <col min="515" max="515" width="18" style="542" customWidth="1"/>
    <col min="516" max="516" width="11.85546875" style="542" bestFit="1" customWidth="1"/>
    <col min="517" max="768" width="9.140625" style="542"/>
    <col min="769" max="769" width="9.5703125" style="542" customWidth="1"/>
    <col min="770" max="770" width="60.7109375" style="542" customWidth="1"/>
    <col min="771" max="771" width="18" style="542" customWidth="1"/>
    <col min="772" max="772" width="11.85546875" style="542" bestFit="1" customWidth="1"/>
    <col min="773" max="1024" width="9.140625" style="542"/>
    <col min="1025" max="1025" width="9.5703125" style="542" customWidth="1"/>
    <col min="1026" max="1026" width="60.7109375" style="542" customWidth="1"/>
    <col min="1027" max="1027" width="18" style="542" customWidth="1"/>
    <col min="1028" max="1028" width="11.85546875" style="542" bestFit="1" customWidth="1"/>
    <col min="1029" max="1280" width="9.140625" style="542"/>
    <col min="1281" max="1281" width="9.5703125" style="542" customWidth="1"/>
    <col min="1282" max="1282" width="60.7109375" style="542" customWidth="1"/>
    <col min="1283" max="1283" width="18" style="542" customWidth="1"/>
    <col min="1284" max="1284" width="11.85546875" style="542" bestFit="1" customWidth="1"/>
    <col min="1285" max="1536" width="9.140625" style="542"/>
    <col min="1537" max="1537" width="9.5703125" style="542" customWidth="1"/>
    <col min="1538" max="1538" width="60.7109375" style="542" customWidth="1"/>
    <col min="1539" max="1539" width="18" style="542" customWidth="1"/>
    <col min="1540" max="1540" width="11.85546875" style="542" bestFit="1" customWidth="1"/>
    <col min="1541" max="1792" width="9.140625" style="542"/>
    <col min="1793" max="1793" width="9.5703125" style="542" customWidth="1"/>
    <col min="1794" max="1794" width="60.7109375" style="542" customWidth="1"/>
    <col min="1795" max="1795" width="18" style="542" customWidth="1"/>
    <col min="1796" max="1796" width="11.85546875" style="542" bestFit="1" customWidth="1"/>
    <col min="1797" max="2048" width="9.140625" style="542"/>
    <col min="2049" max="2049" width="9.5703125" style="542" customWidth="1"/>
    <col min="2050" max="2050" width="60.7109375" style="542" customWidth="1"/>
    <col min="2051" max="2051" width="18" style="542" customWidth="1"/>
    <col min="2052" max="2052" width="11.85546875" style="542" bestFit="1" customWidth="1"/>
    <col min="2053" max="2304" width="9.140625" style="542"/>
    <col min="2305" max="2305" width="9.5703125" style="542" customWidth="1"/>
    <col min="2306" max="2306" width="60.7109375" style="542" customWidth="1"/>
    <col min="2307" max="2307" width="18" style="542" customWidth="1"/>
    <col min="2308" max="2308" width="11.85546875" style="542" bestFit="1" customWidth="1"/>
    <col min="2309" max="2560" width="9.140625" style="542"/>
    <col min="2561" max="2561" width="9.5703125" style="542" customWidth="1"/>
    <col min="2562" max="2562" width="60.7109375" style="542" customWidth="1"/>
    <col min="2563" max="2563" width="18" style="542" customWidth="1"/>
    <col min="2564" max="2564" width="11.85546875" style="542" bestFit="1" customWidth="1"/>
    <col min="2565" max="2816" width="9.140625" style="542"/>
    <col min="2817" max="2817" width="9.5703125" style="542" customWidth="1"/>
    <col min="2818" max="2818" width="60.7109375" style="542" customWidth="1"/>
    <col min="2819" max="2819" width="18" style="542" customWidth="1"/>
    <col min="2820" max="2820" width="11.85546875" style="542" bestFit="1" customWidth="1"/>
    <col min="2821" max="3072" width="9.140625" style="542"/>
    <col min="3073" max="3073" width="9.5703125" style="542" customWidth="1"/>
    <col min="3074" max="3074" width="60.7109375" style="542" customWidth="1"/>
    <col min="3075" max="3075" width="18" style="542" customWidth="1"/>
    <col min="3076" max="3076" width="11.85546875" style="542" bestFit="1" customWidth="1"/>
    <col min="3077" max="3328" width="9.140625" style="542"/>
    <col min="3329" max="3329" width="9.5703125" style="542" customWidth="1"/>
    <col min="3330" max="3330" width="60.7109375" style="542" customWidth="1"/>
    <col min="3331" max="3331" width="18" style="542" customWidth="1"/>
    <col min="3332" max="3332" width="11.85546875" style="542" bestFit="1" customWidth="1"/>
    <col min="3333" max="3584" width="9.140625" style="542"/>
    <col min="3585" max="3585" width="9.5703125" style="542" customWidth="1"/>
    <col min="3586" max="3586" width="60.7109375" style="542" customWidth="1"/>
    <col min="3587" max="3587" width="18" style="542" customWidth="1"/>
    <col min="3588" max="3588" width="11.85546875" style="542" bestFit="1" customWidth="1"/>
    <col min="3589" max="3840" width="9.140625" style="542"/>
    <col min="3841" max="3841" width="9.5703125" style="542" customWidth="1"/>
    <col min="3842" max="3842" width="60.7109375" style="542" customWidth="1"/>
    <col min="3843" max="3843" width="18" style="542" customWidth="1"/>
    <col min="3844" max="3844" width="11.85546875" style="542" bestFit="1" customWidth="1"/>
    <col min="3845" max="4096" width="9.140625" style="542"/>
    <col min="4097" max="4097" width="9.5703125" style="542" customWidth="1"/>
    <col min="4098" max="4098" width="60.7109375" style="542" customWidth="1"/>
    <col min="4099" max="4099" width="18" style="542" customWidth="1"/>
    <col min="4100" max="4100" width="11.85546875" style="542" bestFit="1" customWidth="1"/>
    <col min="4101" max="4352" width="9.140625" style="542"/>
    <col min="4353" max="4353" width="9.5703125" style="542" customWidth="1"/>
    <col min="4354" max="4354" width="60.7109375" style="542" customWidth="1"/>
    <col min="4355" max="4355" width="18" style="542" customWidth="1"/>
    <col min="4356" max="4356" width="11.85546875" style="542" bestFit="1" customWidth="1"/>
    <col min="4357" max="4608" width="9.140625" style="542"/>
    <col min="4609" max="4609" width="9.5703125" style="542" customWidth="1"/>
    <col min="4610" max="4610" width="60.7109375" style="542" customWidth="1"/>
    <col min="4611" max="4611" width="18" style="542" customWidth="1"/>
    <col min="4612" max="4612" width="11.85546875" style="542" bestFit="1" customWidth="1"/>
    <col min="4613" max="4864" width="9.140625" style="542"/>
    <col min="4865" max="4865" width="9.5703125" style="542" customWidth="1"/>
    <col min="4866" max="4866" width="60.7109375" style="542" customWidth="1"/>
    <col min="4867" max="4867" width="18" style="542" customWidth="1"/>
    <col min="4868" max="4868" width="11.85546875" style="542" bestFit="1" customWidth="1"/>
    <col min="4869" max="5120" width="9.140625" style="542"/>
    <col min="5121" max="5121" width="9.5703125" style="542" customWidth="1"/>
    <col min="5122" max="5122" width="60.7109375" style="542" customWidth="1"/>
    <col min="5123" max="5123" width="18" style="542" customWidth="1"/>
    <col min="5124" max="5124" width="11.85546875" style="542" bestFit="1" customWidth="1"/>
    <col min="5125" max="5376" width="9.140625" style="542"/>
    <col min="5377" max="5377" width="9.5703125" style="542" customWidth="1"/>
    <col min="5378" max="5378" width="60.7109375" style="542" customWidth="1"/>
    <col min="5379" max="5379" width="18" style="542" customWidth="1"/>
    <col min="5380" max="5380" width="11.85546875" style="542" bestFit="1" customWidth="1"/>
    <col min="5381" max="5632" width="9.140625" style="542"/>
    <col min="5633" max="5633" width="9.5703125" style="542" customWidth="1"/>
    <col min="5634" max="5634" width="60.7109375" style="542" customWidth="1"/>
    <col min="5635" max="5635" width="18" style="542" customWidth="1"/>
    <col min="5636" max="5636" width="11.85546875" style="542" bestFit="1" customWidth="1"/>
    <col min="5637" max="5888" width="9.140625" style="542"/>
    <col min="5889" max="5889" width="9.5703125" style="542" customWidth="1"/>
    <col min="5890" max="5890" width="60.7109375" style="542" customWidth="1"/>
    <col min="5891" max="5891" width="18" style="542" customWidth="1"/>
    <col min="5892" max="5892" width="11.85546875" style="542" bestFit="1" customWidth="1"/>
    <col min="5893" max="6144" width="9.140625" style="542"/>
    <col min="6145" max="6145" width="9.5703125" style="542" customWidth="1"/>
    <col min="6146" max="6146" width="60.7109375" style="542" customWidth="1"/>
    <col min="6147" max="6147" width="18" style="542" customWidth="1"/>
    <col min="6148" max="6148" width="11.85546875" style="542" bestFit="1" customWidth="1"/>
    <col min="6149" max="6400" width="9.140625" style="542"/>
    <col min="6401" max="6401" width="9.5703125" style="542" customWidth="1"/>
    <col min="6402" max="6402" width="60.7109375" style="542" customWidth="1"/>
    <col min="6403" max="6403" width="18" style="542" customWidth="1"/>
    <col min="6404" max="6404" width="11.85546875" style="542" bestFit="1" customWidth="1"/>
    <col min="6405" max="6656" width="9.140625" style="542"/>
    <col min="6657" max="6657" width="9.5703125" style="542" customWidth="1"/>
    <col min="6658" max="6658" width="60.7109375" style="542" customWidth="1"/>
    <col min="6659" max="6659" width="18" style="542" customWidth="1"/>
    <col min="6660" max="6660" width="11.85546875" style="542" bestFit="1" customWidth="1"/>
    <col min="6661" max="6912" width="9.140625" style="542"/>
    <col min="6913" max="6913" width="9.5703125" style="542" customWidth="1"/>
    <col min="6914" max="6914" width="60.7109375" style="542" customWidth="1"/>
    <col min="6915" max="6915" width="18" style="542" customWidth="1"/>
    <col min="6916" max="6916" width="11.85546875" style="542" bestFit="1" customWidth="1"/>
    <col min="6917" max="7168" width="9.140625" style="542"/>
    <col min="7169" max="7169" width="9.5703125" style="542" customWidth="1"/>
    <col min="7170" max="7170" width="60.7109375" style="542" customWidth="1"/>
    <col min="7171" max="7171" width="18" style="542" customWidth="1"/>
    <col min="7172" max="7172" width="11.85546875" style="542" bestFit="1" customWidth="1"/>
    <col min="7173" max="7424" width="9.140625" style="542"/>
    <col min="7425" max="7425" width="9.5703125" style="542" customWidth="1"/>
    <col min="7426" max="7426" width="60.7109375" style="542" customWidth="1"/>
    <col min="7427" max="7427" width="18" style="542" customWidth="1"/>
    <col min="7428" max="7428" width="11.85546875" style="542" bestFit="1" customWidth="1"/>
    <col min="7429" max="7680" width="9.140625" style="542"/>
    <col min="7681" max="7681" width="9.5703125" style="542" customWidth="1"/>
    <col min="7682" max="7682" width="60.7109375" style="542" customWidth="1"/>
    <col min="7683" max="7683" width="18" style="542" customWidth="1"/>
    <col min="7684" max="7684" width="11.85546875" style="542" bestFit="1" customWidth="1"/>
    <col min="7685" max="7936" width="9.140625" style="542"/>
    <col min="7937" max="7937" width="9.5703125" style="542" customWidth="1"/>
    <col min="7938" max="7938" width="60.7109375" style="542" customWidth="1"/>
    <col min="7939" max="7939" width="18" style="542" customWidth="1"/>
    <col min="7940" max="7940" width="11.85546875" style="542" bestFit="1" customWidth="1"/>
    <col min="7941" max="8192" width="9.140625" style="542"/>
    <col min="8193" max="8193" width="9.5703125" style="542" customWidth="1"/>
    <col min="8194" max="8194" width="60.7109375" style="542" customWidth="1"/>
    <col min="8195" max="8195" width="18" style="542" customWidth="1"/>
    <col min="8196" max="8196" width="11.85546875" style="542" bestFit="1" customWidth="1"/>
    <col min="8197" max="8448" width="9.140625" style="542"/>
    <col min="8449" max="8449" width="9.5703125" style="542" customWidth="1"/>
    <col min="8450" max="8450" width="60.7109375" style="542" customWidth="1"/>
    <col min="8451" max="8451" width="18" style="542" customWidth="1"/>
    <col min="8452" max="8452" width="11.85546875" style="542" bestFit="1" customWidth="1"/>
    <col min="8453" max="8704" width="9.140625" style="542"/>
    <col min="8705" max="8705" width="9.5703125" style="542" customWidth="1"/>
    <col min="8706" max="8706" width="60.7109375" style="542" customWidth="1"/>
    <col min="8707" max="8707" width="18" style="542" customWidth="1"/>
    <col min="8708" max="8708" width="11.85546875" style="542" bestFit="1" customWidth="1"/>
    <col min="8709" max="8960" width="9.140625" style="542"/>
    <col min="8961" max="8961" width="9.5703125" style="542" customWidth="1"/>
    <col min="8962" max="8962" width="60.7109375" style="542" customWidth="1"/>
    <col min="8963" max="8963" width="18" style="542" customWidth="1"/>
    <col min="8964" max="8964" width="11.85546875" style="542" bestFit="1" customWidth="1"/>
    <col min="8965" max="9216" width="9.140625" style="542"/>
    <col min="9217" max="9217" width="9.5703125" style="542" customWidth="1"/>
    <col min="9218" max="9218" width="60.7109375" style="542" customWidth="1"/>
    <col min="9219" max="9219" width="18" style="542" customWidth="1"/>
    <col min="9220" max="9220" width="11.85546875" style="542" bestFit="1" customWidth="1"/>
    <col min="9221" max="9472" width="9.140625" style="542"/>
    <col min="9473" max="9473" width="9.5703125" style="542" customWidth="1"/>
    <col min="9474" max="9474" width="60.7109375" style="542" customWidth="1"/>
    <col min="9475" max="9475" width="18" style="542" customWidth="1"/>
    <col min="9476" max="9476" width="11.85546875" style="542" bestFit="1" customWidth="1"/>
    <col min="9477" max="9728" width="9.140625" style="542"/>
    <col min="9729" max="9729" width="9.5703125" style="542" customWidth="1"/>
    <col min="9730" max="9730" width="60.7109375" style="542" customWidth="1"/>
    <col min="9731" max="9731" width="18" style="542" customWidth="1"/>
    <col min="9732" max="9732" width="11.85546875" style="542" bestFit="1" customWidth="1"/>
    <col min="9733" max="9984" width="9.140625" style="542"/>
    <col min="9985" max="9985" width="9.5703125" style="542" customWidth="1"/>
    <col min="9986" max="9986" width="60.7109375" style="542" customWidth="1"/>
    <col min="9987" max="9987" width="18" style="542" customWidth="1"/>
    <col min="9988" max="9988" width="11.85546875" style="542" bestFit="1" customWidth="1"/>
    <col min="9989" max="10240" width="9.140625" style="542"/>
    <col min="10241" max="10241" width="9.5703125" style="542" customWidth="1"/>
    <col min="10242" max="10242" width="60.7109375" style="542" customWidth="1"/>
    <col min="10243" max="10243" width="18" style="542" customWidth="1"/>
    <col min="10244" max="10244" width="11.85546875" style="542" bestFit="1" customWidth="1"/>
    <col min="10245" max="10496" width="9.140625" style="542"/>
    <col min="10497" max="10497" width="9.5703125" style="542" customWidth="1"/>
    <col min="10498" max="10498" width="60.7109375" style="542" customWidth="1"/>
    <col min="10499" max="10499" width="18" style="542" customWidth="1"/>
    <col min="10500" max="10500" width="11.85546875" style="542" bestFit="1" customWidth="1"/>
    <col min="10501" max="10752" width="9.140625" style="542"/>
    <col min="10753" max="10753" width="9.5703125" style="542" customWidth="1"/>
    <col min="10754" max="10754" width="60.7109375" style="542" customWidth="1"/>
    <col min="10755" max="10755" width="18" style="542" customWidth="1"/>
    <col min="10756" max="10756" width="11.85546875" style="542" bestFit="1" customWidth="1"/>
    <col min="10757" max="11008" width="9.140625" style="542"/>
    <col min="11009" max="11009" width="9.5703125" style="542" customWidth="1"/>
    <col min="11010" max="11010" width="60.7109375" style="542" customWidth="1"/>
    <col min="11011" max="11011" width="18" style="542" customWidth="1"/>
    <col min="11012" max="11012" width="11.85546875" style="542" bestFit="1" customWidth="1"/>
    <col min="11013" max="11264" width="9.140625" style="542"/>
    <col min="11265" max="11265" width="9.5703125" style="542" customWidth="1"/>
    <col min="11266" max="11266" width="60.7109375" style="542" customWidth="1"/>
    <col min="11267" max="11267" width="18" style="542" customWidth="1"/>
    <col min="11268" max="11268" width="11.85546875" style="542" bestFit="1" customWidth="1"/>
    <col min="11269" max="11520" width="9.140625" style="542"/>
    <col min="11521" max="11521" width="9.5703125" style="542" customWidth="1"/>
    <col min="11522" max="11522" width="60.7109375" style="542" customWidth="1"/>
    <col min="11523" max="11523" width="18" style="542" customWidth="1"/>
    <col min="11524" max="11524" width="11.85546875" style="542" bestFit="1" customWidth="1"/>
    <col min="11525" max="11776" width="9.140625" style="542"/>
    <col min="11777" max="11777" width="9.5703125" style="542" customWidth="1"/>
    <col min="11778" max="11778" width="60.7109375" style="542" customWidth="1"/>
    <col min="11779" max="11779" width="18" style="542" customWidth="1"/>
    <col min="11780" max="11780" width="11.85546875" style="542" bestFit="1" customWidth="1"/>
    <col min="11781" max="12032" width="9.140625" style="542"/>
    <col min="12033" max="12033" width="9.5703125" style="542" customWidth="1"/>
    <col min="12034" max="12034" width="60.7109375" style="542" customWidth="1"/>
    <col min="12035" max="12035" width="18" style="542" customWidth="1"/>
    <col min="12036" max="12036" width="11.85546875" style="542" bestFit="1" customWidth="1"/>
    <col min="12037" max="12288" width="9.140625" style="542"/>
    <col min="12289" max="12289" width="9.5703125" style="542" customWidth="1"/>
    <col min="12290" max="12290" width="60.7109375" style="542" customWidth="1"/>
    <col min="12291" max="12291" width="18" style="542" customWidth="1"/>
    <col min="12292" max="12292" width="11.85546875" style="542" bestFit="1" customWidth="1"/>
    <col min="12293" max="12544" width="9.140625" style="542"/>
    <col min="12545" max="12545" width="9.5703125" style="542" customWidth="1"/>
    <col min="12546" max="12546" width="60.7109375" style="542" customWidth="1"/>
    <col min="12547" max="12547" width="18" style="542" customWidth="1"/>
    <col min="12548" max="12548" width="11.85546875" style="542" bestFit="1" customWidth="1"/>
    <col min="12549" max="12800" width="9.140625" style="542"/>
    <col min="12801" max="12801" width="9.5703125" style="542" customWidth="1"/>
    <col min="12802" max="12802" width="60.7109375" style="542" customWidth="1"/>
    <col min="12803" max="12803" width="18" style="542" customWidth="1"/>
    <col min="12804" max="12804" width="11.85546875" style="542" bestFit="1" customWidth="1"/>
    <col min="12805" max="13056" width="9.140625" style="542"/>
    <col min="13057" max="13057" width="9.5703125" style="542" customWidth="1"/>
    <col min="13058" max="13058" width="60.7109375" style="542" customWidth="1"/>
    <col min="13059" max="13059" width="18" style="542" customWidth="1"/>
    <col min="13060" max="13060" width="11.85546875" style="542" bestFit="1" customWidth="1"/>
    <col min="13061" max="13312" width="9.140625" style="542"/>
    <col min="13313" max="13313" width="9.5703125" style="542" customWidth="1"/>
    <col min="13314" max="13314" width="60.7109375" style="542" customWidth="1"/>
    <col min="13315" max="13315" width="18" style="542" customWidth="1"/>
    <col min="13316" max="13316" width="11.85546875" style="542" bestFit="1" customWidth="1"/>
    <col min="13317" max="13568" width="9.140625" style="542"/>
    <col min="13569" max="13569" width="9.5703125" style="542" customWidth="1"/>
    <col min="13570" max="13570" width="60.7109375" style="542" customWidth="1"/>
    <col min="13571" max="13571" width="18" style="542" customWidth="1"/>
    <col min="13572" max="13572" width="11.85546875" style="542" bestFit="1" customWidth="1"/>
    <col min="13573" max="13824" width="9.140625" style="542"/>
    <col min="13825" max="13825" width="9.5703125" style="542" customWidth="1"/>
    <col min="13826" max="13826" width="60.7109375" style="542" customWidth="1"/>
    <col min="13827" max="13827" width="18" style="542" customWidth="1"/>
    <col min="13828" max="13828" width="11.85546875" style="542" bestFit="1" customWidth="1"/>
    <col min="13829" max="14080" width="9.140625" style="542"/>
    <col min="14081" max="14081" width="9.5703125" style="542" customWidth="1"/>
    <col min="14082" max="14082" width="60.7109375" style="542" customWidth="1"/>
    <col min="14083" max="14083" width="18" style="542" customWidth="1"/>
    <col min="14084" max="14084" width="11.85546875" style="542" bestFit="1" customWidth="1"/>
    <col min="14085" max="14336" width="9.140625" style="542"/>
    <col min="14337" max="14337" width="9.5703125" style="542" customWidth="1"/>
    <col min="14338" max="14338" width="60.7109375" style="542" customWidth="1"/>
    <col min="14339" max="14339" width="18" style="542" customWidth="1"/>
    <col min="14340" max="14340" width="11.85546875" style="542" bestFit="1" customWidth="1"/>
    <col min="14341" max="14592" width="9.140625" style="542"/>
    <col min="14593" max="14593" width="9.5703125" style="542" customWidth="1"/>
    <col min="14594" max="14594" width="60.7109375" style="542" customWidth="1"/>
    <col min="14595" max="14595" width="18" style="542" customWidth="1"/>
    <col min="14596" max="14596" width="11.85546875" style="542" bestFit="1" customWidth="1"/>
    <col min="14597" max="14848" width="9.140625" style="542"/>
    <col min="14849" max="14849" width="9.5703125" style="542" customWidth="1"/>
    <col min="14850" max="14850" width="60.7109375" style="542" customWidth="1"/>
    <col min="14851" max="14851" width="18" style="542" customWidth="1"/>
    <col min="14852" max="14852" width="11.85546875" style="542" bestFit="1" customWidth="1"/>
    <col min="14853" max="15104" width="9.140625" style="542"/>
    <col min="15105" max="15105" width="9.5703125" style="542" customWidth="1"/>
    <col min="15106" max="15106" width="60.7109375" style="542" customWidth="1"/>
    <col min="15107" max="15107" width="18" style="542" customWidth="1"/>
    <col min="15108" max="15108" width="11.85546875" style="542" bestFit="1" customWidth="1"/>
    <col min="15109" max="15360" width="9.140625" style="542"/>
    <col min="15361" max="15361" width="9.5703125" style="542" customWidth="1"/>
    <col min="15362" max="15362" width="60.7109375" style="542" customWidth="1"/>
    <col min="15363" max="15363" width="18" style="542" customWidth="1"/>
    <col min="15364" max="15364" width="11.85546875" style="542" bestFit="1" customWidth="1"/>
    <col min="15365" max="15616" width="9.140625" style="542"/>
    <col min="15617" max="15617" width="9.5703125" style="542" customWidth="1"/>
    <col min="15618" max="15618" width="60.7109375" style="542" customWidth="1"/>
    <col min="15619" max="15619" width="18" style="542" customWidth="1"/>
    <col min="15620" max="15620" width="11.85546875" style="542" bestFit="1" customWidth="1"/>
    <col min="15621" max="15872" width="9.140625" style="542"/>
    <col min="15873" max="15873" width="9.5703125" style="542" customWidth="1"/>
    <col min="15874" max="15874" width="60.7109375" style="542" customWidth="1"/>
    <col min="15875" max="15875" width="18" style="542" customWidth="1"/>
    <col min="15876" max="15876" width="11.85546875" style="542" bestFit="1" customWidth="1"/>
    <col min="15877" max="16128" width="9.140625" style="542"/>
    <col min="16129" max="16129" width="9.5703125" style="542" customWidth="1"/>
    <col min="16130" max="16130" width="60.7109375" style="542" customWidth="1"/>
    <col min="16131" max="16131" width="18" style="542" customWidth="1"/>
    <col min="16132" max="16132" width="11.85546875" style="542" bestFit="1" customWidth="1"/>
    <col min="16133" max="16384" width="9.140625" style="542"/>
  </cols>
  <sheetData>
    <row r="1" spans="1:5">
      <c r="B1" s="551"/>
      <c r="E1" s="227" t="s">
        <v>553</v>
      </c>
    </row>
    <row r="2" spans="1:5">
      <c r="D2" s="489"/>
    </row>
    <row r="3" spans="1:5">
      <c r="A3" s="830" t="s">
        <v>540</v>
      </c>
      <c r="B3" s="831"/>
      <c r="C3" s="831"/>
      <c r="D3" s="831"/>
    </row>
    <row r="4" spans="1:5">
      <c r="A4" s="832" t="s">
        <v>847</v>
      </c>
      <c r="B4" s="831"/>
      <c r="C4" s="831"/>
      <c r="D4" s="831"/>
    </row>
    <row r="5" spans="1:5">
      <c r="A5" s="832" t="s">
        <v>535</v>
      </c>
      <c r="B5" s="831"/>
      <c r="C5" s="831"/>
      <c r="D5" s="831"/>
    </row>
    <row r="6" spans="1:5">
      <c r="A6" s="830" t="s">
        <v>24</v>
      </c>
      <c r="B6" s="831"/>
      <c r="C6" s="831"/>
      <c r="D6" s="831"/>
      <c r="E6" s="554"/>
    </row>
    <row r="7" spans="1:5">
      <c r="A7" s="544" t="s">
        <v>33</v>
      </c>
      <c r="B7" s="545"/>
      <c r="D7" s="545"/>
    </row>
    <row r="8" spans="1:5">
      <c r="A8" s="552" t="s">
        <v>35</v>
      </c>
      <c r="B8" s="545"/>
      <c r="D8" s="545"/>
    </row>
    <row r="9" spans="1:5">
      <c r="D9" s="546"/>
    </row>
    <row r="10" spans="1:5">
      <c r="A10" s="546">
        <v>1</v>
      </c>
      <c r="B10" s="545" t="s">
        <v>210</v>
      </c>
      <c r="D10" s="545"/>
    </row>
    <row r="11" spans="1:5">
      <c r="A11" s="546">
        <v>2</v>
      </c>
      <c r="B11" s="547" t="s">
        <v>842</v>
      </c>
      <c r="C11" s="553" t="s">
        <v>536</v>
      </c>
      <c r="D11" s="555">
        <f>S2.1!R70</f>
        <v>53679</v>
      </c>
    </row>
    <row r="12" spans="1:5">
      <c r="A12" s="546">
        <v>3</v>
      </c>
      <c r="B12" s="547" t="s">
        <v>843</v>
      </c>
      <c r="C12" s="553" t="s">
        <v>536</v>
      </c>
      <c r="D12" s="556">
        <f>S2.1!Q70</f>
        <v>48959.320170216612</v>
      </c>
    </row>
    <row r="13" spans="1:5">
      <c r="A13" s="546">
        <v>4</v>
      </c>
      <c r="B13" s="548" t="s">
        <v>877</v>
      </c>
      <c r="C13" s="543" t="s">
        <v>881</v>
      </c>
      <c r="D13" s="557">
        <f>D11-D12</f>
        <v>4719.6798297833884</v>
      </c>
    </row>
    <row r="14" spans="1:5" ht="7.35" customHeight="1">
      <c r="A14" s="546"/>
      <c r="B14" s="548"/>
      <c r="D14" s="557"/>
    </row>
    <row r="15" spans="1:5">
      <c r="A15" s="546">
        <v>5</v>
      </c>
      <c r="B15" s="548" t="s">
        <v>537</v>
      </c>
      <c r="C15" s="553" t="s">
        <v>554</v>
      </c>
      <c r="D15" s="558">
        <f>-S2.1!R73</f>
        <v>1070.6702959968982</v>
      </c>
    </row>
    <row r="16" spans="1:5" ht="7.35" customHeight="1">
      <c r="A16" s="546"/>
      <c r="B16" s="548"/>
      <c r="D16" s="558"/>
    </row>
    <row r="17" spans="1:7">
      <c r="A17" s="546">
        <v>6</v>
      </c>
      <c r="B17" s="548" t="s">
        <v>878</v>
      </c>
      <c r="C17" s="543" t="s">
        <v>882</v>
      </c>
      <c r="D17" s="559">
        <f>D13-D15</f>
        <v>3649.0095337864905</v>
      </c>
    </row>
    <row r="18" spans="1:7" ht="7.35" customHeight="1">
      <c r="A18" s="546"/>
      <c r="B18" s="548"/>
      <c r="D18" s="775"/>
    </row>
    <row r="19" spans="1:7">
      <c r="A19" s="546">
        <v>7</v>
      </c>
      <c r="B19" s="776" t="s">
        <v>879</v>
      </c>
      <c r="D19" s="777">
        <v>0.5</v>
      </c>
    </row>
    <row r="20" spans="1:7" ht="7.35" customHeight="1">
      <c r="A20" s="546"/>
      <c r="B20" s="548"/>
      <c r="D20" s="775"/>
    </row>
    <row r="21" spans="1:7">
      <c r="A21" s="546">
        <v>8</v>
      </c>
      <c r="B21" s="548" t="s">
        <v>880</v>
      </c>
      <c r="C21" s="543" t="s">
        <v>883</v>
      </c>
      <c r="D21" s="778">
        <f>D17*D19</f>
        <v>1824.5047668932452</v>
      </c>
    </row>
    <row r="22" spans="1:7" ht="7.35" customHeight="1">
      <c r="A22" s="546"/>
      <c r="B22" s="548"/>
      <c r="D22" s="560"/>
    </row>
    <row r="23" spans="1:7">
      <c r="A23" s="546">
        <v>9</v>
      </c>
      <c r="B23" s="545" t="s">
        <v>844</v>
      </c>
      <c r="D23" s="557"/>
    </row>
    <row r="24" spans="1:7">
      <c r="A24" s="546">
        <v>10</v>
      </c>
      <c r="B24" s="547" t="s">
        <v>875</v>
      </c>
      <c r="C24" s="553"/>
      <c r="D24" s="555">
        <v>23159.42965445224</v>
      </c>
    </row>
    <row r="25" spans="1:7">
      <c r="A25" s="546">
        <v>11</v>
      </c>
      <c r="B25" s="547" t="s">
        <v>876</v>
      </c>
      <c r="C25" s="553"/>
      <c r="D25" s="623">
        <v>4936.1026519427351</v>
      </c>
      <c r="E25" s="554"/>
      <c r="F25" s="554"/>
      <c r="G25" s="554"/>
    </row>
    <row r="26" spans="1:7">
      <c r="A26" s="546">
        <v>12</v>
      </c>
      <c r="B26" s="545" t="s">
        <v>846</v>
      </c>
      <c r="C26" s="543" t="s">
        <v>884</v>
      </c>
      <c r="D26" s="557">
        <f>D24+D25</f>
        <v>28095.532306394976</v>
      </c>
    </row>
    <row r="27" spans="1:7">
      <c r="A27" s="546"/>
      <c r="D27" s="558"/>
    </row>
    <row r="28" spans="1:7" ht="13.5" thickBot="1">
      <c r="A28" s="546">
        <v>13</v>
      </c>
      <c r="B28" s="545" t="s">
        <v>845</v>
      </c>
      <c r="C28" s="543" t="s">
        <v>885</v>
      </c>
      <c r="D28" s="789">
        <f>D21/D26</f>
        <v>6.4939320138026349E-2</v>
      </c>
    </row>
    <row r="29" spans="1:7" ht="13.5" thickTop="1">
      <c r="A29" s="546"/>
      <c r="B29" s="545"/>
      <c r="D29" s="557"/>
    </row>
    <row r="30" spans="1:7" ht="14.25">
      <c r="A30" s="546"/>
      <c r="B30" s="549"/>
    </row>
    <row r="31" spans="1:7">
      <c r="A31" s="546"/>
      <c r="B31" s="550"/>
    </row>
    <row r="32" spans="1:7">
      <c r="A32" s="546"/>
    </row>
    <row r="33" spans="1:247">
      <c r="A33" s="546"/>
    </row>
    <row r="34" spans="1:247">
      <c r="A34" s="546"/>
    </row>
    <row r="35" spans="1:247">
      <c r="A35" s="546"/>
    </row>
    <row r="36" spans="1:247">
      <c r="A36" s="546"/>
    </row>
    <row r="37" spans="1:247">
      <c r="A37" s="546"/>
    </row>
    <row r="38" spans="1:247" ht="6.75" customHeight="1">
      <c r="A38" s="546"/>
    </row>
    <row r="39" spans="1:247" ht="14.25">
      <c r="A39" s="546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O39" s="561"/>
      <c r="P39" s="561"/>
      <c r="Q39" s="561"/>
      <c r="R39" s="561"/>
      <c r="S39" s="561"/>
      <c r="T39" s="561"/>
      <c r="U39" s="561"/>
      <c r="V39" s="561"/>
      <c r="W39" s="561"/>
      <c r="X39" s="561"/>
      <c r="Y39" s="561"/>
      <c r="Z39" s="561"/>
      <c r="AA39" s="561"/>
      <c r="AB39" s="561"/>
      <c r="AC39" s="561"/>
      <c r="AD39" s="561"/>
      <c r="AE39" s="561"/>
      <c r="AF39" s="561"/>
      <c r="AG39" s="561"/>
      <c r="AH39" s="561"/>
      <c r="AI39" s="561"/>
      <c r="AJ39" s="561"/>
      <c r="AK39" s="561"/>
      <c r="AL39" s="561"/>
      <c r="AM39" s="561"/>
      <c r="AN39" s="561"/>
      <c r="AO39" s="561"/>
      <c r="AP39" s="561"/>
      <c r="AQ39" s="561"/>
      <c r="AR39" s="561"/>
      <c r="AS39" s="561"/>
      <c r="AT39" s="561"/>
      <c r="AU39" s="561"/>
      <c r="AV39" s="561"/>
      <c r="AW39" s="561"/>
      <c r="AX39" s="561"/>
      <c r="AY39" s="561"/>
      <c r="AZ39" s="561"/>
      <c r="BA39" s="561"/>
      <c r="BB39" s="561"/>
      <c r="BC39" s="561"/>
      <c r="BD39" s="561"/>
      <c r="BE39" s="561"/>
      <c r="BF39" s="561"/>
      <c r="BG39" s="561"/>
      <c r="BH39" s="561"/>
      <c r="BI39" s="561"/>
      <c r="BJ39" s="561"/>
      <c r="BK39" s="561"/>
      <c r="BL39" s="561"/>
      <c r="BM39" s="561"/>
      <c r="BN39" s="561"/>
      <c r="BO39" s="561"/>
      <c r="BP39" s="561"/>
      <c r="BQ39" s="561"/>
      <c r="BR39" s="561"/>
      <c r="BS39" s="561"/>
      <c r="BT39" s="561"/>
      <c r="BU39" s="561"/>
      <c r="BV39" s="561"/>
      <c r="BW39" s="561"/>
      <c r="BX39" s="561"/>
      <c r="BY39" s="561"/>
      <c r="BZ39" s="561"/>
      <c r="CA39" s="561"/>
      <c r="CB39" s="561"/>
      <c r="CC39" s="561"/>
      <c r="CD39" s="561"/>
      <c r="CE39" s="561"/>
      <c r="CF39" s="561"/>
      <c r="CG39" s="561"/>
      <c r="CH39" s="561"/>
      <c r="CI39" s="561"/>
      <c r="CJ39" s="561"/>
      <c r="CK39" s="561"/>
      <c r="CL39" s="561"/>
      <c r="CM39" s="561"/>
      <c r="CN39" s="561"/>
      <c r="CO39" s="561"/>
      <c r="CP39" s="561"/>
      <c r="CQ39" s="561"/>
      <c r="CR39" s="561"/>
      <c r="CS39" s="561"/>
      <c r="CT39" s="561"/>
      <c r="CU39" s="561"/>
      <c r="CV39" s="561"/>
      <c r="CW39" s="561"/>
      <c r="CX39" s="561"/>
      <c r="CY39" s="561"/>
      <c r="CZ39" s="561"/>
      <c r="DA39" s="561"/>
      <c r="DB39" s="561"/>
      <c r="DC39" s="561"/>
      <c r="DD39" s="561"/>
      <c r="DE39" s="561"/>
      <c r="DF39" s="561"/>
      <c r="DG39" s="561"/>
      <c r="DH39" s="561"/>
      <c r="DI39" s="561"/>
      <c r="DJ39" s="561"/>
      <c r="DK39" s="561"/>
      <c r="DL39" s="561"/>
      <c r="DM39" s="561"/>
      <c r="DN39" s="561"/>
      <c r="DO39" s="561"/>
      <c r="DP39" s="561"/>
      <c r="DQ39" s="561"/>
      <c r="DR39" s="561"/>
      <c r="DS39" s="561"/>
      <c r="DT39" s="561"/>
      <c r="DU39" s="561"/>
      <c r="DV39" s="561"/>
      <c r="DW39" s="561"/>
      <c r="DX39" s="561"/>
      <c r="DY39" s="561"/>
      <c r="DZ39" s="561"/>
      <c r="EA39" s="561"/>
      <c r="EB39" s="561"/>
      <c r="EC39" s="561"/>
      <c r="ED39" s="561"/>
      <c r="EE39" s="561"/>
      <c r="EF39" s="561"/>
      <c r="EG39" s="561"/>
      <c r="EH39" s="561"/>
      <c r="EI39" s="561"/>
      <c r="EJ39" s="561"/>
      <c r="EK39" s="561"/>
      <c r="EL39" s="561"/>
      <c r="EM39" s="561"/>
      <c r="EN39" s="561"/>
      <c r="EO39" s="561"/>
      <c r="EP39" s="561"/>
      <c r="EQ39" s="561"/>
      <c r="ER39" s="561"/>
      <c r="ES39" s="561"/>
      <c r="ET39" s="561"/>
      <c r="EU39" s="561"/>
      <c r="EV39" s="561"/>
      <c r="EW39" s="561"/>
      <c r="EX39" s="561"/>
      <c r="EY39" s="561"/>
      <c r="EZ39" s="561"/>
      <c r="FA39" s="561"/>
      <c r="FB39" s="561"/>
      <c r="FC39" s="561"/>
      <c r="FD39" s="561"/>
      <c r="FE39" s="561"/>
      <c r="FF39" s="561"/>
      <c r="FG39" s="561"/>
      <c r="FH39" s="561"/>
      <c r="FI39" s="561"/>
      <c r="FJ39" s="561"/>
      <c r="FK39" s="561"/>
      <c r="FL39" s="561"/>
      <c r="FM39" s="561"/>
      <c r="FN39" s="561"/>
      <c r="FO39" s="561"/>
      <c r="FP39" s="561"/>
      <c r="FQ39" s="561"/>
      <c r="FR39" s="561"/>
      <c r="FS39" s="561"/>
      <c r="FT39" s="561"/>
      <c r="FU39" s="561"/>
      <c r="FV39" s="561"/>
      <c r="FW39" s="561"/>
      <c r="FX39" s="561"/>
      <c r="FY39" s="561"/>
      <c r="FZ39" s="561"/>
      <c r="GA39" s="561"/>
      <c r="GB39" s="561"/>
      <c r="GC39" s="561"/>
      <c r="GD39" s="561"/>
      <c r="GE39" s="561"/>
      <c r="GF39" s="561"/>
      <c r="GG39" s="561"/>
      <c r="GH39" s="561"/>
      <c r="GI39" s="561"/>
      <c r="GJ39" s="561"/>
      <c r="GK39" s="561"/>
      <c r="GL39" s="561"/>
      <c r="GM39" s="561"/>
      <c r="GN39" s="561"/>
      <c r="GO39" s="561"/>
      <c r="GP39" s="561"/>
      <c r="GQ39" s="561"/>
      <c r="GR39" s="561"/>
      <c r="GS39" s="561"/>
      <c r="GT39" s="561"/>
      <c r="GU39" s="561"/>
      <c r="GV39" s="561"/>
      <c r="GW39" s="561"/>
      <c r="GX39" s="561"/>
      <c r="GY39" s="561"/>
      <c r="GZ39" s="561"/>
      <c r="HA39" s="561"/>
      <c r="HB39" s="561"/>
      <c r="HC39" s="561"/>
      <c r="HD39" s="561"/>
      <c r="HE39" s="561"/>
      <c r="HF39" s="561"/>
      <c r="HG39" s="561"/>
      <c r="HH39" s="561"/>
      <c r="HI39" s="561"/>
      <c r="HJ39" s="561"/>
      <c r="HK39" s="561"/>
      <c r="HL39" s="561"/>
      <c r="HM39" s="561"/>
      <c r="HN39" s="561"/>
      <c r="HO39" s="561"/>
      <c r="HP39" s="561"/>
      <c r="HQ39" s="561"/>
      <c r="HR39" s="561"/>
      <c r="HS39" s="561"/>
      <c r="HT39" s="561"/>
      <c r="HU39" s="561"/>
      <c r="HV39" s="561"/>
      <c r="HW39" s="561"/>
      <c r="HX39" s="561"/>
      <c r="HY39" s="561"/>
      <c r="HZ39" s="561"/>
      <c r="IA39" s="561"/>
      <c r="IB39" s="561"/>
      <c r="IC39" s="561"/>
      <c r="ID39" s="561"/>
      <c r="IE39" s="561"/>
      <c r="IF39" s="561"/>
      <c r="IG39" s="561"/>
      <c r="IH39" s="561"/>
      <c r="II39" s="561"/>
      <c r="IJ39" s="561"/>
      <c r="IK39" s="561"/>
      <c r="IL39" s="561"/>
      <c r="IM39" s="561"/>
    </row>
    <row r="40" spans="1:247">
      <c r="A40" s="546"/>
    </row>
    <row r="41" spans="1:247">
      <c r="A41" s="546"/>
    </row>
    <row r="42" spans="1:247">
      <c r="A42" s="546"/>
    </row>
    <row r="43" spans="1:247">
      <c r="A43" s="546"/>
    </row>
    <row r="44" spans="1:247">
      <c r="A44" s="546"/>
    </row>
    <row r="45" spans="1:247">
      <c r="A45" s="546"/>
    </row>
    <row r="46" spans="1:247">
      <c r="A46" s="546"/>
    </row>
    <row r="47" spans="1:247">
      <c r="A47" s="546"/>
    </row>
    <row r="48" spans="1:247">
      <c r="A48" s="546"/>
    </row>
    <row r="49" spans="1:1">
      <c r="A49" s="546"/>
    </row>
    <row r="50" spans="1:1">
      <c r="A50" s="546"/>
    </row>
    <row r="51" spans="1:1">
      <c r="A51" s="546"/>
    </row>
    <row r="52" spans="1:1">
      <c r="A52" s="546"/>
    </row>
    <row r="53" spans="1:1">
      <c r="A53" s="546"/>
    </row>
    <row r="54" spans="1:1">
      <c r="A54" s="546"/>
    </row>
    <row r="55" spans="1:1">
      <c r="A55" s="546"/>
    </row>
    <row r="56" spans="1:1">
      <c r="A56" s="546"/>
    </row>
    <row r="57" spans="1:1">
      <c r="A57" s="546"/>
    </row>
    <row r="58" spans="1:1">
      <c r="A58" s="546"/>
    </row>
  </sheetData>
  <mergeCells count="4">
    <mergeCell ref="A3:D3"/>
    <mergeCell ref="A4:D4"/>
    <mergeCell ref="A5:D5"/>
    <mergeCell ref="A6:D6"/>
  </mergeCells>
  <printOptions horizontalCentered="1"/>
  <pageMargins left="0.7" right="0.7" top="0.75" bottom="0.75" header="0.3" footer="0.3"/>
  <pageSetup scale="82" orientation="portrait" r:id="rId1"/>
  <rowBreaks count="1" manualBreakCount="1">
    <brk id="2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 enableFormatConditionsCalculation="0">
    <pageSetUpPr fitToPage="1"/>
  </sheetPr>
  <dimension ref="A1:AA45"/>
  <sheetViews>
    <sheetView view="pageBreakPreview" zoomScale="90" zoomScaleNormal="85" zoomScaleSheetLayoutView="90" workbookViewId="0">
      <selection activeCell="C49" sqref="C49"/>
    </sheetView>
  </sheetViews>
  <sheetFormatPr defaultColWidth="7.5703125" defaultRowHeight="12.75"/>
  <cols>
    <col min="1" max="1" width="8.5703125" style="492" customWidth="1"/>
    <col min="2" max="2" width="2.28515625" style="492" customWidth="1"/>
    <col min="3" max="3" width="31.28515625" style="492" bestFit="1" customWidth="1"/>
    <col min="4" max="4" width="2.28515625" style="492" customWidth="1"/>
    <col min="5" max="5" width="12" style="492" customWidth="1"/>
    <col min="6" max="6" width="2.28515625" style="492" customWidth="1"/>
    <col min="7" max="7" width="12" style="492" customWidth="1"/>
    <col min="8" max="8" width="2.28515625" style="492" customWidth="1"/>
    <col min="9" max="9" width="12" style="492" customWidth="1"/>
    <col min="10" max="10" width="2.28515625" style="492" customWidth="1"/>
    <col min="11" max="11" width="12" style="492" customWidth="1"/>
    <col min="12" max="12" width="2.28515625" style="492" customWidth="1"/>
    <col min="13" max="13" width="12" style="492" customWidth="1"/>
    <col min="14" max="14" width="2.28515625" style="492" customWidth="1"/>
    <col min="15" max="15" width="12" style="492" customWidth="1"/>
    <col min="16" max="16" width="2.28515625" style="492" customWidth="1"/>
    <col min="17" max="17" width="12" style="492" customWidth="1"/>
    <col min="18" max="18" width="2.28515625" style="492" customWidth="1"/>
    <col min="19" max="19" width="12" style="492" customWidth="1"/>
    <col min="20" max="20" width="2.28515625" style="492" customWidth="1"/>
    <col min="21" max="21" width="12" style="492" customWidth="1"/>
    <col min="22" max="22" width="2.28515625" style="492" customWidth="1"/>
    <col min="23" max="23" width="12" style="492" customWidth="1"/>
    <col min="24" max="24" width="2.28515625" style="492" customWidth="1"/>
    <col min="25" max="25" width="12" style="492" customWidth="1"/>
    <col min="26" max="26" width="2.28515625" style="492" customWidth="1"/>
    <col min="27" max="16384" width="7.5703125" style="492"/>
  </cols>
  <sheetData>
    <row r="1" spans="1:27" ht="15.75">
      <c r="A1" s="420" t="s">
        <v>540</v>
      </c>
      <c r="B1" s="62"/>
      <c r="C1" s="62"/>
      <c r="D1" s="62"/>
      <c r="E1" s="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109" t="s">
        <v>559</v>
      </c>
    </row>
    <row r="2" spans="1:27" ht="15.75">
      <c r="A2" s="61" t="s">
        <v>463</v>
      </c>
      <c r="B2" s="62"/>
      <c r="C2" s="62"/>
      <c r="D2" s="62"/>
      <c r="E2" s="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</row>
    <row r="3" spans="1:27" ht="15.75">
      <c r="A3" s="61" t="s">
        <v>49</v>
      </c>
      <c r="B3" s="62"/>
      <c r="C3" s="62"/>
      <c r="D3" s="62"/>
      <c r="E3" s="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</row>
    <row r="4" spans="1:27" s="477" customFormat="1" ht="3.95" customHeight="1">
      <c r="A4" s="61"/>
      <c r="B4" s="62"/>
      <c r="C4" s="62"/>
      <c r="D4" s="62"/>
      <c r="E4" s="62"/>
    </row>
    <row r="5" spans="1:27" s="477" customFormat="1" ht="15.75">
      <c r="A5" s="573"/>
      <c r="B5" s="573"/>
      <c r="C5" s="573"/>
      <c r="D5" s="573"/>
      <c r="E5" s="573"/>
      <c r="Q5" s="573"/>
      <c r="S5" s="573"/>
      <c r="U5" s="573"/>
      <c r="V5" s="573"/>
      <c r="W5" s="573" t="s">
        <v>459</v>
      </c>
      <c r="Y5" s="573" t="s">
        <v>459</v>
      </c>
    </row>
    <row r="6" spans="1:27" s="477" customFormat="1" ht="15.75">
      <c r="A6" s="573" t="s">
        <v>33</v>
      </c>
      <c r="B6" s="573"/>
      <c r="C6" s="573"/>
      <c r="D6" s="573"/>
      <c r="E6" s="573" t="s">
        <v>34</v>
      </c>
      <c r="F6" s="573"/>
      <c r="G6" s="573" t="s">
        <v>25</v>
      </c>
      <c r="H6" s="573"/>
      <c r="I6" s="573" t="s">
        <v>25</v>
      </c>
      <c r="J6" s="573"/>
      <c r="K6" s="573" t="s">
        <v>25</v>
      </c>
      <c r="L6" s="573"/>
      <c r="M6" s="573" t="s">
        <v>25</v>
      </c>
      <c r="N6" s="573"/>
      <c r="O6" s="573" t="s">
        <v>25</v>
      </c>
      <c r="P6" s="573"/>
      <c r="Q6" s="819" t="s">
        <v>330</v>
      </c>
      <c r="R6" s="819"/>
      <c r="S6" s="819"/>
      <c r="T6" s="819"/>
      <c r="U6" s="819"/>
      <c r="V6" s="573"/>
      <c r="W6" s="573" t="s">
        <v>15</v>
      </c>
      <c r="X6" s="573"/>
      <c r="Y6" s="573" t="s">
        <v>15</v>
      </c>
    </row>
    <row r="7" spans="1:27" s="477" customFormat="1" ht="15.75">
      <c r="A7" s="572" t="s">
        <v>35</v>
      </c>
      <c r="B7" s="573"/>
      <c r="C7" s="572" t="s">
        <v>178</v>
      </c>
      <c r="D7" s="573"/>
      <c r="E7" s="572" t="s">
        <v>36</v>
      </c>
      <c r="F7" s="523"/>
      <c r="G7" s="522">
        <v>2008</v>
      </c>
      <c r="H7" s="523"/>
      <c r="I7" s="522">
        <v>2009</v>
      </c>
      <c r="J7" s="523"/>
      <c r="K7" s="522">
        <v>2010</v>
      </c>
      <c r="L7" s="523"/>
      <c r="M7" s="522">
        <v>2011</v>
      </c>
      <c r="N7" s="525"/>
      <c r="O7" s="522">
        <v>2012</v>
      </c>
      <c r="P7" s="525"/>
      <c r="Q7" s="522">
        <v>2013</v>
      </c>
      <c r="R7" s="523"/>
      <c r="S7" s="522">
        <v>2014</v>
      </c>
      <c r="T7" s="523"/>
      <c r="U7" s="522">
        <v>2015</v>
      </c>
      <c r="V7" s="522"/>
      <c r="W7" s="522">
        <v>2008</v>
      </c>
      <c r="X7" s="523"/>
      <c r="Y7" s="522">
        <v>2009</v>
      </c>
      <c r="Z7" s="1"/>
    </row>
    <row r="8" spans="1:27" s="477" customFormat="1" ht="15">
      <c r="A8" s="530"/>
      <c r="B8" s="530"/>
      <c r="C8" s="530"/>
      <c r="D8" s="530"/>
      <c r="E8" s="530"/>
      <c r="I8" s="475"/>
    </row>
    <row r="9" spans="1:27" s="477" customFormat="1" ht="15">
      <c r="A9" s="521">
        <v>1</v>
      </c>
      <c r="B9" s="463"/>
      <c r="C9" s="463" t="s">
        <v>50</v>
      </c>
      <c r="D9" s="463"/>
      <c r="E9" s="463"/>
      <c r="F9" s="474"/>
      <c r="G9" s="416">
        <v>74</v>
      </c>
      <c r="H9" s="474"/>
      <c r="I9" s="416">
        <v>56</v>
      </c>
      <c r="J9" s="474"/>
      <c r="K9" s="416">
        <v>61</v>
      </c>
      <c r="L9" s="474"/>
      <c r="M9" s="416">
        <v>123</v>
      </c>
      <c r="N9" s="416"/>
      <c r="O9" s="416">
        <v>186.69399999999999</v>
      </c>
      <c r="P9" s="416"/>
      <c r="Q9" s="416">
        <v>190.42787999999999</v>
      </c>
      <c r="R9" s="474"/>
      <c r="S9" s="416">
        <v>194.23643759999999</v>
      </c>
      <c r="T9" s="474"/>
      <c r="U9" s="416">
        <v>198.12116635199999</v>
      </c>
      <c r="V9" s="474"/>
      <c r="W9" s="416">
        <v>80</v>
      </c>
      <c r="X9" s="474"/>
      <c r="Y9" s="416">
        <v>80</v>
      </c>
      <c r="Z9" s="474"/>
      <c r="AA9" s="475"/>
    </row>
    <row r="10" spans="1:27" s="477" customFormat="1" ht="15">
      <c r="A10" s="521">
        <v>2</v>
      </c>
      <c r="B10" s="463"/>
      <c r="C10" s="314" t="s">
        <v>394</v>
      </c>
      <c r="D10" s="463"/>
      <c r="E10" s="463"/>
      <c r="F10" s="474"/>
      <c r="G10" s="416">
        <v>476.58936</v>
      </c>
      <c r="H10" s="474"/>
      <c r="I10" s="416">
        <v>503</v>
      </c>
      <c r="J10" s="474"/>
      <c r="K10" s="416">
        <v>590</v>
      </c>
      <c r="L10" s="474"/>
      <c r="M10" s="416">
        <v>644</v>
      </c>
      <c r="N10" s="416"/>
      <c r="O10" s="416">
        <v>667.38900000000001</v>
      </c>
      <c r="P10" s="416"/>
      <c r="Q10" s="416">
        <v>680.73678000000007</v>
      </c>
      <c r="R10" s="474"/>
      <c r="S10" s="416">
        <v>694.35151560000008</v>
      </c>
      <c r="T10" s="474"/>
      <c r="U10" s="416">
        <v>708.23854591200006</v>
      </c>
      <c r="V10" s="474"/>
      <c r="W10" s="416">
        <v>464</v>
      </c>
      <c r="X10" s="474"/>
      <c r="Y10" s="416">
        <v>480</v>
      </c>
      <c r="Z10" s="474"/>
      <c r="AA10" s="475"/>
    </row>
    <row r="11" spans="1:27" s="477" customFormat="1" ht="15">
      <c r="A11" s="521">
        <v>3</v>
      </c>
      <c r="B11" s="463"/>
      <c r="C11" s="463" t="s">
        <v>152</v>
      </c>
      <c r="D11" s="463"/>
      <c r="E11" s="463"/>
      <c r="F11" s="475"/>
      <c r="G11" s="411">
        <v>94</v>
      </c>
      <c r="H11" s="475"/>
      <c r="I11" s="411">
        <v>86</v>
      </c>
      <c r="J11" s="475"/>
      <c r="K11" s="411">
        <v>85</v>
      </c>
      <c r="L11" s="475"/>
      <c r="M11" s="411">
        <v>90</v>
      </c>
      <c r="N11" s="411"/>
      <c r="O11" s="411">
        <v>107.229</v>
      </c>
      <c r="P11" s="411"/>
      <c r="Q11" s="411">
        <v>109.37358</v>
      </c>
      <c r="R11" s="475"/>
      <c r="S11" s="411">
        <v>111.5610516</v>
      </c>
      <c r="T11" s="475"/>
      <c r="U11" s="411">
        <v>113.79227263200001</v>
      </c>
      <c r="V11" s="475"/>
      <c r="W11" s="411">
        <v>100</v>
      </c>
      <c r="X11" s="475"/>
      <c r="Y11" s="411">
        <v>100</v>
      </c>
      <c r="Z11" s="475"/>
      <c r="AA11" s="475"/>
    </row>
    <row r="12" spans="1:27" s="477" customFormat="1" ht="15">
      <c r="A12" s="521">
        <v>4</v>
      </c>
      <c r="B12" s="463"/>
      <c r="C12" s="463" t="s">
        <v>398</v>
      </c>
      <c r="D12" s="463"/>
      <c r="E12" s="463"/>
      <c r="F12" s="463"/>
      <c r="G12" s="395">
        <v>257.41729999999995</v>
      </c>
      <c r="H12" s="463"/>
      <c r="I12" s="395">
        <v>263.88315</v>
      </c>
      <c r="J12" s="463"/>
      <c r="K12" s="395">
        <v>274.47748999999999</v>
      </c>
      <c r="L12" s="463"/>
      <c r="M12" s="395">
        <v>242.40568999999999</v>
      </c>
      <c r="N12" s="416"/>
      <c r="O12" s="395">
        <v>291.11500000000001</v>
      </c>
      <c r="P12" s="416"/>
      <c r="Q12" s="395">
        <v>296.93729999999999</v>
      </c>
      <c r="R12" s="530"/>
      <c r="S12" s="395">
        <v>249.54098040000002</v>
      </c>
      <c r="T12" s="530"/>
      <c r="U12" s="395">
        <v>255</v>
      </c>
      <c r="V12" s="530"/>
      <c r="W12" s="395">
        <v>166</v>
      </c>
      <c r="X12" s="530"/>
      <c r="Y12" s="325">
        <v>167</v>
      </c>
      <c r="Z12" s="475"/>
      <c r="AA12" s="475"/>
    </row>
    <row r="13" spans="1:27" s="477" customFormat="1" ht="15">
      <c r="A13" s="521">
        <v>5</v>
      </c>
      <c r="B13" s="463"/>
      <c r="K13" s="475"/>
      <c r="L13" s="475"/>
      <c r="M13" s="475"/>
      <c r="N13" s="475"/>
      <c r="O13" s="475"/>
      <c r="P13" s="475"/>
      <c r="Q13" s="475"/>
      <c r="S13" s="475"/>
      <c r="U13" s="475"/>
      <c r="W13" s="475"/>
      <c r="Z13" s="475"/>
      <c r="AA13" s="475"/>
    </row>
    <row r="14" spans="1:27" s="477" customFormat="1" ht="15.75" thickBot="1">
      <c r="A14" s="521">
        <v>6</v>
      </c>
      <c r="B14" s="463"/>
      <c r="C14" s="463" t="s">
        <v>26</v>
      </c>
      <c r="D14" s="463"/>
      <c r="E14" s="166" t="s">
        <v>281</v>
      </c>
      <c r="F14" s="475"/>
      <c r="G14" s="598">
        <f>SUM(G9:G12)</f>
        <v>902.0066599999999</v>
      </c>
      <c r="H14" s="475"/>
      <c r="I14" s="598">
        <f>SUM(I9:I13)</f>
        <v>908.88315</v>
      </c>
      <c r="J14" s="475"/>
      <c r="K14" s="598">
        <f>SUM(K9:K13)</f>
        <v>1010.47749</v>
      </c>
      <c r="L14" s="475"/>
      <c r="M14" s="598">
        <f>SUM(M9:M13)</f>
        <v>1099.40569</v>
      </c>
      <c r="N14" s="416"/>
      <c r="O14" s="598">
        <f>SUM(O9:O13)</f>
        <v>1252.4270000000001</v>
      </c>
      <c r="P14" s="416"/>
      <c r="Q14" s="598">
        <f>SUM(Q9:Q13)</f>
        <v>1277.4755400000001</v>
      </c>
      <c r="R14" s="475"/>
      <c r="S14" s="598">
        <f>SUM(S9:S13)</f>
        <v>1249.6899852000001</v>
      </c>
      <c r="T14" s="475"/>
      <c r="U14" s="598">
        <f>SUM(U9:U13)</f>
        <v>1275.1519848960002</v>
      </c>
      <c r="V14" s="475"/>
      <c r="W14" s="598">
        <f>SUM(W9:W12)</f>
        <v>810</v>
      </c>
      <c r="X14" s="475"/>
      <c r="Y14" s="598">
        <f>SUM(Y9:Y12)</f>
        <v>827</v>
      </c>
      <c r="Z14" s="475"/>
      <c r="AA14" s="475"/>
    </row>
    <row r="15" spans="1:27" s="477" customFormat="1" ht="15.75" thickTop="1">
      <c r="A15" s="521"/>
      <c r="B15" s="463"/>
      <c r="C15" s="463"/>
      <c r="D15" s="463"/>
      <c r="E15" s="463"/>
      <c r="F15" s="475"/>
      <c r="G15" s="475"/>
      <c r="H15" s="475"/>
      <c r="I15" s="475"/>
      <c r="J15" s="475"/>
      <c r="K15" s="475"/>
      <c r="L15" s="475"/>
      <c r="M15" s="475"/>
      <c r="N15" s="475"/>
      <c r="O15" s="475"/>
      <c r="P15" s="475"/>
      <c r="Q15" s="475"/>
      <c r="R15" s="475"/>
      <c r="S15" s="475"/>
      <c r="T15" s="475"/>
      <c r="U15" s="475"/>
      <c r="V15" s="475"/>
      <c r="W15" s="475"/>
      <c r="X15" s="475"/>
      <c r="Y15" s="475"/>
      <c r="Z15" s="475"/>
      <c r="AA15" s="475"/>
    </row>
    <row r="16" spans="1:27" ht="15"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</row>
    <row r="17" spans="5:25" ht="15"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3"/>
      <c r="Q17" s="463"/>
      <c r="R17" s="463"/>
      <c r="S17" s="463"/>
      <c r="T17" s="463"/>
      <c r="U17" s="463"/>
      <c r="V17" s="463"/>
      <c r="W17" s="463"/>
      <c r="X17" s="463"/>
      <c r="Y17" s="463"/>
    </row>
    <row r="18" spans="5:25" ht="15"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</row>
    <row r="19" spans="5:25" ht="15"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63"/>
      <c r="W19" s="463"/>
      <c r="X19" s="463"/>
      <c r="Y19" s="463"/>
    </row>
    <row r="20" spans="5:25" ht="15"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463"/>
      <c r="W20" s="463"/>
      <c r="X20" s="463"/>
      <c r="Y20" s="463"/>
    </row>
    <row r="21" spans="5:25" ht="15"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63"/>
      <c r="V21" s="463"/>
      <c r="W21" s="463"/>
      <c r="X21" s="463"/>
      <c r="Y21" s="463"/>
    </row>
    <row r="22" spans="5:25" ht="15"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</row>
    <row r="23" spans="5:25" ht="15"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463"/>
      <c r="P23" s="463"/>
      <c r="Q23" s="463"/>
      <c r="R23" s="463"/>
      <c r="S23" s="463"/>
      <c r="T23" s="463"/>
      <c r="U23" s="463"/>
      <c r="V23" s="463"/>
      <c r="W23" s="463"/>
      <c r="X23" s="463"/>
      <c r="Y23" s="463"/>
    </row>
    <row r="24" spans="5:25" ht="15"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</row>
    <row r="25" spans="5:25" ht="15"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463"/>
      <c r="R25" s="463"/>
      <c r="S25" s="463"/>
      <c r="T25" s="463"/>
      <c r="U25" s="463"/>
      <c r="V25" s="463"/>
      <c r="W25" s="463"/>
      <c r="X25" s="463"/>
      <c r="Y25" s="463"/>
    </row>
    <row r="26" spans="5:25" ht="15"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3"/>
      <c r="T26" s="463"/>
      <c r="U26" s="463"/>
      <c r="V26" s="463"/>
      <c r="W26" s="463"/>
      <c r="X26" s="463"/>
      <c r="Y26" s="463"/>
    </row>
    <row r="27" spans="5:25">
      <c r="K27" s="473"/>
      <c r="M27" s="473"/>
      <c r="N27" s="473"/>
      <c r="O27" s="473"/>
      <c r="P27" s="473"/>
    </row>
    <row r="28" spans="5:25">
      <c r="K28" s="473"/>
      <c r="M28" s="473"/>
      <c r="N28" s="473"/>
      <c r="O28" s="473"/>
      <c r="P28" s="473"/>
    </row>
    <row r="29" spans="5:25">
      <c r="K29" s="473"/>
      <c r="M29" s="473"/>
      <c r="N29" s="473"/>
      <c r="O29" s="473"/>
      <c r="P29" s="473"/>
    </row>
    <row r="30" spans="5:25">
      <c r="K30" s="473"/>
      <c r="M30" s="473"/>
      <c r="N30" s="473"/>
      <c r="O30" s="473"/>
      <c r="P30" s="473"/>
    </row>
    <row r="31" spans="5:25">
      <c r="K31" s="473"/>
      <c r="M31" s="473"/>
      <c r="N31" s="473"/>
      <c r="O31" s="473"/>
      <c r="P31" s="473"/>
    </row>
    <row r="32" spans="5:25">
      <c r="K32" s="473"/>
      <c r="M32" s="473"/>
      <c r="N32" s="473"/>
      <c r="O32" s="473"/>
      <c r="P32" s="473"/>
    </row>
    <row r="33" spans="11:16">
      <c r="K33" s="473"/>
      <c r="M33" s="473"/>
      <c r="N33" s="473"/>
      <c r="O33" s="473"/>
      <c r="P33" s="473"/>
    </row>
    <row r="34" spans="11:16">
      <c r="K34" s="473"/>
      <c r="M34" s="473"/>
      <c r="N34" s="473"/>
      <c r="O34" s="473"/>
      <c r="P34" s="473"/>
    </row>
    <row r="35" spans="11:16">
      <c r="K35" s="473"/>
      <c r="M35" s="473"/>
      <c r="N35" s="473"/>
      <c r="O35" s="473"/>
      <c r="P35" s="473"/>
    </row>
    <row r="36" spans="11:16">
      <c r="K36" s="473"/>
      <c r="M36" s="473"/>
      <c r="N36" s="473"/>
      <c r="O36" s="473"/>
      <c r="P36" s="473"/>
    </row>
    <row r="37" spans="11:16">
      <c r="K37" s="473"/>
      <c r="M37" s="473"/>
      <c r="N37" s="473"/>
      <c r="O37" s="473"/>
      <c r="P37" s="473"/>
    </row>
    <row r="38" spans="11:16">
      <c r="K38" s="473"/>
      <c r="M38" s="473"/>
      <c r="N38" s="473"/>
      <c r="O38" s="473"/>
      <c r="P38" s="473"/>
    </row>
    <row r="39" spans="11:16">
      <c r="K39" s="473"/>
      <c r="M39" s="473"/>
      <c r="N39" s="473"/>
      <c r="O39" s="473"/>
      <c r="P39" s="473"/>
    </row>
    <row r="40" spans="11:16">
      <c r="K40" s="473"/>
      <c r="M40" s="473"/>
      <c r="N40" s="473"/>
      <c r="O40" s="473"/>
      <c r="P40" s="473"/>
    </row>
    <row r="41" spans="11:16">
      <c r="K41" s="473"/>
      <c r="M41" s="473"/>
      <c r="N41" s="473"/>
      <c r="O41" s="473"/>
      <c r="P41" s="473"/>
    </row>
    <row r="42" spans="11:16">
      <c r="K42" s="473"/>
      <c r="M42" s="473"/>
      <c r="N42" s="473"/>
      <c r="O42" s="473"/>
      <c r="P42" s="473"/>
    </row>
    <row r="43" spans="11:16">
      <c r="K43" s="473"/>
      <c r="M43" s="473"/>
      <c r="N43" s="473"/>
      <c r="O43" s="473"/>
      <c r="P43" s="473"/>
    </row>
    <row r="44" spans="11:16">
      <c r="K44" s="473"/>
      <c r="M44" s="473"/>
      <c r="N44" s="473"/>
      <c r="O44" s="473"/>
      <c r="P44" s="473"/>
    </row>
    <row r="45" spans="11:16">
      <c r="K45" s="473"/>
      <c r="M45" s="473"/>
      <c r="N45" s="473"/>
      <c r="O45" s="473"/>
      <c r="P45" s="473"/>
    </row>
  </sheetData>
  <customSheetViews>
    <customSheetView guid="{275E5119-9E8C-43ED-ACD2-DF40CF10B219}" scale="70">
      <selection activeCell="M13" sqref="M13"/>
      <pageMargins left="0.5" right="0.5" top="1" bottom="1" header="0.5" footer="0.5"/>
      <pageSetup scale="7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13" sqref="M13"/>
      <pageMargins left="0.5" right="0.5" top="1" bottom="1" header="0.5" footer="0.5"/>
      <pageSetup scale="70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ageMargins left="0.5" right="0.5" top="1" bottom="1" header="0.5" footer="0.5"/>
  <pageSetup scale="64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 enableFormatConditionsCalculation="0">
    <pageSetUpPr fitToPage="1"/>
  </sheetPr>
  <dimension ref="A1:Z75"/>
  <sheetViews>
    <sheetView zoomScaleNormal="100" zoomScaleSheetLayoutView="100" workbookViewId="0">
      <selection activeCell="V236" sqref="V236"/>
    </sheetView>
  </sheetViews>
  <sheetFormatPr defaultColWidth="7.5703125" defaultRowHeight="15"/>
  <cols>
    <col min="1" max="1" width="8.5703125" style="530" customWidth="1"/>
    <col min="2" max="2" width="2.28515625" style="530" customWidth="1"/>
    <col min="3" max="3" width="44.5703125" style="530" customWidth="1"/>
    <col min="4" max="4" width="2.28515625" style="530" customWidth="1"/>
    <col min="5" max="5" width="11.7109375" style="531" bestFit="1" customWidth="1"/>
    <col min="6" max="6" width="2.5703125" style="530" customWidth="1"/>
    <col min="7" max="7" width="13.7109375" style="530" customWidth="1"/>
    <col min="8" max="8" width="2.28515625" style="530" customWidth="1"/>
    <col min="9" max="9" width="13.7109375" style="530" customWidth="1"/>
    <col min="10" max="10" width="2.28515625" style="530" customWidth="1"/>
    <col min="11" max="11" width="13.7109375" style="530" customWidth="1"/>
    <col min="12" max="12" width="2.28515625" style="530" customWidth="1"/>
    <col min="13" max="13" width="13.7109375" style="530" customWidth="1"/>
    <col min="14" max="14" width="2.28515625" style="530" customWidth="1"/>
    <col min="15" max="15" width="13.7109375" style="530" customWidth="1"/>
    <col min="16" max="16" width="2.28515625" style="530" customWidth="1"/>
    <col min="17" max="17" width="13.7109375" style="530" customWidth="1"/>
    <col min="18" max="18" width="2.28515625" style="530" customWidth="1"/>
    <col min="19" max="19" width="13.7109375" style="530" customWidth="1"/>
    <col min="20" max="20" width="2.28515625" style="530" customWidth="1"/>
    <col min="21" max="21" width="13.7109375" style="530" customWidth="1"/>
    <col min="22" max="22" width="2.28515625" style="530" customWidth="1"/>
    <col min="23" max="23" width="13.7109375" style="530" customWidth="1"/>
    <col min="24" max="24" width="2.28515625" style="530" customWidth="1"/>
    <col min="25" max="25" width="13.7109375" style="530" customWidth="1"/>
    <col min="26" max="26" width="2.28515625" style="530" customWidth="1"/>
    <col min="27" max="16384" width="7.5703125" style="530"/>
  </cols>
  <sheetData>
    <row r="1" spans="1:26" ht="15.75">
      <c r="A1" s="822" t="s">
        <v>541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  <c r="T1" s="822"/>
      <c r="U1" s="822"/>
      <c r="V1" s="822"/>
      <c r="W1" s="822"/>
      <c r="X1" s="822"/>
      <c r="Z1" s="109" t="s">
        <v>542</v>
      </c>
    </row>
    <row r="2" spans="1:26" ht="15.75">
      <c r="A2" s="61" t="s">
        <v>463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15.75">
      <c r="A3" s="61" t="s">
        <v>307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15.75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15.75">
      <c r="A5" s="61"/>
      <c r="B5" s="62"/>
      <c r="C5" s="62"/>
      <c r="D5" s="62"/>
      <c r="W5" s="618" t="s">
        <v>459</v>
      </c>
      <c r="X5" s="477"/>
      <c r="Y5" s="618" t="s">
        <v>459</v>
      </c>
    </row>
    <row r="6" spans="1:26" ht="15.75">
      <c r="A6" s="618" t="s">
        <v>33</v>
      </c>
      <c r="B6" s="618"/>
      <c r="C6" s="618"/>
      <c r="D6" s="618"/>
      <c r="E6" s="618" t="s">
        <v>34</v>
      </c>
      <c r="F6" s="618"/>
      <c r="G6" s="618" t="s">
        <v>25</v>
      </c>
      <c r="H6" s="618"/>
      <c r="I6" s="618" t="s">
        <v>25</v>
      </c>
      <c r="J6" s="618"/>
      <c r="K6" s="618" t="s">
        <v>25</v>
      </c>
      <c r="L6" s="618"/>
      <c r="M6" s="618" t="s">
        <v>25</v>
      </c>
      <c r="N6" s="618"/>
      <c r="O6" s="403" t="s">
        <v>25</v>
      </c>
      <c r="P6" s="618"/>
      <c r="Q6" s="819" t="s">
        <v>330</v>
      </c>
      <c r="R6" s="819"/>
      <c r="S6" s="819"/>
      <c r="T6" s="819"/>
      <c r="U6" s="819"/>
      <c r="V6" s="618"/>
      <c r="W6" s="618" t="s">
        <v>15</v>
      </c>
      <c r="X6" s="618"/>
      <c r="Y6" s="618" t="s">
        <v>15</v>
      </c>
      <c r="Z6" s="618"/>
    </row>
    <row r="7" spans="1:26" ht="15.75">
      <c r="A7" s="617" t="s">
        <v>35</v>
      </c>
      <c r="B7" s="618"/>
      <c r="C7" s="617" t="s">
        <v>178</v>
      </c>
      <c r="D7" s="618"/>
      <c r="E7" s="617" t="s">
        <v>36</v>
      </c>
      <c r="F7" s="618"/>
      <c r="G7" s="522">
        <v>2008</v>
      </c>
      <c r="H7" s="523"/>
      <c r="I7" s="522">
        <v>2009</v>
      </c>
      <c r="J7" s="523"/>
      <c r="K7" s="522">
        <v>2010</v>
      </c>
      <c r="L7" s="525"/>
      <c r="M7" s="522">
        <v>2011</v>
      </c>
      <c r="N7" s="525"/>
      <c r="O7" s="519">
        <v>2012</v>
      </c>
      <c r="P7" s="523"/>
      <c r="Q7" s="519">
        <v>2013</v>
      </c>
      <c r="R7" s="523"/>
      <c r="S7" s="519">
        <v>2014</v>
      </c>
      <c r="T7" s="523"/>
      <c r="U7" s="519">
        <v>2015</v>
      </c>
      <c r="V7" s="523"/>
      <c r="W7" s="522">
        <v>2008</v>
      </c>
      <c r="X7" s="523"/>
      <c r="Y7" s="522">
        <v>2009</v>
      </c>
      <c r="Z7" s="618"/>
    </row>
    <row r="9" spans="1:26" ht="15.75">
      <c r="A9" s="520">
        <v>1</v>
      </c>
      <c r="C9" s="381" t="s">
        <v>20</v>
      </c>
      <c r="I9" s="463"/>
      <c r="J9" s="463"/>
      <c r="K9" s="463"/>
      <c r="L9" s="463"/>
      <c r="M9" s="463"/>
      <c r="N9" s="463"/>
      <c r="O9" s="463"/>
      <c r="P9" s="463"/>
      <c r="Q9" s="463"/>
      <c r="R9" s="463"/>
      <c r="S9" s="463"/>
      <c r="T9" s="463"/>
      <c r="U9" s="463"/>
      <c r="W9" s="463"/>
      <c r="X9" s="463"/>
      <c r="Y9" s="463"/>
      <c r="Z9" s="463"/>
    </row>
    <row r="10" spans="1:26" ht="5.25" customHeight="1">
      <c r="A10" s="520"/>
      <c r="C10" s="146"/>
      <c r="I10" s="463"/>
      <c r="J10" s="463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W10" s="463"/>
      <c r="X10" s="463"/>
      <c r="Y10" s="463"/>
      <c r="Z10" s="463"/>
    </row>
    <row r="11" spans="1:26">
      <c r="A11" s="520">
        <f>A9+1</f>
        <v>2</v>
      </c>
      <c r="C11" s="412" t="s">
        <v>236</v>
      </c>
      <c r="D11" s="463"/>
      <c r="E11" s="166"/>
      <c r="F11" s="197"/>
      <c r="G11" s="197">
        <v>263820</v>
      </c>
      <c r="H11" s="197"/>
      <c r="I11" s="197">
        <v>267230</v>
      </c>
      <c r="J11" s="197"/>
      <c r="K11" s="197">
        <v>276345</v>
      </c>
      <c r="L11" s="197"/>
      <c r="M11" s="197">
        <v>290541</v>
      </c>
      <c r="N11" s="197"/>
      <c r="O11" s="197">
        <v>310264</v>
      </c>
      <c r="P11" s="197"/>
      <c r="Q11" s="197">
        <f>+S3.2!Q27</f>
        <v>313321.79982586898</v>
      </c>
      <c r="R11" s="197"/>
      <c r="S11" s="197">
        <f>+S3.2!S27</f>
        <v>319016.2646361696</v>
      </c>
      <c r="T11" s="197"/>
      <c r="U11" s="197">
        <f>+S3.2!U27</f>
        <v>325536.78688110609</v>
      </c>
      <c r="V11" s="197"/>
      <c r="W11" s="197">
        <v>263765.00909211347</v>
      </c>
      <c r="X11" s="197"/>
      <c r="Y11" s="197">
        <v>267746.66214836919</v>
      </c>
      <c r="Z11" s="197"/>
    </row>
    <row r="12" spans="1:26">
      <c r="A12" s="520">
        <f>A11+1</f>
        <v>3</v>
      </c>
      <c r="C12" s="412" t="s">
        <v>356</v>
      </c>
      <c r="D12" s="463"/>
      <c r="E12" s="166"/>
      <c r="F12" s="451"/>
      <c r="G12" s="259">
        <v>18053</v>
      </c>
      <c r="H12" s="451"/>
      <c r="I12" s="259">
        <v>16843</v>
      </c>
      <c r="J12" s="451"/>
      <c r="K12" s="259">
        <v>10153</v>
      </c>
      <c r="L12" s="197"/>
      <c r="M12" s="259">
        <v>552</v>
      </c>
      <c r="N12" s="197"/>
      <c r="O12" s="259">
        <v>1993</v>
      </c>
      <c r="P12" s="197"/>
      <c r="Q12" s="259">
        <v>0</v>
      </c>
      <c r="R12" s="197"/>
      <c r="S12" s="259">
        <v>0</v>
      </c>
      <c r="T12" s="197"/>
      <c r="U12" s="259">
        <v>0</v>
      </c>
      <c r="V12" s="451"/>
      <c r="W12" s="259">
        <v>16852.75</v>
      </c>
      <c r="X12" s="197"/>
      <c r="Y12" s="259">
        <v>6954.05</v>
      </c>
      <c r="Z12" s="451"/>
    </row>
    <row r="13" spans="1:26">
      <c r="A13" s="520">
        <f>A12+1</f>
        <v>4</v>
      </c>
      <c r="C13" s="412"/>
      <c r="D13" s="463"/>
      <c r="E13" s="166" t="s">
        <v>375</v>
      </c>
      <c r="F13" s="451"/>
      <c r="G13" s="424">
        <f>SUM(G11:G12)</f>
        <v>281873</v>
      </c>
      <c r="H13" s="451"/>
      <c r="I13" s="424">
        <f>SUM(I11:I12)</f>
        <v>284073</v>
      </c>
      <c r="J13" s="451"/>
      <c r="K13" s="424">
        <f>SUM(K11:K12)</f>
        <v>286498</v>
      </c>
      <c r="L13" s="424"/>
      <c r="M13" s="424">
        <f>SUM(M11:M12)</f>
        <v>291093</v>
      </c>
      <c r="N13" s="424"/>
      <c r="O13" s="424">
        <f>SUM(O11:O12)</f>
        <v>312257</v>
      </c>
      <c r="P13" s="424"/>
      <c r="Q13" s="424">
        <f>SUM(Q11:Q12)</f>
        <v>313321.79982586898</v>
      </c>
      <c r="R13" s="424"/>
      <c r="S13" s="424">
        <f>SUM(S11:S12)</f>
        <v>319016.2646361696</v>
      </c>
      <c r="T13" s="424"/>
      <c r="U13" s="424">
        <f>SUM(U11:U12)</f>
        <v>325536.78688110609</v>
      </c>
      <c r="V13" s="451"/>
      <c r="W13" s="416">
        <f>SUM(W11:W12)</f>
        <v>280617.75909211347</v>
      </c>
      <c r="X13" s="451"/>
      <c r="Y13" s="416">
        <f>SUM(Y11:Y12)</f>
        <v>274700.71214836917</v>
      </c>
      <c r="Z13" s="451"/>
    </row>
    <row r="14" spans="1:26" ht="15.75">
      <c r="A14" s="520">
        <f>A13+1</f>
        <v>5</v>
      </c>
      <c r="C14" s="301" t="s">
        <v>184</v>
      </c>
      <c r="D14" s="463"/>
      <c r="E14" s="166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159"/>
      <c r="X14" s="463"/>
      <c r="Y14" s="159"/>
      <c r="Z14" s="463"/>
    </row>
    <row r="15" spans="1:26" ht="7.5" customHeight="1">
      <c r="A15" s="520"/>
      <c r="C15" s="412"/>
      <c r="D15" s="463"/>
      <c r="E15" s="166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38"/>
      <c r="X15" s="125"/>
      <c r="Y15" s="138"/>
      <c r="Z15" s="125"/>
    </row>
    <row r="16" spans="1:26">
      <c r="A16" s="520">
        <f>A14+1</f>
        <v>6</v>
      </c>
      <c r="C16" s="412" t="s">
        <v>867</v>
      </c>
      <c r="D16" s="463"/>
      <c r="E16" s="166" t="s">
        <v>458</v>
      </c>
      <c r="F16" s="156"/>
      <c r="G16" s="160">
        <v>6.8400000000000002E-2</v>
      </c>
      <c r="H16" s="156"/>
      <c r="I16" s="160">
        <v>6.8400000000000002E-2</v>
      </c>
      <c r="J16" s="156"/>
      <c r="K16" s="160">
        <v>6.8400000000000002E-2</v>
      </c>
      <c r="L16" s="160"/>
      <c r="M16" s="160">
        <f>+M22/M11</f>
        <v>7.5517741041711842E-2</v>
      </c>
      <c r="N16" s="160"/>
      <c r="O16" s="160">
        <v>8.2979999999999998E-2</v>
      </c>
      <c r="P16" s="160"/>
      <c r="Q16" s="160">
        <v>8.2979999999999998E-2</v>
      </c>
      <c r="R16" s="160"/>
      <c r="S16" s="160">
        <v>8.2979999999999998E-2</v>
      </c>
      <c r="T16" s="160"/>
      <c r="U16" s="160">
        <v>8.2979999999999998E-2</v>
      </c>
      <c r="V16" s="156"/>
      <c r="W16" s="160">
        <v>6.8400000000000002E-2</v>
      </c>
      <c r="X16" s="156"/>
      <c r="Y16" s="160">
        <v>6.8400000000000002E-2</v>
      </c>
      <c r="Z16" s="156"/>
    </row>
    <row r="17" spans="1:26">
      <c r="A17" s="520">
        <f>A16+1</f>
        <v>7</v>
      </c>
      <c r="C17" s="412" t="s">
        <v>868</v>
      </c>
      <c r="D17" s="463"/>
      <c r="F17" s="85"/>
      <c r="G17" s="378">
        <f>+G23/G12</f>
        <v>6.591702210158977E-2</v>
      </c>
      <c r="H17" s="85"/>
      <c r="I17" s="378">
        <f>+I23/I12</f>
        <v>5.3850264204714123E-2</v>
      </c>
      <c r="J17" s="85"/>
      <c r="K17" s="378">
        <f>+K23/K12</f>
        <v>5.4466660100462916E-2</v>
      </c>
      <c r="L17" s="378"/>
      <c r="M17" s="378">
        <f>+M23/M12</f>
        <v>7.2463768115942032E-2</v>
      </c>
      <c r="N17" s="378"/>
      <c r="O17" s="479">
        <f>+O23/O12</f>
        <v>7.1249372804816857E-2</v>
      </c>
      <c r="P17" s="378"/>
      <c r="Q17" s="85">
        <v>0</v>
      </c>
      <c r="R17" s="378"/>
      <c r="S17" s="378">
        <v>0</v>
      </c>
      <c r="T17" s="378"/>
      <c r="U17" s="378">
        <v>0</v>
      </c>
      <c r="V17" s="85"/>
      <c r="W17" s="302">
        <v>6.0999999999999999E-2</v>
      </c>
      <c r="X17" s="85"/>
      <c r="Y17" s="302">
        <v>6.0999999999999999E-2</v>
      </c>
      <c r="Z17" s="85"/>
    </row>
    <row r="18" spans="1:26" s="463" customFormat="1">
      <c r="A18" s="521">
        <v>8</v>
      </c>
      <c r="C18" s="412" t="s">
        <v>18</v>
      </c>
      <c r="E18" s="166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8">
        <v>0.14929999999999999</v>
      </c>
      <c r="X18" s="339"/>
      <c r="Y18" s="338">
        <f>W18</f>
        <v>0.14929999999999999</v>
      </c>
      <c r="Z18" s="85"/>
    </row>
    <row r="19" spans="1:26" ht="7.5" customHeight="1">
      <c r="A19" s="520"/>
      <c r="C19" s="412"/>
      <c r="D19" s="463"/>
      <c r="E19" s="166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299"/>
      <c r="X19" s="85"/>
      <c r="Y19" s="299"/>
      <c r="Z19" s="85"/>
    </row>
    <row r="20" spans="1:26" ht="15.75">
      <c r="A20" s="520">
        <f>A18+1</f>
        <v>9</v>
      </c>
      <c r="C20" s="301" t="s">
        <v>19</v>
      </c>
      <c r="D20" s="463"/>
      <c r="E20" s="166"/>
      <c r="F20" s="463"/>
      <c r="G20" s="463"/>
      <c r="H20" s="463"/>
      <c r="I20" s="463"/>
      <c r="J20" s="463"/>
      <c r="K20" s="463"/>
      <c r="L20" s="463"/>
      <c r="M20" s="480"/>
      <c r="N20" s="463"/>
      <c r="O20" s="463"/>
      <c r="P20" s="463"/>
      <c r="Q20" s="463"/>
      <c r="R20" s="463"/>
      <c r="S20" s="463"/>
      <c r="T20" s="463"/>
      <c r="U20" s="463"/>
      <c r="V20" s="463"/>
      <c r="W20" s="159"/>
      <c r="X20" s="463"/>
      <c r="Y20" s="159"/>
      <c r="Z20" s="463"/>
    </row>
    <row r="21" spans="1:26" ht="7.5" customHeight="1">
      <c r="A21" s="520"/>
      <c r="C21" s="412"/>
      <c r="D21" s="463"/>
      <c r="E21" s="166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63"/>
      <c r="V21" s="463"/>
      <c r="W21" s="300"/>
      <c r="X21" s="463"/>
      <c r="Y21" s="300"/>
      <c r="Z21" s="463"/>
    </row>
    <row r="22" spans="1:26">
      <c r="A22" s="520">
        <f>A20+1</f>
        <v>10</v>
      </c>
      <c r="C22" s="412" t="s">
        <v>237</v>
      </c>
      <c r="D22" s="463"/>
      <c r="E22" s="166" t="s">
        <v>16</v>
      </c>
      <c r="F22" s="463"/>
      <c r="G22" s="138">
        <v>18046</v>
      </c>
      <c r="H22" s="463"/>
      <c r="I22" s="138">
        <v>18278</v>
      </c>
      <c r="J22" s="463"/>
      <c r="K22" s="138">
        <v>18902</v>
      </c>
      <c r="L22" s="138"/>
      <c r="M22" s="138">
        <v>21941</v>
      </c>
      <c r="N22" s="138"/>
      <c r="O22" s="138">
        <f>+O16*O11</f>
        <v>25745.706719999998</v>
      </c>
      <c r="P22" s="138"/>
      <c r="Q22" s="138">
        <f>+Q16*Q13</f>
        <v>25999.442949550608</v>
      </c>
      <c r="R22" s="138"/>
      <c r="S22" s="138">
        <f>+S16*S13</f>
        <v>26471.969639509352</v>
      </c>
      <c r="T22" s="138"/>
      <c r="U22" s="138">
        <f>+U16*U13</f>
        <v>27013.042575394182</v>
      </c>
      <c r="V22" s="463"/>
      <c r="W22" s="138">
        <f>ROUND(W11*W16,0)</f>
        <v>18042</v>
      </c>
      <c r="X22" s="463"/>
      <c r="Y22" s="138">
        <f>ROUND(Y11*Y16,0)</f>
        <v>18314</v>
      </c>
      <c r="Z22" s="463"/>
    </row>
    <row r="23" spans="1:26">
      <c r="A23" s="520">
        <f>A22+1</f>
        <v>11</v>
      </c>
      <c r="C23" s="412" t="s">
        <v>358</v>
      </c>
      <c r="D23" s="463"/>
      <c r="E23" s="166" t="s">
        <v>17</v>
      </c>
      <c r="F23" s="463"/>
      <c r="G23" s="138">
        <v>1190</v>
      </c>
      <c r="H23" s="463"/>
      <c r="I23" s="138">
        <v>907</v>
      </c>
      <c r="J23" s="463"/>
      <c r="K23" s="138">
        <v>553</v>
      </c>
      <c r="L23" s="138"/>
      <c r="M23" s="138">
        <v>40</v>
      </c>
      <c r="N23" s="138"/>
      <c r="O23" s="138">
        <v>142</v>
      </c>
      <c r="P23" s="138"/>
      <c r="Q23" s="138">
        <v>0</v>
      </c>
      <c r="R23" s="138"/>
      <c r="S23" s="138"/>
      <c r="T23" s="138"/>
      <c r="U23" s="138"/>
      <c r="V23" s="463"/>
      <c r="W23" s="138">
        <f>ROUND(W12*W17,0)</f>
        <v>1028</v>
      </c>
      <c r="X23" s="463"/>
      <c r="Y23" s="138">
        <f>ROUND(Y12*Y17,0)</f>
        <v>424</v>
      </c>
      <c r="Z23" s="463"/>
    </row>
    <row r="24" spans="1:26">
      <c r="A24" s="520">
        <f>A23+1</f>
        <v>12</v>
      </c>
      <c r="C24" s="412" t="str">
        <f>C18</f>
        <v xml:space="preserve">Shortfall Rider J </v>
      </c>
      <c r="D24" s="463"/>
      <c r="E24" s="166" t="s">
        <v>727</v>
      </c>
      <c r="F24" s="463"/>
      <c r="G24" s="138">
        <v>4990</v>
      </c>
      <c r="H24" s="463"/>
      <c r="I24" s="138">
        <v>4026</v>
      </c>
      <c r="J24" s="463"/>
      <c r="K24" s="138">
        <v>4353</v>
      </c>
      <c r="L24" s="138"/>
      <c r="M24" s="138">
        <v>2479</v>
      </c>
      <c r="N24" s="138"/>
      <c r="O24" s="138">
        <v>1437.37</v>
      </c>
      <c r="P24" s="138"/>
      <c r="Q24" s="138">
        <v>0</v>
      </c>
      <c r="R24" s="138"/>
      <c r="S24" s="138">
        <v>0</v>
      </c>
      <c r="T24" s="138"/>
      <c r="U24" s="138">
        <v>0</v>
      </c>
      <c r="V24" s="463"/>
      <c r="W24" s="138">
        <v>5120.3466999636812</v>
      </c>
      <c r="X24" s="463"/>
      <c r="Y24" s="138">
        <v>5171.8250632818917</v>
      </c>
      <c r="Z24" s="463"/>
    </row>
    <row r="25" spans="1:26">
      <c r="A25" s="520">
        <f>+A24+1</f>
        <v>13</v>
      </c>
      <c r="C25" s="412" t="s">
        <v>653</v>
      </c>
      <c r="D25" s="463"/>
      <c r="E25" s="166"/>
      <c r="F25" s="463"/>
      <c r="G25" s="145">
        <v>-69</v>
      </c>
      <c r="H25" s="463"/>
      <c r="I25" s="145">
        <v>0</v>
      </c>
      <c r="J25" s="463"/>
      <c r="K25" s="145">
        <v>-346</v>
      </c>
      <c r="L25" s="138"/>
      <c r="M25" s="145">
        <v>-367</v>
      </c>
      <c r="N25" s="138"/>
      <c r="O25" s="145">
        <v>-402</v>
      </c>
      <c r="P25" s="138"/>
      <c r="Q25" s="145">
        <v>-369</v>
      </c>
      <c r="R25" s="138"/>
      <c r="S25" s="145">
        <v>0</v>
      </c>
      <c r="T25" s="138"/>
      <c r="U25" s="145">
        <v>0</v>
      </c>
      <c r="V25" s="463"/>
      <c r="W25" s="145">
        <v>-69</v>
      </c>
      <c r="X25" s="463"/>
      <c r="Y25" s="145">
        <v>-69</v>
      </c>
      <c r="Z25" s="463"/>
    </row>
    <row r="26" spans="1:26" ht="7.5" customHeight="1">
      <c r="A26" s="520"/>
      <c r="C26" s="412"/>
      <c r="D26" s="463"/>
      <c r="E26" s="166"/>
      <c r="F26" s="463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138"/>
      <c r="X26" s="451"/>
      <c r="Y26" s="138"/>
      <c r="Z26" s="451"/>
    </row>
    <row r="27" spans="1:26" ht="15.75" thickBot="1">
      <c r="A27" s="520">
        <f>+A25+1</f>
        <v>14</v>
      </c>
      <c r="C27" s="412" t="s">
        <v>183</v>
      </c>
      <c r="D27" s="463"/>
      <c r="E27" s="166" t="s">
        <v>279</v>
      </c>
      <c r="F27" s="463"/>
      <c r="G27" s="377">
        <f>SUM(G22:G25)</f>
        <v>24157</v>
      </c>
      <c r="H27" s="463"/>
      <c r="I27" s="377">
        <f>SUM(I22:I25)</f>
        <v>23211</v>
      </c>
      <c r="J27" s="463"/>
      <c r="K27" s="377">
        <f>SUM(K22:K25)</f>
        <v>23462</v>
      </c>
      <c r="L27" s="138"/>
      <c r="M27" s="377">
        <f>SUM(M22:M25)</f>
        <v>24093</v>
      </c>
      <c r="N27" s="138"/>
      <c r="O27" s="377">
        <f>SUM(O22:O25)</f>
        <v>26923.076719999997</v>
      </c>
      <c r="P27" s="138"/>
      <c r="Q27" s="377">
        <f>SUM(Q22:Q25)</f>
        <v>25630.442949550608</v>
      </c>
      <c r="R27" s="138"/>
      <c r="S27" s="377">
        <f>SUM(S22:S25)</f>
        <v>26471.969639509352</v>
      </c>
      <c r="T27" s="138"/>
      <c r="U27" s="377">
        <f>SUM(U22:U25)</f>
        <v>27013.042575394182</v>
      </c>
      <c r="V27" s="463"/>
      <c r="W27" s="377">
        <f>SUM(W22:W26)</f>
        <v>24121.34669996368</v>
      </c>
      <c r="X27" s="463"/>
      <c r="Y27" s="377">
        <f>SUM(Y22:Y26)</f>
        <v>23840.825063281893</v>
      </c>
      <c r="Z27" s="463"/>
    </row>
    <row r="28" spans="1:26">
      <c r="A28" s="520"/>
      <c r="C28" s="412"/>
      <c r="D28" s="463"/>
      <c r="E28" s="166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138"/>
      <c r="X28" s="463"/>
      <c r="Y28" s="138"/>
    </row>
    <row r="29" spans="1:26">
      <c r="A29" s="520"/>
      <c r="C29" s="632" t="s">
        <v>512</v>
      </c>
      <c r="D29" s="463"/>
      <c r="E29" s="166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  <c r="R29" s="463"/>
      <c r="S29" s="463"/>
      <c r="T29" s="463"/>
      <c r="U29" s="463"/>
      <c r="V29" s="463"/>
      <c r="W29" s="138"/>
      <c r="X29" s="463"/>
      <c r="Y29" s="138"/>
    </row>
    <row r="30" spans="1:26">
      <c r="C30" s="473" t="s">
        <v>644</v>
      </c>
      <c r="D30" s="463"/>
      <c r="E30" s="463"/>
      <c r="F30" s="463"/>
      <c r="G30" s="450"/>
      <c r="H30" s="450"/>
      <c r="I30" s="450"/>
      <c r="J30" s="450"/>
      <c r="K30" s="450"/>
      <c r="L30" s="450"/>
      <c r="M30" s="450"/>
      <c r="N30" s="450"/>
      <c r="O30" s="450"/>
      <c r="P30" s="463"/>
      <c r="Q30" s="463"/>
      <c r="R30" s="463"/>
      <c r="S30" s="463"/>
      <c r="T30" s="463"/>
      <c r="U30" s="463"/>
      <c r="V30" s="463"/>
      <c r="W30" s="411"/>
      <c r="X30" s="463"/>
      <c r="Y30" s="411"/>
    </row>
    <row r="31" spans="1:26">
      <c r="A31" s="531"/>
      <c r="D31" s="463"/>
      <c r="E31" s="463"/>
      <c r="F31" s="463"/>
      <c r="G31" s="463"/>
      <c r="H31" s="463"/>
      <c r="I31" s="463"/>
      <c r="J31" s="463"/>
      <c r="K31" s="463"/>
      <c r="L31" s="463"/>
      <c r="M31" s="463"/>
      <c r="N31" s="463"/>
      <c r="O31" s="463"/>
      <c r="P31" s="463"/>
      <c r="Q31" s="463"/>
      <c r="R31" s="463"/>
      <c r="S31" s="463"/>
      <c r="T31" s="463"/>
      <c r="U31" s="463"/>
      <c r="V31" s="463"/>
      <c r="W31" s="463"/>
      <c r="X31" s="463"/>
      <c r="Y31" s="463"/>
    </row>
    <row r="32" spans="1:26" ht="10.5" customHeight="1">
      <c r="C32" s="463"/>
      <c r="D32" s="463"/>
      <c r="E32" s="166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  <c r="R32" s="463"/>
      <c r="S32" s="463"/>
      <c r="T32" s="463"/>
      <c r="U32" s="463"/>
      <c r="V32" s="463"/>
      <c r="W32" s="463"/>
      <c r="X32" s="463"/>
      <c r="Y32" s="463"/>
    </row>
    <row r="33" spans="3:25" ht="10.5" customHeight="1">
      <c r="C33" s="463"/>
      <c r="D33" s="463"/>
      <c r="E33" s="166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3"/>
      <c r="S33" s="463"/>
      <c r="T33" s="463"/>
      <c r="U33" s="463"/>
      <c r="V33" s="463"/>
      <c r="W33" s="463"/>
      <c r="X33" s="463"/>
      <c r="Y33" s="463"/>
    </row>
    <row r="34" spans="3:25" ht="13.5" customHeight="1">
      <c r="C34" s="463"/>
      <c r="D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11"/>
      <c r="X34" s="463"/>
      <c r="Y34" s="411"/>
    </row>
    <row r="35" spans="3:25" ht="12.75" customHeight="1">
      <c r="C35" s="463"/>
      <c r="D35" s="463"/>
      <c r="E35" s="166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463"/>
    </row>
    <row r="36" spans="3:25" ht="10.5" customHeight="1">
      <c r="C36" s="463"/>
      <c r="D36" s="463"/>
      <c r="E36" s="166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S36" s="463"/>
      <c r="T36" s="463"/>
      <c r="U36" s="463"/>
      <c r="V36" s="463"/>
      <c r="W36" s="463"/>
      <c r="X36" s="463"/>
      <c r="Y36" s="463"/>
    </row>
    <row r="37" spans="3:25" ht="10.5" customHeight="1"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W37" s="463"/>
    </row>
    <row r="38" spans="3:25">
      <c r="K38" s="463"/>
      <c r="L38" s="463"/>
      <c r="M38" s="463"/>
      <c r="N38" s="463"/>
      <c r="O38" s="463"/>
      <c r="P38" s="463"/>
      <c r="Q38" s="463"/>
      <c r="R38" s="463"/>
      <c r="S38" s="463"/>
      <c r="T38" s="463"/>
      <c r="U38" s="463"/>
      <c r="W38" s="463"/>
    </row>
    <row r="39" spans="3:25" ht="10.5" customHeight="1">
      <c r="K39" s="463"/>
      <c r="L39" s="463"/>
      <c r="M39" s="463"/>
      <c r="N39" s="463"/>
      <c r="O39" s="463"/>
      <c r="P39" s="463"/>
      <c r="Q39" s="463"/>
      <c r="R39" s="463"/>
      <c r="S39" s="463"/>
      <c r="T39" s="463"/>
      <c r="U39" s="463"/>
      <c r="W39" s="463"/>
    </row>
    <row r="40" spans="3:25">
      <c r="K40" s="463"/>
      <c r="L40" s="463"/>
      <c r="M40" s="463"/>
      <c r="N40" s="463"/>
      <c r="O40" s="463"/>
      <c r="P40" s="463"/>
      <c r="Q40" s="463"/>
      <c r="R40" s="463"/>
      <c r="S40" s="463"/>
      <c r="T40" s="463"/>
      <c r="U40" s="463"/>
      <c r="W40" s="463"/>
    </row>
    <row r="41" spans="3:25"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</row>
    <row r="42" spans="3:25" ht="10.5" customHeight="1">
      <c r="K42" s="463"/>
      <c r="L42" s="463"/>
      <c r="M42" s="463"/>
      <c r="N42" s="463"/>
      <c r="O42" s="463"/>
      <c r="P42" s="463"/>
      <c r="Q42" s="463"/>
      <c r="R42" s="463"/>
      <c r="S42" s="463"/>
      <c r="T42" s="463"/>
      <c r="U42" s="463"/>
    </row>
    <row r="43" spans="3:25" ht="10.5" customHeight="1">
      <c r="K43" s="463"/>
      <c r="L43" s="463"/>
      <c r="M43" s="463"/>
      <c r="N43" s="463"/>
      <c r="O43" s="463"/>
      <c r="P43" s="463"/>
      <c r="Q43" s="463"/>
      <c r="R43" s="463"/>
      <c r="S43" s="463"/>
      <c r="T43" s="463"/>
      <c r="U43" s="463"/>
    </row>
    <row r="44" spans="3:25" ht="10.5" customHeight="1">
      <c r="K44" s="463"/>
      <c r="L44" s="463"/>
      <c r="M44" s="463"/>
      <c r="N44" s="463"/>
      <c r="O44" s="463"/>
      <c r="P44" s="463"/>
      <c r="Q44" s="463"/>
      <c r="R44" s="463"/>
      <c r="S44" s="463"/>
      <c r="T44" s="463"/>
      <c r="U44" s="463"/>
    </row>
    <row r="45" spans="3:25"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</row>
    <row r="46" spans="3:25">
      <c r="K46" s="463"/>
      <c r="L46" s="463"/>
      <c r="M46" s="463"/>
      <c r="N46" s="463"/>
      <c r="O46" s="463"/>
      <c r="P46" s="463"/>
      <c r="Q46" s="463"/>
      <c r="R46" s="463"/>
      <c r="S46" s="463"/>
      <c r="T46" s="463"/>
      <c r="U46" s="463"/>
    </row>
    <row r="47" spans="3:25">
      <c r="K47" s="463"/>
      <c r="L47" s="463"/>
      <c r="M47" s="463"/>
      <c r="N47" s="463"/>
      <c r="O47" s="463"/>
      <c r="P47" s="463"/>
      <c r="Q47" s="463"/>
      <c r="R47" s="463"/>
      <c r="S47" s="463"/>
      <c r="T47" s="463"/>
      <c r="U47" s="463"/>
    </row>
    <row r="48" spans="3:25">
      <c r="K48" s="463"/>
      <c r="L48" s="463"/>
      <c r="M48" s="463"/>
      <c r="N48" s="463"/>
      <c r="O48" s="463"/>
      <c r="P48" s="463"/>
      <c r="Q48" s="463"/>
      <c r="R48" s="463"/>
      <c r="S48" s="463"/>
      <c r="T48" s="463"/>
      <c r="U48" s="463"/>
    </row>
    <row r="49" spans="11:21">
      <c r="K49" s="463"/>
      <c r="L49" s="463"/>
      <c r="M49" s="463"/>
      <c r="N49" s="463"/>
      <c r="O49" s="463"/>
      <c r="P49" s="463"/>
      <c r="Q49" s="463"/>
      <c r="R49" s="463"/>
      <c r="S49" s="463"/>
      <c r="T49" s="463"/>
      <c r="U49" s="463"/>
    </row>
    <row r="50" spans="11:21">
      <c r="K50" s="463"/>
      <c r="L50" s="463"/>
      <c r="M50" s="463"/>
      <c r="N50" s="463"/>
      <c r="O50" s="463"/>
      <c r="P50" s="463"/>
      <c r="Q50" s="463"/>
      <c r="R50" s="463"/>
      <c r="S50" s="463"/>
      <c r="T50" s="463"/>
      <c r="U50" s="463"/>
    </row>
    <row r="51" spans="11:21"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</row>
    <row r="52" spans="11:21">
      <c r="K52" s="463"/>
      <c r="L52" s="463"/>
      <c r="M52" s="463"/>
      <c r="N52" s="463"/>
      <c r="O52" s="463"/>
      <c r="P52" s="463"/>
      <c r="Q52" s="463"/>
      <c r="R52" s="463"/>
      <c r="S52" s="463"/>
      <c r="T52" s="463"/>
      <c r="U52" s="463"/>
    </row>
    <row r="53" spans="11:21">
      <c r="K53" s="463"/>
      <c r="L53" s="463"/>
      <c r="M53" s="463"/>
      <c r="N53" s="463"/>
      <c r="O53" s="463"/>
      <c r="P53" s="463"/>
      <c r="Q53" s="463"/>
      <c r="R53" s="463"/>
      <c r="S53" s="463"/>
      <c r="T53" s="463"/>
      <c r="U53" s="463"/>
    </row>
    <row r="54" spans="11:21">
      <c r="K54" s="463"/>
      <c r="L54" s="463"/>
      <c r="M54" s="463"/>
      <c r="N54" s="463"/>
      <c r="O54" s="463"/>
      <c r="P54" s="463"/>
      <c r="Q54" s="463"/>
      <c r="R54" s="463"/>
      <c r="S54" s="463"/>
      <c r="T54" s="463"/>
      <c r="U54" s="463"/>
    </row>
    <row r="55" spans="11:21"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</row>
    <row r="56" spans="11:21">
      <c r="K56" s="463"/>
      <c r="L56" s="463"/>
      <c r="M56" s="463"/>
      <c r="N56" s="463"/>
      <c r="O56" s="463"/>
      <c r="P56" s="463"/>
      <c r="Q56" s="463"/>
      <c r="R56" s="463"/>
      <c r="S56" s="463"/>
      <c r="T56" s="463"/>
      <c r="U56" s="463"/>
    </row>
    <row r="57" spans="11:21">
      <c r="K57" s="463"/>
      <c r="L57" s="463"/>
      <c r="M57" s="463"/>
      <c r="N57" s="463"/>
      <c r="O57" s="463"/>
      <c r="P57" s="463"/>
      <c r="Q57" s="463"/>
      <c r="R57" s="463"/>
      <c r="S57" s="463"/>
      <c r="T57" s="463"/>
      <c r="U57" s="463"/>
    </row>
    <row r="58" spans="11:21">
      <c r="K58" s="463"/>
      <c r="L58" s="463"/>
      <c r="M58" s="463"/>
      <c r="N58" s="463"/>
      <c r="O58" s="463"/>
      <c r="P58" s="463"/>
      <c r="Q58" s="463"/>
      <c r="R58" s="463"/>
      <c r="S58" s="463"/>
      <c r="T58" s="463"/>
      <c r="U58" s="463"/>
    </row>
    <row r="59" spans="11:21">
      <c r="K59" s="463"/>
      <c r="L59" s="463"/>
      <c r="M59" s="463"/>
      <c r="N59" s="463"/>
      <c r="O59" s="463"/>
      <c r="P59" s="463"/>
      <c r="Q59" s="463"/>
      <c r="R59" s="463"/>
      <c r="S59" s="463"/>
      <c r="T59" s="463"/>
      <c r="U59" s="463"/>
    </row>
    <row r="60" spans="11:21">
      <c r="K60" s="463"/>
      <c r="L60" s="463"/>
      <c r="M60" s="463"/>
      <c r="N60" s="463"/>
      <c r="O60" s="463"/>
      <c r="P60" s="463"/>
      <c r="Q60" s="463"/>
      <c r="R60" s="463"/>
      <c r="S60" s="463"/>
      <c r="T60" s="463"/>
      <c r="U60" s="463"/>
    </row>
    <row r="61" spans="11:21">
      <c r="K61" s="463"/>
      <c r="L61" s="463"/>
      <c r="M61" s="463"/>
      <c r="N61" s="463"/>
      <c r="O61" s="463"/>
      <c r="P61" s="463"/>
      <c r="Q61" s="463"/>
      <c r="R61" s="463"/>
      <c r="S61" s="463"/>
      <c r="T61" s="463"/>
      <c r="U61" s="463"/>
    </row>
    <row r="62" spans="11:21">
      <c r="K62" s="463"/>
      <c r="L62" s="463"/>
      <c r="M62" s="463"/>
      <c r="N62" s="463"/>
      <c r="O62" s="463"/>
      <c r="P62" s="463"/>
      <c r="Q62" s="463"/>
      <c r="R62" s="463"/>
      <c r="S62" s="463"/>
      <c r="T62" s="463"/>
      <c r="U62" s="463"/>
    </row>
    <row r="63" spans="11:21">
      <c r="K63" s="463"/>
      <c r="L63" s="463"/>
      <c r="M63" s="463"/>
      <c r="N63" s="463"/>
      <c r="O63" s="463"/>
      <c r="P63" s="463"/>
      <c r="Q63" s="463"/>
      <c r="R63" s="463"/>
      <c r="S63" s="463"/>
      <c r="T63" s="463"/>
      <c r="U63" s="463"/>
    </row>
    <row r="64" spans="11:21"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</row>
    <row r="65" spans="11:21">
      <c r="K65" s="463"/>
      <c r="L65" s="463"/>
      <c r="M65" s="463"/>
      <c r="N65" s="463"/>
      <c r="O65" s="463"/>
      <c r="P65" s="463"/>
      <c r="Q65" s="463"/>
      <c r="R65" s="463"/>
      <c r="S65" s="463"/>
      <c r="T65" s="463"/>
      <c r="U65" s="463"/>
    </row>
    <row r="66" spans="11:21">
      <c r="K66" s="463"/>
      <c r="L66" s="463"/>
      <c r="M66" s="463"/>
      <c r="N66" s="463"/>
      <c r="O66" s="463"/>
      <c r="P66" s="463"/>
      <c r="Q66" s="463"/>
      <c r="R66" s="463"/>
      <c r="S66" s="463"/>
      <c r="T66" s="463"/>
      <c r="U66" s="463"/>
    </row>
    <row r="67" spans="11:21">
      <c r="K67" s="463"/>
      <c r="L67" s="463"/>
      <c r="M67" s="463"/>
      <c r="N67" s="463"/>
      <c r="O67" s="463"/>
      <c r="P67" s="463"/>
      <c r="Q67" s="463"/>
      <c r="R67" s="463"/>
      <c r="S67" s="463"/>
      <c r="T67" s="463"/>
      <c r="U67" s="463"/>
    </row>
    <row r="68" spans="11:21">
      <c r="K68" s="463"/>
      <c r="L68" s="463"/>
      <c r="M68" s="463"/>
      <c r="N68" s="463"/>
      <c r="O68" s="463"/>
      <c r="P68" s="463"/>
      <c r="Q68" s="463"/>
      <c r="R68" s="463"/>
      <c r="S68" s="463"/>
      <c r="T68" s="463"/>
      <c r="U68" s="463"/>
    </row>
    <row r="69" spans="11:21">
      <c r="K69" s="463"/>
      <c r="L69" s="463"/>
      <c r="M69" s="463"/>
      <c r="N69" s="463"/>
      <c r="O69" s="463"/>
      <c r="P69" s="463"/>
      <c r="Q69" s="463"/>
      <c r="R69" s="463"/>
      <c r="S69" s="463"/>
      <c r="T69" s="463"/>
      <c r="U69" s="463"/>
    </row>
    <row r="70" spans="11:21">
      <c r="K70" s="463"/>
      <c r="L70" s="463"/>
      <c r="M70" s="463"/>
      <c r="N70" s="463"/>
      <c r="O70" s="463"/>
      <c r="P70" s="463"/>
      <c r="Q70" s="463"/>
      <c r="R70" s="463"/>
      <c r="S70" s="463"/>
      <c r="T70" s="463"/>
      <c r="U70" s="463"/>
    </row>
    <row r="71" spans="11:21">
      <c r="K71" s="463"/>
      <c r="L71" s="463"/>
      <c r="M71" s="463"/>
      <c r="N71" s="463"/>
      <c r="O71" s="463"/>
      <c r="P71" s="463"/>
      <c r="Q71" s="463"/>
      <c r="R71" s="463"/>
      <c r="S71" s="463"/>
      <c r="T71" s="463"/>
      <c r="U71" s="463"/>
    </row>
    <row r="72" spans="11:21">
      <c r="K72" s="463"/>
      <c r="L72" s="463"/>
      <c r="M72" s="463"/>
      <c r="N72" s="463"/>
      <c r="O72" s="463"/>
      <c r="P72" s="463"/>
      <c r="Q72" s="463"/>
      <c r="R72" s="463"/>
      <c r="S72" s="463"/>
      <c r="T72" s="463"/>
      <c r="U72" s="463"/>
    </row>
    <row r="73" spans="11:21">
      <c r="K73" s="463"/>
      <c r="L73" s="463"/>
      <c r="M73" s="463"/>
      <c r="N73" s="463"/>
      <c r="O73" s="463"/>
      <c r="P73" s="463"/>
      <c r="Q73" s="463"/>
      <c r="R73" s="463"/>
      <c r="S73" s="463"/>
      <c r="T73" s="463"/>
      <c r="U73" s="463"/>
    </row>
    <row r="74" spans="11:21">
      <c r="K74" s="463"/>
      <c r="L74" s="463"/>
      <c r="M74" s="463"/>
      <c r="N74" s="463"/>
      <c r="O74" s="463"/>
      <c r="P74" s="463"/>
      <c r="Q74" s="463"/>
      <c r="R74" s="463"/>
      <c r="S74" s="463"/>
      <c r="T74" s="463"/>
      <c r="U74" s="463"/>
    </row>
    <row r="75" spans="11:21"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</row>
  </sheetData>
  <customSheetViews>
    <customSheetView guid="{275E5119-9E8C-43ED-ACD2-DF40CF10B219}" scale="70">
      <selection activeCell="C52" sqref="C52"/>
      <pageMargins left="0.5" right="0.5" top="0.74" bottom="0.69" header="0.5" footer="0.5"/>
      <pageSetup scale="60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C52" sqref="C52"/>
      <pageMargins left="0.5" right="0.5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2">
    <mergeCell ref="A1:X1"/>
    <mergeCell ref="Q6:U6"/>
  </mergeCells>
  <phoneticPr fontId="8" type="noConversion"/>
  <pageMargins left="0.5" right="0.24" top="0.74" bottom="0.69" header="0.5" footer="0.5"/>
  <pageSetup scale="57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 enableFormatConditionsCalculation="0">
    <pageSetUpPr fitToPage="1"/>
  </sheetPr>
  <dimension ref="A1:Z41"/>
  <sheetViews>
    <sheetView zoomScale="85" zoomScaleNormal="85" zoomScaleSheetLayoutView="100" workbookViewId="0">
      <selection activeCell="V236" sqref="V236"/>
    </sheetView>
  </sheetViews>
  <sheetFormatPr defaultColWidth="7.5703125" defaultRowHeight="15"/>
  <cols>
    <col min="1" max="1" width="8.5703125" style="463" customWidth="1"/>
    <col min="2" max="2" width="2.28515625" style="463" customWidth="1"/>
    <col min="3" max="3" width="46" style="463" customWidth="1"/>
    <col min="4" max="4" width="2.28515625" style="463" customWidth="1"/>
    <col min="5" max="5" width="12.140625" style="166" bestFit="1" customWidth="1"/>
    <col min="6" max="6" width="2.5703125" style="463" customWidth="1"/>
    <col min="7" max="7" width="13.85546875" style="463" customWidth="1"/>
    <col min="8" max="8" width="2.28515625" style="463" customWidth="1"/>
    <col min="9" max="9" width="13.85546875" style="463" customWidth="1"/>
    <col min="10" max="10" width="2.28515625" style="463" customWidth="1"/>
    <col min="11" max="11" width="13.85546875" style="463" customWidth="1"/>
    <col min="12" max="12" width="2.28515625" style="463" customWidth="1"/>
    <col min="13" max="13" width="13.85546875" style="463" customWidth="1"/>
    <col min="14" max="14" width="2.28515625" style="463" customWidth="1"/>
    <col min="15" max="15" width="13.85546875" style="463" customWidth="1"/>
    <col min="16" max="16" width="2.28515625" style="463" customWidth="1"/>
    <col min="17" max="17" width="13.85546875" style="463" customWidth="1"/>
    <col min="18" max="18" width="2.28515625" style="463" customWidth="1"/>
    <col min="19" max="19" width="13.85546875" style="463" customWidth="1"/>
    <col min="20" max="20" width="2.28515625" style="463" customWidth="1"/>
    <col min="21" max="21" width="13.85546875" style="463" customWidth="1"/>
    <col min="22" max="22" width="2.28515625" style="463" customWidth="1"/>
    <col min="23" max="23" width="13.85546875" style="463" customWidth="1"/>
    <col min="24" max="24" width="2.28515625" style="463" customWidth="1"/>
    <col min="25" max="25" width="13.85546875" style="463" customWidth="1"/>
    <col min="26" max="26" width="2.28515625" style="463" customWidth="1"/>
    <col min="27" max="16384" width="7.5703125" style="463"/>
  </cols>
  <sheetData>
    <row r="1" spans="1:26" ht="15.75">
      <c r="A1" s="420" t="s">
        <v>540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126" t="s">
        <v>543</v>
      </c>
    </row>
    <row r="2" spans="1:26" ht="15.75">
      <c r="A2" s="420" t="s">
        <v>463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</row>
    <row r="3" spans="1:26" ht="15.75">
      <c r="A3" s="420" t="s">
        <v>308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</row>
    <row r="4" spans="1:26" ht="15.75">
      <c r="A4" s="420" t="s">
        <v>340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</row>
    <row r="5" spans="1:26" ht="15.75">
      <c r="A5" s="420"/>
      <c r="B5" s="406"/>
      <c r="C5" s="406"/>
      <c r="D5" s="406"/>
      <c r="W5" s="806" t="s">
        <v>459</v>
      </c>
      <c r="X5" s="448"/>
      <c r="Y5" s="806" t="s">
        <v>459</v>
      </c>
    </row>
    <row r="6" spans="1:26" ht="15.75">
      <c r="A6" s="806" t="s">
        <v>33</v>
      </c>
      <c r="B6" s="806"/>
      <c r="C6" s="806"/>
      <c r="D6" s="806"/>
      <c r="E6" s="806" t="s">
        <v>34</v>
      </c>
      <c r="F6" s="806"/>
      <c r="G6" s="806" t="s">
        <v>25</v>
      </c>
      <c r="H6" s="806"/>
      <c r="I6" s="806" t="s">
        <v>25</v>
      </c>
      <c r="J6" s="806"/>
      <c r="K6" s="806" t="s">
        <v>25</v>
      </c>
      <c r="L6" s="806"/>
      <c r="M6" s="806" t="s">
        <v>25</v>
      </c>
      <c r="N6" s="806"/>
      <c r="O6" s="806" t="s">
        <v>25</v>
      </c>
      <c r="P6" s="806"/>
      <c r="Q6" s="823" t="s">
        <v>330</v>
      </c>
      <c r="R6" s="823"/>
      <c r="S6" s="823"/>
      <c r="T6" s="823"/>
      <c r="U6" s="823"/>
      <c r="V6" s="806"/>
      <c r="W6" s="806" t="s">
        <v>15</v>
      </c>
      <c r="X6" s="806"/>
      <c r="Y6" s="806" t="s">
        <v>15</v>
      </c>
    </row>
    <row r="7" spans="1:26" ht="15.75">
      <c r="A7" s="805" t="s">
        <v>35</v>
      </c>
      <c r="B7" s="806"/>
      <c r="C7" s="805" t="s">
        <v>178</v>
      </c>
      <c r="D7" s="806"/>
      <c r="E7" s="805" t="s">
        <v>36</v>
      </c>
      <c r="F7" s="806"/>
      <c r="G7" s="519">
        <v>2008</v>
      </c>
      <c r="H7" s="641"/>
      <c r="I7" s="519">
        <v>2009</v>
      </c>
      <c r="J7" s="641"/>
      <c r="K7" s="519">
        <v>2010</v>
      </c>
      <c r="L7" s="524"/>
      <c r="M7" s="519">
        <v>2011</v>
      </c>
      <c r="N7" s="641"/>
      <c r="O7" s="519">
        <v>2012</v>
      </c>
      <c r="P7" s="641"/>
      <c r="Q7" s="519">
        <v>2013</v>
      </c>
      <c r="R7" s="641"/>
      <c r="S7" s="519">
        <v>2014</v>
      </c>
      <c r="T7" s="524"/>
      <c r="U7" s="815">
        <v>2015</v>
      </c>
      <c r="V7" s="641"/>
      <c r="W7" s="519">
        <v>2008</v>
      </c>
      <c r="X7" s="641"/>
      <c r="Y7" s="519">
        <v>2009</v>
      </c>
      <c r="Z7" s="528"/>
    </row>
    <row r="9" spans="1:26" ht="15.75">
      <c r="A9" s="521">
        <v>1</v>
      </c>
      <c r="C9" s="408" t="s">
        <v>181</v>
      </c>
    </row>
    <row r="10" spans="1:26" ht="4.5" customHeight="1">
      <c r="A10" s="521"/>
      <c r="C10" s="301"/>
    </row>
    <row r="11" spans="1:26">
      <c r="A11" s="521">
        <f>A9+1</f>
        <v>2</v>
      </c>
      <c r="C11" s="412" t="s">
        <v>863</v>
      </c>
      <c r="E11" s="166" t="s">
        <v>726</v>
      </c>
      <c r="F11" s="196"/>
      <c r="G11" s="196">
        <f>S2.1!G62</f>
        <v>292647</v>
      </c>
      <c r="H11" s="196"/>
      <c r="I11" s="196">
        <f>S2.1!I62</f>
        <v>293917</v>
      </c>
      <c r="J11" s="196"/>
      <c r="K11" s="196">
        <f>S2.1!K62</f>
        <v>291808</v>
      </c>
      <c r="L11" s="196"/>
      <c r="M11" s="196">
        <f>S2.1!M62</f>
        <v>297445</v>
      </c>
      <c r="N11" s="196"/>
      <c r="O11" s="196">
        <f>S2.1!O62</f>
        <v>316575.09399999992</v>
      </c>
      <c r="P11" s="196"/>
      <c r="Q11" s="196">
        <f>S2.1!Q62</f>
        <v>318999.21590554004</v>
      </c>
      <c r="R11" s="196"/>
      <c r="S11" s="196">
        <f>S2.1!T62</f>
        <v>328767.59691470402</v>
      </c>
      <c r="T11" s="196"/>
      <c r="U11" s="196">
        <f>S2.1!W62</f>
        <v>334917.33588812745</v>
      </c>
      <c r="V11" s="196"/>
      <c r="W11" s="196">
        <f>S2.1!Z62</f>
        <v>292565.43267182645</v>
      </c>
      <c r="X11" s="196"/>
      <c r="Y11" s="196">
        <f>S2.1!AC62</f>
        <v>285576.0396888142</v>
      </c>
    </row>
    <row r="12" spans="1:26" ht="4.5" customHeight="1">
      <c r="A12" s="521"/>
      <c r="C12" s="412"/>
      <c r="E12" s="463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</row>
    <row r="13" spans="1:26">
      <c r="A13" s="521">
        <f>A11+1</f>
        <v>3</v>
      </c>
      <c r="C13" s="412" t="s">
        <v>864</v>
      </c>
      <c r="F13" s="196"/>
      <c r="G13" s="196">
        <v>18001</v>
      </c>
      <c r="H13" s="196"/>
      <c r="I13" s="196">
        <v>18216</v>
      </c>
      <c r="J13" s="196"/>
      <c r="K13" s="196">
        <v>17917</v>
      </c>
      <c r="L13" s="196"/>
      <c r="M13" s="196">
        <v>18219</v>
      </c>
      <c r="N13" s="196"/>
      <c r="O13" s="196">
        <v>20380</v>
      </c>
      <c r="P13" s="196"/>
      <c r="Q13" s="196">
        <f>+Q11*Q15</f>
        <v>19777.951386143483</v>
      </c>
      <c r="R13" s="196"/>
      <c r="S13" s="196">
        <f>+S11*S15</f>
        <v>20383.59100871165</v>
      </c>
      <c r="T13" s="196"/>
      <c r="U13" s="196">
        <f>+U11*U15</f>
        <v>20764.8748250639</v>
      </c>
      <c r="V13" s="196"/>
      <c r="W13" s="197">
        <f>W17-W11</f>
        <v>18139.056825653359</v>
      </c>
      <c r="X13" s="196"/>
      <c r="Y13" s="197">
        <f>Y17-Y11</f>
        <v>17705.714460706455</v>
      </c>
    </row>
    <row r="14" spans="1:26" ht="4.5" customHeight="1">
      <c r="A14" s="521"/>
      <c r="C14" s="412"/>
    </row>
    <row r="15" spans="1:26">
      <c r="A15" s="521">
        <f>A13+1</f>
        <v>4</v>
      </c>
      <c r="C15" s="412" t="s">
        <v>182</v>
      </c>
      <c r="F15" s="139"/>
      <c r="G15" s="159">
        <f>G13/G11</f>
        <v>6.1510967137882844E-2</v>
      </c>
      <c r="H15" s="139"/>
      <c r="I15" s="159">
        <f>I13/I11</f>
        <v>6.1976680491431256E-2</v>
      </c>
      <c r="J15" s="139"/>
      <c r="K15" s="159">
        <f>K13/K11</f>
        <v>6.1399961618598529E-2</v>
      </c>
      <c r="L15" s="159"/>
      <c r="M15" s="159">
        <f>M13/M11</f>
        <v>6.1251659970750896E-2</v>
      </c>
      <c r="N15" s="139"/>
      <c r="O15" s="159">
        <f>O13/O11</f>
        <v>6.4376510932979469E-2</v>
      </c>
      <c r="P15" s="139"/>
      <c r="Q15" s="159">
        <v>6.2E-2</v>
      </c>
      <c r="R15" s="139"/>
      <c r="S15" s="159">
        <v>6.2E-2</v>
      </c>
      <c r="T15" s="139"/>
      <c r="U15" s="159">
        <v>6.2E-2</v>
      </c>
      <c r="V15" s="139"/>
      <c r="W15" s="159">
        <f>W13/W11</f>
        <v>6.2000000000000409E-2</v>
      </c>
      <c r="X15" s="226"/>
      <c r="Y15" s="159">
        <f>Y13/Y11</f>
        <v>6.1999999999999909E-2</v>
      </c>
    </row>
    <row r="16" spans="1:26" ht="4.5" customHeight="1">
      <c r="A16" s="521"/>
      <c r="C16" s="412"/>
      <c r="X16" s="125"/>
    </row>
    <row r="17" spans="1:25" ht="15.75" thickBot="1">
      <c r="A17" s="521">
        <f>A15+1</f>
        <v>5</v>
      </c>
      <c r="C17" s="412" t="s">
        <v>865</v>
      </c>
      <c r="F17" s="196"/>
      <c r="G17" s="198">
        <f>G29</f>
        <v>310647.61041000002</v>
      </c>
      <c r="H17" s="196"/>
      <c r="I17" s="198">
        <f>I29</f>
        <v>312133.44099999999</v>
      </c>
      <c r="J17" s="196"/>
      <c r="K17" s="198">
        <f>K29</f>
        <v>309725</v>
      </c>
      <c r="L17" s="197"/>
      <c r="M17" s="198">
        <f>M29</f>
        <v>315664</v>
      </c>
      <c r="N17" s="196"/>
      <c r="O17" s="198">
        <f>O29</f>
        <v>336955</v>
      </c>
      <c r="P17" s="196"/>
      <c r="Q17" s="198">
        <f>+Q11+Q13</f>
        <v>338777.16729168349</v>
      </c>
      <c r="R17" s="196"/>
      <c r="S17" s="198">
        <f>+S11+S13</f>
        <v>349151.18792341568</v>
      </c>
      <c r="T17" s="196"/>
      <c r="U17" s="198">
        <f>+U11+U13</f>
        <v>355682.21071319137</v>
      </c>
      <c r="V17" s="196"/>
      <c r="W17" s="198">
        <f>W29</f>
        <v>310704.48949747981</v>
      </c>
      <c r="X17" s="196"/>
      <c r="Y17" s="198">
        <f>Y29</f>
        <v>303281.75414952065</v>
      </c>
    </row>
    <row r="18" spans="1:25">
      <c r="A18" s="521"/>
      <c r="W18" s="413"/>
    </row>
    <row r="19" spans="1:25" ht="15.75">
      <c r="A19" s="521">
        <f>A17+1</f>
        <v>6</v>
      </c>
      <c r="C19" s="410" t="s">
        <v>341</v>
      </c>
    </row>
    <row r="20" spans="1:25" ht="4.5" customHeight="1">
      <c r="A20" s="521"/>
    </row>
    <row r="21" spans="1:25">
      <c r="A21" s="521">
        <v>7</v>
      </c>
      <c r="C21" s="463" t="s">
        <v>861</v>
      </c>
      <c r="G21" s="196">
        <v>6551.16</v>
      </c>
      <c r="I21" s="196">
        <v>8094</v>
      </c>
      <c r="K21" s="196">
        <v>3388</v>
      </c>
      <c r="L21" s="196"/>
      <c r="M21" s="196">
        <v>3638</v>
      </c>
      <c r="O21" s="196">
        <v>3388</v>
      </c>
      <c r="Q21" s="196">
        <v>4328.625</v>
      </c>
      <c r="S21" s="196">
        <v>8730</v>
      </c>
      <c r="U21" s="196">
        <v>8730</v>
      </c>
      <c r="W21" s="197">
        <v>7722.6923076923049</v>
      </c>
      <c r="X21" s="196"/>
      <c r="Y21" s="197">
        <v>7722.6923076923049</v>
      </c>
    </row>
    <row r="22" spans="1:25" ht="4.5" customHeight="1">
      <c r="A22" s="521"/>
      <c r="W22" s="416"/>
      <c r="Y22" s="416"/>
    </row>
    <row r="23" spans="1:25">
      <c r="A23" s="521">
        <v>8</v>
      </c>
      <c r="C23" s="463" t="s">
        <v>866</v>
      </c>
      <c r="E23" s="166" t="s">
        <v>374</v>
      </c>
      <c r="F23" s="196"/>
      <c r="G23" s="196">
        <v>158.77199999999999</v>
      </c>
      <c r="H23" s="196"/>
      <c r="I23" s="196">
        <v>213</v>
      </c>
      <c r="J23" s="196"/>
      <c r="K23" s="196">
        <v>72</v>
      </c>
      <c r="L23" s="196"/>
      <c r="M23" s="196">
        <v>446</v>
      </c>
      <c r="N23" s="196"/>
      <c r="O23" s="196">
        <v>25</v>
      </c>
      <c r="P23" s="196"/>
      <c r="Q23" s="196">
        <v>70</v>
      </c>
      <c r="R23" s="196"/>
      <c r="S23" s="196">
        <v>70</v>
      </c>
      <c r="T23" s="196"/>
      <c r="U23" s="196">
        <v>70</v>
      </c>
      <c r="V23" s="196"/>
      <c r="W23" s="197">
        <v>44</v>
      </c>
      <c r="X23" s="196"/>
      <c r="Y23" s="197">
        <v>44</v>
      </c>
    </row>
    <row r="24" spans="1:25" ht="4.5" customHeight="1">
      <c r="A24" s="521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7"/>
      <c r="X24" s="196"/>
      <c r="Y24" s="197"/>
    </row>
    <row r="25" spans="1:25">
      <c r="A25" s="521">
        <v>9</v>
      </c>
      <c r="C25" s="463" t="s">
        <v>862</v>
      </c>
      <c r="E25" s="166" t="s">
        <v>374</v>
      </c>
      <c r="F25" s="196"/>
      <c r="G25" s="196">
        <v>22064.67841</v>
      </c>
      <c r="H25" s="196"/>
      <c r="I25" s="196">
        <v>19753.440999999999</v>
      </c>
      <c r="J25" s="196"/>
      <c r="K25" s="196">
        <v>19767</v>
      </c>
      <c r="L25" s="196"/>
      <c r="M25" s="196">
        <v>20487</v>
      </c>
      <c r="N25" s="196"/>
      <c r="O25" s="196">
        <v>21285</v>
      </c>
      <c r="P25" s="196"/>
      <c r="Q25" s="196">
        <v>21056.742465814536</v>
      </c>
      <c r="R25" s="196"/>
      <c r="S25" s="196">
        <v>21334.923287246096</v>
      </c>
      <c r="T25" s="196"/>
      <c r="U25" s="196">
        <v>21345.423832085256</v>
      </c>
      <c r="V25" s="196"/>
      <c r="W25" s="197">
        <f>S4.1!W9-W23</f>
        <v>22320.038097674009</v>
      </c>
      <c r="X25" s="196"/>
      <c r="Y25" s="197">
        <f>S4.1!Y9-Y23</f>
        <v>20814.349693459164</v>
      </c>
    </row>
    <row r="26" spans="1:25" ht="4.5" customHeight="1">
      <c r="A26" s="521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7"/>
      <c r="X26" s="196"/>
      <c r="Y26" s="197"/>
    </row>
    <row r="27" spans="1:25">
      <c r="A27" s="521">
        <v>10</v>
      </c>
      <c r="C27" s="463" t="s">
        <v>235</v>
      </c>
      <c r="E27" s="166" t="s">
        <v>287</v>
      </c>
      <c r="F27" s="196"/>
      <c r="G27" s="196">
        <f>S3.1!G13</f>
        <v>281873</v>
      </c>
      <c r="H27" s="196"/>
      <c r="I27" s="196">
        <f>S3.1!I13</f>
        <v>284073</v>
      </c>
      <c r="J27" s="196"/>
      <c r="K27" s="196">
        <f>S3.1!K13</f>
        <v>286498</v>
      </c>
      <c r="L27" s="196"/>
      <c r="M27" s="196">
        <f>+S3.1!M13</f>
        <v>291093</v>
      </c>
      <c r="N27" s="196"/>
      <c r="O27" s="196">
        <f>+S3.1!O13</f>
        <v>312257</v>
      </c>
      <c r="P27" s="196"/>
      <c r="Q27" s="196">
        <f>+Q17-Q21-Q23-Q25</f>
        <v>313321.79982586898</v>
      </c>
      <c r="R27" s="196"/>
      <c r="S27" s="196">
        <f>+S17-S21-S23-S25</f>
        <v>319016.2646361696</v>
      </c>
      <c r="T27" s="196"/>
      <c r="U27" s="196">
        <f>+U17-U21-U23-U25</f>
        <v>325536.78688110609</v>
      </c>
      <c r="V27" s="196"/>
      <c r="W27" s="197">
        <f>S3.1!W13</f>
        <v>280617.75909211347</v>
      </c>
      <c r="X27" s="197"/>
      <c r="Y27" s="197">
        <f>S3.1!Y13</f>
        <v>274700.71214836917</v>
      </c>
    </row>
    <row r="28" spans="1:25" ht="4.5" customHeight="1">
      <c r="A28" s="521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7"/>
      <c r="X28" s="196"/>
      <c r="Y28" s="197"/>
    </row>
    <row r="29" spans="1:25" ht="15.75" thickBot="1">
      <c r="A29" s="521">
        <v>11</v>
      </c>
      <c r="F29" s="196"/>
      <c r="G29" s="198">
        <f>SUM(G21:G27)</f>
        <v>310647.61041000002</v>
      </c>
      <c r="H29" s="196"/>
      <c r="I29" s="198">
        <f>SUM(I21:I27)</f>
        <v>312133.44099999999</v>
      </c>
      <c r="J29" s="196"/>
      <c r="K29" s="198">
        <f>SUM(K21:K27)</f>
        <v>309725</v>
      </c>
      <c r="L29" s="197"/>
      <c r="M29" s="198">
        <f>SUM(M21:M27)</f>
        <v>315664</v>
      </c>
      <c r="N29" s="196"/>
      <c r="O29" s="198">
        <f>SUM(O21:O27)</f>
        <v>336955</v>
      </c>
      <c r="P29" s="196"/>
      <c r="Q29" s="198">
        <f>SUM(Q21:Q27)</f>
        <v>338777.16729168349</v>
      </c>
      <c r="R29" s="196"/>
      <c r="S29" s="198">
        <f>SUM(S21:S27)</f>
        <v>349151.18792341568</v>
      </c>
      <c r="T29" s="196"/>
      <c r="U29" s="198">
        <f>SUM(U21:U27)</f>
        <v>355682.21071319137</v>
      </c>
      <c r="V29" s="196"/>
      <c r="W29" s="198">
        <f>SUM(W21:W27)</f>
        <v>310704.48949747981</v>
      </c>
      <c r="X29" s="196"/>
      <c r="Y29" s="198">
        <f>SUM(Y21:Y27)</f>
        <v>303281.75414952065</v>
      </c>
    </row>
    <row r="30" spans="1:25">
      <c r="A30" s="521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416"/>
      <c r="X30" s="125"/>
      <c r="Y30" s="416"/>
    </row>
    <row r="31" spans="1:25" ht="15.75">
      <c r="A31" s="521">
        <v>12</v>
      </c>
      <c r="C31" s="410" t="s">
        <v>269</v>
      </c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416"/>
      <c r="X31" s="125"/>
      <c r="Y31" s="416"/>
    </row>
    <row r="32" spans="1:25" ht="4.5" customHeight="1">
      <c r="A32" s="521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416"/>
      <c r="X32" s="125"/>
      <c r="Y32" s="416"/>
    </row>
    <row r="33" spans="1:25">
      <c r="A33" s="521">
        <v>13</v>
      </c>
      <c r="C33" s="463" t="s">
        <v>861</v>
      </c>
      <c r="F33" s="125"/>
      <c r="G33" s="409">
        <v>2.1000000000000001E-2</v>
      </c>
      <c r="H33" s="125"/>
      <c r="I33" s="393">
        <f>I21/I29</f>
        <v>2.5931217027143207E-2</v>
      </c>
      <c r="J33" s="125"/>
      <c r="K33" s="393">
        <f>K21/K29</f>
        <v>1.0938735975462103E-2</v>
      </c>
      <c r="L33" s="393"/>
      <c r="M33" s="393">
        <f>M21/M29</f>
        <v>1.1524912565259263E-2</v>
      </c>
      <c r="N33" s="125"/>
      <c r="O33" s="393">
        <f>O21/O29</f>
        <v>1.0054755085990711E-2</v>
      </c>
      <c r="P33" s="125"/>
      <c r="Q33" s="393">
        <f>Q21/Q29</f>
        <v>1.2777204067808679E-2</v>
      </c>
      <c r="R33" s="125"/>
      <c r="S33" s="393">
        <f>S21/S29</f>
        <v>2.5003495053022348E-2</v>
      </c>
      <c r="T33" s="125"/>
      <c r="U33" s="393">
        <f>U21/U29</f>
        <v>2.4544381858443688E-2</v>
      </c>
      <c r="V33" s="125"/>
      <c r="W33" s="393">
        <f>W21/W29</f>
        <v>2.485542555301553E-2</v>
      </c>
      <c r="X33" s="393"/>
      <c r="Y33" s="393">
        <f>Y21/Y29</f>
        <v>2.5463755079327809E-2</v>
      </c>
    </row>
    <row r="34" spans="1:25" ht="4.5" customHeight="1">
      <c r="A34" s="521"/>
      <c r="F34" s="125"/>
      <c r="G34" s="409"/>
      <c r="H34" s="125"/>
      <c r="I34" s="393"/>
      <c r="J34" s="125"/>
      <c r="K34" s="393"/>
      <c r="L34" s="393"/>
      <c r="M34" s="393"/>
      <c r="N34" s="125"/>
      <c r="O34" s="393"/>
      <c r="P34" s="125"/>
      <c r="Q34" s="393"/>
      <c r="R34" s="125"/>
      <c r="S34" s="393"/>
      <c r="T34" s="125"/>
      <c r="U34" s="393"/>
      <c r="V34" s="125"/>
      <c r="W34" s="393"/>
      <c r="X34" s="393"/>
      <c r="Y34" s="393"/>
    </row>
    <row r="35" spans="1:25">
      <c r="A35" s="521">
        <v>14</v>
      </c>
      <c r="C35" s="463" t="s">
        <v>862</v>
      </c>
      <c r="F35" s="125"/>
      <c r="G35" s="409">
        <v>7.3999999999999996E-2</v>
      </c>
      <c r="H35" s="125"/>
      <c r="I35" s="159">
        <f>(I23+I25)/I29</f>
        <v>6.3967644530596765E-2</v>
      </c>
      <c r="J35" s="125"/>
      <c r="K35" s="159">
        <f>(K23+K25)/K29</f>
        <v>6.4053595931875054E-2</v>
      </c>
      <c r="L35" s="159"/>
      <c r="M35" s="159">
        <f>(M23+M25)/M29</f>
        <v>6.6314182168381572E-2</v>
      </c>
      <c r="N35" s="125"/>
      <c r="O35" s="159">
        <f>(O23+O25)/O29</f>
        <v>6.3242866258105684E-2</v>
      </c>
      <c r="P35" s="125"/>
      <c r="Q35" s="159">
        <f>(Q23+Q25)/Q29</f>
        <v>6.2361766097490973E-2</v>
      </c>
      <c r="R35" s="125"/>
      <c r="S35" s="159">
        <f>(S23+S25)/S29</f>
        <v>6.1305600632643828E-2</v>
      </c>
      <c r="T35" s="125"/>
      <c r="U35" s="159">
        <f>(U23+U25)/U29</f>
        <v>6.020943186656541E-2</v>
      </c>
      <c r="V35" s="125"/>
      <c r="W35" s="393">
        <f>(W23+W25)/W29</f>
        <v>7.1978483908760535E-2</v>
      </c>
      <c r="X35" s="393"/>
      <c r="Y35" s="393">
        <f>(Y23+Y25)/Y29</f>
        <v>6.8775484868686856E-2</v>
      </c>
    </row>
    <row r="36" spans="1:25" ht="4.5" customHeight="1">
      <c r="A36" s="521"/>
      <c r="F36" s="125"/>
      <c r="G36" s="409"/>
      <c r="H36" s="125"/>
      <c r="I36" s="393"/>
      <c r="J36" s="125"/>
      <c r="K36" s="393"/>
      <c r="L36" s="393"/>
      <c r="M36" s="393"/>
      <c r="N36" s="125"/>
      <c r="O36" s="393"/>
      <c r="P36" s="125"/>
      <c r="Q36" s="393"/>
      <c r="R36" s="125"/>
      <c r="S36" s="393"/>
      <c r="T36" s="125"/>
      <c r="U36" s="393"/>
      <c r="V36" s="125"/>
      <c r="W36" s="393"/>
      <c r="X36" s="393"/>
      <c r="Y36" s="393"/>
    </row>
    <row r="37" spans="1:25">
      <c r="A37" s="521">
        <v>15</v>
      </c>
      <c r="C37" s="463" t="s">
        <v>235</v>
      </c>
      <c r="F37" s="125"/>
      <c r="G37" s="409">
        <v>0.90500000000000003</v>
      </c>
      <c r="H37" s="125"/>
      <c r="I37" s="159">
        <f>I27/I29</f>
        <v>0.91010113844226004</v>
      </c>
      <c r="J37" s="125"/>
      <c r="K37" s="159">
        <f>K27/K29</f>
        <v>0.92500766809266288</v>
      </c>
      <c r="L37" s="159"/>
      <c r="M37" s="159">
        <f>M27/M29</f>
        <v>0.92216090526635919</v>
      </c>
      <c r="N37" s="125"/>
      <c r="O37" s="159">
        <f>O27/O29</f>
        <v>0.92670237865590366</v>
      </c>
      <c r="P37" s="125"/>
      <c r="Q37" s="159">
        <f>Q27/Q29</f>
        <v>0.92486102983470042</v>
      </c>
      <c r="R37" s="125"/>
      <c r="S37" s="159">
        <f>S27/S29</f>
        <v>0.91369090431433386</v>
      </c>
      <c r="T37" s="125"/>
      <c r="U37" s="159">
        <f>U27/U29</f>
        <v>0.91524618627499088</v>
      </c>
      <c r="V37" s="125"/>
      <c r="W37" s="393">
        <f>W27/W29</f>
        <v>0.90316609053822383</v>
      </c>
      <c r="X37" s="393"/>
      <c r="Y37" s="393">
        <f>Y27/Y29</f>
        <v>0.90576076005198525</v>
      </c>
    </row>
    <row r="38" spans="1:25" ht="4.5" customHeight="1">
      <c r="A38" s="521"/>
      <c r="F38" s="125"/>
      <c r="G38" s="159"/>
      <c r="H38" s="125"/>
      <c r="I38" s="159"/>
      <c r="J38" s="125"/>
      <c r="K38" s="159"/>
      <c r="L38" s="159"/>
      <c r="M38" s="159"/>
      <c r="N38" s="125"/>
      <c r="O38" s="159"/>
      <c r="P38" s="125"/>
      <c r="Q38" s="159"/>
      <c r="R38" s="125"/>
      <c r="S38" s="159"/>
      <c r="T38" s="125"/>
      <c r="U38" s="159"/>
      <c r="V38" s="125"/>
      <c r="W38" s="394"/>
      <c r="X38" s="393"/>
      <c r="Y38" s="394"/>
    </row>
    <row r="39" spans="1:25">
      <c r="A39" s="521">
        <v>16</v>
      </c>
      <c r="F39" s="125"/>
      <c r="G39" s="399">
        <f>SUM(G33:G37)</f>
        <v>1</v>
      </c>
      <c r="H39" s="125"/>
      <c r="I39" s="399">
        <f>SUM(I33:I37)</f>
        <v>1</v>
      </c>
      <c r="J39" s="125"/>
      <c r="K39" s="399">
        <f>SUM(K33:K37)</f>
        <v>1</v>
      </c>
      <c r="L39" s="159"/>
      <c r="M39" s="399">
        <f>SUM(M33:M37)</f>
        <v>1</v>
      </c>
      <c r="N39" s="125"/>
      <c r="O39" s="399">
        <f>SUM(O33:O37)</f>
        <v>1</v>
      </c>
      <c r="P39" s="125"/>
      <c r="Q39" s="399">
        <f>SUM(Q33:Q37)</f>
        <v>1</v>
      </c>
      <c r="R39" s="125"/>
      <c r="S39" s="399">
        <f>SUM(S33:S37)</f>
        <v>1</v>
      </c>
      <c r="T39" s="125"/>
      <c r="U39" s="399">
        <f>SUM(U33:U37)</f>
        <v>1</v>
      </c>
      <c r="V39" s="125"/>
      <c r="W39" s="393">
        <f>SUM(W33:W37)</f>
        <v>0.99999999999999989</v>
      </c>
      <c r="X39" s="393"/>
      <c r="Y39" s="393">
        <f>SUM(Y33:Y37)</f>
        <v>0.99999999999999989</v>
      </c>
    </row>
    <row r="41" spans="1:25">
      <c r="Q41" s="413"/>
      <c r="R41" s="413"/>
      <c r="S41" s="413"/>
      <c r="T41" s="413"/>
      <c r="U41" s="413"/>
    </row>
  </sheetData>
  <customSheetViews>
    <customSheetView guid="{275E5119-9E8C-43ED-ACD2-DF40CF10B219}" scale="85" fitToPage="1">
      <selection activeCell="M27" sqref="M27"/>
      <pageMargins left="0.5" right="0.5" top="0.74" bottom="0.69" header="0.5" footer="0.5"/>
      <pageSetup scale="83" orientation="landscape" horizontalDpi="4294967292" verticalDpi="4294967292" r:id="rId1"/>
      <headerFooter alignWithMargins="0"/>
    </customSheetView>
    <customSheetView guid="{D346ECD1-ED60-4F74-8B02-572F89E41ACB}" scale="85" showPageBreaks="1" fitToPage="1" showRuler="0">
      <selection activeCell="M27" sqref="M27"/>
      <pageMargins left="0.5" right="0.5" top="0.74" bottom="0.69" header="0.5" footer="0.5"/>
      <pageSetup scale="67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ageMargins left="0.5" right="0.5" top="0.74" bottom="0.69" header="0.5" footer="0.5"/>
  <pageSetup scale="55" orientation="landscape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 enableFormatConditionsCalculation="0"/>
  <dimension ref="A1:AA66"/>
  <sheetViews>
    <sheetView zoomScale="85" zoomScaleNormal="85" zoomScaleSheetLayoutView="75" workbookViewId="0">
      <selection activeCell="V236" sqref="V236"/>
    </sheetView>
  </sheetViews>
  <sheetFormatPr defaultColWidth="7.5703125" defaultRowHeight="15"/>
  <cols>
    <col min="1" max="1" width="8.5703125" style="52" customWidth="1"/>
    <col min="2" max="2" width="2.5703125" style="52" customWidth="1"/>
    <col min="3" max="3" width="41.85546875" style="52" customWidth="1"/>
    <col min="4" max="4" width="2.5703125" style="52" customWidth="1"/>
    <col min="5" max="5" width="16.5703125" style="55" bestFit="1" customWidth="1"/>
    <col min="6" max="6" width="2.5703125" style="52" customWidth="1"/>
    <col min="7" max="7" width="12.140625" style="52" customWidth="1"/>
    <col min="8" max="8" width="2.5703125" style="52" customWidth="1"/>
    <col min="9" max="9" width="12.140625" style="52" customWidth="1"/>
    <col min="10" max="10" width="2.5703125" style="52" customWidth="1"/>
    <col min="11" max="11" width="12.140625" style="52" customWidth="1"/>
    <col min="12" max="12" width="2.7109375" style="115" customWidth="1"/>
    <col min="13" max="13" width="12.140625" style="52" customWidth="1"/>
    <col min="14" max="14" width="2.85546875" style="52" customWidth="1"/>
    <col min="15" max="15" width="12.140625" style="52" customWidth="1"/>
    <col min="16" max="16" width="2.5703125" style="52" customWidth="1"/>
    <col min="17" max="17" width="12.140625" style="52" customWidth="1"/>
    <col min="18" max="18" width="2.5703125" style="52" customWidth="1"/>
    <col min="19" max="19" width="12.140625" style="52" customWidth="1"/>
    <col min="20" max="20" width="2.5703125" style="52" customWidth="1"/>
    <col min="21" max="21" width="12.140625" style="52" customWidth="1"/>
    <col min="22" max="22" width="2.5703125" style="52" customWidth="1"/>
    <col min="23" max="23" width="12.140625" style="52" customWidth="1"/>
    <col min="24" max="24" width="2.5703125" style="52" customWidth="1"/>
    <col min="25" max="25" width="12.140625" style="52" customWidth="1"/>
    <col min="26" max="26" width="2.5703125" style="52" customWidth="1"/>
    <col min="27" max="16384" width="7.5703125" style="52"/>
  </cols>
  <sheetData>
    <row r="1" spans="1:27" ht="15.75">
      <c r="A1" s="61" t="s">
        <v>540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06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109" t="s">
        <v>504</v>
      </c>
    </row>
    <row r="2" spans="1:27" ht="15.75">
      <c r="A2" s="13" t="s">
        <v>463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406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109"/>
    </row>
    <row r="3" spans="1:27" ht="15.75">
      <c r="A3" s="50" t="s">
        <v>242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06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7" ht="15.75">
      <c r="A4" s="50" t="s">
        <v>32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406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7" ht="15.75">
      <c r="A5" s="50"/>
      <c r="B5" s="51"/>
      <c r="C5" s="51"/>
      <c r="D5" s="51"/>
      <c r="W5" s="10" t="s">
        <v>459</v>
      </c>
      <c r="X5" s="15"/>
      <c r="Y5" s="10" t="s">
        <v>459</v>
      </c>
    </row>
    <row r="6" spans="1:27" ht="15.75">
      <c r="A6" s="53" t="s">
        <v>33</v>
      </c>
      <c r="B6" s="53"/>
      <c r="C6" s="53"/>
      <c r="D6" s="53"/>
      <c r="E6" s="53" t="s">
        <v>34</v>
      </c>
      <c r="F6" s="53"/>
      <c r="G6" s="53" t="s">
        <v>25</v>
      </c>
      <c r="H6" s="53"/>
      <c r="I6" s="53" t="s">
        <v>25</v>
      </c>
      <c r="J6" s="53"/>
      <c r="K6" s="53" t="s">
        <v>25</v>
      </c>
      <c r="L6" s="407"/>
      <c r="M6" s="53" t="s">
        <v>25</v>
      </c>
      <c r="N6" s="439"/>
      <c r="O6" s="478" t="s">
        <v>25</v>
      </c>
      <c r="P6" s="53"/>
      <c r="Q6" s="823" t="s">
        <v>330</v>
      </c>
      <c r="R6" s="823"/>
      <c r="S6" s="823"/>
      <c r="T6" s="823"/>
      <c r="U6" s="823"/>
      <c r="V6" s="10"/>
      <c r="W6" s="10" t="s">
        <v>15</v>
      </c>
      <c r="X6" s="10"/>
      <c r="Y6" s="10" t="s">
        <v>15</v>
      </c>
    </row>
    <row r="7" spans="1:27" ht="15.75">
      <c r="A7" s="54" t="s">
        <v>35</v>
      </c>
      <c r="B7" s="53"/>
      <c r="C7" s="54" t="s">
        <v>178</v>
      </c>
      <c r="D7" s="53"/>
      <c r="E7" s="54" t="s">
        <v>36</v>
      </c>
      <c r="F7" s="53"/>
      <c r="G7" s="522">
        <v>2008</v>
      </c>
      <c r="H7" s="523"/>
      <c r="I7" s="522">
        <v>2009</v>
      </c>
      <c r="J7" s="523"/>
      <c r="K7" s="522">
        <v>2010</v>
      </c>
      <c r="L7" s="524"/>
      <c r="M7" s="522">
        <v>2011</v>
      </c>
      <c r="N7" s="525"/>
      <c r="O7" s="514">
        <v>2012</v>
      </c>
      <c r="P7" s="523"/>
      <c r="Q7" s="514">
        <v>2013</v>
      </c>
      <c r="R7" s="503"/>
      <c r="S7" s="514">
        <v>2014</v>
      </c>
      <c r="T7" s="515"/>
      <c r="U7" s="526">
        <v>2015</v>
      </c>
      <c r="V7" s="503"/>
      <c r="W7" s="502">
        <v>2008</v>
      </c>
      <c r="X7" s="503"/>
      <c r="Y7" s="502">
        <v>2009</v>
      </c>
      <c r="Z7" s="527"/>
      <c r="AA7" s="527"/>
    </row>
    <row r="8" spans="1:27" ht="15.75">
      <c r="A8" s="55"/>
      <c r="C8" s="164"/>
      <c r="E8" s="52"/>
      <c r="I8" s="115"/>
      <c r="J8" s="115"/>
      <c r="K8" s="115"/>
      <c r="M8" s="115"/>
      <c r="N8" s="115"/>
      <c r="O8" s="115"/>
    </row>
    <row r="9" spans="1:27" ht="15.75" thickBot="1">
      <c r="A9" s="520">
        <v>1</v>
      </c>
      <c r="C9" s="149" t="s">
        <v>870</v>
      </c>
      <c r="E9" s="55" t="s">
        <v>373</v>
      </c>
      <c r="F9" s="187"/>
      <c r="G9" s="379">
        <f>S3.2!G23+S3.2!G25</f>
        <v>22223.450410000001</v>
      </c>
      <c r="H9" s="187"/>
      <c r="I9" s="379">
        <f>S3.2!I23+S3.2!I25</f>
        <v>19966.440999999999</v>
      </c>
      <c r="J9" s="187"/>
      <c r="K9" s="379">
        <f>S3.2!K23+S3.2!K25</f>
        <v>19839</v>
      </c>
      <c r="L9" s="187"/>
      <c r="M9" s="379">
        <f>S3.2!M23+S3.2!M25</f>
        <v>20933</v>
      </c>
      <c r="N9" s="187"/>
      <c r="O9" s="379">
        <f>S3.2!O23+S3.2!O25</f>
        <v>21310</v>
      </c>
      <c r="P9" s="187"/>
      <c r="Q9" s="379">
        <f>+S4.2!Q26</f>
        <v>21126.742465814536</v>
      </c>
      <c r="R9" s="187"/>
      <c r="S9" s="379">
        <f>+S4.2!S26</f>
        <v>21404.923287246096</v>
      </c>
      <c r="T9" s="187"/>
      <c r="U9" s="379">
        <f>+S4.2!U26</f>
        <v>21415.423832085256</v>
      </c>
      <c r="V9" s="187"/>
      <c r="W9" s="295">
        <v>22364.038097674009</v>
      </c>
      <c r="X9" s="187"/>
      <c r="Y9" s="295">
        <v>20858.349693459164</v>
      </c>
      <c r="Z9" s="115"/>
    </row>
    <row r="10" spans="1:27">
      <c r="A10" s="520"/>
      <c r="C10" s="184"/>
      <c r="E10" s="52"/>
      <c r="F10" s="115"/>
      <c r="G10" s="115"/>
      <c r="H10" s="115"/>
      <c r="I10" s="115"/>
      <c r="J10" s="115"/>
      <c r="K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89"/>
      <c r="X10" s="115"/>
      <c r="Y10" s="189"/>
      <c r="Z10" s="115"/>
    </row>
    <row r="11" spans="1:27" ht="15.75" thickBot="1">
      <c r="A11" s="520">
        <v>2</v>
      </c>
      <c r="C11" s="149" t="s">
        <v>871</v>
      </c>
      <c r="E11" s="52"/>
      <c r="F11" s="297"/>
      <c r="G11" s="296">
        <f>G9/G13</f>
        <v>3.6515692425238253</v>
      </c>
      <c r="H11" s="297"/>
      <c r="I11" s="296">
        <f>I9/I13</f>
        <v>3.6913368459974114</v>
      </c>
      <c r="J11" s="297"/>
      <c r="K11" s="296">
        <f>K9/K13</f>
        <v>3.7357360750197715</v>
      </c>
      <c r="L11" s="421"/>
      <c r="M11" s="296">
        <f>M9/M13</f>
        <v>3.6847386023587396</v>
      </c>
      <c r="N11" s="421"/>
      <c r="O11" s="296">
        <f>O9/O13</f>
        <v>3.7013567970448529</v>
      </c>
      <c r="P11" s="297"/>
      <c r="Q11" s="296">
        <f>Q9/Q13</f>
        <v>3.7117331885628704</v>
      </c>
      <c r="R11" s="297"/>
      <c r="S11" s="296">
        <f>S9/S13</f>
        <v>3.7114915619236135</v>
      </c>
      <c r="T11" s="297"/>
      <c r="U11" s="296">
        <f>U9/U13</f>
        <v>3.7114412345657213</v>
      </c>
      <c r="V11" s="297"/>
      <c r="W11" s="296">
        <f>W9/W13</f>
        <v>3.7075248139488042</v>
      </c>
      <c r="X11" s="297"/>
      <c r="Y11" s="296">
        <f>Y9/Y13</f>
        <v>3.7128878982267119</v>
      </c>
      <c r="Z11" s="115"/>
    </row>
    <row r="12" spans="1:27">
      <c r="A12" s="520"/>
      <c r="C12" s="100"/>
      <c r="E12" s="52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15"/>
    </row>
    <row r="13" spans="1:27">
      <c r="A13" s="520">
        <v>3</v>
      </c>
      <c r="C13" s="149" t="s">
        <v>576</v>
      </c>
      <c r="E13" s="55" t="s">
        <v>462</v>
      </c>
      <c r="F13" s="196"/>
      <c r="G13" s="259">
        <f>+S4.2!G45</f>
        <v>6086</v>
      </c>
      <c r="H13" s="196"/>
      <c r="I13" s="259">
        <f>+S4.2!I45</f>
        <v>5409</v>
      </c>
      <c r="J13" s="196"/>
      <c r="K13" s="259">
        <f>S4.2!K45</f>
        <v>5310.6</v>
      </c>
      <c r="L13" s="197"/>
      <c r="M13" s="259">
        <f>+S4.2!M45</f>
        <v>5681</v>
      </c>
      <c r="N13" s="197"/>
      <c r="O13" s="259">
        <f>+S4.2!O45</f>
        <v>5757.3482289018475</v>
      </c>
      <c r="P13" s="196"/>
      <c r="Q13" s="259">
        <f>+S4.2!Q45</f>
        <v>5691.8806909163923</v>
      </c>
      <c r="R13" s="196"/>
      <c r="S13" s="259">
        <f>+S4.2!S45</f>
        <v>5767.2024656718413</v>
      </c>
      <c r="T13" s="196"/>
      <c r="U13" s="259">
        <f>+S4.2!U45</f>
        <v>5770.1099057253678</v>
      </c>
      <c r="V13" s="196"/>
      <c r="W13" s="259">
        <v>6032.0670042541287</v>
      </c>
      <c r="X13" s="196"/>
      <c r="Y13" s="259">
        <v>5617.8237170643324</v>
      </c>
      <c r="Z13" s="115"/>
    </row>
    <row r="14" spans="1:27">
      <c r="A14" s="520"/>
      <c r="C14" s="100"/>
      <c r="E14" s="52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15"/>
    </row>
    <row r="15" spans="1:27">
      <c r="A15" s="520">
        <v>4</v>
      </c>
      <c r="C15" s="149" t="s">
        <v>577</v>
      </c>
      <c r="F15" s="196"/>
      <c r="G15" s="196">
        <v>6603.13</v>
      </c>
      <c r="H15" s="196"/>
      <c r="I15" s="196">
        <v>4342</v>
      </c>
      <c r="J15" s="196"/>
      <c r="K15" s="196">
        <v>4657.5730000000003</v>
      </c>
      <c r="L15" s="196"/>
      <c r="M15" s="196">
        <v>6149</v>
      </c>
      <c r="N15" s="196"/>
      <c r="O15" s="196">
        <v>6490</v>
      </c>
      <c r="P15" s="196"/>
      <c r="Q15" s="196">
        <v>6611</v>
      </c>
      <c r="R15" s="196"/>
      <c r="S15" s="196">
        <v>6700.6</v>
      </c>
      <c r="T15" s="196"/>
      <c r="U15" s="196">
        <v>6703.7</v>
      </c>
      <c r="V15" s="196"/>
      <c r="W15" s="196">
        <v>5828.7308712466902</v>
      </c>
      <c r="X15" s="196"/>
      <c r="Y15" s="196">
        <v>5396.8141513462342</v>
      </c>
      <c r="Z15" s="115"/>
    </row>
    <row r="16" spans="1:27">
      <c r="A16" s="520"/>
      <c r="C16" s="149"/>
      <c r="F16" s="196"/>
      <c r="G16" s="196"/>
      <c r="H16" s="196"/>
      <c r="I16" s="20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15"/>
    </row>
    <row r="17" spans="1:26">
      <c r="A17" s="520">
        <v>5</v>
      </c>
      <c r="C17" s="149" t="s">
        <v>387</v>
      </c>
      <c r="E17" s="55" t="s">
        <v>458</v>
      </c>
      <c r="F17" s="196"/>
      <c r="G17" s="206">
        <v>0</v>
      </c>
      <c r="H17" s="196"/>
      <c r="I17" s="206">
        <v>-584.05200000000002</v>
      </c>
      <c r="J17" s="196"/>
      <c r="K17" s="196">
        <v>488.77800000000002</v>
      </c>
      <c r="L17" s="196"/>
      <c r="M17" s="206">
        <v>-610</v>
      </c>
      <c r="N17" s="206"/>
      <c r="O17" s="206">
        <v>-853</v>
      </c>
      <c r="P17" s="196"/>
      <c r="Q17" s="206">
        <v>0</v>
      </c>
      <c r="R17" s="196"/>
      <c r="S17" s="206">
        <f>+Q17*1.005</f>
        <v>0</v>
      </c>
      <c r="T17" s="196"/>
      <c r="U17" s="206">
        <f>+S17*1.005</f>
        <v>0</v>
      </c>
      <c r="V17" s="196"/>
      <c r="W17" s="196">
        <v>0</v>
      </c>
      <c r="X17" s="196"/>
      <c r="Y17" s="196">
        <v>0</v>
      </c>
      <c r="Z17" s="115"/>
    </row>
    <row r="18" spans="1:26">
      <c r="A18" s="520"/>
      <c r="C18" s="149"/>
      <c r="F18" s="196"/>
      <c r="G18" s="259"/>
      <c r="H18" s="196"/>
      <c r="I18" s="259"/>
      <c r="J18" s="196"/>
      <c r="K18" s="259"/>
      <c r="L18" s="197"/>
      <c r="M18" s="259"/>
      <c r="N18" s="197"/>
      <c r="O18" s="259"/>
      <c r="P18" s="196"/>
      <c r="Q18" s="259"/>
      <c r="R18" s="196"/>
      <c r="S18" s="259"/>
      <c r="T18" s="196"/>
      <c r="U18" s="259"/>
      <c r="V18" s="196"/>
      <c r="W18" s="259"/>
      <c r="X18" s="196"/>
      <c r="Y18" s="259"/>
      <c r="Z18" s="115"/>
    </row>
    <row r="19" spans="1:26">
      <c r="A19" s="520">
        <v>6</v>
      </c>
      <c r="C19" s="149" t="s">
        <v>388</v>
      </c>
      <c r="E19" s="55" t="s">
        <v>282</v>
      </c>
      <c r="F19" s="196"/>
      <c r="G19" s="196">
        <f>G15+G17</f>
        <v>6603.13</v>
      </c>
      <c r="H19" s="196"/>
      <c r="I19" s="196">
        <f>I15+I17</f>
        <v>3757.9479999999999</v>
      </c>
      <c r="J19" s="196"/>
      <c r="K19" s="196">
        <f>K15+K17</f>
        <v>5146.3510000000006</v>
      </c>
      <c r="L19" s="196"/>
      <c r="M19" s="196">
        <f>M15+M17</f>
        <v>5539</v>
      </c>
      <c r="N19" s="196"/>
      <c r="O19" s="196">
        <f>O15+O17</f>
        <v>5637</v>
      </c>
      <c r="P19" s="196"/>
      <c r="Q19" s="196">
        <f>Q15+Q17</f>
        <v>6611</v>
      </c>
      <c r="R19" s="196"/>
      <c r="S19" s="196">
        <f>S15+S17</f>
        <v>6700.6</v>
      </c>
      <c r="T19" s="196"/>
      <c r="U19" s="196">
        <f>U15+U17</f>
        <v>6703.7</v>
      </c>
      <c r="V19" s="196"/>
      <c r="W19" s="196">
        <f>W15+W17</f>
        <v>5828.7308712466902</v>
      </c>
      <c r="X19" s="196"/>
      <c r="Y19" s="196">
        <f>Y15+Y17</f>
        <v>5396.8141513462342</v>
      </c>
      <c r="Z19" s="115"/>
    </row>
    <row r="20" spans="1:26">
      <c r="A20" s="520"/>
      <c r="C20" s="100"/>
      <c r="E20" s="52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15"/>
    </row>
    <row r="21" spans="1:26">
      <c r="A21" s="520">
        <v>7</v>
      </c>
      <c r="C21" s="149" t="s">
        <v>578</v>
      </c>
      <c r="E21" s="55" t="s">
        <v>7</v>
      </c>
      <c r="F21" s="196"/>
      <c r="G21" s="298">
        <f>G15/G13*100</f>
        <v>108.49704239237595</v>
      </c>
      <c r="H21" s="196"/>
      <c r="I21" s="298">
        <f>I15/I13*100</f>
        <v>80.273618044000742</v>
      </c>
      <c r="J21" s="196"/>
      <c r="K21" s="298">
        <f>K15/K13*100</f>
        <v>87.703329190675248</v>
      </c>
      <c r="L21" s="318"/>
      <c r="M21" s="298">
        <f>M15/M13*100</f>
        <v>108.23798627002287</v>
      </c>
      <c r="N21" s="318"/>
      <c r="O21" s="298">
        <f>O15/O13*100</f>
        <v>112.72550733374518</v>
      </c>
      <c r="P21" s="196"/>
      <c r="Q21" s="298">
        <f>Q19/Q13*100</f>
        <v>116.14790187978501</v>
      </c>
      <c r="R21" s="196"/>
      <c r="S21" s="298">
        <f>S15/S13*100</f>
        <v>116.18458065039381</v>
      </c>
      <c r="T21" s="196"/>
      <c r="U21" s="298">
        <f>U15/U13*100</f>
        <v>116.17976276930673</v>
      </c>
      <c r="V21" s="196"/>
      <c r="W21" s="298">
        <f>W15/W13*100</f>
        <v>96.62908033242941</v>
      </c>
      <c r="X21" s="196"/>
      <c r="Y21" s="298">
        <f>Y15/Y13*100</f>
        <v>96.065922021604663</v>
      </c>
      <c r="Z21" s="115"/>
    </row>
    <row r="22" spans="1:26" ht="15.75">
      <c r="A22" s="520" t="s">
        <v>27</v>
      </c>
      <c r="C22" s="164"/>
      <c r="E22" s="52"/>
      <c r="F22" s="115"/>
      <c r="G22" s="115"/>
      <c r="H22" s="115"/>
      <c r="I22" s="115"/>
      <c r="J22" s="115"/>
      <c r="K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89"/>
      <c r="X22" s="115"/>
      <c r="Y22" s="189"/>
      <c r="Z22" s="115"/>
    </row>
    <row r="23" spans="1:26">
      <c r="A23" s="262"/>
      <c r="B23" s="115"/>
      <c r="C23" s="488" t="s">
        <v>458</v>
      </c>
      <c r="I23" s="115"/>
      <c r="J23" s="115"/>
      <c r="K23" s="115"/>
      <c r="M23" s="115"/>
      <c r="N23" s="115"/>
      <c r="O23" s="115"/>
      <c r="W23" s="115"/>
    </row>
    <row r="24" spans="1:26" ht="15.75" customHeight="1">
      <c r="A24" s="55"/>
      <c r="C24" s="485" t="s">
        <v>761</v>
      </c>
      <c r="F24" s="108"/>
      <c r="G24" s="108"/>
      <c r="H24" s="108"/>
      <c r="I24" s="158"/>
      <c r="J24" s="158"/>
      <c r="K24" s="158"/>
      <c r="L24" s="158"/>
      <c r="M24" s="158"/>
      <c r="N24" s="158"/>
      <c r="O24" s="158"/>
      <c r="P24" s="108"/>
      <c r="Q24" s="108"/>
      <c r="R24" s="108"/>
      <c r="S24" s="108"/>
      <c r="T24" s="108"/>
      <c r="U24" s="108"/>
      <c r="V24" s="108"/>
      <c r="W24" s="157"/>
      <c r="X24" s="158"/>
      <c r="Y24" s="157"/>
    </row>
    <row r="25" spans="1:26">
      <c r="A25" s="55"/>
      <c r="E25" s="52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392"/>
      <c r="X25" s="138"/>
      <c r="Y25" s="162"/>
    </row>
    <row r="26" spans="1:26">
      <c r="A26" s="55"/>
      <c r="G26" s="169"/>
      <c r="I26" s="169"/>
      <c r="K26" s="169"/>
      <c r="M26" s="169"/>
      <c r="N26" s="115"/>
      <c r="O26" s="169"/>
      <c r="Q26" s="169"/>
      <c r="S26" s="169"/>
      <c r="U26" s="169"/>
      <c r="W26" s="115"/>
    </row>
    <row r="27" spans="1:26">
      <c r="A27" s="55"/>
      <c r="E27" s="486"/>
      <c r="F27" s="530"/>
      <c r="G27" s="486"/>
      <c r="H27" s="486"/>
      <c r="I27" s="486"/>
      <c r="J27" s="486"/>
      <c r="K27" s="486"/>
      <c r="L27" s="487"/>
      <c r="M27" s="486"/>
      <c r="N27" s="463"/>
      <c r="O27" s="486"/>
      <c r="P27" s="530"/>
      <c r="Q27" s="486"/>
      <c r="R27" s="530"/>
      <c r="S27" s="486"/>
      <c r="T27" s="530"/>
      <c r="U27" s="486"/>
      <c r="V27" s="530"/>
      <c r="W27" s="486"/>
      <c r="X27" s="530"/>
      <c r="Y27" s="486"/>
    </row>
    <row r="28" spans="1:26">
      <c r="A28" s="55"/>
      <c r="E28" s="486"/>
      <c r="F28" s="530"/>
      <c r="G28" s="413"/>
      <c r="H28" s="530"/>
      <c r="I28" s="413"/>
      <c r="J28" s="530"/>
      <c r="K28" s="413"/>
      <c r="L28" s="463"/>
      <c r="M28" s="413"/>
      <c r="N28" s="463"/>
      <c r="O28" s="413"/>
      <c r="P28" s="530"/>
      <c r="Q28" s="413"/>
      <c r="R28" s="530"/>
      <c r="S28" s="413"/>
      <c r="T28" s="530"/>
      <c r="U28" s="413"/>
      <c r="V28" s="530"/>
      <c r="W28" s="413"/>
      <c r="X28" s="530"/>
      <c r="Y28" s="413"/>
    </row>
    <row r="29" spans="1:26">
      <c r="K29" s="115"/>
      <c r="M29" s="115"/>
      <c r="N29" s="115"/>
      <c r="O29" s="115"/>
      <c r="W29" s="115"/>
    </row>
    <row r="30" spans="1:26">
      <c r="K30" s="115"/>
      <c r="M30" s="115"/>
      <c r="N30" s="115"/>
      <c r="O30" s="115"/>
      <c r="W30" s="115"/>
    </row>
    <row r="31" spans="1:26">
      <c r="K31" s="115"/>
      <c r="M31" s="115"/>
      <c r="N31" s="115"/>
      <c r="O31" s="115"/>
      <c r="W31" s="115"/>
    </row>
    <row r="32" spans="1:26">
      <c r="K32" s="115"/>
      <c r="M32" s="115"/>
      <c r="N32" s="115"/>
      <c r="O32" s="115"/>
    </row>
    <row r="33" spans="11:15">
      <c r="K33" s="115"/>
      <c r="M33" s="115"/>
      <c r="N33" s="115"/>
      <c r="O33" s="115"/>
    </row>
    <row r="34" spans="11:15">
      <c r="K34" s="115"/>
      <c r="M34" s="115"/>
      <c r="N34" s="115"/>
      <c r="O34" s="115"/>
    </row>
    <row r="35" spans="11:15">
      <c r="K35" s="115"/>
      <c r="M35" s="115"/>
      <c r="N35" s="115"/>
      <c r="O35" s="115"/>
    </row>
    <row r="36" spans="11:15">
      <c r="K36" s="115"/>
      <c r="M36" s="115"/>
      <c r="N36" s="115"/>
      <c r="O36" s="115"/>
    </row>
    <row r="37" spans="11:15">
      <c r="K37" s="115"/>
      <c r="M37" s="115"/>
      <c r="N37" s="115"/>
      <c r="O37" s="115"/>
    </row>
    <row r="38" spans="11:15">
      <c r="K38" s="115"/>
      <c r="M38" s="115"/>
      <c r="N38" s="115"/>
      <c r="O38" s="115"/>
    </row>
    <row r="39" spans="11:15">
      <c r="K39" s="115"/>
      <c r="M39" s="115"/>
      <c r="N39" s="115"/>
      <c r="O39" s="115"/>
    </row>
    <row r="40" spans="11:15">
      <c r="K40" s="115"/>
      <c r="M40" s="115"/>
      <c r="N40" s="115"/>
      <c r="O40" s="115"/>
    </row>
    <row r="41" spans="11:15">
      <c r="K41" s="115"/>
      <c r="M41" s="115"/>
      <c r="N41" s="115"/>
      <c r="O41" s="115"/>
    </row>
    <row r="42" spans="11:15">
      <c r="K42" s="115"/>
      <c r="M42" s="115"/>
      <c r="N42" s="115"/>
      <c r="O42" s="115"/>
    </row>
    <row r="43" spans="11:15">
      <c r="K43" s="115"/>
      <c r="M43" s="115"/>
      <c r="N43" s="115"/>
      <c r="O43" s="115"/>
    </row>
    <row r="44" spans="11:15">
      <c r="K44" s="115"/>
      <c r="M44" s="115"/>
      <c r="N44" s="115"/>
      <c r="O44" s="115"/>
    </row>
    <row r="45" spans="11:15">
      <c r="K45" s="115"/>
      <c r="M45" s="115"/>
      <c r="N45" s="115"/>
      <c r="O45" s="115"/>
    </row>
    <row r="46" spans="11:15">
      <c r="K46" s="115"/>
      <c r="M46" s="115"/>
      <c r="N46" s="115"/>
      <c r="O46" s="115"/>
    </row>
    <row r="47" spans="11:15">
      <c r="K47" s="115"/>
      <c r="M47" s="115"/>
      <c r="N47" s="115"/>
      <c r="O47" s="115"/>
    </row>
    <row r="48" spans="11:15">
      <c r="K48" s="115"/>
      <c r="M48" s="115"/>
      <c r="N48" s="115"/>
      <c r="O48" s="115"/>
    </row>
    <row r="49" spans="11:15">
      <c r="K49" s="115"/>
      <c r="M49" s="115"/>
      <c r="N49" s="115"/>
      <c r="O49" s="115"/>
    </row>
    <row r="50" spans="11:15">
      <c r="K50" s="115"/>
      <c r="M50" s="115"/>
      <c r="N50" s="115"/>
      <c r="O50" s="115"/>
    </row>
    <row r="51" spans="11:15">
      <c r="K51" s="115"/>
      <c r="M51" s="115"/>
      <c r="N51" s="115"/>
      <c r="O51" s="115"/>
    </row>
    <row r="52" spans="11:15">
      <c r="K52" s="115"/>
      <c r="M52" s="115"/>
      <c r="N52" s="115"/>
      <c r="O52" s="115"/>
    </row>
    <row r="53" spans="11:15">
      <c r="K53" s="115"/>
      <c r="M53" s="115"/>
      <c r="N53" s="115"/>
      <c r="O53" s="115"/>
    </row>
    <row r="54" spans="11:15">
      <c r="K54" s="115"/>
      <c r="M54" s="115"/>
      <c r="N54" s="115"/>
      <c r="O54" s="115"/>
    </row>
    <row r="55" spans="11:15">
      <c r="K55" s="115"/>
      <c r="M55" s="115"/>
      <c r="N55" s="115"/>
      <c r="O55" s="115"/>
    </row>
    <row r="56" spans="11:15">
      <c r="K56" s="115"/>
      <c r="M56" s="115"/>
      <c r="N56" s="115"/>
      <c r="O56" s="115"/>
    </row>
    <row r="57" spans="11:15">
      <c r="K57" s="115"/>
      <c r="M57" s="115"/>
      <c r="N57" s="115"/>
      <c r="O57" s="115"/>
    </row>
    <row r="58" spans="11:15">
      <c r="K58" s="115"/>
      <c r="M58" s="115"/>
      <c r="N58" s="115"/>
      <c r="O58" s="115"/>
    </row>
    <row r="59" spans="11:15">
      <c r="K59" s="115"/>
      <c r="M59" s="115"/>
      <c r="N59" s="115"/>
      <c r="O59" s="115"/>
    </row>
    <row r="60" spans="11:15">
      <c r="K60" s="115"/>
      <c r="M60" s="115"/>
      <c r="N60" s="115"/>
      <c r="O60" s="115"/>
    </row>
    <row r="61" spans="11:15">
      <c r="K61" s="115"/>
      <c r="M61" s="115"/>
      <c r="N61" s="115"/>
      <c r="O61" s="115"/>
    </row>
    <row r="62" spans="11:15">
      <c r="K62" s="115"/>
      <c r="M62" s="115"/>
      <c r="N62" s="115"/>
      <c r="O62" s="115"/>
    </row>
    <row r="63" spans="11:15">
      <c r="K63" s="115"/>
      <c r="M63" s="115"/>
      <c r="N63" s="115"/>
      <c r="O63" s="115"/>
    </row>
    <row r="64" spans="11:15">
      <c r="K64" s="115"/>
      <c r="M64" s="115"/>
      <c r="N64" s="115"/>
      <c r="O64" s="115"/>
    </row>
    <row r="65" spans="11:15">
      <c r="K65" s="115"/>
      <c r="M65" s="115"/>
      <c r="N65" s="115"/>
      <c r="O65" s="115"/>
    </row>
    <row r="66" spans="11:15">
      <c r="K66" s="115"/>
      <c r="M66" s="115"/>
      <c r="N66" s="115"/>
      <c r="O66" s="115"/>
    </row>
  </sheetData>
  <customSheetViews>
    <customSheetView guid="{275E5119-9E8C-43ED-ACD2-DF40CF10B219}" scale="70">
      <selection activeCell="M15" sqref="M15"/>
      <pageMargins left="0.5" right="0.5" top="0.74" bottom="0.69" header="0.5" footer="0.5"/>
      <pageSetup scale="7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15" sqref="M15"/>
      <pageMargins left="0.5" right="0.5" top="0.74" bottom="0.69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Q6:U6"/>
  </mergeCells>
  <phoneticPr fontId="8" type="noConversion"/>
  <printOptions horizontalCentered="1"/>
  <pageMargins left="0.5" right="0.5" top="0.74" bottom="0.69" header="0.5" footer="0.5"/>
  <pageSetup scale="51" orientation="landscape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 enableFormatConditionsCalculation="0"/>
  <dimension ref="A1:AG55"/>
  <sheetViews>
    <sheetView zoomScale="70" zoomScaleNormal="70" zoomScaleSheetLayoutView="75" workbookViewId="0">
      <selection activeCell="V236" sqref="V236"/>
    </sheetView>
  </sheetViews>
  <sheetFormatPr defaultColWidth="7.5703125" defaultRowHeight="15"/>
  <cols>
    <col min="1" max="1" width="8.5703125" style="52" customWidth="1"/>
    <col min="2" max="2" width="2.5703125" style="52" customWidth="1"/>
    <col min="3" max="3" width="31.140625" style="52" customWidth="1"/>
    <col min="4" max="4" width="2.5703125" style="52" customWidth="1"/>
    <col min="5" max="5" width="14.28515625" style="55" bestFit="1" customWidth="1"/>
    <col min="6" max="6" width="2.5703125" style="52" customWidth="1"/>
    <col min="7" max="7" width="13.42578125" style="52" bestFit="1" customWidth="1"/>
    <col min="8" max="8" width="2.5703125" style="52" customWidth="1"/>
    <col min="9" max="9" width="13.42578125" style="52" bestFit="1" customWidth="1"/>
    <col min="10" max="10" width="2.5703125" style="52" customWidth="1"/>
    <col min="11" max="11" width="13.42578125" style="52" bestFit="1" customWidth="1"/>
    <col min="12" max="12" width="3.140625" style="115" customWidth="1"/>
    <col min="13" max="13" width="15.7109375" style="52" customWidth="1"/>
    <col min="14" max="14" width="3.140625" style="52" customWidth="1"/>
    <col min="15" max="15" width="14.5703125" style="52" bestFit="1" customWidth="1"/>
    <col min="16" max="16" width="3.140625" style="52" customWidth="1"/>
    <col min="17" max="17" width="12.7109375" style="52" customWidth="1"/>
    <col min="18" max="18" width="2.85546875" style="52" customWidth="1"/>
    <col min="19" max="19" width="12.7109375" style="52" customWidth="1"/>
    <col min="20" max="20" width="3.7109375" style="52" customWidth="1"/>
    <col min="21" max="21" width="12.7109375" style="52" customWidth="1"/>
    <col min="22" max="22" width="2.5703125" style="52" customWidth="1"/>
    <col min="23" max="23" width="14.5703125" style="52" bestFit="1" customWidth="1"/>
    <col min="24" max="24" width="2.5703125" style="52" customWidth="1"/>
    <col min="25" max="25" width="14.5703125" style="52" bestFit="1" customWidth="1"/>
    <col min="26" max="26" width="2.5703125" style="52" customWidth="1"/>
    <col min="27" max="28" width="7.5703125" style="52"/>
    <col min="29" max="29" width="17.7109375" style="52" bestFit="1" customWidth="1"/>
    <col min="30" max="30" width="7.5703125" style="52"/>
    <col min="31" max="31" width="10.5703125" style="52" customWidth="1"/>
    <col min="32" max="32" width="7.5703125" style="52"/>
    <col min="33" max="33" width="10.85546875" style="52" customWidth="1"/>
    <col min="34" max="16384" width="7.5703125" style="52"/>
  </cols>
  <sheetData>
    <row r="1" spans="1:33" ht="15.75">
      <c r="A1" s="61" t="s">
        <v>540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06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109" t="s">
        <v>485</v>
      </c>
    </row>
    <row r="2" spans="1:33" ht="15.75">
      <c r="A2" s="13" t="s">
        <v>463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406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109"/>
    </row>
    <row r="3" spans="1:33" ht="15.75">
      <c r="A3" s="61" t="s">
        <v>558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06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33" ht="15.75">
      <c r="A4" s="822"/>
      <c r="B4" s="822"/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822"/>
      <c r="R4" s="822"/>
      <c r="S4" s="822"/>
      <c r="T4" s="822"/>
      <c r="U4" s="822"/>
      <c r="V4" s="822"/>
      <c r="W4" s="822"/>
      <c r="X4" s="822"/>
      <c r="Y4" s="822"/>
    </row>
    <row r="5" spans="1:33" ht="15.75">
      <c r="A5" s="50"/>
      <c r="B5" s="51"/>
      <c r="C5" s="51"/>
      <c r="D5" s="51"/>
      <c r="W5" s="10" t="s">
        <v>459</v>
      </c>
      <c r="X5" s="15"/>
      <c r="Y5" s="10" t="s">
        <v>459</v>
      </c>
      <c r="AC5" s="532"/>
      <c r="AD5" s="532"/>
      <c r="AE5" s="532"/>
      <c r="AF5" s="532"/>
      <c r="AG5" s="532"/>
    </row>
    <row r="6" spans="1:33" ht="15.75">
      <c r="A6" s="53" t="s">
        <v>33</v>
      </c>
      <c r="B6" s="53"/>
      <c r="C6" s="53"/>
      <c r="D6" s="53"/>
      <c r="E6" s="53" t="s">
        <v>34</v>
      </c>
      <c r="F6" s="53"/>
      <c r="G6" s="53" t="s">
        <v>25</v>
      </c>
      <c r="H6" s="53"/>
      <c r="I6" s="53" t="s">
        <v>25</v>
      </c>
      <c r="J6" s="53"/>
      <c r="K6" s="53" t="s">
        <v>25</v>
      </c>
      <c r="L6" s="407"/>
      <c r="M6" s="53" t="s">
        <v>25</v>
      </c>
      <c r="N6" s="432"/>
      <c r="O6" s="481" t="s">
        <v>25</v>
      </c>
      <c r="P6" s="466"/>
      <c r="Q6" s="823" t="s">
        <v>330</v>
      </c>
      <c r="R6" s="823"/>
      <c r="S6" s="823"/>
      <c r="T6" s="823"/>
      <c r="U6" s="823"/>
      <c r="V6" s="10"/>
      <c r="W6" s="10" t="s">
        <v>15</v>
      </c>
      <c r="X6" s="10"/>
      <c r="Y6" s="10" t="s">
        <v>15</v>
      </c>
      <c r="AC6" s="532"/>
      <c r="AD6" s="532"/>
      <c r="AE6" s="532"/>
      <c r="AF6" s="532"/>
      <c r="AG6" s="532"/>
    </row>
    <row r="7" spans="1:33" ht="15.75">
      <c r="A7" s="54" t="s">
        <v>35</v>
      </c>
      <c r="B7" s="53"/>
      <c r="C7" s="54" t="s">
        <v>178</v>
      </c>
      <c r="D7" s="53"/>
      <c r="E7" s="54" t="s">
        <v>36</v>
      </c>
      <c r="F7" s="53"/>
      <c r="G7" s="522">
        <v>2008</v>
      </c>
      <c r="H7" s="523"/>
      <c r="I7" s="522">
        <v>2009</v>
      </c>
      <c r="J7" s="523"/>
      <c r="K7" s="522">
        <v>2010</v>
      </c>
      <c r="L7" s="524"/>
      <c r="M7" s="522">
        <v>2011</v>
      </c>
      <c r="N7" s="525"/>
      <c r="O7" s="522">
        <v>2012</v>
      </c>
      <c r="P7" s="525"/>
      <c r="Q7" s="514">
        <v>2013</v>
      </c>
      <c r="R7" s="503"/>
      <c r="S7" s="514">
        <v>2014</v>
      </c>
      <c r="T7" s="515"/>
      <c r="U7" s="526">
        <v>2015</v>
      </c>
      <c r="V7" s="503"/>
      <c r="W7" s="502">
        <v>2008</v>
      </c>
      <c r="X7" s="503"/>
      <c r="Y7" s="502">
        <v>2009</v>
      </c>
      <c r="Z7" s="527"/>
      <c r="AA7" s="527"/>
      <c r="AC7" s="532"/>
      <c r="AD7" s="532"/>
      <c r="AE7" s="532"/>
      <c r="AF7" s="532"/>
      <c r="AG7" s="532"/>
    </row>
    <row r="8" spans="1:33" ht="15.75">
      <c r="A8" s="55"/>
      <c r="C8" s="164"/>
      <c r="E8" s="52"/>
    </row>
    <row r="9" spans="1:33">
      <c r="A9" s="520"/>
      <c r="C9" s="184" t="s">
        <v>434</v>
      </c>
      <c r="E9" s="52"/>
      <c r="I9" s="115"/>
      <c r="J9" s="115"/>
      <c r="K9" s="115"/>
      <c r="M9" s="115"/>
      <c r="N9" s="115"/>
      <c r="O9" s="115"/>
      <c r="P9" s="115"/>
      <c r="Q9" s="115"/>
      <c r="R9" s="115"/>
      <c r="S9" s="115"/>
      <c r="T9" s="115"/>
      <c r="U9" s="115"/>
    </row>
    <row r="10" spans="1:33">
      <c r="A10" s="520">
        <v>1</v>
      </c>
      <c r="C10" s="149" t="s">
        <v>425</v>
      </c>
      <c r="F10" s="197"/>
      <c r="G10" s="770">
        <v>98.91</v>
      </c>
      <c r="H10" s="770"/>
      <c r="I10" s="770">
        <v>67.52</v>
      </c>
      <c r="J10" s="770"/>
      <c r="K10" s="770">
        <v>75.930000000000007</v>
      </c>
      <c r="L10" s="770"/>
      <c r="M10" s="770">
        <v>95.88</v>
      </c>
      <c r="N10" s="770"/>
      <c r="O10" s="770">
        <v>97.109840205511162</v>
      </c>
      <c r="P10" s="770"/>
      <c r="Q10" s="770">
        <v>101.75553628513588</v>
      </c>
      <c r="R10" s="770"/>
      <c r="S10" s="770">
        <v>101.75553628513588</v>
      </c>
      <c r="T10" s="770"/>
      <c r="U10" s="770">
        <v>101.75553628513588</v>
      </c>
      <c r="V10" s="770"/>
      <c r="W10" s="770">
        <v>87.48</v>
      </c>
      <c r="X10" s="770"/>
      <c r="Y10" s="770">
        <v>87.48</v>
      </c>
      <c r="Z10" s="197"/>
    </row>
    <row r="11" spans="1:33">
      <c r="A11" s="520">
        <v>2</v>
      </c>
      <c r="C11" s="149" t="s">
        <v>426</v>
      </c>
      <c r="F11" s="197"/>
      <c r="G11" s="770">
        <v>101.03</v>
      </c>
      <c r="H11" s="770"/>
      <c r="I11" s="770">
        <v>82.28</v>
      </c>
      <c r="J11" s="770"/>
      <c r="K11" s="770">
        <v>87.68</v>
      </c>
      <c r="L11" s="770"/>
      <c r="M11" s="770">
        <v>109.34</v>
      </c>
      <c r="N11" s="770"/>
      <c r="O11" s="770">
        <v>112.58961958113514</v>
      </c>
      <c r="P11" s="770"/>
      <c r="Q11" s="770">
        <v>116.53031004422832</v>
      </c>
      <c r="R11" s="770"/>
      <c r="S11" s="770">
        <v>116.53031004422832</v>
      </c>
      <c r="T11" s="770"/>
      <c r="U11" s="770">
        <v>116.53031004422832</v>
      </c>
      <c r="V11" s="770"/>
      <c r="W11" s="770">
        <v>81.52</v>
      </c>
      <c r="X11" s="770"/>
      <c r="Y11" s="770">
        <v>81.52</v>
      </c>
      <c r="Z11" s="197"/>
    </row>
    <row r="12" spans="1:33">
      <c r="A12" s="520">
        <v>3</v>
      </c>
      <c r="C12" s="149" t="s">
        <v>427</v>
      </c>
      <c r="F12" s="197"/>
      <c r="G12" s="770">
        <v>101.69</v>
      </c>
      <c r="H12" s="770"/>
      <c r="I12" s="770">
        <v>80.97</v>
      </c>
      <c r="J12" s="770"/>
      <c r="K12" s="770">
        <v>88.14</v>
      </c>
      <c r="L12" s="770"/>
      <c r="M12" s="770">
        <v>108.85</v>
      </c>
      <c r="N12" s="770"/>
      <c r="O12" s="770">
        <v>112.38185418096735</v>
      </c>
      <c r="P12" s="770"/>
      <c r="Q12" s="770">
        <v>115.40947419305922</v>
      </c>
      <c r="R12" s="770"/>
      <c r="S12" s="770">
        <v>115.40947419305922</v>
      </c>
      <c r="T12" s="770"/>
      <c r="U12" s="770">
        <v>115.40947419305922</v>
      </c>
      <c r="V12" s="770"/>
      <c r="W12" s="770">
        <v>83.13</v>
      </c>
      <c r="X12" s="770"/>
      <c r="Y12" s="770">
        <v>83.13</v>
      </c>
      <c r="Z12" s="197"/>
    </row>
    <row r="13" spans="1:33">
      <c r="A13" s="520">
        <v>4</v>
      </c>
      <c r="C13" s="149" t="s">
        <v>428</v>
      </c>
      <c r="F13" s="197"/>
      <c r="G13" s="770">
        <v>200.3</v>
      </c>
      <c r="H13" s="770"/>
      <c r="I13" s="770">
        <v>164.2</v>
      </c>
      <c r="J13" s="770"/>
      <c r="K13" s="770">
        <v>171.7</v>
      </c>
      <c r="L13" s="770"/>
      <c r="M13" s="770">
        <v>189.16</v>
      </c>
      <c r="N13" s="770"/>
      <c r="O13" s="770">
        <v>214.69877071378795</v>
      </c>
      <c r="P13" s="770"/>
      <c r="Q13" s="770">
        <v>218.44352571109127</v>
      </c>
      <c r="R13" s="770"/>
      <c r="S13" s="770">
        <v>218.44352571109127</v>
      </c>
      <c r="T13" s="770"/>
      <c r="U13" s="770">
        <v>218.44352571109127</v>
      </c>
      <c r="V13" s="770"/>
      <c r="W13" s="770">
        <v>193.41</v>
      </c>
      <c r="X13" s="770"/>
      <c r="Y13" s="770">
        <v>193.41</v>
      </c>
      <c r="Z13" s="197"/>
    </row>
    <row r="14" spans="1:33">
      <c r="A14" s="520">
        <v>5</v>
      </c>
      <c r="C14" s="149" t="s">
        <v>511</v>
      </c>
      <c r="F14" s="197"/>
      <c r="G14" s="770">
        <v>106.1</v>
      </c>
      <c r="H14" s="770"/>
      <c r="I14" s="770">
        <v>0</v>
      </c>
      <c r="J14" s="770"/>
      <c r="K14" s="770">
        <v>0</v>
      </c>
      <c r="L14" s="770"/>
      <c r="M14" s="770">
        <v>0</v>
      </c>
      <c r="N14" s="770"/>
      <c r="O14" s="770">
        <v>0</v>
      </c>
      <c r="P14" s="770"/>
      <c r="Q14" s="770">
        <v>0</v>
      </c>
      <c r="R14" s="770"/>
      <c r="S14" s="770">
        <v>0</v>
      </c>
      <c r="T14" s="770"/>
      <c r="U14" s="770">
        <v>0</v>
      </c>
      <c r="V14" s="770"/>
      <c r="W14" s="770">
        <v>89.33</v>
      </c>
      <c r="X14" s="770"/>
      <c r="Y14" s="770">
        <v>89.33</v>
      </c>
      <c r="Z14" s="197"/>
    </row>
    <row r="15" spans="1:33">
      <c r="A15" s="520">
        <v>6</v>
      </c>
      <c r="C15" s="149" t="s">
        <v>430</v>
      </c>
      <c r="F15" s="197"/>
      <c r="G15" s="770">
        <v>105.26</v>
      </c>
      <c r="H15" s="770"/>
      <c r="I15" s="770">
        <v>73.83</v>
      </c>
      <c r="J15" s="770"/>
      <c r="K15" s="770">
        <v>80.66</v>
      </c>
      <c r="L15" s="770"/>
      <c r="M15" s="770">
        <v>97.08</v>
      </c>
      <c r="N15" s="770"/>
      <c r="O15" s="770">
        <v>104.01488226134299</v>
      </c>
      <c r="P15" s="770"/>
      <c r="Q15" s="770">
        <v>105.62833387966741</v>
      </c>
      <c r="R15" s="770"/>
      <c r="S15" s="770">
        <v>105.62833387966741</v>
      </c>
      <c r="T15" s="770"/>
      <c r="U15" s="770">
        <v>105.62833387966741</v>
      </c>
      <c r="V15" s="770"/>
      <c r="W15" s="770">
        <v>92.44</v>
      </c>
      <c r="X15" s="770"/>
      <c r="Y15" s="770">
        <v>92.44</v>
      </c>
      <c r="Z15" s="197"/>
    </row>
    <row r="16" spans="1:33">
      <c r="A16" s="520">
        <v>7</v>
      </c>
      <c r="C16" s="149" t="s">
        <v>484</v>
      </c>
      <c r="F16" s="197"/>
      <c r="G16" s="770">
        <v>62.63</v>
      </c>
      <c r="H16" s="770"/>
      <c r="I16" s="770">
        <v>91.21</v>
      </c>
      <c r="J16" s="770"/>
      <c r="K16" s="770">
        <v>95.93</v>
      </c>
      <c r="L16" s="770"/>
      <c r="M16" s="770">
        <v>105.22</v>
      </c>
      <c r="N16" s="770"/>
      <c r="O16" s="770">
        <v>95.29</v>
      </c>
      <c r="P16" s="770"/>
      <c r="Q16" s="770">
        <v>89.559030503904069</v>
      </c>
      <c r="R16" s="770"/>
      <c r="S16" s="770">
        <v>89.559030503904069</v>
      </c>
      <c r="T16" s="770"/>
      <c r="U16" s="770">
        <v>89.559030503904069</v>
      </c>
      <c r="V16" s="770"/>
      <c r="W16" s="770">
        <v>70</v>
      </c>
      <c r="X16" s="770"/>
      <c r="Y16" s="770">
        <v>70</v>
      </c>
      <c r="Z16" s="197"/>
    </row>
    <row r="17" spans="1:33">
      <c r="A17" s="520"/>
      <c r="C17" s="149"/>
      <c r="E17" s="319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</row>
    <row r="18" spans="1:33">
      <c r="A18" s="520"/>
      <c r="C18" s="184" t="s">
        <v>872</v>
      </c>
      <c r="E18" s="319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58"/>
    </row>
    <row r="19" spans="1:33">
      <c r="A19" s="520">
        <v>8</v>
      </c>
      <c r="C19" s="149" t="s">
        <v>425</v>
      </c>
      <c r="F19" s="199"/>
      <c r="G19" s="809">
        <v>14146</v>
      </c>
      <c r="H19" s="809"/>
      <c r="I19" s="211">
        <v>13940</v>
      </c>
      <c r="J19" s="211"/>
      <c r="K19" s="211">
        <v>13992</v>
      </c>
      <c r="L19" s="211"/>
      <c r="M19" s="211">
        <v>14357</v>
      </c>
      <c r="N19" s="211"/>
      <c r="O19" s="211">
        <f>15024</f>
        <v>15024</v>
      </c>
      <c r="P19" s="211"/>
      <c r="Q19" s="211">
        <v>15085.433514888604</v>
      </c>
      <c r="R19" s="211"/>
      <c r="S19" s="211">
        <v>15261.234444247613</v>
      </c>
      <c r="T19" s="211"/>
      <c r="U19" s="211">
        <v>15267.180538835657</v>
      </c>
      <c r="V19" s="809"/>
      <c r="W19" s="211">
        <v>14430.816180063308</v>
      </c>
      <c r="X19" s="779"/>
      <c r="Y19" s="211">
        <v>14592.790869528251</v>
      </c>
      <c r="Z19" s="158"/>
      <c r="AC19" s="108"/>
      <c r="AD19" s="108"/>
      <c r="AE19" s="108"/>
      <c r="AF19" s="108"/>
      <c r="AG19" s="108"/>
    </row>
    <row r="20" spans="1:33">
      <c r="A20" s="520">
        <v>9</v>
      </c>
      <c r="C20" s="149" t="s">
        <v>426</v>
      </c>
      <c r="F20" s="199"/>
      <c r="G20" s="809">
        <v>1856</v>
      </c>
      <c r="H20" s="809"/>
      <c r="I20" s="211">
        <v>1874</v>
      </c>
      <c r="J20" s="211"/>
      <c r="K20" s="211">
        <v>1917</v>
      </c>
      <c r="L20" s="211"/>
      <c r="M20" s="211">
        <v>1981</v>
      </c>
      <c r="N20" s="211"/>
      <c r="O20" s="211">
        <v>1896.6420000000001</v>
      </c>
      <c r="P20" s="211"/>
      <c r="Q20" s="211">
        <v>1799.5384747599458</v>
      </c>
      <c r="R20" s="211"/>
      <c r="S20" s="211">
        <v>1832.3425404808756</v>
      </c>
      <c r="T20" s="211"/>
      <c r="U20" s="211">
        <v>1834.1800071370865</v>
      </c>
      <c r="V20" s="809"/>
      <c r="W20" s="211">
        <v>2020.8991314814928</v>
      </c>
      <c r="X20" s="779"/>
      <c r="Y20" s="211">
        <v>2114.8477576756159</v>
      </c>
      <c r="Z20" s="158"/>
    </row>
    <row r="21" spans="1:33">
      <c r="A21" s="520">
        <v>10</v>
      </c>
      <c r="C21" s="149" t="s">
        <v>427</v>
      </c>
      <c r="F21" s="199"/>
      <c r="G21" s="809">
        <v>1768</v>
      </c>
      <c r="H21" s="809"/>
      <c r="I21" s="211">
        <v>1771</v>
      </c>
      <c r="J21" s="211"/>
      <c r="K21" s="211">
        <v>1766</v>
      </c>
      <c r="L21" s="211"/>
      <c r="M21" s="211">
        <v>1862</v>
      </c>
      <c r="N21" s="211"/>
      <c r="O21" s="211">
        <v>1995.7619999999999</v>
      </c>
      <c r="P21" s="211"/>
      <c r="Q21" s="211">
        <v>1826.2167124935422</v>
      </c>
      <c r="R21" s="211"/>
      <c r="S21" s="211">
        <v>1860.0982949869251</v>
      </c>
      <c r="T21" s="211"/>
      <c r="U21" s="211">
        <v>1861.9597130482116</v>
      </c>
      <c r="V21" s="809"/>
      <c r="W21" s="211">
        <v>1721.9059696114564</v>
      </c>
      <c r="X21" s="779"/>
      <c r="Y21" s="211">
        <v>1740.73066509917</v>
      </c>
      <c r="Z21" s="158"/>
    </row>
    <row r="22" spans="1:33">
      <c r="A22" s="520">
        <v>11</v>
      </c>
      <c r="C22" s="149" t="s">
        <v>428</v>
      </c>
      <c r="F22" s="199"/>
      <c r="G22" s="809">
        <v>1820</v>
      </c>
      <c r="H22" s="809"/>
      <c r="I22" s="211">
        <v>1904</v>
      </c>
      <c r="J22" s="211"/>
      <c r="K22" s="211">
        <v>1903</v>
      </c>
      <c r="L22" s="211"/>
      <c r="M22" s="211">
        <v>2067</v>
      </c>
      <c r="N22" s="211"/>
      <c r="O22" s="211">
        <v>2136</v>
      </c>
      <c r="P22" s="211"/>
      <c r="Q22" s="211">
        <v>2082.8176729352108</v>
      </c>
      <c r="R22" s="211"/>
      <c r="S22" s="211">
        <v>2114.3933810445619</v>
      </c>
      <c r="T22" s="211"/>
      <c r="U22" s="211">
        <v>2114.4405797744739</v>
      </c>
      <c r="V22" s="809"/>
      <c r="W22" s="211">
        <v>2004.6177661552429</v>
      </c>
      <c r="X22" s="779"/>
      <c r="Y22" s="211">
        <v>2029.4090017776653</v>
      </c>
      <c r="Z22" s="158"/>
    </row>
    <row r="23" spans="1:33" ht="15.75" customHeight="1">
      <c r="A23" s="520">
        <v>12</v>
      </c>
      <c r="C23" s="149" t="s">
        <v>486</v>
      </c>
      <c r="F23" s="200"/>
      <c r="G23" s="809">
        <v>2203</v>
      </c>
      <c r="H23" s="810"/>
      <c r="I23" s="211">
        <v>0</v>
      </c>
      <c r="J23" s="810"/>
      <c r="K23" s="211">
        <v>0</v>
      </c>
      <c r="L23" s="211"/>
      <c r="M23" s="211">
        <v>0</v>
      </c>
      <c r="N23" s="211"/>
      <c r="O23" s="211">
        <v>0</v>
      </c>
      <c r="P23" s="211"/>
      <c r="Q23" s="211">
        <v>0</v>
      </c>
      <c r="R23" s="211"/>
      <c r="S23" s="211">
        <v>0</v>
      </c>
      <c r="T23" s="211"/>
      <c r="U23" s="211">
        <v>0</v>
      </c>
      <c r="V23" s="810"/>
      <c r="W23" s="211">
        <v>1863.4152517317234</v>
      </c>
      <c r="X23" s="779"/>
      <c r="Y23" s="211">
        <v>11</v>
      </c>
    </row>
    <row r="24" spans="1:33">
      <c r="A24" s="520">
        <v>13</v>
      </c>
      <c r="C24" s="149" t="s">
        <v>430</v>
      </c>
      <c r="F24" s="323"/>
      <c r="G24" s="809">
        <v>272</v>
      </c>
      <c r="H24" s="811"/>
      <c r="I24" s="211">
        <v>265</v>
      </c>
      <c r="J24" s="810"/>
      <c r="K24" s="211">
        <v>189</v>
      </c>
      <c r="L24" s="211"/>
      <c r="M24" s="211">
        <v>220</v>
      </c>
      <c r="N24" s="211"/>
      <c r="O24" s="211">
        <v>232.73400000000001</v>
      </c>
      <c r="P24" s="211"/>
      <c r="Q24" s="211">
        <v>262.73609073723082</v>
      </c>
      <c r="R24" s="211"/>
      <c r="S24" s="211">
        <v>266.85462648611963</v>
      </c>
      <c r="T24" s="211"/>
      <c r="U24" s="211">
        <v>267.66299328982939</v>
      </c>
      <c r="V24" s="811"/>
      <c r="W24" s="211">
        <v>278.3837986307845</v>
      </c>
      <c r="X24" s="779"/>
      <c r="Y24" s="211">
        <v>325.57139937846523</v>
      </c>
    </row>
    <row r="25" spans="1:33">
      <c r="A25" s="520">
        <v>14</v>
      </c>
      <c r="C25" s="149" t="s">
        <v>484</v>
      </c>
      <c r="F25" s="195"/>
      <c r="G25" s="812">
        <v>158</v>
      </c>
      <c r="H25" s="779"/>
      <c r="I25" s="258">
        <v>213</v>
      </c>
      <c r="J25" s="206"/>
      <c r="K25" s="258">
        <v>72</v>
      </c>
      <c r="L25" s="211"/>
      <c r="M25" s="258">
        <v>446</v>
      </c>
      <c r="N25" s="211"/>
      <c r="O25" s="258">
        <v>24.9</v>
      </c>
      <c r="P25" s="211"/>
      <c r="Q25" s="258">
        <v>70</v>
      </c>
      <c r="R25" s="211"/>
      <c r="S25" s="258">
        <v>70</v>
      </c>
      <c r="T25" s="211"/>
      <c r="U25" s="258">
        <v>70</v>
      </c>
      <c r="V25" s="779"/>
      <c r="W25" s="258">
        <v>44</v>
      </c>
      <c r="X25" s="779"/>
      <c r="Y25" s="258">
        <v>44</v>
      </c>
    </row>
    <row r="26" spans="1:33">
      <c r="A26" s="520">
        <v>15</v>
      </c>
      <c r="E26" s="55" t="s">
        <v>374</v>
      </c>
      <c r="G26" s="225">
        <f>SUM(G19:G25)</f>
        <v>22223</v>
      </c>
      <c r="H26" s="225"/>
      <c r="I26" s="450">
        <f>SUM(I19:I25)</f>
        <v>19967</v>
      </c>
      <c r="J26" s="450"/>
      <c r="K26" s="450">
        <f>SUM(K19:K25)</f>
        <v>19839</v>
      </c>
      <c r="L26" s="450"/>
      <c r="M26" s="450">
        <f>SUM(M19:M25)</f>
        <v>20933</v>
      </c>
      <c r="N26" s="450"/>
      <c r="O26" s="450">
        <f>SUM(O19:O25)</f>
        <v>21310.038</v>
      </c>
      <c r="P26" s="450"/>
      <c r="Q26" s="450">
        <f>SUM(Q19:Q25)</f>
        <v>21126.742465814536</v>
      </c>
      <c r="R26" s="450"/>
      <c r="S26" s="450">
        <f>SUM(S19:S25)</f>
        <v>21404.923287246096</v>
      </c>
      <c r="T26" s="450"/>
      <c r="U26" s="450">
        <f>SUM(U19:U25)</f>
        <v>21415.423832085256</v>
      </c>
      <c r="V26" s="225"/>
      <c r="W26" s="450">
        <f>SUM(W19:W25)</f>
        <v>22364.038097674009</v>
      </c>
      <c r="X26" s="225"/>
      <c r="Y26" s="225">
        <f>SUM(Y19:Y25)</f>
        <v>20858.349693459168</v>
      </c>
    </row>
    <row r="27" spans="1:33">
      <c r="A27" s="520"/>
      <c r="I27" s="115"/>
      <c r="J27" s="115"/>
      <c r="K27" s="115"/>
      <c r="M27" s="115"/>
      <c r="N27" s="115"/>
      <c r="O27" s="115"/>
      <c r="P27" s="115"/>
      <c r="Q27" s="115"/>
      <c r="R27" s="115"/>
      <c r="S27" s="115"/>
      <c r="T27" s="115"/>
      <c r="U27" s="115"/>
      <c r="W27" s="115"/>
    </row>
    <row r="28" spans="1:33">
      <c r="A28" s="520">
        <v>16</v>
      </c>
      <c r="C28" s="324" t="s">
        <v>873</v>
      </c>
      <c r="I28" s="115"/>
      <c r="J28" s="115"/>
      <c r="K28" s="115"/>
      <c r="M28" s="115" t="s">
        <v>27</v>
      </c>
      <c r="N28" s="115"/>
      <c r="O28" s="115"/>
      <c r="P28" s="115"/>
      <c r="Q28" s="115"/>
      <c r="R28" s="115"/>
      <c r="S28" s="115"/>
      <c r="T28" s="115"/>
      <c r="U28" s="115"/>
      <c r="W28" s="115"/>
    </row>
    <row r="29" spans="1:33">
      <c r="A29" s="520">
        <v>17</v>
      </c>
      <c r="C29" s="149" t="s">
        <v>425</v>
      </c>
      <c r="F29" s="59"/>
      <c r="G29" s="807">
        <v>3.82</v>
      </c>
      <c r="H29" s="807"/>
      <c r="I29" s="808">
        <v>3.81</v>
      </c>
      <c r="J29" s="808"/>
      <c r="K29" s="808">
        <v>3.85</v>
      </c>
      <c r="L29" s="808"/>
      <c r="M29" s="808">
        <v>3.74</v>
      </c>
      <c r="N29" s="808"/>
      <c r="O29" s="808">
        <v>3.7970600000000001</v>
      </c>
      <c r="P29" s="808"/>
      <c r="Q29" s="808">
        <v>3.7831442787155951</v>
      </c>
      <c r="R29" s="808"/>
      <c r="S29" s="808">
        <v>3.7831442787155951</v>
      </c>
      <c r="T29" s="808"/>
      <c r="U29" s="808">
        <v>3.7831442787155951</v>
      </c>
      <c r="V29" s="807"/>
      <c r="W29" s="808">
        <v>3.8201499630997113</v>
      </c>
      <c r="X29" s="496"/>
      <c r="Y29" s="807">
        <v>3.8201499630997113</v>
      </c>
      <c r="AB29" s="496"/>
      <c r="AC29" s="496"/>
    </row>
    <row r="30" spans="1:33">
      <c r="A30" s="520">
        <v>18</v>
      </c>
      <c r="C30" s="149" t="s">
        <v>426</v>
      </c>
      <c r="F30" s="59"/>
      <c r="G30" s="807">
        <v>3.57</v>
      </c>
      <c r="H30" s="807"/>
      <c r="I30" s="808">
        <v>3.62</v>
      </c>
      <c r="J30" s="808"/>
      <c r="K30" s="808">
        <v>3.63</v>
      </c>
      <c r="L30" s="808"/>
      <c r="M30" s="808">
        <v>3.48</v>
      </c>
      <c r="N30" s="808"/>
      <c r="O30" s="808">
        <v>3.5158288504387736</v>
      </c>
      <c r="P30" s="808"/>
      <c r="Q30" s="808">
        <v>3.5858079252266499</v>
      </c>
      <c r="R30" s="808"/>
      <c r="S30" s="808">
        <v>3.5858079252266499</v>
      </c>
      <c r="T30" s="808"/>
      <c r="U30" s="808">
        <v>3.5858079252266499</v>
      </c>
      <c r="V30" s="807"/>
      <c r="W30" s="808">
        <v>3.5621443262172527</v>
      </c>
      <c r="X30" s="496"/>
      <c r="Y30" s="807">
        <v>3.5621443262172532</v>
      </c>
    </row>
    <row r="31" spans="1:33">
      <c r="A31" s="520">
        <v>19</v>
      </c>
      <c r="C31" s="149" t="s">
        <v>427</v>
      </c>
      <c r="F31" s="59"/>
      <c r="G31" s="807">
        <v>3.29</v>
      </c>
      <c r="H31" s="807"/>
      <c r="I31" s="808">
        <v>3.58</v>
      </c>
      <c r="J31" s="808"/>
      <c r="K31" s="808">
        <v>3.44</v>
      </c>
      <c r="L31" s="808"/>
      <c r="M31" s="808">
        <v>3.56</v>
      </c>
      <c r="N31" s="808"/>
      <c r="O31" s="808">
        <v>3.682679745798366</v>
      </c>
      <c r="P31" s="808"/>
      <c r="Q31" s="808">
        <v>3.5788816766843361</v>
      </c>
      <c r="R31" s="808"/>
      <c r="S31" s="808">
        <v>3.5788816766843361</v>
      </c>
      <c r="T31" s="808"/>
      <c r="U31" s="808">
        <v>3.5788816766843361</v>
      </c>
      <c r="V31" s="807"/>
      <c r="W31" s="808">
        <v>3.4104679443927828</v>
      </c>
      <c r="X31" s="496"/>
      <c r="Y31" s="807">
        <v>3.4104679443927828</v>
      </c>
    </row>
    <row r="32" spans="1:33">
      <c r="A32" s="520">
        <v>20</v>
      </c>
      <c r="C32" s="149" t="s">
        <v>428</v>
      </c>
      <c r="F32" s="59"/>
      <c r="G32" s="807">
        <v>3.43</v>
      </c>
      <c r="H32" s="807"/>
      <c r="I32" s="808">
        <v>3.4</v>
      </c>
      <c r="J32" s="808"/>
      <c r="K32" s="808">
        <v>3.62</v>
      </c>
      <c r="L32" s="808"/>
      <c r="M32" s="808">
        <v>3.58</v>
      </c>
      <c r="N32" s="808"/>
      <c r="O32" s="808">
        <v>3.4535779941114555</v>
      </c>
      <c r="P32" s="808"/>
      <c r="Q32" s="808">
        <v>3.6049617942228238</v>
      </c>
      <c r="R32" s="808"/>
      <c r="S32" s="808">
        <v>3.6049617942228238</v>
      </c>
      <c r="T32" s="808"/>
      <c r="U32" s="808">
        <v>3.6049617942228238</v>
      </c>
      <c r="V32" s="807"/>
      <c r="W32" s="808">
        <v>3.5645716878925882</v>
      </c>
      <c r="X32" s="496"/>
      <c r="Y32" s="807">
        <v>3.5645716878925877</v>
      </c>
    </row>
    <row r="33" spans="1:25">
      <c r="A33" s="520">
        <v>21</v>
      </c>
      <c r="C33" s="149" t="s">
        <v>429</v>
      </c>
      <c r="F33" s="59"/>
      <c r="G33" s="807">
        <v>3.05</v>
      </c>
      <c r="H33" s="807"/>
      <c r="I33" s="808">
        <v>0</v>
      </c>
      <c r="J33" s="808"/>
      <c r="K33" s="808">
        <v>0</v>
      </c>
      <c r="L33" s="808"/>
      <c r="M33" s="808">
        <v>0</v>
      </c>
      <c r="N33" s="808"/>
      <c r="O33" s="808">
        <v>0</v>
      </c>
      <c r="P33" s="808"/>
      <c r="Q33" s="808">
        <v>0</v>
      </c>
      <c r="R33" s="808"/>
      <c r="S33" s="808">
        <v>0</v>
      </c>
      <c r="T33" s="808"/>
      <c r="U33" s="808">
        <v>0</v>
      </c>
      <c r="V33" s="807"/>
      <c r="W33" s="808">
        <v>3.6231974013684409</v>
      </c>
      <c r="X33" s="496"/>
      <c r="Y33" s="807">
        <v>3.6231974013684409</v>
      </c>
    </row>
    <row r="34" spans="1:25">
      <c r="A34" s="520">
        <v>22</v>
      </c>
      <c r="C34" s="149" t="s">
        <v>430</v>
      </c>
      <c r="F34" s="59"/>
      <c r="G34" s="807">
        <v>2.96</v>
      </c>
      <c r="H34" s="807"/>
      <c r="I34" s="808">
        <v>2.99</v>
      </c>
      <c r="J34" s="808"/>
      <c r="K34" s="808">
        <v>2.5099999999999998</v>
      </c>
      <c r="L34" s="808"/>
      <c r="M34" s="808">
        <v>2.73</v>
      </c>
      <c r="N34" s="808"/>
      <c r="O34" s="808">
        <v>2.7665672138552426</v>
      </c>
      <c r="P34" s="808"/>
      <c r="Q34" s="808">
        <v>2.7867541674685841</v>
      </c>
      <c r="R34" s="808"/>
      <c r="S34" s="808">
        <v>2.7867541674685841</v>
      </c>
      <c r="T34" s="808"/>
      <c r="U34" s="808">
        <v>2.7867541674685841</v>
      </c>
      <c r="V34" s="807"/>
      <c r="W34" s="808">
        <v>2.9916297255835547</v>
      </c>
      <c r="X34" s="496"/>
      <c r="Y34" s="807">
        <v>2.9916297255835547</v>
      </c>
    </row>
    <row r="35" spans="1:25">
      <c r="A35" s="520">
        <v>23</v>
      </c>
      <c r="C35" s="149" t="s">
        <v>484</v>
      </c>
      <c r="F35" s="59"/>
      <c r="G35" s="807">
        <v>3</v>
      </c>
      <c r="H35" s="807"/>
      <c r="I35" s="808">
        <v>3</v>
      </c>
      <c r="J35" s="808"/>
      <c r="K35" s="808">
        <v>3</v>
      </c>
      <c r="L35" s="808"/>
      <c r="M35" s="808">
        <f>M25/M44</f>
        <v>3.3533834586466167</v>
      </c>
      <c r="N35" s="808"/>
      <c r="O35" s="808">
        <v>1.5</v>
      </c>
      <c r="P35" s="808"/>
      <c r="Q35" s="808">
        <v>3.0209276147550286</v>
      </c>
      <c r="R35" s="808"/>
      <c r="S35" s="808">
        <v>3.0209276147550286</v>
      </c>
      <c r="T35" s="808"/>
      <c r="U35" s="808">
        <v>3.0209276147550286</v>
      </c>
      <c r="V35" s="807"/>
      <c r="W35" s="808">
        <v>3.5</v>
      </c>
      <c r="X35" s="496"/>
      <c r="Y35" s="807">
        <v>3.5</v>
      </c>
    </row>
    <row r="36" spans="1:25">
      <c r="A36" s="520"/>
      <c r="C36" s="149"/>
      <c r="F36" s="59"/>
      <c r="G36" s="59"/>
      <c r="H36" s="59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59"/>
      <c r="W36" s="115"/>
    </row>
    <row r="37" spans="1:25">
      <c r="A37" s="520">
        <v>24</v>
      </c>
      <c r="C37" s="324" t="s">
        <v>874</v>
      </c>
      <c r="I37" s="115"/>
      <c r="J37" s="115"/>
      <c r="K37" s="115"/>
      <c r="M37" s="115"/>
      <c r="N37" s="115"/>
      <c r="O37" s="115"/>
      <c r="P37" s="115"/>
      <c r="Q37" s="115"/>
      <c r="R37" s="115"/>
      <c r="S37" s="115"/>
      <c r="T37" s="115"/>
      <c r="U37" s="115"/>
      <c r="W37" s="115"/>
    </row>
    <row r="38" spans="1:25">
      <c r="A38" s="520">
        <v>25</v>
      </c>
      <c r="C38" s="149" t="s">
        <v>425</v>
      </c>
      <c r="F38" s="195"/>
      <c r="G38" s="779">
        <v>3726</v>
      </c>
      <c r="H38" s="779"/>
      <c r="I38" s="206">
        <v>3695</v>
      </c>
      <c r="J38" s="206"/>
      <c r="K38" s="206">
        <v>3673.3</v>
      </c>
      <c r="L38" s="206"/>
      <c r="M38" s="206">
        <v>3791</v>
      </c>
      <c r="N38" s="206"/>
      <c r="O38" s="206">
        <f>+O19/O29</f>
        <v>3956.7454820308344</v>
      </c>
      <c r="P38" s="206"/>
      <c r="Q38" s="206">
        <f>+Q19/Q29</f>
        <v>3987.5385138655665</v>
      </c>
      <c r="R38" s="206"/>
      <c r="S38" s="206">
        <f>+S19/S29</f>
        <v>4034.0080419636843</v>
      </c>
      <c r="T38" s="206"/>
      <c r="U38" s="206">
        <f>+U19/U29</f>
        <v>4035.5797754610026</v>
      </c>
      <c r="V38" s="779"/>
      <c r="W38" s="206">
        <v>3777.5522739829789</v>
      </c>
      <c r="X38" s="225"/>
      <c r="Y38" s="779">
        <v>3819.9523606365183</v>
      </c>
    </row>
    <row r="39" spans="1:25">
      <c r="A39" s="520">
        <v>26</v>
      </c>
      <c r="C39" s="149" t="s">
        <v>426</v>
      </c>
      <c r="F39" s="195"/>
      <c r="G39" s="779">
        <v>513</v>
      </c>
      <c r="H39" s="779"/>
      <c r="I39" s="206">
        <v>515</v>
      </c>
      <c r="J39" s="206"/>
      <c r="K39" s="206">
        <v>526.29999999999995</v>
      </c>
      <c r="L39" s="206"/>
      <c r="M39" s="206">
        <v>569</v>
      </c>
      <c r="N39" s="206"/>
      <c r="O39" s="206">
        <f t="shared" ref="O39:Q43" si="0">+O20/O30</f>
        <v>539.45800000000008</v>
      </c>
      <c r="P39" s="206"/>
      <c r="Q39" s="206">
        <f t="shared" si="0"/>
        <v>501.85021403403852</v>
      </c>
      <c r="R39" s="206"/>
      <c r="S39" s="206">
        <f>+S20/S30</f>
        <v>510.99851935461879</v>
      </c>
      <c r="T39" s="206"/>
      <c r="U39" s="206">
        <f>+U20/U30</f>
        <v>511.51094687291499</v>
      </c>
      <c r="V39" s="779"/>
      <c r="W39" s="206">
        <v>567.32657253883519</v>
      </c>
      <c r="X39" s="225"/>
      <c r="Y39" s="779">
        <v>593.70074988551505</v>
      </c>
    </row>
    <row r="40" spans="1:25">
      <c r="A40" s="520">
        <v>27</v>
      </c>
      <c r="C40" s="149" t="s">
        <v>427</v>
      </c>
      <c r="F40" s="195"/>
      <c r="G40" s="779">
        <v>521</v>
      </c>
      <c r="H40" s="779"/>
      <c r="I40" s="206">
        <v>483</v>
      </c>
      <c r="J40" s="206"/>
      <c r="K40" s="206">
        <v>498</v>
      </c>
      <c r="L40" s="206"/>
      <c r="M40" s="206">
        <v>523</v>
      </c>
      <c r="N40" s="206"/>
      <c r="O40" s="206">
        <f t="shared" si="0"/>
        <v>541.93200000000002</v>
      </c>
      <c r="P40" s="206"/>
      <c r="Q40" s="206">
        <f>+Q21/Q31</f>
        <v>510.27580050800822</v>
      </c>
      <c r="R40" s="206"/>
      <c r="S40" s="206">
        <f>+S21/S31</f>
        <v>519.74288703230275</v>
      </c>
      <c r="T40" s="206"/>
      <c r="U40" s="206">
        <f>+U21/U31</f>
        <v>520.26299868433455</v>
      </c>
      <c r="V40" s="779"/>
      <c r="W40" s="779">
        <v>504.88847797044269</v>
      </c>
      <c r="X40" s="225"/>
      <c r="Y40" s="779">
        <v>510.40815908008739</v>
      </c>
    </row>
    <row r="41" spans="1:25">
      <c r="A41" s="520">
        <v>28</v>
      </c>
      <c r="C41" s="149" t="s">
        <v>428</v>
      </c>
      <c r="F41" s="195"/>
      <c r="G41" s="779">
        <v>523</v>
      </c>
      <c r="H41" s="779"/>
      <c r="I41" s="206">
        <v>541</v>
      </c>
      <c r="J41" s="206"/>
      <c r="K41" s="206">
        <v>514</v>
      </c>
      <c r="L41" s="206"/>
      <c r="M41" s="206">
        <v>584</v>
      </c>
      <c r="N41" s="206"/>
      <c r="O41" s="206">
        <f t="shared" si="0"/>
        <v>618.48900000000003</v>
      </c>
      <c r="P41" s="206"/>
      <c r="Q41" s="206">
        <f t="shared" si="0"/>
        <v>577.76414614797193</v>
      </c>
      <c r="R41" s="206"/>
      <c r="S41" s="206">
        <f>+S22/S32</f>
        <v>586.52310391555579</v>
      </c>
      <c r="T41" s="206"/>
      <c r="U41" s="206">
        <f>+U22/U32</f>
        <v>586.53619662849042</v>
      </c>
      <c r="V41" s="779"/>
      <c r="W41" s="779">
        <v>562.3726892529952</v>
      </c>
      <c r="X41" s="225"/>
      <c r="Y41" s="779">
        <v>569.32758812811903</v>
      </c>
    </row>
    <row r="42" spans="1:25">
      <c r="A42" s="520">
        <v>29</v>
      </c>
      <c r="C42" s="149" t="s">
        <v>429</v>
      </c>
      <c r="F42" s="195"/>
      <c r="G42" s="779">
        <v>644</v>
      </c>
      <c r="H42" s="779"/>
      <c r="I42" s="206">
        <v>0</v>
      </c>
      <c r="J42" s="206"/>
      <c r="K42" s="206">
        <v>0</v>
      </c>
      <c r="L42" s="206"/>
      <c r="M42" s="206">
        <v>0</v>
      </c>
      <c r="N42" s="206"/>
      <c r="O42" s="206">
        <v>0</v>
      </c>
      <c r="P42" s="206"/>
      <c r="Q42" s="206">
        <v>0</v>
      </c>
      <c r="R42" s="206"/>
      <c r="S42" s="206">
        <v>0</v>
      </c>
      <c r="T42" s="206"/>
      <c r="U42" s="206">
        <v>0</v>
      </c>
      <c r="V42" s="779"/>
      <c r="W42" s="779">
        <v>514.30133258208127</v>
      </c>
      <c r="X42" s="225"/>
      <c r="Y42" s="779">
        <v>3.0359924623056487</v>
      </c>
    </row>
    <row r="43" spans="1:25">
      <c r="A43" s="520">
        <v>30</v>
      </c>
      <c r="C43" s="149" t="s">
        <v>430</v>
      </c>
      <c r="F43" s="195"/>
      <c r="G43" s="779">
        <v>92</v>
      </c>
      <c r="H43" s="779"/>
      <c r="I43" s="206">
        <v>88</v>
      </c>
      <c r="J43" s="206"/>
      <c r="K43" s="206">
        <v>74</v>
      </c>
      <c r="L43" s="206"/>
      <c r="M43" s="206">
        <v>81</v>
      </c>
      <c r="N43" s="206"/>
      <c r="O43" s="206">
        <f t="shared" si="0"/>
        <v>84.12374687101223</v>
      </c>
      <c r="P43" s="206"/>
      <c r="Q43" s="206">
        <f t="shared" si="0"/>
        <v>94.28032576547416</v>
      </c>
      <c r="R43" s="206"/>
      <c r="S43" s="206">
        <f>+S24/S34</f>
        <v>95.758222810346965</v>
      </c>
      <c r="T43" s="206"/>
      <c r="U43" s="206">
        <f>+U24/U34</f>
        <v>96.048297483293112</v>
      </c>
      <c r="V43" s="779"/>
      <c r="W43" s="779">
        <v>93.054229355366587</v>
      </c>
      <c r="X43" s="779"/>
      <c r="Y43" s="779">
        <v>108.82743830035933</v>
      </c>
    </row>
    <row r="44" spans="1:25">
      <c r="A44" s="520">
        <v>31</v>
      </c>
      <c r="C44" s="149" t="s">
        <v>484</v>
      </c>
      <c r="F44" s="195"/>
      <c r="G44" s="812">
        <v>67</v>
      </c>
      <c r="H44" s="779"/>
      <c r="I44" s="258">
        <v>87</v>
      </c>
      <c r="J44" s="206"/>
      <c r="K44" s="258">
        <v>25</v>
      </c>
      <c r="L44" s="211"/>
      <c r="M44" s="258">
        <v>133</v>
      </c>
      <c r="N44" s="211"/>
      <c r="O44" s="258">
        <f>+O25/O35</f>
        <v>16.599999999999998</v>
      </c>
      <c r="P44" s="211"/>
      <c r="Q44" s="258">
        <f>+Q25/Q35-3</f>
        <v>20.17169059533272</v>
      </c>
      <c r="R44" s="211"/>
      <c r="S44" s="258">
        <f>+S25/S35-3</f>
        <v>20.17169059533272</v>
      </c>
      <c r="T44" s="211"/>
      <c r="U44" s="258">
        <f>+U25/U35-3</f>
        <v>20.17169059533272</v>
      </c>
      <c r="V44" s="779"/>
      <c r="W44" s="812">
        <v>12.571428571428571</v>
      </c>
      <c r="X44" s="779"/>
      <c r="Y44" s="812">
        <v>12.571428571428571</v>
      </c>
    </row>
    <row r="45" spans="1:25">
      <c r="A45" s="520">
        <v>32</v>
      </c>
      <c r="E45" s="55" t="s">
        <v>435</v>
      </c>
      <c r="G45" s="225">
        <f>SUM(G38:G44)</f>
        <v>6086</v>
      </c>
      <c r="H45" s="225"/>
      <c r="I45" s="450">
        <f>SUM(I38:I44)</f>
        <v>5409</v>
      </c>
      <c r="J45" s="450"/>
      <c r="K45" s="450">
        <f>SUM(K38:K44)</f>
        <v>5310.6</v>
      </c>
      <c r="L45" s="450"/>
      <c r="M45" s="450">
        <f>SUM(M38:M44)</f>
        <v>5681</v>
      </c>
      <c r="N45" s="450"/>
      <c r="O45" s="450">
        <f>SUM(O38:O44)</f>
        <v>5757.3482289018475</v>
      </c>
      <c r="P45" s="450"/>
      <c r="Q45" s="450">
        <f>SUM(Q38:Q44)</f>
        <v>5691.8806909163923</v>
      </c>
      <c r="R45" s="450"/>
      <c r="S45" s="450">
        <f>SUM(S38:S44)</f>
        <v>5767.2024656718413</v>
      </c>
      <c r="T45" s="450"/>
      <c r="U45" s="450">
        <f>SUM(U38:U44)</f>
        <v>5770.1099057253678</v>
      </c>
      <c r="V45" s="225"/>
      <c r="W45" s="225">
        <f>SUM(W38:W44)</f>
        <v>6032.0670042541278</v>
      </c>
      <c r="X45" s="225"/>
      <c r="Y45" s="225">
        <f>SUM(Y38:Y44)</f>
        <v>5617.8237170643315</v>
      </c>
    </row>
    <row r="46" spans="1:25">
      <c r="A46" s="527"/>
      <c r="F46" s="195"/>
      <c r="G46" s="195"/>
      <c r="H46" s="195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5"/>
      <c r="W46" s="195"/>
      <c r="X46" s="195"/>
      <c r="Y46" s="195"/>
    </row>
    <row r="49" spans="15:15">
      <c r="O49" s="530"/>
    </row>
    <row r="50" spans="15:15">
      <c r="O50" s="530"/>
    </row>
    <row r="51" spans="15:15">
      <c r="O51" s="530"/>
    </row>
    <row r="52" spans="15:15">
      <c r="O52" s="530"/>
    </row>
    <row r="53" spans="15:15">
      <c r="O53" s="530"/>
    </row>
    <row r="54" spans="15:15">
      <c r="O54" s="530"/>
    </row>
    <row r="55" spans="15:15">
      <c r="O55" s="530"/>
    </row>
  </sheetData>
  <customSheetViews>
    <customSheetView guid="{275E5119-9E8C-43ED-ACD2-DF40CF10B219}" scale="70">
      <selection activeCell="O29" sqref="O29"/>
      <pageMargins left="0.5" right="0.5" top="0.74" bottom="0.69" header="0.5" footer="0.5"/>
      <pageSetup scale="65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O29" sqref="O29"/>
      <pageMargins left="0.5" right="0.5" top="0.74" bottom="0.69" header="0.5" footer="0.5"/>
      <pageSetup scale="65" orientation="landscape" horizontalDpi="4294967292" verticalDpi="4294967292" r:id="rId2"/>
      <headerFooter alignWithMargins="0"/>
    </customSheetView>
  </customSheetViews>
  <mergeCells count="2">
    <mergeCell ref="A4:Y4"/>
    <mergeCell ref="Q6:U6"/>
  </mergeCells>
  <phoneticPr fontId="8" type="noConversion"/>
  <printOptions horizontalCentered="1"/>
  <pageMargins left="0.5" right="0.5" top="0.74" bottom="0.69" header="0.5" footer="0.5"/>
  <pageSetup scale="53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 enableFormatConditionsCalculation="0">
    <pageSetUpPr fitToPage="1"/>
  </sheetPr>
  <dimension ref="A1:R58"/>
  <sheetViews>
    <sheetView topLeftCell="A7" zoomScale="70" zoomScaleNormal="70" zoomScaleSheetLayoutView="76" workbookViewId="0">
      <selection activeCell="V236" sqref="V236"/>
    </sheetView>
  </sheetViews>
  <sheetFormatPr defaultColWidth="7.5703125" defaultRowHeight="12.75"/>
  <cols>
    <col min="1" max="1" width="8.5703125" style="398" customWidth="1"/>
    <col min="2" max="2" width="2" style="398" customWidth="1"/>
    <col min="3" max="3" width="61.85546875" style="398" customWidth="1"/>
    <col min="4" max="4" width="2" style="398" customWidth="1"/>
    <col min="5" max="5" width="12.42578125" style="817" customWidth="1"/>
    <col min="6" max="6" width="2" style="398" customWidth="1"/>
    <col min="7" max="7" width="13.7109375" style="398" customWidth="1"/>
    <col min="8" max="8" width="2" style="398" customWidth="1"/>
    <col min="9" max="9" width="13.7109375" style="398" customWidth="1"/>
    <col min="10" max="10" width="2" style="398" customWidth="1"/>
    <col min="11" max="11" width="13.7109375" style="398" customWidth="1"/>
    <col min="12" max="12" width="2" style="398" customWidth="1"/>
    <col min="13" max="13" width="13.7109375" style="398" customWidth="1"/>
    <col min="14" max="14" width="2" style="398" customWidth="1"/>
    <col min="15" max="15" width="13.7109375" style="398" customWidth="1"/>
    <col min="16" max="16" width="2" style="398" customWidth="1"/>
    <col min="17" max="17" width="13.7109375" style="398" customWidth="1"/>
    <col min="18" max="18" width="2" style="398" customWidth="1"/>
    <col min="19" max="16384" width="7.5703125" style="398"/>
  </cols>
  <sheetData>
    <row r="1" spans="1:18" ht="15.75">
      <c r="A1" s="420" t="s">
        <v>540</v>
      </c>
      <c r="B1" s="420"/>
      <c r="C1" s="133"/>
      <c r="D1" s="406"/>
      <c r="E1" s="406"/>
      <c r="F1" s="406"/>
      <c r="G1" s="406"/>
      <c r="H1" s="406"/>
      <c r="I1" s="406"/>
      <c r="J1" s="406"/>
      <c r="K1" s="133"/>
      <c r="L1" s="133"/>
      <c r="M1" s="133"/>
      <c r="N1" s="133"/>
      <c r="O1" s="133"/>
      <c r="P1" s="133"/>
      <c r="Q1" s="133"/>
      <c r="R1" s="126" t="s">
        <v>468</v>
      </c>
    </row>
    <row r="2" spans="1:18" ht="15.75">
      <c r="A2" s="420" t="s">
        <v>463</v>
      </c>
      <c r="B2" s="406"/>
      <c r="C2" s="406"/>
      <c r="D2" s="406"/>
      <c r="E2" s="406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26"/>
    </row>
    <row r="3" spans="1:18" ht="15.75">
      <c r="A3" s="420" t="s">
        <v>229</v>
      </c>
      <c r="B3" s="406"/>
      <c r="C3" s="406"/>
      <c r="D3" s="406"/>
      <c r="E3" s="406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8" s="448" customFormat="1" ht="15.75">
      <c r="A4" s="420" t="s">
        <v>32</v>
      </c>
      <c r="B4" s="420"/>
      <c r="C4" s="420"/>
      <c r="D4" s="420"/>
      <c r="E4" s="420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</row>
    <row r="5" spans="1:18" s="448" customFormat="1" ht="15.75">
      <c r="A5" s="420"/>
      <c r="B5" s="420"/>
      <c r="C5" s="420"/>
      <c r="D5" s="420"/>
      <c r="E5" s="420"/>
    </row>
    <row r="6" spans="1:18" s="448" customFormat="1" ht="15.75">
      <c r="A6" s="806" t="s">
        <v>33</v>
      </c>
      <c r="B6" s="806"/>
      <c r="C6" s="806"/>
      <c r="D6" s="806"/>
      <c r="E6" s="806" t="s">
        <v>34</v>
      </c>
      <c r="F6" s="806"/>
      <c r="G6" s="806" t="s">
        <v>25</v>
      </c>
      <c r="H6" s="806"/>
      <c r="I6" s="806" t="s">
        <v>25</v>
      </c>
      <c r="J6" s="806"/>
      <c r="K6" s="806" t="s">
        <v>25</v>
      </c>
      <c r="M6" s="823" t="s">
        <v>330</v>
      </c>
      <c r="N6" s="823"/>
      <c r="O6" s="823"/>
      <c r="P6" s="823"/>
      <c r="Q6" s="823"/>
    </row>
    <row r="7" spans="1:18" s="448" customFormat="1" ht="15.75">
      <c r="A7" s="805" t="s">
        <v>35</v>
      </c>
      <c r="B7" s="806"/>
      <c r="C7" s="417" t="s">
        <v>176</v>
      </c>
      <c r="D7" s="418"/>
      <c r="E7" s="805" t="s">
        <v>36</v>
      </c>
      <c r="F7" s="641"/>
      <c r="G7" s="519">
        <v>2010</v>
      </c>
      <c r="H7" s="641"/>
      <c r="I7" s="519">
        <v>2011</v>
      </c>
      <c r="J7" s="641"/>
      <c r="K7" s="519">
        <v>2012</v>
      </c>
      <c r="L7" s="816"/>
      <c r="M7" s="519">
        <v>2013</v>
      </c>
      <c r="N7" s="641"/>
      <c r="O7" s="519">
        <v>2014</v>
      </c>
      <c r="P7" s="641"/>
      <c r="Q7" s="519">
        <v>2015</v>
      </c>
    </row>
    <row r="8" spans="1:18" s="448" customFormat="1" ht="15">
      <c r="A8" s="463"/>
      <c r="B8" s="463"/>
      <c r="C8" s="463"/>
      <c r="D8" s="463"/>
      <c r="E8" s="166"/>
    </row>
    <row r="9" spans="1:18" s="448" customFormat="1" ht="15.75">
      <c r="A9" s="521">
        <v>1</v>
      </c>
      <c r="C9" s="410" t="s">
        <v>234</v>
      </c>
      <c r="D9" s="806"/>
      <c r="E9" s="166"/>
      <c r="F9" s="210"/>
      <c r="G9" s="210"/>
      <c r="H9" s="210"/>
      <c r="I9" s="210"/>
      <c r="J9" s="210"/>
    </row>
    <row r="10" spans="1:18" s="448" customFormat="1" ht="15.75">
      <c r="A10" s="521">
        <f>A9+1</f>
        <v>2</v>
      </c>
      <c r="C10" s="288" t="s">
        <v>352</v>
      </c>
      <c r="D10" s="806"/>
      <c r="E10" s="314" t="s">
        <v>815</v>
      </c>
      <c r="F10" s="206"/>
      <c r="G10" s="206">
        <v>111.16775999999999</v>
      </c>
      <c r="H10" s="206"/>
      <c r="I10" s="206">
        <v>108.03092000000001</v>
      </c>
      <c r="J10" s="206"/>
      <c r="K10" s="206">
        <v>153.88925000000003</v>
      </c>
      <c r="L10" s="210"/>
      <c r="M10" s="206">
        <v>319.99334026770947</v>
      </c>
      <c r="N10" s="210"/>
      <c r="O10" s="206">
        <v>418.55362979831222</v>
      </c>
      <c r="P10" s="210"/>
      <c r="Q10" s="206">
        <v>454.16437228686215</v>
      </c>
    </row>
    <row r="11" spans="1:18" s="448" customFormat="1" ht="15">
      <c r="A11" s="521">
        <f t="shared" ref="A11:A57" si="0">A10+1</f>
        <v>3</v>
      </c>
      <c r="C11" s="288" t="s">
        <v>351</v>
      </c>
      <c r="D11" s="166"/>
      <c r="E11" s="314"/>
      <c r="F11" s="206"/>
      <c r="G11" s="206">
        <v>61.716529999999999</v>
      </c>
      <c r="H11" s="206"/>
      <c r="I11" s="206">
        <v>63.056359999999998</v>
      </c>
      <c r="J11" s="206"/>
      <c r="K11" s="206">
        <v>68.964600000000004</v>
      </c>
      <c r="L11" s="210"/>
      <c r="M11" s="206">
        <v>65.193103178104082</v>
      </c>
      <c r="N11" s="210"/>
      <c r="O11" s="206">
        <v>66.801690251790546</v>
      </c>
      <c r="P11" s="210"/>
      <c r="Q11" s="206">
        <v>68.70521627398314</v>
      </c>
    </row>
    <row r="12" spans="1:18" s="448" customFormat="1" ht="15">
      <c r="A12" s="521">
        <f t="shared" si="0"/>
        <v>4</v>
      </c>
      <c r="C12" s="288" t="s">
        <v>353</v>
      </c>
      <c r="D12" s="166"/>
      <c r="E12" s="314" t="s">
        <v>816</v>
      </c>
      <c r="F12" s="206"/>
      <c r="G12" s="206">
        <v>487.07017000000002</v>
      </c>
      <c r="H12" s="206"/>
      <c r="I12" s="206">
        <v>601.33829999999989</v>
      </c>
      <c r="J12" s="206"/>
      <c r="K12" s="206">
        <v>456.55130000000003</v>
      </c>
      <c r="L12" s="210"/>
      <c r="M12" s="206">
        <v>519.19507401119301</v>
      </c>
      <c r="N12" s="210"/>
      <c r="O12" s="206">
        <v>704.47032188745459</v>
      </c>
      <c r="P12" s="210"/>
      <c r="Q12" s="206">
        <v>715.33943014448698</v>
      </c>
    </row>
    <row r="13" spans="1:18" s="448" customFormat="1" ht="15">
      <c r="A13" s="521">
        <f t="shared" si="0"/>
        <v>5</v>
      </c>
      <c r="C13" s="288" t="s">
        <v>361</v>
      </c>
      <c r="D13" s="166"/>
      <c r="E13" s="314" t="s">
        <v>817</v>
      </c>
      <c r="F13" s="206"/>
      <c r="G13" s="206">
        <v>19.441240000000001</v>
      </c>
      <c r="H13" s="206"/>
      <c r="I13" s="206">
        <v>62.883769999999998</v>
      </c>
      <c r="J13" s="206"/>
      <c r="K13" s="206">
        <v>104.82658000000001</v>
      </c>
      <c r="L13" s="210"/>
      <c r="M13" s="206">
        <v>48.451853490330798</v>
      </c>
      <c r="N13" s="210"/>
      <c r="O13" s="206">
        <v>49.465277392600463</v>
      </c>
      <c r="P13" s="210"/>
      <c r="Q13" s="206">
        <v>50.542957157003059</v>
      </c>
    </row>
    <row r="14" spans="1:18" s="448" customFormat="1" ht="15">
      <c r="A14" s="521">
        <f t="shared" si="0"/>
        <v>6</v>
      </c>
      <c r="C14" s="288" t="s">
        <v>372</v>
      </c>
      <c r="D14" s="166" t="s">
        <v>27</v>
      </c>
      <c r="E14" s="314" t="s">
        <v>818</v>
      </c>
      <c r="F14" s="206"/>
      <c r="G14" s="206">
        <v>913.27596000000005</v>
      </c>
      <c r="H14" s="206"/>
      <c r="I14" s="206">
        <v>1013.4120100000001</v>
      </c>
      <c r="J14" s="206"/>
      <c r="K14" s="206">
        <v>1193.4398999999999</v>
      </c>
      <c r="L14" s="210"/>
      <c r="M14" s="206">
        <v>1216.4346135716048</v>
      </c>
      <c r="N14" s="210"/>
      <c r="O14" s="206">
        <v>1237.6217146081995</v>
      </c>
      <c r="P14" s="210"/>
      <c r="Q14" s="206">
        <v>1261.2435925408722</v>
      </c>
    </row>
    <row r="15" spans="1:18" s="448" customFormat="1" ht="15">
      <c r="A15" s="521">
        <f t="shared" si="0"/>
        <v>7</v>
      </c>
      <c r="C15" s="463"/>
      <c r="D15" s="166"/>
      <c r="E15" s="314"/>
      <c r="F15" s="206"/>
      <c r="G15" s="212">
        <f>SUM(G10:G14)</f>
        <v>1592.67166</v>
      </c>
      <c r="H15" s="206"/>
      <c r="I15" s="212">
        <f>SUM(I10:I14)</f>
        <v>1848.72136</v>
      </c>
      <c r="J15" s="206"/>
      <c r="K15" s="212">
        <f>SUM(K10:K14)</f>
        <v>1977.6716299999998</v>
      </c>
      <c r="L15" s="210"/>
      <c r="M15" s="212">
        <f>SUM(M10:M14)</f>
        <v>2169.2679845189423</v>
      </c>
      <c r="N15" s="210"/>
      <c r="O15" s="212">
        <f>SUM(O10:O14)</f>
        <v>2476.9126339383574</v>
      </c>
      <c r="P15" s="210"/>
      <c r="Q15" s="212">
        <f>SUM(Q10:Q14)</f>
        <v>2549.9955684032075</v>
      </c>
    </row>
    <row r="16" spans="1:18" s="448" customFormat="1" ht="15.75">
      <c r="A16" s="521">
        <f t="shared" si="0"/>
        <v>8</v>
      </c>
      <c r="B16" s="463"/>
      <c r="C16" s="410" t="s">
        <v>47</v>
      </c>
      <c r="D16" s="410"/>
      <c r="E16" s="314"/>
      <c r="F16" s="206"/>
      <c r="G16" s="210"/>
      <c r="H16" s="206"/>
      <c r="I16" s="210"/>
      <c r="J16" s="206"/>
      <c r="K16" s="210"/>
      <c r="L16" s="210"/>
      <c r="M16" s="210"/>
      <c r="N16" s="210"/>
      <c r="O16" s="210"/>
      <c r="P16" s="210"/>
      <c r="Q16" s="210"/>
    </row>
    <row r="17" spans="1:17" s="448" customFormat="1" ht="15">
      <c r="A17" s="521">
        <f t="shared" si="0"/>
        <v>9</v>
      </c>
      <c r="B17" s="463"/>
      <c r="C17" s="288" t="s">
        <v>88</v>
      </c>
      <c r="D17" s="288"/>
      <c r="E17" s="314" t="s">
        <v>819</v>
      </c>
      <c r="F17" s="206"/>
      <c r="G17" s="206">
        <v>234.09072</v>
      </c>
      <c r="H17" s="206"/>
      <c r="I17" s="206">
        <v>241.76340999999999</v>
      </c>
      <c r="J17" s="206"/>
      <c r="K17" s="206">
        <v>263.27393999999998</v>
      </c>
      <c r="L17" s="210"/>
      <c r="M17" s="206">
        <v>297.17097325063139</v>
      </c>
      <c r="N17" s="210"/>
      <c r="O17" s="206">
        <v>305.12327162672807</v>
      </c>
      <c r="P17" s="210"/>
      <c r="Q17" s="206">
        <v>314.19734191380036</v>
      </c>
    </row>
    <row r="18" spans="1:17" s="448" customFormat="1" ht="15">
      <c r="A18" s="521">
        <f t="shared" si="0"/>
        <v>10</v>
      </c>
      <c r="B18" s="463"/>
      <c r="C18" s="288" t="s">
        <v>246</v>
      </c>
      <c r="D18" s="288"/>
      <c r="E18" s="314" t="s">
        <v>820</v>
      </c>
      <c r="F18" s="206"/>
      <c r="G18" s="206">
        <v>355.21799000000004</v>
      </c>
      <c r="H18" s="206"/>
      <c r="I18" s="206">
        <v>283.10696000000002</v>
      </c>
      <c r="J18" s="206"/>
      <c r="K18" s="206">
        <v>542.56897000000004</v>
      </c>
      <c r="L18" s="210"/>
      <c r="M18" s="206">
        <v>403.0051311056564</v>
      </c>
      <c r="N18" s="210"/>
      <c r="O18" s="206">
        <v>411.23091721080215</v>
      </c>
      <c r="P18" s="210"/>
      <c r="Q18" s="206">
        <v>419.85664386973883</v>
      </c>
    </row>
    <row r="19" spans="1:17" s="448" customFormat="1" ht="15">
      <c r="A19" s="521">
        <f t="shared" si="0"/>
        <v>11</v>
      </c>
      <c r="B19" s="463"/>
      <c r="C19" s="288" t="s">
        <v>104</v>
      </c>
      <c r="D19" s="288"/>
      <c r="E19" s="314"/>
      <c r="F19" s="206"/>
      <c r="G19" s="206">
        <v>-152.00561999999999</v>
      </c>
      <c r="H19" s="206"/>
      <c r="I19" s="206">
        <v>-162.03367000000003</v>
      </c>
      <c r="J19" s="206"/>
      <c r="K19" s="206">
        <v>-170.06670000000003</v>
      </c>
      <c r="L19" s="210"/>
      <c r="M19" s="206">
        <v>-183.6</v>
      </c>
      <c r="N19" s="210"/>
      <c r="O19" s="206">
        <v>-187.27199999999999</v>
      </c>
      <c r="P19" s="210"/>
      <c r="Q19" s="206">
        <v>-191.01743999999999</v>
      </c>
    </row>
    <row r="20" spans="1:17" s="448" customFormat="1" ht="15">
      <c r="A20" s="521">
        <f t="shared" si="0"/>
        <v>12</v>
      </c>
      <c r="B20" s="463"/>
      <c r="C20" s="288" t="s">
        <v>85</v>
      </c>
      <c r="D20" s="288"/>
      <c r="E20" s="314" t="s">
        <v>821</v>
      </c>
      <c r="F20" s="206"/>
      <c r="G20" s="206">
        <v>1769.0829799999995</v>
      </c>
      <c r="H20" s="206"/>
      <c r="I20" s="206">
        <v>1808.2901299999992</v>
      </c>
      <c r="J20" s="206"/>
      <c r="K20" s="206">
        <v>1938.4936600000005</v>
      </c>
      <c r="L20" s="210"/>
      <c r="M20" s="206">
        <v>1988.9968216995717</v>
      </c>
      <c r="N20" s="210"/>
      <c r="O20" s="206">
        <v>2034.30956208726</v>
      </c>
      <c r="P20" s="210"/>
      <c r="Q20" s="206">
        <v>2132.0036448602486</v>
      </c>
    </row>
    <row r="21" spans="1:17" s="448" customFormat="1" ht="15">
      <c r="A21" s="521">
        <f t="shared" si="0"/>
        <v>13</v>
      </c>
      <c r="B21" s="463"/>
      <c r="C21" s="288" t="s">
        <v>391</v>
      </c>
      <c r="D21" s="288"/>
      <c r="E21" s="314"/>
      <c r="F21" s="206"/>
      <c r="G21" s="206">
        <v>64.21302</v>
      </c>
      <c r="H21" s="206"/>
      <c r="I21" s="206">
        <v>90.00703</v>
      </c>
      <c r="J21" s="206"/>
      <c r="K21" s="206">
        <v>101.16785</v>
      </c>
      <c r="L21" s="210"/>
      <c r="M21" s="206">
        <v>103.19120700000001</v>
      </c>
      <c r="N21" s="210"/>
      <c r="O21" s="206">
        <v>105.25503114</v>
      </c>
      <c r="P21" s="210"/>
      <c r="Q21" s="206">
        <v>107.36013176280001</v>
      </c>
    </row>
    <row r="22" spans="1:17" s="448" customFormat="1" ht="15">
      <c r="A22" s="521">
        <f t="shared" si="0"/>
        <v>14</v>
      </c>
      <c r="B22" s="463"/>
      <c r="C22" s="288" t="s">
        <v>316</v>
      </c>
      <c r="D22" s="288"/>
      <c r="E22" s="314" t="s">
        <v>822</v>
      </c>
      <c r="F22" s="206"/>
      <c r="G22" s="206">
        <v>94.68677000000001</v>
      </c>
      <c r="H22" s="206"/>
      <c r="I22" s="206">
        <v>91.000479999999996</v>
      </c>
      <c r="J22" s="206"/>
      <c r="K22" s="206">
        <v>204.81629000000004</v>
      </c>
      <c r="L22" s="210"/>
      <c r="M22" s="206">
        <v>173.25697105336508</v>
      </c>
      <c r="N22" s="210"/>
      <c r="O22" s="206">
        <v>177.31414946700042</v>
      </c>
      <c r="P22" s="210"/>
      <c r="Q22" s="206">
        <v>202.722920334376</v>
      </c>
    </row>
    <row r="23" spans="1:17" s="448" customFormat="1" ht="15">
      <c r="A23" s="521">
        <f t="shared" si="0"/>
        <v>15</v>
      </c>
      <c r="B23" s="463"/>
      <c r="C23" s="288" t="s">
        <v>86</v>
      </c>
      <c r="D23" s="288"/>
      <c r="E23" s="314"/>
      <c r="F23" s="206"/>
      <c r="G23" s="206">
        <v>94.210639999999984</v>
      </c>
      <c r="H23" s="206"/>
      <c r="I23" s="206">
        <v>100.65515000000001</v>
      </c>
      <c r="J23" s="206"/>
      <c r="K23" s="206">
        <v>108.21812</v>
      </c>
      <c r="L23" s="210"/>
      <c r="M23" s="206">
        <v>88.705583536457155</v>
      </c>
      <c r="N23" s="210"/>
      <c r="O23" s="206">
        <v>91.336335194844338</v>
      </c>
      <c r="P23" s="210"/>
      <c r="Q23" s="206">
        <v>94.160249109634222</v>
      </c>
    </row>
    <row r="24" spans="1:17" s="448" customFormat="1" ht="15">
      <c r="A24" s="521">
        <f t="shared" si="0"/>
        <v>16</v>
      </c>
      <c r="B24" s="463"/>
      <c r="C24" s="288" t="s">
        <v>173</v>
      </c>
      <c r="D24" s="288"/>
      <c r="E24" s="314" t="s">
        <v>823</v>
      </c>
      <c r="F24" s="206"/>
      <c r="G24" s="206">
        <v>35.825679999999998</v>
      </c>
      <c r="H24" s="206"/>
      <c r="I24" s="206">
        <v>46.778860000000002</v>
      </c>
      <c r="J24" s="206"/>
      <c r="K24" s="206">
        <v>111.95943000000001</v>
      </c>
      <c r="L24" s="210"/>
      <c r="M24" s="206">
        <v>77.57355387927133</v>
      </c>
      <c r="N24" s="210"/>
      <c r="O24" s="206">
        <v>80.694013429851893</v>
      </c>
      <c r="P24" s="210"/>
      <c r="Q24" s="206">
        <v>86.756457393639508</v>
      </c>
    </row>
    <row r="25" spans="1:17" s="448" customFormat="1" ht="15">
      <c r="A25" s="521">
        <f t="shared" si="0"/>
        <v>17</v>
      </c>
      <c r="B25" s="463"/>
      <c r="C25" s="288" t="s">
        <v>87</v>
      </c>
      <c r="D25" s="288"/>
      <c r="E25" s="314" t="s">
        <v>824</v>
      </c>
      <c r="F25" s="206"/>
      <c r="G25" s="206">
        <v>167.07905</v>
      </c>
      <c r="H25" s="206"/>
      <c r="I25" s="206">
        <v>159.66085000000004</v>
      </c>
      <c r="J25" s="206"/>
      <c r="K25" s="206">
        <v>180.93938000000003</v>
      </c>
      <c r="L25" s="210"/>
      <c r="M25" s="206">
        <v>192.93056526930127</v>
      </c>
      <c r="N25" s="210"/>
      <c r="O25" s="206">
        <v>197.18281495794372</v>
      </c>
      <c r="P25" s="210"/>
      <c r="Q25" s="206">
        <v>210.31980490298449</v>
      </c>
    </row>
    <row r="26" spans="1:17" s="448" customFormat="1" ht="15">
      <c r="A26" s="521">
        <f t="shared" si="0"/>
        <v>18</v>
      </c>
      <c r="B26" s="463"/>
      <c r="C26" s="463"/>
      <c r="D26" s="463"/>
      <c r="E26" s="314"/>
      <c r="F26" s="206"/>
      <c r="G26" s="212">
        <f>SUM(G17:G25)</f>
        <v>2662.401229999999</v>
      </c>
      <c r="H26" s="206"/>
      <c r="I26" s="212">
        <f>SUM(I17:I25)</f>
        <v>2659.2291999999998</v>
      </c>
      <c r="J26" s="206"/>
      <c r="K26" s="212">
        <f>SUM(K17:K25)</f>
        <v>3281.3709400000007</v>
      </c>
      <c r="L26" s="210"/>
      <c r="M26" s="212">
        <f>SUM(M17:M25)</f>
        <v>3141.230806794254</v>
      </c>
      <c r="N26" s="210"/>
      <c r="O26" s="212">
        <f>SUM(O17:O25)</f>
        <v>3215.1740951144307</v>
      </c>
      <c r="P26" s="210"/>
      <c r="Q26" s="212">
        <f>SUM(Q17:Q25)</f>
        <v>3376.3597541472218</v>
      </c>
    </row>
    <row r="27" spans="1:17" s="448" customFormat="1" ht="15.75">
      <c r="A27" s="521">
        <f t="shared" si="0"/>
        <v>19</v>
      </c>
      <c r="B27" s="463"/>
      <c r="C27" s="410" t="s">
        <v>48</v>
      </c>
      <c r="D27" s="410"/>
      <c r="E27" s="314"/>
      <c r="F27" s="206"/>
      <c r="G27" s="207"/>
      <c r="H27" s="206"/>
      <c r="I27" s="207"/>
      <c r="J27" s="206"/>
      <c r="K27" s="207"/>
      <c r="L27" s="210"/>
      <c r="M27" s="207"/>
      <c r="N27" s="210"/>
      <c r="O27" s="207"/>
      <c r="P27" s="210"/>
      <c r="Q27" s="207"/>
    </row>
    <row r="28" spans="1:17" s="448" customFormat="1" ht="15">
      <c r="A28" s="521">
        <f t="shared" si="0"/>
        <v>20</v>
      </c>
      <c r="B28" s="463"/>
      <c r="C28" s="288" t="s">
        <v>89</v>
      </c>
      <c r="D28" s="288"/>
      <c r="E28" s="314"/>
      <c r="F28" s="206"/>
      <c r="G28" s="206">
        <v>9.6174099999999996</v>
      </c>
      <c r="H28" s="206"/>
      <c r="I28" s="206">
        <v>10.1096</v>
      </c>
      <c r="J28" s="206"/>
      <c r="K28" s="206">
        <v>15.437160000000002</v>
      </c>
      <c r="L28" s="210"/>
      <c r="M28" s="206">
        <v>12.579615277756167</v>
      </c>
      <c r="N28" s="210"/>
      <c r="O28" s="206">
        <v>12.837301844223283</v>
      </c>
      <c r="P28" s="210"/>
      <c r="Q28" s="206">
        <v>13.105615936374633</v>
      </c>
    </row>
    <row r="29" spans="1:17" s="448" customFormat="1" ht="15">
      <c r="A29" s="521">
        <f t="shared" si="0"/>
        <v>21</v>
      </c>
      <c r="B29" s="463"/>
      <c r="C29" s="288" t="s">
        <v>592</v>
      </c>
      <c r="D29" s="288"/>
      <c r="E29" s="314"/>
      <c r="F29" s="206"/>
      <c r="G29" s="206">
        <v>17.889299999999999</v>
      </c>
      <c r="H29" s="206"/>
      <c r="I29" s="206">
        <v>15.748779999999998</v>
      </c>
      <c r="J29" s="206"/>
      <c r="K29" s="206">
        <v>15.661989999999999</v>
      </c>
      <c r="L29" s="210"/>
      <c r="M29" s="206">
        <v>16.890694575040001</v>
      </c>
      <c r="N29" s="210"/>
      <c r="O29" s="206">
        <v>17.228508466540802</v>
      </c>
      <c r="P29" s="210"/>
      <c r="Q29" s="206">
        <v>17.573078635871617</v>
      </c>
    </row>
    <row r="30" spans="1:17" s="448" customFormat="1" ht="15">
      <c r="A30" s="521">
        <f t="shared" si="0"/>
        <v>22</v>
      </c>
      <c r="B30" s="463"/>
      <c r="C30" s="288" t="s">
        <v>90</v>
      </c>
      <c r="D30" s="288"/>
      <c r="E30" s="314"/>
      <c r="F30" s="206"/>
      <c r="G30" s="206">
        <v>122.40032000000001</v>
      </c>
      <c r="H30" s="206"/>
      <c r="I30" s="206">
        <v>115.12314100000002</v>
      </c>
      <c r="J30" s="206"/>
      <c r="K30" s="206">
        <v>147.28755999999998</v>
      </c>
      <c r="L30" s="210"/>
      <c r="M30" s="206">
        <v>129.48593625077365</v>
      </c>
      <c r="N30" s="210"/>
      <c r="O30" s="206">
        <v>132.09381289749032</v>
      </c>
      <c r="P30" s="210"/>
      <c r="Q30" s="206">
        <v>134.77523237027881</v>
      </c>
    </row>
    <row r="31" spans="1:17" s="448" customFormat="1" ht="15">
      <c r="A31" s="521">
        <f t="shared" si="0"/>
        <v>23</v>
      </c>
      <c r="B31" s="463"/>
      <c r="C31" s="463"/>
      <c r="D31" s="463"/>
      <c r="E31" s="314"/>
      <c r="F31" s="206"/>
      <c r="G31" s="212">
        <f>SUM(G28:G30)</f>
        <v>149.90703000000002</v>
      </c>
      <c r="H31" s="206"/>
      <c r="I31" s="212">
        <f>SUM(I28:I30)</f>
        <v>140.98152100000001</v>
      </c>
      <c r="J31" s="206"/>
      <c r="K31" s="212">
        <f>SUM(K28:K30)</f>
        <v>178.38670999999999</v>
      </c>
      <c r="L31" s="210"/>
      <c r="M31" s="212">
        <f>SUM(M28:M30)</f>
        <v>158.95624610356981</v>
      </c>
      <c r="N31" s="210"/>
      <c r="O31" s="212">
        <f>SUM(O28:O30)</f>
        <v>162.1596232082544</v>
      </c>
      <c r="P31" s="210"/>
      <c r="Q31" s="212">
        <f>SUM(Q28:Q30)</f>
        <v>165.45392694252507</v>
      </c>
    </row>
    <row r="32" spans="1:17" s="448" customFormat="1" ht="15.75">
      <c r="A32" s="521">
        <f t="shared" si="0"/>
        <v>24</v>
      </c>
      <c r="B32" s="463"/>
      <c r="C32" s="410" t="s">
        <v>646</v>
      </c>
      <c r="D32" s="410"/>
      <c r="E32" s="314"/>
      <c r="F32" s="206"/>
      <c r="G32" s="207"/>
      <c r="H32" s="206"/>
      <c r="I32" s="207"/>
      <c r="J32" s="206"/>
      <c r="K32" s="207"/>
      <c r="L32" s="210"/>
      <c r="M32" s="207"/>
      <c r="N32" s="210"/>
      <c r="O32" s="207"/>
      <c r="P32" s="210"/>
      <c r="Q32" s="207"/>
    </row>
    <row r="33" spans="1:17" s="448" customFormat="1" ht="15">
      <c r="A33" s="521">
        <f t="shared" si="0"/>
        <v>25</v>
      </c>
      <c r="B33" s="463"/>
      <c r="C33" s="288" t="s">
        <v>212</v>
      </c>
      <c r="D33" s="288"/>
      <c r="E33" s="314"/>
      <c r="F33" s="206"/>
      <c r="G33" s="206">
        <v>45.364359999999998</v>
      </c>
      <c r="H33" s="206"/>
      <c r="I33" s="206">
        <v>34.952620000000003</v>
      </c>
      <c r="J33" s="206"/>
      <c r="K33" s="206">
        <v>27.854209999999995</v>
      </c>
      <c r="L33" s="210"/>
      <c r="M33" s="206">
        <v>27.058814851479415</v>
      </c>
      <c r="N33" s="210"/>
      <c r="O33" s="206">
        <v>27.668270444080349</v>
      </c>
      <c r="P33" s="210"/>
      <c r="Q33" s="206">
        <v>28.232071477516154</v>
      </c>
    </row>
    <row r="34" spans="1:17" s="448" customFormat="1" ht="15">
      <c r="A34" s="521">
        <f t="shared" si="0"/>
        <v>26</v>
      </c>
      <c r="B34" s="463"/>
      <c r="C34" s="288" t="s">
        <v>91</v>
      </c>
      <c r="D34" s="288"/>
      <c r="E34" s="314" t="s">
        <v>825</v>
      </c>
      <c r="F34" s="206"/>
      <c r="G34" s="206">
        <v>58.22549999999999</v>
      </c>
      <c r="H34" s="206"/>
      <c r="I34" s="206">
        <v>76.15537999999998</v>
      </c>
      <c r="J34" s="206"/>
      <c r="K34" s="206">
        <v>109.18634000000002</v>
      </c>
      <c r="L34" s="210"/>
      <c r="M34" s="206">
        <v>124.24452379931144</v>
      </c>
      <c r="N34" s="210"/>
      <c r="O34" s="206">
        <v>127.04605070296422</v>
      </c>
      <c r="P34" s="210"/>
      <c r="Q34" s="206">
        <v>130.32643400189522</v>
      </c>
    </row>
    <row r="35" spans="1:17" s="448" customFormat="1" ht="15">
      <c r="A35" s="521">
        <f t="shared" si="0"/>
        <v>27</v>
      </c>
      <c r="B35" s="463"/>
      <c r="C35" s="463"/>
      <c r="D35" s="463"/>
      <c r="E35" s="314"/>
      <c r="F35" s="206"/>
      <c r="G35" s="213">
        <f>SUM(G33:G34)</f>
        <v>103.58985999999999</v>
      </c>
      <c r="H35" s="206"/>
      <c r="I35" s="213">
        <f>SUM(I33:I34)</f>
        <v>111.10799999999998</v>
      </c>
      <c r="J35" s="206"/>
      <c r="K35" s="213">
        <f>SUM(K33:K34)</f>
        <v>137.04055</v>
      </c>
      <c r="L35" s="210"/>
      <c r="M35" s="213">
        <f>SUM(M33:M34)</f>
        <v>151.30333865079086</v>
      </c>
      <c r="N35" s="210"/>
      <c r="O35" s="213">
        <f>SUM(O33:O34)</f>
        <v>154.71432114704459</v>
      </c>
      <c r="P35" s="210"/>
      <c r="Q35" s="213">
        <f>SUM(Q33:Q34)</f>
        <v>158.55850547941137</v>
      </c>
    </row>
    <row r="36" spans="1:17" s="448" customFormat="1" ht="15.75">
      <c r="A36" s="521">
        <f t="shared" si="0"/>
        <v>28</v>
      </c>
      <c r="B36" s="463"/>
      <c r="C36" s="301" t="s">
        <v>647</v>
      </c>
      <c r="D36" s="410"/>
      <c r="E36" s="314"/>
      <c r="F36" s="206"/>
      <c r="G36" s="210"/>
      <c r="H36" s="206"/>
      <c r="I36" s="210"/>
      <c r="J36" s="206"/>
      <c r="K36" s="210"/>
      <c r="L36" s="210"/>
      <c r="M36" s="210"/>
      <c r="N36" s="210"/>
      <c r="O36" s="210"/>
      <c r="P36" s="210"/>
      <c r="Q36" s="210"/>
    </row>
    <row r="37" spans="1:17" s="448" customFormat="1" ht="15">
      <c r="A37" s="521">
        <f t="shared" si="0"/>
        <v>29</v>
      </c>
      <c r="B37" s="463"/>
      <c r="C37" s="288" t="s">
        <v>92</v>
      </c>
      <c r="D37" s="288"/>
      <c r="E37" s="314"/>
      <c r="F37" s="206"/>
      <c r="G37" s="206">
        <v>41.375550000000004</v>
      </c>
      <c r="H37" s="206"/>
      <c r="I37" s="206">
        <v>34.01718000000001</v>
      </c>
      <c r="J37" s="206"/>
      <c r="K37" s="206">
        <v>52.365029999999997</v>
      </c>
      <c r="L37" s="210"/>
      <c r="M37" s="206">
        <v>53.633908920098634</v>
      </c>
      <c r="N37" s="210"/>
      <c r="O37" s="206">
        <v>54.927459097844846</v>
      </c>
      <c r="P37" s="210"/>
      <c r="Q37" s="206">
        <v>56.467136486383581</v>
      </c>
    </row>
    <row r="38" spans="1:17" s="448" customFormat="1" ht="15">
      <c r="A38" s="521">
        <f t="shared" si="0"/>
        <v>30</v>
      </c>
      <c r="B38" s="463"/>
      <c r="C38" s="288" t="s">
        <v>93</v>
      </c>
      <c r="D38" s="288"/>
      <c r="E38" s="314" t="s">
        <v>826</v>
      </c>
      <c r="F38" s="206"/>
      <c r="G38" s="206">
        <v>409.78839999999997</v>
      </c>
      <c r="H38" s="206"/>
      <c r="I38" s="206">
        <v>409.54194000000007</v>
      </c>
      <c r="J38" s="206"/>
      <c r="K38" s="206">
        <v>443.61270000000007</v>
      </c>
      <c r="L38" s="210"/>
      <c r="M38" s="206">
        <v>478.18939161132766</v>
      </c>
      <c r="N38" s="210"/>
      <c r="O38" s="206">
        <v>510.25874563025127</v>
      </c>
      <c r="P38" s="210"/>
      <c r="Q38" s="206">
        <v>543.49184675015158</v>
      </c>
    </row>
    <row r="39" spans="1:17" s="448" customFormat="1" ht="15">
      <c r="A39" s="521">
        <f t="shared" si="0"/>
        <v>31</v>
      </c>
      <c r="B39" s="463"/>
      <c r="C39" s="288" t="s">
        <v>94</v>
      </c>
      <c r="D39" s="288"/>
      <c r="E39" s="314" t="s">
        <v>827</v>
      </c>
      <c r="F39" s="206"/>
      <c r="G39" s="206">
        <v>532.44666000000018</v>
      </c>
      <c r="H39" s="206"/>
      <c r="I39" s="206">
        <v>462.38002</v>
      </c>
      <c r="J39" s="206"/>
      <c r="K39" s="206">
        <v>483.60667000000007</v>
      </c>
      <c r="L39" s="210"/>
      <c r="M39" s="206">
        <v>563.3842858976725</v>
      </c>
      <c r="N39" s="210"/>
      <c r="O39" s="206">
        <v>575.9976775270294</v>
      </c>
      <c r="P39" s="210"/>
      <c r="Q39" s="206">
        <v>504.46260659114205</v>
      </c>
    </row>
    <row r="40" spans="1:17" s="448" customFormat="1" ht="15">
      <c r="A40" s="521">
        <f t="shared" si="0"/>
        <v>32</v>
      </c>
      <c r="B40" s="463"/>
      <c r="C40" s="288" t="s">
        <v>95</v>
      </c>
      <c r="D40" s="288"/>
      <c r="E40" s="314" t="s">
        <v>828</v>
      </c>
      <c r="F40" s="206"/>
      <c r="G40" s="206">
        <v>695.73518999999999</v>
      </c>
      <c r="H40" s="206"/>
      <c r="I40" s="206">
        <v>702.77555999999993</v>
      </c>
      <c r="J40" s="206"/>
      <c r="K40" s="206">
        <v>695.22829999999988</v>
      </c>
      <c r="L40" s="210"/>
      <c r="M40" s="206">
        <v>749.45858204356114</v>
      </c>
      <c r="N40" s="210"/>
      <c r="O40" s="206">
        <v>765.06951354764556</v>
      </c>
      <c r="P40" s="210"/>
      <c r="Q40" s="206">
        <v>789.48741750630188</v>
      </c>
    </row>
    <row r="41" spans="1:17" s="448" customFormat="1" ht="15">
      <c r="A41" s="521">
        <f t="shared" si="0"/>
        <v>33</v>
      </c>
      <c r="B41" s="463"/>
      <c r="C41" s="288" t="s">
        <v>96</v>
      </c>
      <c r="D41" s="288"/>
      <c r="E41" s="314" t="s">
        <v>829</v>
      </c>
      <c r="F41" s="206"/>
      <c r="G41" s="206">
        <v>164.80347</v>
      </c>
      <c r="H41" s="206"/>
      <c r="I41" s="206">
        <v>167.82192000000003</v>
      </c>
      <c r="J41" s="206"/>
      <c r="K41" s="206">
        <v>181.69431000000003</v>
      </c>
      <c r="L41" s="210"/>
      <c r="M41" s="206">
        <v>227.69545110328815</v>
      </c>
      <c r="N41" s="210"/>
      <c r="O41" s="206">
        <v>232.97080430516368</v>
      </c>
      <c r="P41" s="210"/>
      <c r="Q41" s="206">
        <v>239.25538018360493</v>
      </c>
    </row>
    <row r="42" spans="1:17" s="448" customFormat="1" ht="15">
      <c r="A42" s="521">
        <f t="shared" si="0"/>
        <v>34</v>
      </c>
      <c r="B42" s="463"/>
      <c r="C42" s="288" t="s">
        <v>344</v>
      </c>
      <c r="D42" s="288"/>
      <c r="E42" s="314" t="s">
        <v>830</v>
      </c>
      <c r="F42" s="206"/>
      <c r="G42" s="206">
        <v>118.62984000000003</v>
      </c>
      <c r="H42" s="206"/>
      <c r="I42" s="206">
        <v>109.76342000000001</v>
      </c>
      <c r="J42" s="206"/>
      <c r="K42" s="206">
        <v>123.40278999999998</v>
      </c>
      <c r="L42" s="210"/>
      <c r="M42" s="206">
        <v>139.91301400283265</v>
      </c>
      <c r="N42" s="210"/>
      <c r="O42" s="206">
        <v>143.16818282186145</v>
      </c>
      <c r="P42" s="210"/>
      <c r="Q42" s="206">
        <v>147.02407254572728</v>
      </c>
    </row>
    <row r="43" spans="1:17" s="448" customFormat="1" ht="15">
      <c r="A43" s="521">
        <f t="shared" si="0"/>
        <v>35</v>
      </c>
      <c r="B43" s="463"/>
      <c r="C43" s="288" t="s">
        <v>6</v>
      </c>
      <c r="D43" s="288"/>
      <c r="E43" s="314"/>
      <c r="F43" s="206"/>
      <c r="G43" s="206">
        <v>43.03237</v>
      </c>
      <c r="H43" s="206"/>
      <c r="I43" s="206">
        <v>35.90699</v>
      </c>
      <c r="J43" s="206"/>
      <c r="K43" s="206">
        <v>36.283610000000003</v>
      </c>
      <c r="L43" s="210"/>
      <c r="M43" s="206">
        <v>36</v>
      </c>
      <c r="N43" s="210"/>
      <c r="O43" s="206">
        <v>36</v>
      </c>
      <c r="P43" s="210"/>
      <c r="Q43" s="206">
        <v>36</v>
      </c>
    </row>
    <row r="44" spans="1:17" s="448" customFormat="1" ht="15">
      <c r="A44" s="521">
        <f t="shared" si="0"/>
        <v>36</v>
      </c>
      <c r="B44" s="463"/>
      <c r="C44" s="463"/>
      <c r="D44" s="463"/>
      <c r="E44" s="314"/>
      <c r="F44" s="206"/>
      <c r="G44" s="213">
        <f>SUM(G37:G43)</f>
        <v>2005.8114800000001</v>
      </c>
      <c r="H44" s="206"/>
      <c r="I44" s="213">
        <f>SUM(I37:I43)</f>
        <v>1922.20703</v>
      </c>
      <c r="J44" s="206"/>
      <c r="K44" s="213">
        <f>SUM(K37:K43)</f>
        <v>2016.1934099999999</v>
      </c>
      <c r="L44" s="210"/>
      <c r="M44" s="213">
        <f>SUM(M37:M43)</f>
        <v>2248.2746335787806</v>
      </c>
      <c r="N44" s="210"/>
      <c r="O44" s="213">
        <f>SUM(O37:O43)</f>
        <v>2318.392382929796</v>
      </c>
      <c r="P44" s="210"/>
      <c r="Q44" s="213">
        <f>SUM(Q37:Q43)</f>
        <v>2316.1884600633111</v>
      </c>
    </row>
    <row r="45" spans="1:17" s="448" customFormat="1" ht="15.75">
      <c r="A45" s="521">
        <f t="shared" si="0"/>
        <v>37</v>
      </c>
      <c r="B45" s="463"/>
      <c r="C45" s="410" t="s">
        <v>645</v>
      </c>
      <c r="D45" s="410"/>
      <c r="E45" s="314"/>
      <c r="F45" s="206"/>
      <c r="G45" s="210"/>
      <c r="H45" s="206"/>
      <c r="I45" s="210"/>
      <c r="J45" s="206"/>
      <c r="K45" s="210"/>
      <c r="L45" s="210"/>
      <c r="M45" s="210"/>
      <c r="N45" s="210"/>
      <c r="O45" s="210"/>
      <c r="P45" s="210"/>
      <c r="Q45" s="210"/>
    </row>
    <row r="46" spans="1:17" s="448" customFormat="1" ht="15">
      <c r="A46" s="521">
        <f t="shared" si="0"/>
        <v>38</v>
      </c>
      <c r="B46" s="463"/>
      <c r="C46" s="288" t="s">
        <v>312</v>
      </c>
      <c r="D46" s="288"/>
      <c r="E46" s="314" t="s">
        <v>831</v>
      </c>
      <c r="F46" s="206"/>
      <c r="G46" s="206">
        <v>1644.6685200000004</v>
      </c>
      <c r="H46" s="206"/>
      <c r="I46" s="206">
        <v>1792.1056800000008</v>
      </c>
      <c r="J46" s="206"/>
      <c r="K46" s="206">
        <v>2028.02097</v>
      </c>
      <c r="L46" s="210"/>
      <c r="M46" s="206">
        <v>2305.8321525113888</v>
      </c>
      <c r="N46" s="210"/>
      <c r="O46" s="206">
        <v>2448.2794251792643</v>
      </c>
      <c r="P46" s="210"/>
      <c r="Q46" s="206">
        <v>2444.6828501010687</v>
      </c>
    </row>
    <row r="47" spans="1:17" s="448" customFormat="1" ht="15">
      <c r="A47" s="521">
        <f t="shared" si="0"/>
        <v>39</v>
      </c>
      <c r="B47" s="463"/>
      <c r="C47" s="288" t="s">
        <v>416</v>
      </c>
      <c r="D47" s="288"/>
      <c r="E47" s="314" t="s">
        <v>851</v>
      </c>
      <c r="F47" s="206"/>
      <c r="G47" s="206">
        <v>183.68548999999999</v>
      </c>
      <c r="H47" s="206"/>
      <c r="I47" s="206">
        <v>70.675169999999994</v>
      </c>
      <c r="J47" s="206"/>
      <c r="K47" s="206">
        <v>195.56289999999998</v>
      </c>
      <c r="L47" s="210"/>
      <c r="M47" s="206">
        <v>134.57715399999998</v>
      </c>
      <c r="N47" s="210"/>
      <c r="O47" s="206">
        <v>137.26869708000001</v>
      </c>
      <c r="P47" s="210"/>
      <c r="Q47" s="206">
        <v>140.01407102159999</v>
      </c>
    </row>
    <row r="48" spans="1:17" s="448" customFormat="1" ht="15">
      <c r="A48" s="521">
        <f t="shared" si="0"/>
        <v>40</v>
      </c>
      <c r="B48" s="463"/>
      <c r="C48" s="288" t="s">
        <v>98</v>
      </c>
      <c r="D48" s="288"/>
      <c r="E48" s="314" t="s">
        <v>852</v>
      </c>
      <c r="F48" s="206"/>
      <c r="G48" s="206">
        <v>214.96708000000001</v>
      </c>
      <c r="H48" s="206"/>
      <c r="I48" s="206">
        <v>243.68517999999997</v>
      </c>
      <c r="J48" s="206"/>
      <c r="K48" s="206">
        <v>245.40821</v>
      </c>
      <c r="L48" s="210"/>
      <c r="M48" s="206">
        <v>262.30068737496725</v>
      </c>
      <c r="N48" s="210"/>
      <c r="O48" s="206">
        <v>201.90373258892527</v>
      </c>
      <c r="P48" s="210"/>
      <c r="Q48" s="206">
        <v>137.93895502161774</v>
      </c>
    </row>
    <row r="49" spans="1:18" s="448" customFormat="1" ht="15">
      <c r="A49" s="521">
        <f t="shared" si="0"/>
        <v>41</v>
      </c>
      <c r="B49" s="463"/>
      <c r="C49" s="288" t="s">
        <v>354</v>
      </c>
      <c r="D49" s="288"/>
      <c r="E49" s="314" t="s">
        <v>832</v>
      </c>
      <c r="F49" s="206"/>
      <c r="G49" s="206">
        <v>86.000039999999998</v>
      </c>
      <c r="H49" s="206"/>
      <c r="I49" s="206">
        <v>86.000039999999998</v>
      </c>
      <c r="J49" s="206"/>
      <c r="K49" s="206">
        <v>86.000040000000013</v>
      </c>
      <c r="L49" s="210"/>
      <c r="M49" s="206">
        <v>124</v>
      </c>
      <c r="N49" s="210"/>
      <c r="O49" s="206">
        <v>124</v>
      </c>
      <c r="P49" s="210"/>
      <c r="Q49" s="206">
        <v>125</v>
      </c>
    </row>
    <row r="50" spans="1:18" s="448" customFormat="1" ht="15">
      <c r="A50" s="521">
        <f t="shared" si="0"/>
        <v>42</v>
      </c>
      <c r="B50" s="463"/>
      <c r="C50" s="288" t="s">
        <v>99</v>
      </c>
      <c r="D50" s="288"/>
      <c r="E50" s="314" t="s">
        <v>853</v>
      </c>
      <c r="F50" s="206"/>
      <c r="G50" s="206">
        <v>253.23703999999995</v>
      </c>
      <c r="H50" s="206"/>
      <c r="I50" s="206">
        <v>254.32885000000002</v>
      </c>
      <c r="J50" s="206"/>
      <c r="K50" s="206">
        <v>247.77565000000001</v>
      </c>
      <c r="L50" s="210"/>
      <c r="M50" s="206">
        <v>278.13659116409673</v>
      </c>
      <c r="N50" s="210"/>
      <c r="O50" s="206">
        <v>283.1876872056726</v>
      </c>
      <c r="P50" s="210"/>
      <c r="Q50" s="206">
        <v>289.65626464092793</v>
      </c>
    </row>
    <row r="51" spans="1:18" s="448" customFormat="1" ht="15">
      <c r="A51" s="521">
        <f t="shared" si="0"/>
        <v>43</v>
      </c>
      <c r="B51" s="463"/>
      <c r="C51" s="288" t="s">
        <v>343</v>
      </c>
      <c r="D51" s="288"/>
      <c r="E51" s="314" t="s">
        <v>854</v>
      </c>
      <c r="F51" s="206"/>
      <c r="G51" s="206">
        <v>404.06233000000009</v>
      </c>
      <c r="H51" s="206"/>
      <c r="I51" s="206">
        <v>386.73844000000008</v>
      </c>
      <c r="J51" s="206"/>
      <c r="K51" s="206">
        <v>456.04681999999997</v>
      </c>
      <c r="L51" s="210"/>
      <c r="M51" s="206">
        <v>468.81393735262128</v>
      </c>
      <c r="N51" s="210"/>
      <c r="O51" s="206">
        <v>478.72121883473801</v>
      </c>
      <c r="P51" s="210"/>
      <c r="Q51" s="206">
        <v>494.23357831501914</v>
      </c>
    </row>
    <row r="52" spans="1:18" s="448" customFormat="1" ht="15">
      <c r="A52" s="521">
        <f t="shared" si="0"/>
        <v>44</v>
      </c>
      <c r="B52" s="463"/>
      <c r="C52" s="288" t="s">
        <v>313</v>
      </c>
      <c r="D52" s="288"/>
      <c r="E52" s="314" t="s">
        <v>855</v>
      </c>
      <c r="F52" s="206"/>
      <c r="G52" s="206">
        <v>213.47958</v>
      </c>
      <c r="H52" s="206"/>
      <c r="I52" s="206">
        <v>206.71964999999997</v>
      </c>
      <c r="J52" s="206"/>
      <c r="K52" s="206">
        <v>65.999629999999996</v>
      </c>
      <c r="L52" s="210"/>
      <c r="M52" s="206">
        <v>159.56354730322181</v>
      </c>
      <c r="N52" s="210"/>
      <c r="O52" s="206">
        <v>162.79744771998202</v>
      </c>
      <c r="P52" s="210"/>
      <c r="Q52" s="206">
        <v>170.20399999541431</v>
      </c>
    </row>
    <row r="53" spans="1:18" s="448" customFormat="1" ht="15">
      <c r="A53" s="521">
        <f t="shared" si="0"/>
        <v>45</v>
      </c>
      <c r="B53" s="463"/>
      <c r="C53" s="288" t="s">
        <v>355</v>
      </c>
      <c r="D53" s="288"/>
      <c r="E53" s="314"/>
      <c r="F53" s="206"/>
      <c r="G53" s="206">
        <v>0</v>
      </c>
      <c r="H53" s="206"/>
      <c r="I53" s="206">
        <v>0</v>
      </c>
      <c r="J53" s="206"/>
      <c r="K53" s="206">
        <v>0.25</v>
      </c>
      <c r="L53" s="206"/>
      <c r="M53" s="206">
        <v>0.30599999999999999</v>
      </c>
      <c r="N53" s="206"/>
      <c r="O53" s="206">
        <v>0.31212000000000001</v>
      </c>
      <c r="P53" s="206"/>
      <c r="Q53" s="206">
        <v>0.31836240000000005</v>
      </c>
    </row>
    <row r="54" spans="1:18" s="448" customFormat="1" ht="15">
      <c r="A54" s="521">
        <f t="shared" si="0"/>
        <v>46</v>
      </c>
      <c r="B54" s="463"/>
      <c r="C54" s="288" t="s">
        <v>315</v>
      </c>
      <c r="D54" s="288"/>
      <c r="E54" s="314" t="s">
        <v>856</v>
      </c>
      <c r="F54" s="206"/>
      <c r="G54" s="206">
        <v>110.35896000000001</v>
      </c>
      <c r="H54" s="206"/>
      <c r="I54" s="206">
        <v>76.485089999999985</v>
      </c>
      <c r="J54" s="206"/>
      <c r="K54" s="206">
        <v>143.15400000000002</v>
      </c>
      <c r="L54" s="210"/>
      <c r="M54" s="206">
        <v>132.85697273489504</v>
      </c>
      <c r="N54" s="210"/>
      <c r="O54" s="206">
        <v>155.55976774573384</v>
      </c>
      <c r="P54" s="210"/>
      <c r="Q54" s="206">
        <v>138.35924136367464</v>
      </c>
    </row>
    <row r="55" spans="1:18" s="448" customFormat="1" ht="15">
      <c r="A55" s="521">
        <f t="shared" si="0"/>
        <v>47</v>
      </c>
      <c r="B55" s="463"/>
      <c r="C55" s="463"/>
      <c r="D55" s="463"/>
      <c r="E55" s="166"/>
      <c r="F55" s="206"/>
      <c r="G55" s="213">
        <f>SUM(G46:G54)</f>
        <v>3110.4590400000006</v>
      </c>
      <c r="H55" s="206"/>
      <c r="I55" s="213">
        <f>SUM(I46:I54)</f>
        <v>3116.7381000000009</v>
      </c>
      <c r="J55" s="206"/>
      <c r="K55" s="213">
        <f>SUM(K46:K54)</f>
        <v>3468.2182199999997</v>
      </c>
      <c r="L55" s="210"/>
      <c r="M55" s="213">
        <f>SUM(M46:M54)</f>
        <v>3866.3870424411912</v>
      </c>
      <c r="N55" s="210"/>
      <c r="O55" s="213">
        <f>SUM(O46:O54)</f>
        <v>3992.0300963543164</v>
      </c>
      <c r="P55" s="210"/>
      <c r="Q55" s="213">
        <f>SUM(Q46:Q54)</f>
        <v>3940.4073228593229</v>
      </c>
      <c r="R55" s="448" t="s">
        <v>27</v>
      </c>
    </row>
    <row r="56" spans="1:18" s="448" customFormat="1" ht="15">
      <c r="A56" s="521">
        <f t="shared" si="0"/>
        <v>48</v>
      </c>
      <c r="B56" s="463"/>
      <c r="C56" s="270"/>
      <c r="D56" s="463"/>
      <c r="E56" s="166"/>
      <c r="F56" s="210"/>
      <c r="G56" s="214"/>
      <c r="H56" s="210"/>
      <c r="I56" s="214"/>
      <c r="J56" s="210"/>
      <c r="K56" s="214"/>
      <c r="L56" s="210"/>
      <c r="M56" s="214"/>
      <c r="N56" s="210"/>
      <c r="O56" s="214"/>
      <c r="P56" s="210"/>
      <c r="Q56" s="214"/>
    </row>
    <row r="57" spans="1:18" s="448" customFormat="1" ht="16.5" thickBot="1">
      <c r="A57" s="521">
        <f t="shared" si="0"/>
        <v>49</v>
      </c>
      <c r="B57" s="463"/>
      <c r="C57" s="410" t="s">
        <v>593</v>
      </c>
      <c r="D57" s="463"/>
      <c r="E57" s="166" t="s">
        <v>286</v>
      </c>
      <c r="F57" s="210"/>
      <c r="G57" s="215">
        <f>G55+G44+G35+G31+G26+G15</f>
        <v>9624.8402999999998</v>
      </c>
      <c r="H57" s="210"/>
      <c r="I57" s="215">
        <f>I55+I44+I35+I31+I26+I15</f>
        <v>9798.9852110000011</v>
      </c>
      <c r="J57" s="210"/>
      <c r="K57" s="215">
        <f>K55+K44+K35+K31+K26+K15</f>
        <v>11058.881460000001</v>
      </c>
      <c r="L57" s="210"/>
      <c r="M57" s="215">
        <f>M55+M44+M35+M31+M26+M15</f>
        <v>11735.420052087527</v>
      </c>
      <c r="N57" s="210"/>
      <c r="O57" s="215">
        <f>O55+O44+O35+O31+O26+O15</f>
        <v>12319.3831526922</v>
      </c>
      <c r="P57" s="210"/>
      <c r="Q57" s="215">
        <f>Q55+Q44+Q35+Q31+Q26+Q15</f>
        <v>12506.963537894997</v>
      </c>
    </row>
    <row r="58" spans="1:18" s="448" customFormat="1" ht="15.75">
      <c r="A58" s="521"/>
      <c r="B58" s="463"/>
      <c r="C58" s="463"/>
      <c r="D58" s="463"/>
      <c r="E58" s="166"/>
      <c r="K58" s="400"/>
    </row>
  </sheetData>
  <customSheetViews>
    <customSheetView guid="{275E5119-9E8C-43ED-ACD2-DF40CF10B219}" scale="7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1"/>
      <headerFooter alignWithMargins="0"/>
    </customSheetView>
    <customSheetView guid="{D346ECD1-ED60-4F74-8B02-572F89E41ACB}" scale="70" showPageBreaks="1" showRuler="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2"/>
      <headerFooter alignWithMargins="0"/>
    </customSheetView>
  </customSheetViews>
  <mergeCells count="1">
    <mergeCell ref="M6:Q6"/>
  </mergeCells>
  <phoneticPr fontId="8" type="noConversion"/>
  <printOptions horizontalCentered="1"/>
  <pageMargins left="0.33" right="0.44" top="0.67" bottom="0.56999999999999995" header="0.5" footer="0.5"/>
  <pageSetup scale="62" orientation="landscape" horizontalDpi="1200" verticalDpi="1200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1:AA297"/>
  <sheetViews>
    <sheetView view="pageBreakPreview" zoomScale="70" zoomScaleNormal="70" zoomScaleSheetLayoutView="70" zoomScalePageLayoutView="55" workbookViewId="0">
      <pane ySplit="7" topLeftCell="A8" activePane="bottomLeft" state="frozen"/>
      <selection activeCell="V236" sqref="V236"/>
      <selection pane="bottomLeft" activeCell="Q63" sqref="Q63"/>
    </sheetView>
  </sheetViews>
  <sheetFormatPr defaultColWidth="7.5703125" defaultRowHeight="12.75"/>
  <cols>
    <col min="1" max="1" width="7.42578125" style="20" customWidth="1"/>
    <col min="2" max="2" width="4.42578125" style="20" customWidth="1"/>
    <col min="3" max="3" width="91.140625" style="20" bestFit="1" customWidth="1"/>
    <col min="4" max="4" width="5.5703125" style="20" customWidth="1"/>
    <col min="5" max="5" width="2.5703125" style="20" customWidth="1"/>
    <col min="6" max="6" width="12.7109375" style="20" customWidth="1"/>
    <col min="7" max="7" width="2.7109375" style="20" customWidth="1"/>
    <col min="8" max="8" width="12.7109375" style="20" customWidth="1"/>
    <col min="9" max="9" width="2.7109375" style="20" customWidth="1"/>
    <col min="10" max="10" width="12.7109375" style="20" customWidth="1"/>
    <col min="11" max="11" width="2.7109375" style="20" customWidth="1"/>
    <col min="12" max="12" width="12.7109375" style="20" customWidth="1"/>
    <col min="13" max="13" width="2.7109375" style="20" customWidth="1"/>
    <col min="14" max="14" width="12.7109375" style="20" customWidth="1"/>
    <col min="15" max="15" width="3" style="20" customWidth="1"/>
    <col min="16" max="16" width="12.7109375" style="20" customWidth="1"/>
    <col min="17" max="17" width="3" style="20" customWidth="1"/>
    <col min="18" max="22" width="7.5703125" style="20"/>
    <col min="23" max="23" width="27.42578125" style="20" bestFit="1" customWidth="1"/>
    <col min="24" max="16384" width="7.5703125" style="20"/>
  </cols>
  <sheetData>
    <row r="1" spans="1:18" ht="15.75">
      <c r="A1" s="61" t="s">
        <v>540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20"/>
      <c r="P1" s="120"/>
      <c r="Q1" s="9" t="s">
        <v>502</v>
      </c>
    </row>
    <row r="2" spans="1:18" ht="15.75">
      <c r="A2" s="61" t="s">
        <v>463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20"/>
      <c r="P2" s="120"/>
      <c r="Q2" s="126" t="s">
        <v>1</v>
      </c>
    </row>
    <row r="3" spans="1:18" ht="15.75">
      <c r="A3" s="61" t="s">
        <v>229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120"/>
      <c r="P3" s="62"/>
    </row>
    <row r="4" spans="1:18" s="134" customFormat="1" ht="15.75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120"/>
      <c r="P4" s="62"/>
    </row>
    <row r="5" spans="1:18" s="134" customFormat="1" ht="15.7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P5" s="530"/>
    </row>
    <row r="6" spans="1:18" s="15" customFormat="1" ht="15.75">
      <c r="A6" s="425" t="s">
        <v>33</v>
      </c>
      <c r="B6" s="425"/>
      <c r="C6" s="425"/>
      <c r="D6" s="425"/>
      <c r="E6" s="425"/>
      <c r="F6" s="10" t="s">
        <v>25</v>
      </c>
      <c r="G6" s="10"/>
      <c r="H6" s="10" t="s">
        <v>25</v>
      </c>
      <c r="I6" s="10"/>
      <c r="J6" s="10" t="s">
        <v>25</v>
      </c>
      <c r="K6" s="10"/>
      <c r="L6" s="10" t="s">
        <v>330</v>
      </c>
      <c r="M6" s="14"/>
      <c r="N6" s="10" t="s">
        <v>330</v>
      </c>
      <c r="P6" s="10" t="s">
        <v>330</v>
      </c>
    </row>
    <row r="7" spans="1:18" s="15" customFormat="1" ht="15.75">
      <c r="A7" s="17" t="s">
        <v>35</v>
      </c>
      <c r="B7" s="425"/>
      <c r="C7" s="17" t="s">
        <v>178</v>
      </c>
      <c r="D7" s="17"/>
      <c r="E7" s="425"/>
      <c r="F7" s="502">
        <v>2010</v>
      </c>
      <c r="G7" s="503"/>
      <c r="H7" s="502">
        <v>2011</v>
      </c>
      <c r="I7" s="503"/>
      <c r="J7" s="502">
        <v>2012</v>
      </c>
      <c r="K7" s="503"/>
      <c r="L7" s="502">
        <v>2013</v>
      </c>
      <c r="M7" s="504"/>
      <c r="N7" s="502">
        <v>2014</v>
      </c>
      <c r="O7" s="505"/>
      <c r="P7" s="502">
        <v>2015</v>
      </c>
    </row>
    <row r="8" spans="1:18" s="76" customFormat="1" ht="15.75">
      <c r="A8" s="285"/>
      <c r="B8" s="768"/>
      <c r="C8" s="285"/>
      <c r="D8" s="285"/>
      <c r="E8" s="768"/>
      <c r="F8" s="525"/>
      <c r="G8" s="523"/>
      <c r="H8" s="525"/>
      <c r="I8" s="523"/>
      <c r="J8" s="525"/>
      <c r="K8" s="523"/>
      <c r="L8" s="525"/>
      <c r="M8" s="527"/>
      <c r="N8" s="525"/>
      <c r="O8" s="505"/>
      <c r="P8" s="525"/>
    </row>
    <row r="9" spans="1:18" s="15" customFormat="1" ht="15.75">
      <c r="A9" s="506">
        <v>1</v>
      </c>
      <c r="B9" s="14"/>
      <c r="C9" s="19" t="s">
        <v>234</v>
      </c>
      <c r="D9" s="14"/>
      <c r="E9" s="14"/>
      <c r="F9" s="14"/>
      <c r="G9" s="14"/>
      <c r="H9" s="14"/>
      <c r="I9" s="14"/>
      <c r="J9" s="14"/>
      <c r="K9" s="14"/>
      <c r="L9" s="14"/>
      <c r="M9" s="14"/>
      <c r="P9" s="14"/>
    </row>
    <row r="10" spans="1:18" s="15" customFormat="1" ht="15.75">
      <c r="A10" s="506">
        <f>+A9+1</f>
        <v>2</v>
      </c>
      <c r="B10" s="14"/>
      <c r="C10" s="19"/>
      <c r="D10" s="14"/>
      <c r="E10" s="14"/>
      <c r="F10" s="14"/>
      <c r="G10" s="14"/>
      <c r="H10" s="14"/>
      <c r="I10" s="14"/>
      <c r="J10" s="14"/>
      <c r="K10" s="14"/>
      <c r="L10" s="14"/>
      <c r="M10" s="14"/>
      <c r="P10" s="14"/>
    </row>
    <row r="11" spans="1:18" s="15" customFormat="1" ht="15">
      <c r="A11" s="506">
        <f t="shared" ref="A11:A60" si="0">+A10+1</f>
        <v>3</v>
      </c>
      <c r="B11" s="14"/>
      <c r="C11" s="147" t="s">
        <v>352</v>
      </c>
      <c r="D11" s="14" t="s">
        <v>27</v>
      </c>
      <c r="E11" s="14"/>
      <c r="F11" s="125">
        <f>'S5.1 '!$G$10</f>
        <v>111.16775999999999</v>
      </c>
      <c r="G11" s="123"/>
      <c r="H11" s="125">
        <f>'S5.1 '!$I$10</f>
        <v>108.03092000000001</v>
      </c>
      <c r="I11" s="123"/>
      <c r="J11" s="125">
        <f>'S5.1 '!$K$10</f>
        <v>153.88925000000003</v>
      </c>
      <c r="K11" s="14"/>
      <c r="L11" s="60">
        <f>'S5.1 '!$M$10</f>
        <v>319.99334026770947</v>
      </c>
      <c r="M11" s="14"/>
      <c r="N11" s="60">
        <f>'S5.1 '!$O$10</f>
        <v>418.55362979831222</v>
      </c>
      <c r="P11" s="60">
        <f>'S5.1 '!$Q$10</f>
        <v>454.16437228686215</v>
      </c>
    </row>
    <row r="12" spans="1:18" s="15" customFormat="1" ht="15.75">
      <c r="A12" s="506">
        <f t="shared" si="0"/>
        <v>4</v>
      </c>
      <c r="B12" s="14"/>
      <c r="C12" s="288"/>
      <c r="D12" s="14"/>
      <c r="E12" s="14"/>
      <c r="F12" s="14"/>
      <c r="G12" s="14"/>
      <c r="H12" s="603"/>
      <c r="I12" s="604"/>
      <c r="J12" s="603"/>
      <c r="K12" s="604"/>
      <c r="L12" s="603"/>
      <c r="M12" s="605"/>
      <c r="N12" s="603"/>
      <c r="O12" s="606"/>
      <c r="P12" s="603"/>
    </row>
    <row r="13" spans="1:18" s="15" customFormat="1" ht="15.75">
      <c r="A13" s="506">
        <f>+A12+1</f>
        <v>5</v>
      </c>
      <c r="B13" s="257"/>
      <c r="C13" s="288" t="s">
        <v>732</v>
      </c>
      <c r="D13" s="14"/>
      <c r="E13" s="14"/>
      <c r="F13" s="14"/>
      <c r="G13" s="14"/>
      <c r="H13" s="607"/>
      <c r="I13" s="604"/>
      <c r="J13" s="607"/>
      <c r="K13" s="604"/>
      <c r="L13" s="607"/>
      <c r="M13" s="605"/>
      <c r="N13" s="607"/>
      <c r="O13" s="606"/>
      <c r="P13" s="607"/>
      <c r="R13" s="101"/>
    </row>
    <row r="14" spans="1:18" s="15" customFormat="1" ht="15">
      <c r="A14" s="506">
        <f t="shared" si="0"/>
        <v>6</v>
      </c>
      <c r="B14" s="14"/>
      <c r="C14" s="288" t="s">
        <v>764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P14" s="106"/>
      <c r="R14" s="101"/>
    </row>
    <row r="15" spans="1:18" s="15" customFormat="1" ht="15">
      <c r="A15" s="506">
        <f t="shared" si="0"/>
        <v>7</v>
      </c>
      <c r="B15" s="14"/>
      <c r="C15" s="288"/>
      <c r="D15" s="14"/>
      <c r="E15" s="14"/>
      <c r="F15" s="14"/>
      <c r="G15" s="14"/>
      <c r="H15" s="14" t="s">
        <v>27</v>
      </c>
      <c r="I15" s="14"/>
      <c r="J15" s="14"/>
      <c r="K15" s="14"/>
      <c r="L15" s="14"/>
      <c r="M15" s="14"/>
      <c r="P15" s="123"/>
      <c r="R15" s="101"/>
    </row>
    <row r="16" spans="1:18" s="15" customFormat="1" ht="14.25" customHeight="1">
      <c r="A16" s="506">
        <f t="shared" si="0"/>
        <v>8</v>
      </c>
      <c r="B16" s="14"/>
      <c r="C16" s="288" t="s">
        <v>630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P16" s="123"/>
      <c r="R16" s="101"/>
    </row>
    <row r="17" spans="1:18" s="15" customFormat="1" ht="14.25" customHeight="1">
      <c r="A17" s="520">
        <f t="shared" si="0"/>
        <v>9</v>
      </c>
      <c r="B17" s="286"/>
      <c r="C17" s="288" t="s">
        <v>733</v>
      </c>
      <c r="D17" s="123"/>
      <c r="E17" s="123"/>
      <c r="F17" s="123"/>
      <c r="G17" s="123"/>
      <c r="H17" s="286"/>
      <c r="I17" s="123"/>
      <c r="J17" s="123"/>
      <c r="K17" s="123"/>
      <c r="L17" s="123"/>
      <c r="M17" s="14"/>
      <c r="P17" s="123"/>
      <c r="R17" s="101"/>
    </row>
    <row r="18" spans="1:18" s="76" customFormat="1" ht="14.25" customHeight="1">
      <c r="A18" s="520">
        <f t="shared" si="0"/>
        <v>10</v>
      </c>
      <c r="B18" s="438"/>
      <c r="C18" s="288" t="s">
        <v>734</v>
      </c>
      <c r="D18" s="463"/>
      <c r="E18" s="463"/>
      <c r="F18" s="463"/>
      <c r="G18" s="463"/>
      <c r="H18" s="438"/>
      <c r="I18" s="463"/>
      <c r="J18" s="463"/>
      <c r="K18" s="463"/>
      <c r="L18" s="463"/>
      <c r="M18" s="530"/>
      <c r="P18" s="463"/>
      <c r="R18" s="448"/>
    </row>
    <row r="19" spans="1:18" s="15" customFormat="1" ht="14.25" customHeight="1">
      <c r="A19" s="520">
        <f t="shared" si="0"/>
        <v>11</v>
      </c>
      <c r="B19" s="286"/>
      <c r="C19" s="288"/>
      <c r="D19" s="123"/>
      <c r="E19" s="123"/>
      <c r="F19" s="123"/>
      <c r="G19" s="123"/>
      <c r="H19" s="286"/>
      <c r="I19" s="123"/>
      <c r="J19" s="123"/>
      <c r="K19" s="123"/>
      <c r="L19" s="123"/>
      <c r="M19" s="14"/>
      <c r="P19" s="123"/>
      <c r="R19" s="101"/>
    </row>
    <row r="20" spans="1:18" s="15" customFormat="1" ht="14.25" customHeight="1">
      <c r="A20" s="520">
        <f t="shared" si="0"/>
        <v>12</v>
      </c>
      <c r="B20" s="286"/>
      <c r="C20" s="288" t="s">
        <v>487</v>
      </c>
      <c r="D20" s="123"/>
      <c r="E20" s="123"/>
      <c r="F20" s="123"/>
      <c r="G20" s="123"/>
      <c r="H20" s="286"/>
      <c r="I20" s="123"/>
      <c r="J20" s="123"/>
      <c r="K20" s="123"/>
      <c r="L20" s="123"/>
      <c r="M20" s="14"/>
      <c r="P20" s="123"/>
      <c r="R20" s="101"/>
    </row>
    <row r="21" spans="1:18" s="15" customFormat="1" ht="14.25" customHeight="1">
      <c r="A21" s="520">
        <f t="shared" si="0"/>
        <v>13</v>
      </c>
      <c r="B21" s="286"/>
      <c r="C21" s="288" t="s">
        <v>811</v>
      </c>
      <c r="D21" s="123"/>
      <c r="E21" s="123"/>
      <c r="F21" s="123"/>
      <c r="G21" s="123"/>
      <c r="H21" s="286"/>
      <c r="I21" s="123"/>
      <c r="J21" s="123"/>
      <c r="K21" s="123"/>
      <c r="L21" s="123"/>
      <c r="M21" s="14"/>
      <c r="P21" s="123"/>
      <c r="R21" s="101"/>
    </row>
    <row r="22" spans="1:18" s="76" customFormat="1" ht="14.25" customHeight="1">
      <c r="A22" s="520">
        <f t="shared" si="0"/>
        <v>14</v>
      </c>
      <c r="B22" s="438"/>
      <c r="C22" s="288" t="s">
        <v>735</v>
      </c>
      <c r="D22" s="463"/>
      <c r="E22" s="463"/>
      <c r="F22" s="463"/>
      <c r="G22" s="463"/>
      <c r="H22" s="438"/>
      <c r="I22" s="463"/>
      <c r="J22" s="463"/>
      <c r="K22" s="463"/>
      <c r="L22" s="463"/>
      <c r="M22" s="530"/>
      <c r="P22" s="463"/>
      <c r="R22" s="448"/>
    </row>
    <row r="23" spans="1:18" s="15" customFormat="1" ht="14.25" customHeight="1">
      <c r="A23" s="520">
        <f t="shared" si="0"/>
        <v>15</v>
      </c>
      <c r="B23" s="286"/>
      <c r="C23" s="288"/>
      <c r="D23" s="123"/>
      <c r="E23" s="123"/>
      <c r="F23" s="123"/>
      <c r="G23" s="123"/>
      <c r="H23" s="286"/>
      <c r="I23" s="123"/>
      <c r="J23" s="123"/>
      <c r="K23" s="123"/>
      <c r="L23" s="123"/>
      <c r="M23" s="14"/>
      <c r="P23" s="123"/>
      <c r="R23" s="101"/>
    </row>
    <row r="24" spans="1:18" s="15" customFormat="1" ht="14.25" customHeight="1">
      <c r="A24" s="520">
        <f t="shared" si="0"/>
        <v>16</v>
      </c>
      <c r="B24" s="286"/>
      <c r="C24" s="288" t="s">
        <v>785</v>
      </c>
      <c r="D24" s="123"/>
      <c r="E24" s="123"/>
      <c r="F24" s="123"/>
      <c r="G24" s="123"/>
      <c r="H24" s="286"/>
      <c r="I24" s="123"/>
      <c r="J24" s="123"/>
      <c r="K24" s="123"/>
      <c r="L24" s="123"/>
      <c r="M24" s="14"/>
      <c r="P24" s="123"/>
      <c r="R24" s="101"/>
    </row>
    <row r="25" spans="1:18" s="15" customFormat="1" ht="14.25" customHeight="1">
      <c r="A25" s="520">
        <f t="shared" si="0"/>
        <v>17</v>
      </c>
      <c r="B25" s="286"/>
      <c r="C25" s="288" t="s">
        <v>800</v>
      </c>
      <c r="D25" s="123"/>
      <c r="E25" s="123"/>
      <c r="F25" s="123"/>
      <c r="G25" s="123"/>
      <c r="H25" s="286"/>
      <c r="I25" s="123"/>
      <c r="J25" s="123"/>
      <c r="K25" s="123"/>
      <c r="L25" s="123"/>
      <c r="M25" s="14"/>
      <c r="P25" s="123"/>
      <c r="R25" s="101"/>
    </row>
    <row r="26" spans="1:18" s="15" customFormat="1" ht="14.25" customHeight="1">
      <c r="A26" s="520">
        <f t="shared" si="0"/>
        <v>18</v>
      </c>
      <c r="B26" s="123"/>
      <c r="C26" s="288" t="s">
        <v>765</v>
      </c>
      <c r="D26" s="123"/>
      <c r="E26" s="123"/>
      <c r="F26" s="123"/>
      <c r="G26" s="123"/>
      <c r="H26" s="286"/>
      <c r="I26" s="123"/>
      <c r="J26" s="123"/>
      <c r="K26" s="123"/>
      <c r="L26" s="123"/>
      <c r="M26" s="14"/>
      <c r="N26" s="60"/>
      <c r="P26" s="123"/>
      <c r="R26" s="101"/>
    </row>
    <row r="27" spans="1:18" s="76" customFormat="1" ht="14.25" customHeight="1">
      <c r="A27" s="520">
        <f t="shared" si="0"/>
        <v>19</v>
      </c>
      <c r="B27" s="463"/>
      <c r="C27" s="288"/>
      <c r="D27" s="463"/>
      <c r="E27" s="463"/>
      <c r="F27" s="463"/>
      <c r="G27" s="463"/>
      <c r="H27" s="438"/>
      <c r="I27" s="463"/>
      <c r="J27" s="463"/>
      <c r="K27" s="463"/>
      <c r="L27" s="463"/>
      <c r="M27" s="530"/>
      <c r="N27" s="60"/>
      <c r="P27" s="463"/>
      <c r="R27" s="448"/>
    </row>
    <row r="28" spans="1:18" s="76" customFormat="1" ht="14.25" customHeight="1">
      <c r="A28" s="520">
        <f t="shared" si="0"/>
        <v>20</v>
      </c>
      <c r="B28" s="463"/>
      <c r="C28" s="288"/>
      <c r="D28" s="463"/>
      <c r="E28" s="463"/>
      <c r="F28" s="463"/>
      <c r="G28" s="463"/>
      <c r="H28" s="438"/>
      <c r="I28" s="463"/>
      <c r="J28" s="463"/>
      <c r="K28" s="463"/>
      <c r="L28" s="463"/>
      <c r="M28" s="530"/>
      <c r="N28" s="60"/>
      <c r="P28" s="463"/>
      <c r="R28" s="448"/>
    </row>
    <row r="29" spans="1:18" s="15" customFormat="1" ht="15">
      <c r="A29" s="520">
        <f t="shared" si="0"/>
        <v>21</v>
      </c>
      <c r="B29" s="123"/>
      <c r="C29" s="287" t="s">
        <v>353</v>
      </c>
      <c r="D29" s="123" t="s">
        <v>27</v>
      </c>
      <c r="E29" s="123"/>
      <c r="F29" s="125">
        <f>'S5.1 '!$G$12</f>
        <v>487.07017000000002</v>
      </c>
      <c r="G29" s="123"/>
      <c r="H29" s="125">
        <f>'S5.1 '!$I$12</f>
        <v>601.33829999999989</v>
      </c>
      <c r="I29" s="123"/>
      <c r="J29" s="125">
        <f>'S5.1 '!$K$12</f>
        <v>456.55130000000003</v>
      </c>
      <c r="K29" s="123"/>
      <c r="L29" s="125">
        <f>'S5.1 '!$M$12</f>
        <v>519.19507401119301</v>
      </c>
      <c r="M29" s="14"/>
      <c r="N29" s="60">
        <f>'S5.1 '!$O$12</f>
        <v>704.47032188745459</v>
      </c>
      <c r="P29" s="60">
        <f>'S5.1 '!$Q$12</f>
        <v>715.33943014448698</v>
      </c>
      <c r="R29" s="101"/>
    </row>
    <row r="30" spans="1:18" s="15" customFormat="1" ht="15.75">
      <c r="A30" s="520">
        <f t="shared" si="0"/>
        <v>22</v>
      </c>
      <c r="B30" s="123"/>
      <c r="C30" s="129"/>
      <c r="D30" s="123"/>
      <c r="E30" s="123"/>
      <c r="F30" s="123"/>
      <c r="G30" s="123"/>
      <c r="H30" s="603"/>
      <c r="I30" s="604"/>
      <c r="J30" s="603"/>
      <c r="K30" s="604"/>
      <c r="L30" s="603"/>
      <c r="M30" s="605"/>
      <c r="N30" s="603"/>
      <c r="O30" s="606"/>
      <c r="P30" s="603"/>
      <c r="R30" s="101"/>
    </row>
    <row r="31" spans="1:18" s="15" customFormat="1" ht="15.75">
      <c r="A31" s="520">
        <f t="shared" si="0"/>
        <v>23</v>
      </c>
      <c r="B31" s="286"/>
      <c r="C31" s="305" t="s">
        <v>600</v>
      </c>
      <c r="D31" s="123"/>
      <c r="E31" s="123"/>
      <c r="F31" s="286" t="s">
        <v>27</v>
      </c>
      <c r="G31" s="123"/>
      <c r="H31" s="607"/>
      <c r="I31" s="604"/>
      <c r="J31" s="607"/>
      <c r="K31" s="604"/>
      <c r="L31" s="607"/>
      <c r="M31" s="605"/>
      <c r="N31" s="607"/>
      <c r="O31" s="606"/>
      <c r="P31" s="607"/>
      <c r="R31" s="101"/>
    </row>
    <row r="32" spans="1:18" s="15" customFormat="1" ht="15">
      <c r="A32" s="520">
        <f t="shared" si="0"/>
        <v>24</v>
      </c>
      <c r="B32" s="123"/>
      <c r="C32" s="305" t="s">
        <v>601</v>
      </c>
      <c r="D32" s="123"/>
      <c r="E32" s="123"/>
      <c r="F32" s="123"/>
      <c r="G32" s="123"/>
      <c r="H32" s="286"/>
      <c r="I32" s="123"/>
      <c r="J32" s="286"/>
      <c r="K32" s="123"/>
      <c r="L32" s="123"/>
      <c r="M32" s="14"/>
      <c r="P32" s="123"/>
      <c r="R32" s="101"/>
    </row>
    <row r="33" spans="1:18" s="15" customFormat="1" ht="15">
      <c r="A33" s="520">
        <f t="shared" si="0"/>
        <v>25</v>
      </c>
      <c r="B33" s="123"/>
      <c r="C33" s="305" t="s">
        <v>796</v>
      </c>
      <c r="D33" s="123"/>
      <c r="E33" s="123"/>
      <c r="F33" s="123" t="s">
        <v>27</v>
      </c>
      <c r="G33" s="123"/>
      <c r="H33" s="286"/>
      <c r="I33" s="123"/>
      <c r="J33" s="286"/>
      <c r="K33" s="123"/>
      <c r="L33" s="123"/>
      <c r="M33" s="14"/>
      <c r="P33" s="123"/>
      <c r="R33" s="101"/>
    </row>
    <row r="34" spans="1:18" s="15" customFormat="1" ht="15">
      <c r="A34" s="520">
        <f t="shared" si="0"/>
        <v>26</v>
      </c>
      <c r="B34" s="286"/>
      <c r="C34" s="305"/>
      <c r="D34" s="123"/>
      <c r="E34" s="123"/>
      <c r="F34" s="123"/>
      <c r="G34" s="123"/>
      <c r="H34" s="286" t="s">
        <v>27</v>
      </c>
      <c r="I34" s="123"/>
      <c r="J34" s="123"/>
      <c r="K34" s="123"/>
      <c r="L34" s="123"/>
      <c r="M34" s="14"/>
      <c r="P34" s="123"/>
      <c r="R34" s="101"/>
    </row>
    <row r="35" spans="1:18" s="15" customFormat="1" ht="15">
      <c r="A35" s="520">
        <f t="shared" si="0"/>
        <v>27</v>
      </c>
      <c r="B35" s="286"/>
      <c r="C35" s="305" t="s">
        <v>602</v>
      </c>
      <c r="D35" s="123"/>
      <c r="E35" s="123"/>
      <c r="F35" s="123"/>
      <c r="G35" s="123"/>
      <c r="H35" s="286"/>
      <c r="I35" s="123"/>
      <c r="J35" s="123"/>
      <c r="K35" s="123"/>
      <c r="L35" s="123"/>
      <c r="M35" s="14"/>
      <c r="P35" s="123"/>
      <c r="R35" s="101"/>
    </row>
    <row r="36" spans="1:18" s="15" customFormat="1" ht="15">
      <c r="A36" s="520">
        <f t="shared" si="0"/>
        <v>28</v>
      </c>
      <c r="B36" s="123"/>
      <c r="C36" s="305" t="s">
        <v>603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4"/>
      <c r="P36" s="123"/>
      <c r="R36" s="101"/>
    </row>
    <row r="37" spans="1:18" s="15" customFormat="1" ht="15">
      <c r="A37" s="520">
        <f t="shared" si="0"/>
        <v>29</v>
      </c>
      <c r="B37" s="123"/>
      <c r="C37" s="305" t="s">
        <v>605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4"/>
      <c r="P37" s="123"/>
      <c r="R37" s="101"/>
    </row>
    <row r="38" spans="1:18" s="15" customFormat="1" ht="15">
      <c r="A38" s="520">
        <f t="shared" si="0"/>
        <v>30</v>
      </c>
      <c r="B38" s="123"/>
      <c r="C38" s="305"/>
      <c r="D38" s="123"/>
      <c r="E38" s="123"/>
      <c r="F38" s="123"/>
      <c r="G38" s="123"/>
      <c r="H38" s="123"/>
      <c r="I38" s="123"/>
      <c r="J38" s="123"/>
      <c r="K38" s="123"/>
      <c r="L38" s="123"/>
      <c r="M38" s="14"/>
      <c r="P38" s="123"/>
      <c r="R38" s="101"/>
    </row>
    <row r="39" spans="1:18" s="15" customFormat="1" ht="15">
      <c r="A39" s="520">
        <f t="shared" si="0"/>
        <v>31</v>
      </c>
      <c r="B39" s="123"/>
      <c r="C39" s="305" t="s">
        <v>604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4"/>
      <c r="P39" s="123"/>
      <c r="R39" s="101"/>
    </row>
    <row r="40" spans="1:18" s="15" customFormat="1" ht="15">
      <c r="A40" s="520">
        <f t="shared" si="0"/>
        <v>32</v>
      </c>
      <c r="B40" s="123"/>
      <c r="C40" s="305" t="s">
        <v>626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4"/>
      <c r="P40" s="123"/>
      <c r="R40" s="101"/>
    </row>
    <row r="41" spans="1:18" s="15" customFormat="1" ht="15">
      <c r="A41" s="520">
        <f t="shared" si="0"/>
        <v>33</v>
      </c>
      <c r="B41" s="123"/>
      <c r="C41" s="129"/>
      <c r="D41" s="123"/>
      <c r="E41" s="123"/>
      <c r="F41" s="123"/>
      <c r="G41" s="123"/>
      <c r="H41" s="123"/>
      <c r="I41" s="123"/>
      <c r="J41" s="123"/>
      <c r="K41" s="123"/>
      <c r="L41" s="123"/>
      <c r="M41" s="14"/>
      <c r="P41" s="123"/>
      <c r="R41" s="101"/>
    </row>
    <row r="42" spans="1:18" s="76" customFormat="1" ht="15">
      <c r="A42" s="520">
        <f t="shared" si="0"/>
        <v>34</v>
      </c>
      <c r="B42" s="463"/>
      <c r="C42" s="288"/>
      <c r="D42" s="463"/>
      <c r="E42" s="463"/>
      <c r="F42" s="463"/>
      <c r="G42" s="463"/>
      <c r="H42" s="463"/>
      <c r="I42" s="463"/>
      <c r="J42" s="463"/>
      <c r="K42" s="463"/>
      <c r="L42" s="463"/>
      <c r="M42" s="530"/>
      <c r="P42" s="463"/>
      <c r="R42" s="448"/>
    </row>
    <row r="43" spans="1:18" s="15" customFormat="1" ht="15">
      <c r="A43" s="520">
        <f t="shared" si="0"/>
        <v>35</v>
      </c>
      <c r="B43" s="123"/>
      <c r="C43" s="287" t="s">
        <v>361</v>
      </c>
      <c r="D43" s="123"/>
      <c r="E43" s="123"/>
      <c r="F43" s="208">
        <f>'S5.1 '!$G$13</f>
        <v>19.441240000000001</v>
      </c>
      <c r="G43" s="208" t="s">
        <v>27</v>
      </c>
      <c r="H43" s="208">
        <f>'S5.1 '!$I$13</f>
        <v>62.883769999999998</v>
      </c>
      <c r="I43" s="208" t="s">
        <v>285</v>
      </c>
      <c r="J43" s="208">
        <f>'S5.1 '!$K$13</f>
        <v>104.82658000000001</v>
      </c>
      <c r="K43" s="208"/>
      <c r="L43" s="208">
        <f>'S5.1 '!$M$13</f>
        <v>48.451853490330798</v>
      </c>
      <c r="M43" s="14"/>
      <c r="N43" s="208">
        <f>'S5.1 '!$O$13</f>
        <v>49.465277392600463</v>
      </c>
      <c r="O43" s="208"/>
      <c r="P43" s="208">
        <f>'S5.1 '!$Q$13</f>
        <v>50.542957157003059</v>
      </c>
    </row>
    <row r="44" spans="1:18" s="15" customFormat="1" ht="15.75">
      <c r="A44" s="520">
        <f t="shared" si="0"/>
        <v>36</v>
      </c>
      <c r="B44" s="123"/>
      <c r="C44" s="101"/>
      <c r="D44" s="123"/>
      <c r="E44" s="123"/>
      <c r="F44" s="101"/>
      <c r="G44" s="101"/>
      <c r="H44" s="603"/>
      <c r="I44" s="604"/>
      <c r="J44" s="603"/>
      <c r="K44" s="604"/>
      <c r="L44" s="603"/>
      <c r="M44" s="605"/>
      <c r="N44" s="603"/>
      <c r="O44" s="606"/>
      <c r="P44" s="603"/>
    </row>
    <row r="45" spans="1:18" s="15" customFormat="1" ht="15.75">
      <c r="A45" s="520">
        <f t="shared" si="0"/>
        <v>37</v>
      </c>
      <c r="B45" s="208"/>
      <c r="C45" s="305" t="s">
        <v>488</v>
      </c>
      <c r="D45" s="123"/>
      <c r="E45" s="123"/>
      <c r="F45" s="101"/>
      <c r="G45" s="101"/>
      <c r="H45" s="607"/>
      <c r="I45" s="604"/>
      <c r="J45" s="607"/>
      <c r="K45" s="604"/>
      <c r="L45" s="607"/>
      <c r="M45" s="605"/>
      <c r="N45" s="607"/>
      <c r="O45" s="606"/>
      <c r="P45" s="607"/>
    </row>
    <row r="46" spans="1:18" s="15" customFormat="1" ht="15">
      <c r="A46" s="520">
        <f t="shared" si="0"/>
        <v>38</v>
      </c>
      <c r="B46" s="123"/>
      <c r="C46" s="305" t="s">
        <v>797</v>
      </c>
      <c r="D46" s="123"/>
      <c r="E46" s="123"/>
      <c r="F46" s="101"/>
      <c r="G46" s="101"/>
      <c r="H46" s="289"/>
      <c r="I46" s="101"/>
      <c r="J46" s="289"/>
      <c r="K46" s="101"/>
      <c r="L46" s="101"/>
      <c r="M46" s="14"/>
      <c r="N46" s="208"/>
      <c r="O46" s="208"/>
      <c r="P46" s="208"/>
    </row>
    <row r="47" spans="1:18" s="15" customFormat="1" ht="15">
      <c r="A47" s="520">
        <f t="shared" si="0"/>
        <v>39</v>
      </c>
      <c r="B47" s="208"/>
      <c r="C47" s="288" t="s">
        <v>606</v>
      </c>
      <c r="D47" s="123"/>
      <c r="E47" s="123"/>
      <c r="F47" s="101"/>
      <c r="G47" s="101"/>
      <c r="H47" s="289"/>
      <c r="I47" s="101"/>
      <c r="J47" s="289"/>
      <c r="K47" s="101"/>
      <c r="L47" s="101"/>
      <c r="M47" s="14"/>
      <c r="N47" s="208"/>
      <c r="O47" s="208"/>
      <c r="P47" s="208"/>
    </row>
    <row r="48" spans="1:18" s="15" customFormat="1" ht="15">
      <c r="A48" s="520">
        <f t="shared" si="0"/>
        <v>40</v>
      </c>
      <c r="B48" s="208"/>
      <c r="C48" s="129"/>
      <c r="D48" s="123"/>
      <c r="E48" s="123"/>
      <c r="F48" s="101"/>
      <c r="G48" s="101"/>
      <c r="H48" s="289"/>
      <c r="I48" s="101"/>
      <c r="J48" s="289"/>
      <c r="K48" s="101"/>
      <c r="L48" s="101"/>
      <c r="M48" s="14"/>
      <c r="N48" s="208"/>
      <c r="O48" s="208"/>
      <c r="P48" s="208"/>
    </row>
    <row r="49" spans="1:17" s="15" customFormat="1" ht="15">
      <c r="A49" s="520">
        <f t="shared" si="0"/>
        <v>41</v>
      </c>
      <c r="B49" s="208"/>
      <c r="C49" s="288" t="s">
        <v>607</v>
      </c>
      <c r="D49" s="123"/>
      <c r="E49" s="123"/>
      <c r="F49" s="101"/>
      <c r="G49" s="101"/>
      <c r="H49" s="289"/>
      <c r="I49" s="101"/>
      <c r="J49" s="289"/>
      <c r="K49" s="101"/>
      <c r="L49" s="101"/>
      <c r="M49" s="14"/>
      <c r="N49" s="208"/>
      <c r="O49" s="208"/>
      <c r="P49" s="208"/>
    </row>
    <row r="50" spans="1:17" s="15" customFormat="1" ht="15">
      <c r="A50" s="520">
        <f t="shared" si="0"/>
        <v>42</v>
      </c>
      <c r="B50" s="208"/>
      <c r="C50" s="288" t="s">
        <v>608</v>
      </c>
      <c r="D50" s="123"/>
      <c r="E50" s="123"/>
      <c r="F50" s="101"/>
      <c r="G50" s="101"/>
      <c r="H50" s="289"/>
      <c r="I50" s="101"/>
      <c r="J50" s="289"/>
      <c r="K50" s="101"/>
      <c r="L50" s="101"/>
      <c r="M50" s="14"/>
      <c r="N50" s="208"/>
      <c r="O50" s="208"/>
      <c r="P50" s="208"/>
    </row>
    <row r="51" spans="1:17" s="15" customFormat="1" ht="15">
      <c r="A51" s="520">
        <f t="shared" si="0"/>
        <v>43</v>
      </c>
      <c r="B51" s="208"/>
      <c r="C51" s="288" t="s">
        <v>609</v>
      </c>
      <c r="D51" s="123"/>
      <c r="E51" s="123"/>
      <c r="F51" s="101"/>
      <c r="G51" s="101"/>
      <c r="H51" s="289"/>
      <c r="I51" s="101"/>
      <c r="J51" s="289"/>
      <c r="K51" s="448"/>
      <c r="L51" s="448"/>
      <c r="M51" s="463"/>
      <c r="N51" s="450"/>
      <c r="O51" s="450"/>
      <c r="P51" s="450"/>
    </row>
    <row r="52" spans="1:17" s="15" customFormat="1" ht="15">
      <c r="A52" s="520">
        <f t="shared" si="0"/>
        <v>44</v>
      </c>
      <c r="B52" s="123"/>
      <c r="C52" s="288"/>
      <c r="D52" s="123"/>
      <c r="E52" s="123"/>
      <c r="F52" s="101"/>
      <c r="G52" s="101"/>
      <c r="H52" s="289"/>
      <c r="I52" s="101"/>
      <c r="J52" s="289"/>
      <c r="K52" s="448"/>
      <c r="L52" s="210"/>
      <c r="M52" s="463"/>
      <c r="N52" s="528"/>
      <c r="O52" s="450"/>
      <c r="P52" s="450"/>
    </row>
    <row r="53" spans="1:17" s="15" customFormat="1" ht="15">
      <c r="A53" s="520">
        <f t="shared" si="0"/>
        <v>45</v>
      </c>
      <c r="B53" s="208"/>
      <c r="C53" s="129"/>
      <c r="D53" s="123"/>
      <c r="E53" s="123"/>
      <c r="F53" s="101"/>
      <c r="G53" s="101"/>
      <c r="H53" s="208"/>
      <c r="I53" s="101"/>
      <c r="J53" s="289"/>
      <c r="K53" s="448"/>
      <c r="L53" s="448"/>
      <c r="M53" s="463"/>
      <c r="N53" s="450"/>
      <c r="O53" s="450"/>
      <c r="P53" s="450"/>
    </row>
    <row r="54" spans="1:17" s="15" customFormat="1" ht="15">
      <c r="A54" s="520">
        <f t="shared" si="0"/>
        <v>46</v>
      </c>
      <c r="B54" s="123"/>
      <c r="C54" s="287" t="s">
        <v>372</v>
      </c>
      <c r="D54" s="123"/>
      <c r="E54" s="123"/>
      <c r="F54" s="153">
        <f>'S5.1 '!$G$14</f>
        <v>913.27596000000005</v>
      </c>
      <c r="G54" s="153"/>
      <c r="H54" s="208">
        <f>'S5.1 '!$I$14</f>
        <v>1013.4120100000001</v>
      </c>
      <c r="I54" s="153"/>
      <c r="J54" s="450">
        <f>'S5.1 '!$K$14</f>
        <v>1193.4398999999999</v>
      </c>
      <c r="K54" s="450"/>
      <c r="L54" s="450">
        <f>'S5.1 '!$M$14</f>
        <v>1216.4346135716048</v>
      </c>
      <c r="M54" s="463"/>
      <c r="N54" s="450">
        <f>'S5.1 '!$O$14</f>
        <v>1237.6217146081995</v>
      </c>
      <c r="O54" s="450"/>
      <c r="P54" s="450">
        <f>'S5.1 '!$Q$14</f>
        <v>1261.2435925408722</v>
      </c>
    </row>
    <row r="55" spans="1:17" s="15" customFormat="1" ht="15.75">
      <c r="A55" s="520">
        <f t="shared" si="0"/>
        <v>47</v>
      </c>
      <c r="B55" s="123"/>
      <c r="C55" s="101"/>
      <c r="D55" s="123"/>
      <c r="E55" s="123"/>
      <c r="F55" s="101"/>
      <c r="G55" s="101"/>
      <c r="H55" s="603"/>
      <c r="I55" s="604"/>
      <c r="J55" s="603"/>
      <c r="K55" s="604"/>
      <c r="L55" s="603"/>
      <c r="M55" s="605"/>
      <c r="N55" s="603"/>
      <c r="O55" s="606"/>
      <c r="P55" s="603"/>
    </row>
    <row r="56" spans="1:17" s="76" customFormat="1" ht="15.75">
      <c r="A56" s="520">
        <f t="shared" si="0"/>
        <v>48</v>
      </c>
      <c r="B56" s="463"/>
      <c r="C56" s="288" t="s">
        <v>766</v>
      </c>
      <c r="D56" s="463"/>
      <c r="E56" s="463"/>
      <c r="F56" s="448"/>
      <c r="G56" s="448"/>
      <c r="H56" s="607"/>
      <c r="I56" s="604"/>
      <c r="J56" s="607"/>
      <c r="K56" s="604"/>
      <c r="L56" s="607"/>
      <c r="M56" s="605"/>
      <c r="N56" s="607"/>
      <c r="O56" s="606"/>
      <c r="P56" s="607"/>
    </row>
    <row r="57" spans="1:17" s="76" customFormat="1" ht="15">
      <c r="A57" s="520">
        <f t="shared" si="0"/>
        <v>49</v>
      </c>
      <c r="B57" s="463"/>
      <c r="C57" s="288" t="s">
        <v>798</v>
      </c>
      <c r="D57" s="463"/>
      <c r="E57" s="463"/>
      <c r="F57" s="448"/>
      <c r="G57" s="448"/>
      <c r="H57" s="438"/>
      <c r="I57" s="463"/>
      <c r="J57" s="438"/>
      <c r="K57" s="463"/>
      <c r="L57" s="438"/>
      <c r="M57" s="530"/>
      <c r="N57" s="438"/>
      <c r="P57" s="438"/>
    </row>
    <row r="58" spans="1:17" s="76" customFormat="1" ht="15">
      <c r="A58" s="520">
        <f t="shared" si="0"/>
        <v>50</v>
      </c>
      <c r="B58" s="463"/>
      <c r="C58" s="288"/>
      <c r="D58" s="463"/>
      <c r="E58" s="463"/>
      <c r="F58" s="448"/>
      <c r="G58" s="448"/>
      <c r="H58" s="438"/>
      <c r="I58" s="463"/>
      <c r="J58" s="438"/>
      <c r="K58" s="463"/>
      <c r="L58" s="438"/>
      <c r="M58" s="530"/>
      <c r="N58" s="438"/>
      <c r="P58" s="438"/>
    </row>
    <row r="59" spans="1:17" s="15" customFormat="1" ht="15">
      <c r="A59" s="520">
        <f t="shared" si="0"/>
        <v>51</v>
      </c>
      <c r="B59" s="153"/>
      <c r="C59" s="129" t="s">
        <v>767</v>
      </c>
      <c r="D59" s="123"/>
      <c r="E59" s="123"/>
      <c r="F59" s="101"/>
      <c r="G59" s="101"/>
      <c r="H59" s="304"/>
      <c r="I59" s="123"/>
      <c r="J59" s="304"/>
      <c r="K59" s="123"/>
      <c r="L59" s="304"/>
      <c r="M59" s="14"/>
      <c r="N59" s="304"/>
      <c r="P59" s="304"/>
    </row>
    <row r="60" spans="1:17" s="15" customFormat="1" ht="15">
      <c r="A60" s="520">
        <f t="shared" si="0"/>
        <v>52</v>
      </c>
      <c r="B60" s="123"/>
      <c r="C60" s="288" t="s">
        <v>799</v>
      </c>
      <c r="D60" s="123"/>
      <c r="E60" s="123"/>
      <c r="F60" s="101"/>
      <c r="G60" s="101"/>
      <c r="H60" s="289" t="s">
        <v>27</v>
      </c>
      <c r="I60" s="101"/>
      <c r="J60" s="289" t="s">
        <v>27</v>
      </c>
      <c r="K60" s="101"/>
      <c r="L60" s="101"/>
      <c r="M60" s="14"/>
      <c r="N60" s="208"/>
      <c r="O60" s="208"/>
      <c r="P60" s="208"/>
    </row>
    <row r="61" spans="1:17" s="15" customFormat="1" ht="15">
      <c r="A61" s="506"/>
      <c r="B61" s="153"/>
      <c r="C61" s="129"/>
      <c r="D61" s="123"/>
      <c r="E61" s="123"/>
      <c r="F61" s="101"/>
      <c r="G61" s="101"/>
      <c r="H61" s="289"/>
      <c r="I61" s="101"/>
      <c r="J61" s="101"/>
      <c r="K61" s="101"/>
      <c r="L61" s="101"/>
      <c r="M61" s="14"/>
      <c r="N61" s="208"/>
      <c r="O61" s="208"/>
      <c r="P61" s="208"/>
    </row>
    <row r="62" spans="1:17" s="15" customFormat="1" ht="15.75">
      <c r="A62" s="61" t="s">
        <v>540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762"/>
      <c r="P62" s="762"/>
      <c r="Q62" s="9" t="s">
        <v>502</v>
      </c>
    </row>
    <row r="63" spans="1:17" s="15" customFormat="1" ht="15.75">
      <c r="A63" s="61" t="s">
        <v>463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762"/>
      <c r="P63" s="762"/>
      <c r="Q63" s="126" t="s">
        <v>2</v>
      </c>
    </row>
    <row r="64" spans="1:17" s="15" customFormat="1" ht="15.75">
      <c r="A64" s="61" t="s">
        <v>229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762"/>
      <c r="P64" s="762"/>
    </row>
    <row r="65" spans="1:16" s="134" customFormat="1" ht="15.75">
      <c r="A65" s="61" t="s">
        <v>32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120"/>
      <c r="P65" s="62"/>
    </row>
    <row r="66" spans="1:16" s="76" customFormat="1" ht="15.75">
      <c r="A66" s="640"/>
      <c r="B66" s="640"/>
      <c r="C66" s="640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640"/>
      <c r="O66" s="450"/>
      <c r="P66" s="450"/>
    </row>
    <row r="67" spans="1:16" s="15" customFormat="1" ht="15.75">
      <c r="A67" s="426" t="s">
        <v>33</v>
      </c>
      <c r="B67" s="426"/>
      <c r="C67" s="426"/>
      <c r="D67" s="426"/>
      <c r="E67" s="426"/>
      <c r="F67" s="10" t="s">
        <v>25</v>
      </c>
      <c r="G67" s="10"/>
      <c r="H67" s="10" t="s">
        <v>25</v>
      </c>
      <c r="I67" s="10"/>
      <c r="J67" s="10" t="s">
        <v>25</v>
      </c>
      <c r="K67" s="10"/>
      <c r="L67" s="10" t="s">
        <v>330</v>
      </c>
      <c r="M67" s="14"/>
      <c r="N67" s="10" t="s">
        <v>330</v>
      </c>
      <c r="P67" s="10" t="s">
        <v>330</v>
      </c>
    </row>
    <row r="68" spans="1:16" s="15" customFormat="1" ht="15.75">
      <c r="A68" s="279" t="s">
        <v>35</v>
      </c>
      <c r="B68" s="426"/>
      <c r="C68" s="279" t="s">
        <v>178</v>
      </c>
      <c r="D68" s="279"/>
      <c r="E68" s="426"/>
      <c r="F68" s="502">
        <v>2010</v>
      </c>
      <c r="G68" s="503"/>
      <c r="H68" s="502">
        <v>2011</v>
      </c>
      <c r="I68" s="503"/>
      <c r="J68" s="502">
        <v>2012</v>
      </c>
      <c r="K68" s="503"/>
      <c r="L68" s="502">
        <v>2013</v>
      </c>
      <c r="M68" s="504"/>
      <c r="N68" s="502">
        <v>2014</v>
      </c>
      <c r="O68" s="505"/>
      <c r="P68" s="502">
        <v>2015</v>
      </c>
    </row>
    <row r="69" spans="1:16" s="76" customFormat="1" ht="15.75">
      <c r="A69" s="401"/>
      <c r="B69" s="769"/>
      <c r="C69" s="401"/>
      <c r="D69" s="401"/>
      <c r="E69" s="769"/>
      <c r="F69" s="525"/>
      <c r="G69" s="523"/>
      <c r="H69" s="525"/>
      <c r="I69" s="523"/>
      <c r="J69" s="525"/>
      <c r="K69" s="523"/>
      <c r="L69" s="525"/>
      <c r="M69" s="527"/>
      <c r="N69" s="525"/>
      <c r="O69" s="505"/>
      <c r="P69" s="525"/>
    </row>
    <row r="70" spans="1:16" s="15" customFormat="1" ht="15.75">
      <c r="A70" s="506">
        <f>A60+1</f>
        <v>53</v>
      </c>
      <c r="B70" s="123"/>
      <c r="C70" s="130" t="s">
        <v>47</v>
      </c>
      <c r="D70" s="123"/>
      <c r="E70" s="123"/>
      <c r="F70" s="153"/>
      <c r="G70" s="153"/>
      <c r="H70" s="153"/>
      <c r="I70" s="153"/>
      <c r="J70" s="153"/>
      <c r="K70" s="153"/>
      <c r="L70" s="153"/>
      <c r="M70" s="14"/>
      <c r="N70" s="208"/>
      <c r="O70" s="208"/>
      <c r="P70" s="208"/>
    </row>
    <row r="71" spans="1:16" s="15" customFormat="1" ht="15.75">
      <c r="A71" s="506">
        <f>+A70+1</f>
        <v>54</v>
      </c>
      <c r="B71" s="123"/>
      <c r="C71" s="130"/>
      <c r="D71" s="123"/>
      <c r="E71" s="123"/>
      <c r="F71" s="153"/>
      <c r="G71" s="153"/>
      <c r="H71" s="153"/>
      <c r="I71" s="153"/>
      <c r="J71" s="153"/>
      <c r="K71" s="153"/>
      <c r="L71" s="153"/>
      <c r="M71" s="14"/>
      <c r="N71" s="208"/>
      <c r="O71" s="208"/>
      <c r="P71" s="208"/>
    </row>
    <row r="72" spans="1:16" s="15" customFormat="1" ht="15">
      <c r="A72" s="506">
        <f t="shared" ref="A72:A120" si="1">+A71+1</f>
        <v>55</v>
      </c>
      <c r="B72" s="123"/>
      <c r="C72" s="287" t="s">
        <v>88</v>
      </c>
      <c r="D72" s="123"/>
      <c r="E72" s="123"/>
      <c r="F72" s="208">
        <f>'S5.1 '!$G$17</f>
        <v>234.09072</v>
      </c>
      <c r="G72" s="208"/>
      <c r="H72" s="208">
        <f>'S5.1 '!$I$17</f>
        <v>241.76340999999999</v>
      </c>
      <c r="I72" s="208"/>
      <c r="J72" s="208">
        <f>'S5.1 '!$K$17</f>
        <v>263.27393999999998</v>
      </c>
      <c r="K72" s="208"/>
      <c r="L72" s="208">
        <f>'S5.1 '!$M$17</f>
        <v>297.17097325063139</v>
      </c>
      <c r="M72" s="208"/>
      <c r="N72" s="208">
        <f>'S5.1 '!$O$17</f>
        <v>305.12327162672807</v>
      </c>
      <c r="O72" s="208"/>
      <c r="P72" s="208">
        <f>'S5.1 '!$Q$17</f>
        <v>314.19734191380036</v>
      </c>
    </row>
    <row r="73" spans="1:16" s="15" customFormat="1" ht="15.75">
      <c r="A73" s="506">
        <f t="shared" si="1"/>
        <v>56</v>
      </c>
      <c r="B73" s="123"/>
      <c r="C73" s="287"/>
      <c r="D73" s="123"/>
      <c r="E73" s="123"/>
      <c r="F73" s="208"/>
      <c r="G73" s="208"/>
      <c r="H73" s="603"/>
      <c r="I73" s="604"/>
      <c r="J73" s="603"/>
      <c r="K73" s="604"/>
      <c r="L73" s="603"/>
      <c r="M73" s="605"/>
      <c r="N73" s="603"/>
      <c r="O73" s="606"/>
      <c r="P73" s="603"/>
    </row>
    <row r="74" spans="1:16" s="76" customFormat="1" ht="15.75">
      <c r="A74" s="520">
        <f t="shared" si="1"/>
        <v>57</v>
      </c>
      <c r="B74" s="463"/>
      <c r="C74" s="288" t="s">
        <v>610</v>
      </c>
      <c r="D74" s="463"/>
      <c r="E74" s="463"/>
      <c r="F74" s="450"/>
      <c r="G74" s="450"/>
      <c r="H74" s="607"/>
      <c r="I74" s="604"/>
      <c r="J74" s="607"/>
      <c r="K74" s="604"/>
      <c r="L74" s="607"/>
      <c r="M74" s="605"/>
      <c r="N74" s="607"/>
      <c r="O74" s="606"/>
      <c r="P74" s="607"/>
    </row>
    <row r="75" spans="1:16" s="76" customFormat="1" ht="15">
      <c r="A75" s="520">
        <f t="shared" si="1"/>
        <v>58</v>
      </c>
      <c r="B75" s="463"/>
      <c r="C75" s="288" t="s">
        <v>627</v>
      </c>
      <c r="D75" s="463"/>
      <c r="E75" s="463"/>
      <c r="F75" s="450"/>
      <c r="G75" s="450"/>
      <c r="H75" s="438"/>
      <c r="I75" s="463"/>
      <c r="J75" s="438"/>
      <c r="K75" s="463"/>
      <c r="L75" s="438"/>
      <c r="M75" s="530"/>
      <c r="N75" s="304"/>
      <c r="P75" s="438"/>
    </row>
    <row r="76" spans="1:16" s="76" customFormat="1" ht="15">
      <c r="A76" s="520">
        <f t="shared" si="1"/>
        <v>59</v>
      </c>
      <c r="B76" s="463"/>
      <c r="C76" s="288" t="s">
        <v>753</v>
      </c>
      <c r="D76" s="463"/>
      <c r="E76" s="463"/>
      <c r="F76" s="450"/>
      <c r="G76" s="450"/>
      <c r="H76" s="438"/>
      <c r="I76" s="463"/>
      <c r="J76" s="438"/>
      <c r="K76" s="463"/>
      <c r="L76" s="438"/>
      <c r="M76" s="530"/>
      <c r="N76" s="438"/>
      <c r="P76" s="438"/>
    </row>
    <row r="77" spans="1:16" s="76" customFormat="1" ht="15">
      <c r="A77" s="520">
        <f t="shared" si="1"/>
        <v>60</v>
      </c>
      <c r="B77" s="463"/>
      <c r="C77" s="287"/>
      <c r="D77" s="463"/>
      <c r="E77" s="463"/>
      <c r="F77" s="450"/>
      <c r="G77" s="450"/>
      <c r="H77" s="438"/>
      <c r="I77" s="463"/>
      <c r="J77" s="438"/>
      <c r="K77" s="463"/>
      <c r="L77" s="438"/>
      <c r="M77" s="530"/>
      <c r="N77" s="438"/>
      <c r="P77" s="438"/>
    </row>
    <row r="78" spans="1:16" s="15" customFormat="1" ht="15">
      <c r="A78" s="520">
        <f t="shared" si="1"/>
        <v>61</v>
      </c>
      <c r="B78" s="106"/>
      <c r="C78" s="129" t="s">
        <v>489</v>
      </c>
      <c r="D78" s="123"/>
      <c r="E78" s="123"/>
      <c r="F78" s="208"/>
      <c r="G78" s="208"/>
      <c r="H78" s="304"/>
      <c r="I78" s="123"/>
      <c r="J78" s="304"/>
      <c r="K78" s="123"/>
      <c r="L78" s="304"/>
      <c r="M78" s="14"/>
      <c r="N78" s="304"/>
      <c r="P78" s="304"/>
    </row>
    <row r="79" spans="1:16" s="15" customFormat="1" ht="15">
      <c r="A79" s="506">
        <f t="shared" si="1"/>
        <v>62</v>
      </c>
      <c r="B79" s="123"/>
      <c r="C79" s="288" t="s">
        <v>754</v>
      </c>
      <c r="D79" s="123"/>
      <c r="E79" s="123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</row>
    <row r="80" spans="1:16" s="15" customFormat="1" ht="15">
      <c r="A80" s="506">
        <f t="shared" si="1"/>
        <v>63</v>
      </c>
      <c r="B80" s="123"/>
      <c r="C80" s="288" t="s">
        <v>611</v>
      </c>
      <c r="D80" s="123"/>
      <c r="E80" s="123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</row>
    <row r="81" spans="1:16" s="15" customFormat="1" ht="15">
      <c r="A81" s="506">
        <f t="shared" si="1"/>
        <v>64</v>
      </c>
      <c r="B81" s="123"/>
      <c r="C81" s="129"/>
      <c r="D81" s="123"/>
      <c r="E81" s="123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</row>
    <row r="82" spans="1:16" s="127" customFormat="1" ht="15.75" customHeight="1">
      <c r="A82" s="506">
        <f>+A81+1</f>
        <v>65</v>
      </c>
      <c r="B82" s="123"/>
      <c r="C82" s="129"/>
      <c r="D82" s="123"/>
      <c r="E82" s="123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</row>
    <row r="83" spans="1:16" s="127" customFormat="1" ht="15.75" customHeight="1">
      <c r="A83" s="506">
        <f t="shared" si="1"/>
        <v>66</v>
      </c>
      <c r="B83" s="123"/>
      <c r="C83" s="287" t="s">
        <v>246</v>
      </c>
      <c r="D83" s="281"/>
      <c r="E83" s="426"/>
      <c r="F83" s="208">
        <f>'S5.1 '!$G$18</f>
        <v>355.21799000000004</v>
      </c>
      <c r="G83" s="208"/>
      <c r="H83" s="208">
        <f>'S5.1 '!$I$18</f>
        <v>283.10696000000002</v>
      </c>
      <c r="I83" s="208"/>
      <c r="J83" s="208">
        <f>'S5.1 '!$K$18</f>
        <v>542.56897000000004</v>
      </c>
      <c r="K83" s="208"/>
      <c r="L83" s="208">
        <f>'S5.1 '!$M$18</f>
        <v>403.0051311056564</v>
      </c>
      <c r="M83" s="208"/>
      <c r="N83" s="208">
        <f>'S5.1 '!$O$18</f>
        <v>411.23091721080215</v>
      </c>
      <c r="O83" s="208"/>
      <c r="P83" s="208">
        <f>'S5.1 '!$Q$18</f>
        <v>419.85664386973883</v>
      </c>
    </row>
    <row r="84" spans="1:16" s="127" customFormat="1" ht="15.75" customHeight="1">
      <c r="A84" s="506">
        <f t="shared" si="1"/>
        <v>67</v>
      </c>
      <c r="B84" s="123"/>
      <c r="C84" s="281"/>
      <c r="D84" s="281"/>
      <c r="E84" s="426"/>
      <c r="F84" s="208"/>
      <c r="G84" s="208"/>
      <c r="H84" s="603"/>
      <c r="I84" s="604"/>
      <c r="J84" s="603"/>
      <c r="K84" s="604"/>
      <c r="L84" s="603"/>
      <c r="M84" s="605"/>
      <c r="N84" s="603"/>
      <c r="O84" s="606"/>
      <c r="P84" s="603"/>
    </row>
    <row r="85" spans="1:16" s="127" customFormat="1" ht="15.75" customHeight="1">
      <c r="A85" s="520">
        <f t="shared" si="1"/>
        <v>68</v>
      </c>
      <c r="B85" s="123"/>
      <c r="C85" s="288" t="s">
        <v>769</v>
      </c>
      <c r="D85" s="281"/>
      <c r="E85" s="426"/>
      <c r="F85" s="208"/>
      <c r="G85" s="208"/>
      <c r="H85" s="607"/>
      <c r="I85" s="604"/>
      <c r="J85" s="603"/>
      <c r="K85" s="604"/>
      <c r="L85" s="607"/>
      <c r="M85" s="605"/>
      <c r="N85" s="607"/>
      <c r="O85" s="606"/>
      <c r="P85" s="607"/>
    </row>
    <row r="86" spans="1:16" s="398" customFormat="1" ht="15.75" customHeight="1">
      <c r="A86" s="520">
        <f t="shared" si="1"/>
        <v>69</v>
      </c>
      <c r="B86" s="463"/>
      <c r="C86" s="288" t="s">
        <v>768</v>
      </c>
      <c r="D86" s="401"/>
      <c r="E86" s="766"/>
      <c r="F86" s="450"/>
      <c r="G86" s="450"/>
      <c r="H86" s="607"/>
      <c r="I86" s="604"/>
      <c r="J86" s="603"/>
      <c r="K86" s="604"/>
      <c r="L86" s="607"/>
      <c r="M86" s="605"/>
      <c r="N86" s="607"/>
      <c r="O86" s="606"/>
      <c r="P86" s="607"/>
    </row>
    <row r="87" spans="1:16" s="398" customFormat="1" ht="15.75" customHeight="1">
      <c r="A87" s="520">
        <f t="shared" si="1"/>
        <v>70</v>
      </c>
      <c r="B87" s="463"/>
      <c r="C87" s="608"/>
      <c r="D87" s="401"/>
      <c r="E87" s="533"/>
      <c r="F87" s="450"/>
      <c r="G87" s="450"/>
      <c r="H87" s="450"/>
      <c r="I87" s="450"/>
      <c r="J87" s="450"/>
      <c r="K87" s="450"/>
      <c r="L87" s="450"/>
      <c r="M87" s="450"/>
      <c r="N87" s="450"/>
      <c r="O87" s="450"/>
      <c r="P87" s="450"/>
    </row>
    <row r="88" spans="1:16" s="127" customFormat="1" ht="15.75" customHeight="1">
      <c r="A88" s="520">
        <f t="shared" si="1"/>
        <v>71</v>
      </c>
      <c r="B88" s="123"/>
      <c r="C88" s="288" t="s">
        <v>770</v>
      </c>
      <c r="D88" s="281"/>
      <c r="E88" s="426"/>
      <c r="F88" s="208"/>
      <c r="G88" s="208"/>
      <c r="H88" s="497"/>
      <c r="I88" s="208"/>
      <c r="J88" s="208"/>
      <c r="K88" s="208"/>
      <c r="L88" s="208"/>
      <c r="M88" s="208"/>
      <c r="N88" s="208"/>
      <c r="O88" s="208"/>
      <c r="P88" s="208"/>
    </row>
    <row r="89" spans="1:16" s="127" customFormat="1" ht="15.75" customHeight="1">
      <c r="A89" s="520">
        <f t="shared" si="1"/>
        <v>72</v>
      </c>
      <c r="B89" s="123"/>
      <c r="C89" s="288" t="s">
        <v>771</v>
      </c>
      <c r="D89" s="281"/>
      <c r="E89" s="426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</row>
    <row r="90" spans="1:16" s="398" customFormat="1" ht="15.75" customHeight="1">
      <c r="A90" s="520">
        <f t="shared" si="1"/>
        <v>73</v>
      </c>
      <c r="B90" s="463"/>
      <c r="D90" s="401"/>
      <c r="E90" s="764"/>
      <c r="F90" s="450"/>
      <c r="G90" s="450"/>
      <c r="H90" s="450"/>
      <c r="I90" s="450"/>
      <c r="J90" s="450"/>
      <c r="K90" s="450"/>
      <c r="L90" s="450"/>
      <c r="M90" s="450"/>
      <c r="N90" s="450"/>
      <c r="O90" s="450"/>
      <c r="P90" s="450"/>
    </row>
    <row r="91" spans="1:16" s="127" customFormat="1" ht="15.75" customHeight="1">
      <c r="A91" s="520">
        <f t="shared" si="1"/>
        <v>74</v>
      </c>
      <c r="B91" s="123"/>
      <c r="C91" s="129"/>
      <c r="D91" s="281"/>
      <c r="E91" s="426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</row>
    <row r="92" spans="1:16" s="127" customFormat="1" ht="15.75" customHeight="1">
      <c r="A92" s="520">
        <f t="shared" si="1"/>
        <v>75</v>
      </c>
      <c r="B92" s="123"/>
      <c r="C92" s="287" t="s">
        <v>85</v>
      </c>
      <c r="D92" s="123"/>
      <c r="E92" s="123"/>
      <c r="F92" s="208">
        <f>'S5.1 '!$G$20</f>
        <v>1769.0829799999995</v>
      </c>
      <c r="G92" s="208"/>
      <c r="H92" s="208">
        <f>'S5.1 '!$I$20</f>
        <v>1808.2901299999992</v>
      </c>
      <c r="I92" s="208"/>
      <c r="J92" s="208">
        <f>'S5.1 '!$K$20</f>
        <v>1938.4936600000005</v>
      </c>
      <c r="K92" s="208"/>
      <c r="L92" s="208">
        <f>'S5.1 '!$M$20</f>
        <v>1988.9968216995717</v>
      </c>
      <c r="M92" s="208"/>
      <c r="N92" s="208">
        <f>'S5.1 '!$O$20</f>
        <v>2034.30956208726</v>
      </c>
      <c r="O92" s="208"/>
      <c r="P92" s="208">
        <f>'S5.1 '!$Q$20</f>
        <v>2132.0036448602486</v>
      </c>
    </row>
    <row r="93" spans="1:16" s="127" customFormat="1" ht="15.75" customHeight="1">
      <c r="A93" s="520">
        <f t="shared" si="1"/>
        <v>76</v>
      </c>
      <c r="B93" s="123"/>
      <c r="C93" s="287"/>
      <c r="D93" s="123"/>
      <c r="E93" s="123"/>
      <c r="F93" s="208"/>
      <c r="G93" s="208"/>
      <c r="H93" s="603"/>
      <c r="I93" s="604"/>
      <c r="J93" s="603"/>
      <c r="K93" s="604"/>
      <c r="L93" s="603"/>
      <c r="M93" s="605"/>
      <c r="N93" s="603"/>
      <c r="O93" s="606"/>
      <c r="P93" s="603"/>
    </row>
    <row r="94" spans="1:16" s="127" customFormat="1" ht="15.75" customHeight="1">
      <c r="A94" s="520">
        <f t="shared" si="1"/>
        <v>77</v>
      </c>
      <c r="B94" s="123"/>
      <c r="C94" s="288" t="s">
        <v>629</v>
      </c>
      <c r="D94" s="123"/>
      <c r="E94" s="123"/>
      <c r="F94" s="208"/>
      <c r="G94" s="208"/>
      <c r="H94" s="607"/>
      <c r="I94" s="604"/>
      <c r="J94" s="607"/>
      <c r="K94" s="604"/>
      <c r="L94" s="607"/>
      <c r="M94" s="605"/>
      <c r="N94" s="607"/>
      <c r="O94" s="606"/>
      <c r="P94" s="607"/>
    </row>
    <row r="95" spans="1:16" s="127" customFormat="1" ht="15.75" customHeight="1">
      <c r="A95" s="520">
        <f t="shared" si="1"/>
        <v>78</v>
      </c>
      <c r="B95" s="123"/>
      <c r="C95" s="288" t="s">
        <v>751</v>
      </c>
      <c r="D95" s="123"/>
      <c r="E95" s="123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</row>
    <row r="96" spans="1:16" s="127" customFormat="1" ht="15.75" customHeight="1">
      <c r="A96" s="520">
        <f t="shared" si="1"/>
        <v>79</v>
      </c>
      <c r="B96" s="123"/>
      <c r="C96" s="288" t="s">
        <v>628</v>
      </c>
      <c r="D96" s="123"/>
      <c r="E96" s="123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</row>
    <row r="97" spans="1:16" s="127" customFormat="1" ht="15.75" customHeight="1">
      <c r="A97" s="520">
        <f t="shared" si="1"/>
        <v>80</v>
      </c>
      <c r="B97" s="123"/>
      <c r="C97" s="58"/>
      <c r="D97" s="123"/>
      <c r="E97" s="123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</row>
    <row r="98" spans="1:16" s="398" customFormat="1" ht="15.75" customHeight="1">
      <c r="A98" s="520">
        <f t="shared" si="1"/>
        <v>81</v>
      </c>
      <c r="B98" s="463"/>
      <c r="C98" s="305" t="s">
        <v>755</v>
      </c>
      <c r="D98" s="463"/>
      <c r="E98" s="463"/>
      <c r="F98" s="450"/>
      <c r="G98" s="450"/>
      <c r="H98" s="450"/>
      <c r="I98" s="450"/>
      <c r="J98" s="450"/>
      <c r="K98" s="450"/>
      <c r="L98" s="450"/>
      <c r="M98" s="450"/>
      <c r="N98" s="450"/>
      <c r="O98" s="450"/>
      <c r="P98" s="450"/>
    </row>
    <row r="99" spans="1:16" s="398" customFormat="1" ht="15.75" customHeight="1">
      <c r="A99" s="520">
        <f t="shared" si="1"/>
        <v>82</v>
      </c>
      <c r="B99" s="463"/>
      <c r="C99" s="305"/>
      <c r="D99" s="463"/>
      <c r="E99" s="463"/>
      <c r="F99" s="450"/>
      <c r="G99" s="450"/>
      <c r="H99" s="450"/>
      <c r="I99" s="450"/>
      <c r="J99" s="450"/>
      <c r="K99" s="450"/>
      <c r="L99" s="450"/>
      <c r="M99" s="450"/>
      <c r="N99" s="450"/>
      <c r="O99" s="450"/>
      <c r="P99" s="450"/>
    </row>
    <row r="100" spans="1:16" s="127" customFormat="1" ht="15.75" customHeight="1">
      <c r="A100" s="520">
        <f t="shared" si="1"/>
        <v>83</v>
      </c>
      <c r="B100" s="123"/>
      <c r="C100" s="305" t="s">
        <v>752</v>
      </c>
      <c r="D100" s="123"/>
      <c r="E100" s="123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</row>
    <row r="101" spans="1:16" s="127" customFormat="1" ht="15.75" customHeight="1">
      <c r="A101" s="520">
        <f t="shared" si="1"/>
        <v>84</v>
      </c>
      <c r="B101" s="123"/>
      <c r="C101" s="305" t="s">
        <v>612</v>
      </c>
      <c r="D101" s="123"/>
      <c r="E101" s="123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</row>
    <row r="102" spans="1:16" s="127" customFormat="1" ht="15.75" customHeight="1">
      <c r="A102" s="520">
        <f t="shared" si="1"/>
        <v>85</v>
      </c>
      <c r="B102" s="123"/>
      <c r="C102" s="305" t="s">
        <v>772</v>
      </c>
      <c r="D102" s="123"/>
      <c r="E102" s="123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</row>
    <row r="103" spans="1:16" s="398" customFormat="1" ht="15.75" customHeight="1">
      <c r="A103" s="520">
        <f t="shared" si="1"/>
        <v>86</v>
      </c>
      <c r="B103" s="463"/>
      <c r="C103" s="305"/>
      <c r="D103" s="463"/>
      <c r="E103" s="463"/>
      <c r="F103" s="450"/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</row>
    <row r="104" spans="1:16" s="398" customFormat="1" ht="15.75" customHeight="1">
      <c r="A104" s="520">
        <f t="shared" si="1"/>
        <v>87</v>
      </c>
      <c r="B104" s="463"/>
      <c r="C104" s="305"/>
      <c r="D104" s="463"/>
      <c r="E104" s="463"/>
      <c r="F104" s="450"/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</row>
    <row r="105" spans="1:16" s="127" customFormat="1" ht="15.75" customHeight="1">
      <c r="A105" s="520">
        <f t="shared" si="1"/>
        <v>88</v>
      </c>
      <c r="B105" s="123"/>
      <c r="C105" s="287" t="s">
        <v>316</v>
      </c>
      <c r="D105" s="123"/>
      <c r="E105" s="123"/>
      <c r="F105" s="208">
        <f>'S5.1 '!$G$22</f>
        <v>94.68677000000001</v>
      </c>
      <c r="G105" s="208"/>
      <c r="H105" s="208">
        <f>'S5.1 '!$I$22</f>
        <v>91.000479999999996</v>
      </c>
      <c r="I105" s="208"/>
      <c r="J105" s="208">
        <f>'S5.1 '!$K$22</f>
        <v>204.81629000000004</v>
      </c>
      <c r="K105" s="208"/>
      <c r="L105" s="208">
        <f>'S5.1 '!$M$22</f>
        <v>173.25697105336508</v>
      </c>
      <c r="M105" s="208"/>
      <c r="N105" s="208">
        <f>'S5.1 '!$O$22</f>
        <v>177.31414946700042</v>
      </c>
      <c r="O105" s="208"/>
      <c r="P105" s="208">
        <f>'S5.1 '!$Q$22</f>
        <v>202.722920334376</v>
      </c>
    </row>
    <row r="106" spans="1:16" s="127" customFormat="1" ht="15.75" customHeight="1">
      <c r="A106" s="520">
        <f t="shared" si="1"/>
        <v>89</v>
      </c>
      <c r="B106" s="123"/>
      <c r="C106" s="101"/>
      <c r="D106" s="123"/>
      <c r="E106" s="123"/>
      <c r="F106" s="208"/>
      <c r="G106" s="208"/>
      <c r="H106" s="603"/>
      <c r="I106" s="604"/>
      <c r="J106" s="603"/>
      <c r="K106" s="604"/>
      <c r="L106" s="603"/>
      <c r="M106" s="605"/>
      <c r="N106" s="603"/>
      <c r="O106" s="606"/>
      <c r="P106" s="603"/>
    </row>
    <row r="107" spans="1:16" s="127" customFormat="1" ht="15.75" customHeight="1">
      <c r="A107" s="520">
        <f t="shared" si="1"/>
        <v>90</v>
      </c>
      <c r="B107" s="123"/>
      <c r="C107" s="288" t="s">
        <v>756</v>
      </c>
      <c r="D107" s="123"/>
      <c r="E107" s="123"/>
      <c r="F107" s="208"/>
      <c r="G107" s="208"/>
      <c r="H107" s="607"/>
      <c r="I107" s="604"/>
      <c r="J107" s="607"/>
      <c r="K107" s="604"/>
      <c r="L107" s="607"/>
      <c r="M107" s="605"/>
      <c r="N107" s="607"/>
      <c r="O107" s="606"/>
      <c r="P107" s="607"/>
    </row>
    <row r="108" spans="1:16" s="398" customFormat="1" ht="15.75" customHeight="1">
      <c r="A108" s="520">
        <f t="shared" si="1"/>
        <v>91</v>
      </c>
      <c r="B108" s="463"/>
      <c r="C108" s="288" t="s">
        <v>757</v>
      </c>
      <c r="D108" s="463"/>
      <c r="E108" s="463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</row>
    <row r="109" spans="1:16" s="127" customFormat="1" ht="15.75" customHeight="1">
      <c r="A109" s="520">
        <f t="shared" si="1"/>
        <v>92</v>
      </c>
      <c r="B109" s="123"/>
      <c r="D109" s="123"/>
      <c r="E109" s="123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</row>
    <row r="110" spans="1:16" s="398" customFormat="1" ht="15.75" customHeight="1">
      <c r="A110" s="520">
        <f t="shared" si="1"/>
        <v>93</v>
      </c>
      <c r="B110" s="463"/>
      <c r="C110" s="288" t="s">
        <v>773</v>
      </c>
      <c r="D110" s="463"/>
      <c r="E110" s="463"/>
      <c r="F110" s="450"/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</row>
    <row r="111" spans="1:16" s="398" customFormat="1" ht="15.75" customHeight="1">
      <c r="A111" s="520">
        <f t="shared" si="1"/>
        <v>94</v>
      </c>
      <c r="B111" s="463"/>
      <c r="C111" s="288" t="s">
        <v>774</v>
      </c>
      <c r="D111" s="463"/>
      <c r="E111" s="463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</row>
    <row r="112" spans="1:16" s="398" customFormat="1" ht="15.75" customHeight="1">
      <c r="A112" s="520">
        <f t="shared" si="1"/>
        <v>95</v>
      </c>
      <c r="B112" s="463"/>
      <c r="C112" s="288"/>
      <c r="D112" s="463"/>
      <c r="E112" s="463"/>
      <c r="F112" s="450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</row>
    <row r="113" spans="1:17" s="398" customFormat="1" ht="15.75" customHeight="1">
      <c r="A113" s="520">
        <f t="shared" si="1"/>
        <v>96</v>
      </c>
      <c r="B113" s="463"/>
      <c r="C113" s="288" t="s">
        <v>812</v>
      </c>
      <c r="D113" s="463"/>
      <c r="E113" s="463"/>
      <c r="F113" s="450"/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</row>
    <row r="114" spans="1:17" s="398" customFormat="1" ht="15.75" customHeight="1">
      <c r="A114" s="520">
        <f t="shared" si="1"/>
        <v>97</v>
      </c>
      <c r="B114" s="463"/>
      <c r="C114" s="288" t="s">
        <v>808</v>
      </c>
      <c r="D114" s="463"/>
      <c r="E114" s="463"/>
      <c r="F114" s="450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</row>
    <row r="115" spans="1:17" s="398" customFormat="1" ht="15.75" customHeight="1">
      <c r="A115" s="520">
        <f t="shared" si="1"/>
        <v>98</v>
      </c>
      <c r="B115" s="463"/>
      <c r="C115" s="288"/>
      <c r="D115" s="463"/>
      <c r="E115" s="463"/>
      <c r="F115" s="450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</row>
    <row r="116" spans="1:17" s="398" customFormat="1" ht="15.75" customHeight="1">
      <c r="A116" s="520">
        <f t="shared" si="1"/>
        <v>99</v>
      </c>
      <c r="B116" s="463"/>
      <c r="D116" s="463"/>
      <c r="E116" s="463"/>
      <c r="F116" s="450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</row>
    <row r="117" spans="1:17" s="15" customFormat="1" ht="15">
      <c r="A117" s="520">
        <f t="shared" si="1"/>
        <v>100</v>
      </c>
      <c r="B117" s="123"/>
      <c r="C117" s="287" t="s">
        <v>173</v>
      </c>
      <c r="D117" s="123"/>
      <c r="E117" s="123"/>
      <c r="F117" s="208">
        <f>'S5.1 '!$G$24</f>
        <v>35.825679999999998</v>
      </c>
      <c r="G117" s="208"/>
      <c r="H117" s="208">
        <f>'S5.1 '!$I$24</f>
        <v>46.778860000000002</v>
      </c>
      <c r="I117" s="208"/>
      <c r="J117" s="208">
        <f>'S5.1 '!$K$24</f>
        <v>111.95943000000001</v>
      </c>
      <c r="K117" s="208"/>
      <c r="L117" s="208">
        <f>'S5.1 '!$M$24</f>
        <v>77.57355387927133</v>
      </c>
      <c r="M117" s="14"/>
      <c r="N117" s="208">
        <f>'S5.1 '!$O$24</f>
        <v>80.694013429851893</v>
      </c>
      <c r="O117" s="208"/>
      <c r="P117" s="208">
        <f>'S5.1 '!$Q$24</f>
        <v>86.756457393639508</v>
      </c>
    </row>
    <row r="118" spans="1:17" s="15" customFormat="1" ht="15.75">
      <c r="A118" s="520">
        <f t="shared" si="1"/>
        <v>101</v>
      </c>
      <c r="B118" s="123"/>
      <c r="C118" s="101"/>
      <c r="D118" s="123"/>
      <c r="E118" s="123"/>
      <c r="F118" s="208"/>
      <c r="G118" s="208"/>
      <c r="H118" s="603"/>
      <c r="I118" s="604"/>
      <c r="J118" s="603"/>
      <c r="K118" s="604"/>
      <c r="L118" s="603"/>
      <c r="M118" s="605"/>
      <c r="N118" s="603"/>
      <c r="O118" s="606"/>
      <c r="P118" s="603"/>
    </row>
    <row r="119" spans="1:17" s="15" customFormat="1" ht="15.75">
      <c r="A119" s="520">
        <f t="shared" si="1"/>
        <v>102</v>
      </c>
      <c r="B119" s="208"/>
      <c r="C119" s="129" t="s">
        <v>490</v>
      </c>
      <c r="D119" s="123"/>
      <c r="E119" s="123"/>
      <c r="F119" s="208"/>
      <c r="G119" s="208"/>
      <c r="H119" s="607"/>
      <c r="I119" s="604"/>
      <c r="J119" s="607"/>
      <c r="K119" s="604"/>
      <c r="L119" s="607"/>
      <c r="M119" s="605"/>
      <c r="N119" s="607"/>
      <c r="O119" s="606"/>
      <c r="P119" s="607"/>
    </row>
    <row r="120" spans="1:17" s="15" customFormat="1" ht="15">
      <c r="A120" s="520">
        <f t="shared" si="1"/>
        <v>103</v>
      </c>
      <c r="B120" s="208"/>
      <c r="C120" s="58" t="s">
        <v>491</v>
      </c>
      <c r="D120" s="123"/>
      <c r="E120" s="123"/>
      <c r="F120" s="208"/>
      <c r="G120" s="208"/>
      <c r="H120" s="208"/>
      <c r="I120" s="208"/>
      <c r="J120" s="208"/>
      <c r="K120" s="208"/>
      <c r="L120" s="208"/>
      <c r="M120" s="14"/>
      <c r="N120" s="208"/>
      <c r="O120" s="208"/>
      <c r="P120" s="208"/>
    </row>
    <row r="121" spans="1:17" s="15" customFormat="1" ht="15">
      <c r="A121" s="520"/>
      <c r="B121" s="123"/>
      <c r="C121" s="129"/>
      <c r="D121" s="123"/>
      <c r="E121" s="123"/>
      <c r="F121" s="208"/>
      <c r="G121" s="208"/>
      <c r="H121" s="208"/>
      <c r="I121" s="208"/>
      <c r="J121" s="208"/>
      <c r="K121" s="208"/>
      <c r="L121" s="208"/>
      <c r="M121" s="14"/>
      <c r="N121" s="208"/>
      <c r="O121" s="208"/>
      <c r="P121" s="208"/>
    </row>
    <row r="122" spans="1:17" s="101" customFormat="1" ht="15.75">
      <c r="A122" s="61" t="s">
        <v>540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762"/>
      <c r="P122" s="762"/>
      <c r="Q122" s="9" t="s">
        <v>502</v>
      </c>
    </row>
    <row r="123" spans="1:17" s="101" customFormat="1" ht="15.75">
      <c r="A123" s="61" t="s">
        <v>463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762"/>
      <c r="P123" s="762"/>
      <c r="Q123" s="126" t="s">
        <v>3</v>
      </c>
    </row>
    <row r="124" spans="1:17" s="15" customFormat="1" ht="15.75">
      <c r="A124" s="61" t="s">
        <v>229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762"/>
      <c r="P124" s="762"/>
    </row>
    <row r="125" spans="1:17" s="134" customFormat="1" ht="15.75">
      <c r="A125" s="61" t="s">
        <v>32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120"/>
      <c r="P125" s="62"/>
    </row>
    <row r="126" spans="1:17" s="76" customFormat="1" ht="15.75">
      <c r="A126" s="640"/>
      <c r="B126" s="640"/>
      <c r="C126" s="640"/>
      <c r="D126" s="640"/>
      <c r="E126" s="640"/>
      <c r="F126" s="640"/>
      <c r="G126" s="640"/>
      <c r="H126" s="640"/>
      <c r="I126" s="640"/>
      <c r="J126" s="640"/>
      <c r="K126" s="640"/>
      <c r="L126" s="640"/>
      <c r="M126" s="640"/>
      <c r="N126" s="640"/>
      <c r="O126" s="450"/>
      <c r="P126" s="450"/>
    </row>
    <row r="127" spans="1:17" s="15" customFormat="1" ht="15.75">
      <c r="A127" s="507" t="s">
        <v>33</v>
      </c>
      <c r="B127" s="426"/>
      <c r="C127" s="426"/>
      <c r="D127" s="426"/>
      <c r="E127" s="426"/>
      <c r="F127" s="10" t="s">
        <v>25</v>
      </c>
      <c r="G127" s="10"/>
      <c r="H127" s="10" t="s">
        <v>25</v>
      </c>
      <c r="I127" s="10"/>
      <c r="J127" s="10" t="s">
        <v>25</v>
      </c>
      <c r="K127" s="10"/>
      <c r="L127" s="10" t="s">
        <v>330</v>
      </c>
      <c r="M127" s="14"/>
      <c r="N127" s="10" t="s">
        <v>330</v>
      </c>
      <c r="P127" s="10" t="s">
        <v>330</v>
      </c>
    </row>
    <row r="128" spans="1:17" s="15" customFormat="1" ht="15.75">
      <c r="A128" s="508" t="s">
        <v>35</v>
      </c>
      <c r="B128" s="426"/>
      <c r="C128" s="279" t="s">
        <v>178</v>
      </c>
      <c r="D128" s="279"/>
      <c r="E128" s="426"/>
      <c r="F128" s="502">
        <v>2010</v>
      </c>
      <c r="G128" s="503"/>
      <c r="H128" s="502">
        <v>2011</v>
      </c>
      <c r="I128" s="503"/>
      <c r="J128" s="502">
        <v>2012</v>
      </c>
      <c r="K128" s="503"/>
      <c r="L128" s="502">
        <v>2013</v>
      </c>
      <c r="M128" s="504"/>
      <c r="N128" s="502">
        <v>2014</v>
      </c>
      <c r="O128" s="505"/>
      <c r="P128" s="502">
        <v>2015</v>
      </c>
    </row>
    <row r="129" spans="1:16" s="76" customFormat="1" ht="15.75">
      <c r="A129" s="524"/>
      <c r="B129" s="769"/>
      <c r="C129" s="401"/>
      <c r="D129" s="401"/>
      <c r="E129" s="769"/>
      <c r="F129" s="525"/>
      <c r="G129" s="523"/>
      <c r="H129" s="525"/>
      <c r="I129" s="523"/>
      <c r="J129" s="525"/>
      <c r="K129" s="523"/>
      <c r="L129" s="525"/>
      <c r="M129" s="527"/>
      <c r="N129" s="525"/>
      <c r="O129" s="505"/>
      <c r="P129" s="525"/>
    </row>
    <row r="130" spans="1:16" s="76" customFormat="1" ht="15.75">
      <c r="A130" s="509">
        <f>+A120+1</f>
        <v>104</v>
      </c>
      <c r="B130" s="533"/>
      <c r="C130" s="410" t="s">
        <v>763</v>
      </c>
      <c r="D130" s="401"/>
      <c r="E130" s="533"/>
      <c r="F130" s="525"/>
      <c r="G130" s="523"/>
      <c r="H130" s="525"/>
      <c r="I130" s="523"/>
      <c r="J130" s="525"/>
      <c r="K130" s="523"/>
      <c r="L130" s="525"/>
      <c r="M130" s="527"/>
      <c r="N130" s="525"/>
      <c r="O130" s="505"/>
      <c r="P130" s="525"/>
    </row>
    <row r="131" spans="1:16" s="76" customFormat="1" ht="15.75">
      <c r="A131" s="509">
        <f>+A130+1</f>
        <v>105</v>
      </c>
      <c r="B131" s="533"/>
      <c r="C131" s="401"/>
      <c r="D131" s="401"/>
      <c r="E131" s="533"/>
      <c r="F131" s="525"/>
      <c r="G131" s="523"/>
      <c r="H131" s="525"/>
      <c r="I131" s="523"/>
      <c r="J131" s="525"/>
      <c r="K131" s="523"/>
      <c r="L131" s="525"/>
      <c r="M131" s="527"/>
      <c r="N131" s="525"/>
      <c r="O131" s="505"/>
      <c r="P131" s="525"/>
    </row>
    <row r="132" spans="1:16" s="15" customFormat="1" ht="15">
      <c r="A132" s="509">
        <f>+A131+1</f>
        <v>106</v>
      </c>
      <c r="B132" s="123"/>
      <c r="C132" s="287" t="s">
        <v>87</v>
      </c>
      <c r="D132" s="123"/>
      <c r="E132" s="123"/>
      <c r="F132" s="208">
        <f>'S5.1 '!$G$25</f>
        <v>167.07905</v>
      </c>
      <c r="G132" s="208"/>
      <c r="H132" s="208">
        <f>'S5.1 '!$I$25</f>
        <v>159.66085000000004</v>
      </c>
      <c r="I132" s="208"/>
      <c r="J132" s="208">
        <f>'S5.1 '!$K$25</f>
        <v>180.93938000000003</v>
      </c>
      <c r="K132" s="208"/>
      <c r="L132" s="208">
        <f>'S5.1 '!$M$25</f>
        <v>192.93056526930127</v>
      </c>
      <c r="M132" s="14"/>
      <c r="N132" s="208">
        <f>'S5.1 '!$O$25</f>
        <v>197.18281495794372</v>
      </c>
      <c r="O132" s="208"/>
      <c r="P132" s="208">
        <f>'S5.1 '!$Q$25</f>
        <v>210.31980490298449</v>
      </c>
    </row>
    <row r="133" spans="1:16" s="15" customFormat="1" ht="15.75">
      <c r="A133" s="509">
        <f t="shared" ref="A133:A138" si="2">+A132+1</f>
        <v>107</v>
      </c>
      <c r="B133" s="123"/>
      <c r="C133" s="101"/>
      <c r="D133" s="123"/>
      <c r="E133" s="123"/>
      <c r="F133" s="208"/>
      <c r="G133" s="208"/>
      <c r="H133" s="603"/>
      <c r="I133" s="604"/>
      <c r="J133" s="603"/>
      <c r="K133" s="604"/>
      <c r="L133" s="603"/>
      <c r="M133" s="605"/>
      <c r="N133" s="603"/>
      <c r="O133" s="606"/>
      <c r="P133" s="603"/>
    </row>
    <row r="134" spans="1:16" s="15" customFormat="1" ht="15.75">
      <c r="A134" s="509">
        <f t="shared" si="2"/>
        <v>108</v>
      </c>
      <c r="B134" s="208"/>
      <c r="C134" s="129" t="s">
        <v>493</v>
      </c>
      <c r="D134" s="123"/>
      <c r="E134" s="123"/>
      <c r="F134" s="208"/>
      <c r="G134" s="208"/>
      <c r="H134" s="607"/>
      <c r="I134" s="604"/>
      <c r="J134" s="607"/>
      <c r="K134" s="604"/>
      <c r="L134" s="607"/>
      <c r="M134" s="605"/>
      <c r="N134" s="607"/>
      <c r="O134" s="606"/>
      <c r="P134" s="607"/>
    </row>
    <row r="135" spans="1:16" s="15" customFormat="1" ht="15">
      <c r="A135" s="509">
        <f t="shared" si="2"/>
        <v>109</v>
      </c>
      <c r="B135" s="123"/>
      <c r="C135" s="129" t="s">
        <v>492</v>
      </c>
      <c r="D135" s="123"/>
      <c r="E135" s="123"/>
      <c r="F135" s="208"/>
      <c r="G135" s="208"/>
      <c r="H135" s="208"/>
      <c r="I135" s="208"/>
      <c r="J135" s="208"/>
      <c r="K135" s="208"/>
      <c r="L135" s="208"/>
      <c r="M135" s="14"/>
      <c r="N135" s="208"/>
      <c r="O135" s="208"/>
      <c r="P135" s="208"/>
    </row>
    <row r="136" spans="1:16" s="15" customFormat="1" ht="15">
      <c r="A136" s="509">
        <f t="shared" si="2"/>
        <v>110</v>
      </c>
      <c r="B136" s="208"/>
      <c r="C136" s="58"/>
      <c r="D136" s="123"/>
      <c r="E136" s="123"/>
      <c r="F136" s="208"/>
      <c r="G136" s="208"/>
      <c r="H136" s="208"/>
      <c r="I136" s="208"/>
      <c r="J136" s="208"/>
      <c r="K136" s="208"/>
      <c r="L136" s="208"/>
      <c r="M136" s="14"/>
      <c r="N136" s="208"/>
      <c r="O136" s="208"/>
      <c r="P136" s="208"/>
    </row>
    <row r="137" spans="1:16" s="15" customFormat="1" ht="15">
      <c r="A137" s="509">
        <f t="shared" si="2"/>
        <v>111</v>
      </c>
      <c r="B137" s="123"/>
      <c r="C137" s="58" t="s">
        <v>495</v>
      </c>
      <c r="D137" s="123"/>
      <c r="E137" s="123"/>
      <c r="F137" s="208"/>
      <c r="G137" s="208"/>
      <c r="H137" s="208"/>
      <c r="I137" s="208"/>
      <c r="J137" s="208"/>
      <c r="K137" s="208"/>
      <c r="L137" s="208"/>
      <c r="M137" s="14"/>
      <c r="N137" s="208"/>
      <c r="O137" s="208"/>
      <c r="P137" s="208"/>
    </row>
    <row r="138" spans="1:16" s="15" customFormat="1" ht="15">
      <c r="A138" s="509">
        <f t="shared" si="2"/>
        <v>112</v>
      </c>
      <c r="B138" s="208"/>
      <c r="C138" s="129" t="s">
        <v>496</v>
      </c>
      <c r="D138" s="123"/>
      <c r="E138" s="123"/>
      <c r="F138" s="208"/>
      <c r="G138" s="208"/>
      <c r="H138" s="208"/>
      <c r="I138" s="208"/>
      <c r="J138" s="208"/>
      <c r="K138" s="208"/>
      <c r="L138" s="208"/>
      <c r="M138" s="14"/>
      <c r="N138" s="208"/>
      <c r="O138" s="208"/>
      <c r="P138" s="208"/>
    </row>
    <row r="139" spans="1:16" s="15" customFormat="1" ht="15">
      <c r="A139" s="509">
        <f t="shared" ref="A139:A164" si="3">+A138+1</f>
        <v>113</v>
      </c>
      <c r="B139" s="208"/>
      <c r="C139" s="129"/>
      <c r="D139" s="123"/>
      <c r="E139" s="123"/>
      <c r="F139" s="208"/>
      <c r="G139" s="208"/>
      <c r="H139" s="208"/>
      <c r="I139" s="208"/>
      <c r="J139" s="208"/>
      <c r="K139" s="208"/>
      <c r="L139" s="208"/>
      <c r="M139" s="14"/>
      <c r="N139" s="208"/>
      <c r="O139" s="208"/>
      <c r="P139" s="208"/>
    </row>
    <row r="140" spans="1:16" s="15" customFormat="1" ht="15">
      <c r="A140" s="509">
        <f t="shared" si="3"/>
        <v>114</v>
      </c>
      <c r="B140" s="208"/>
      <c r="C140" s="129" t="s">
        <v>494</v>
      </c>
      <c r="D140" s="123"/>
      <c r="E140" s="123"/>
      <c r="F140" s="208"/>
      <c r="G140" s="208"/>
      <c r="H140" s="208"/>
      <c r="I140" s="208"/>
      <c r="J140" s="208"/>
      <c r="K140" s="208"/>
      <c r="L140" s="208"/>
      <c r="M140" s="14"/>
      <c r="N140" s="208"/>
      <c r="O140" s="208"/>
      <c r="P140" s="208"/>
    </row>
    <row r="141" spans="1:16" s="15" customFormat="1" ht="15">
      <c r="A141" s="509">
        <f t="shared" si="3"/>
        <v>115</v>
      </c>
      <c r="B141" s="208"/>
      <c r="C141" s="129" t="s">
        <v>497</v>
      </c>
      <c r="D141" s="123"/>
      <c r="E141" s="123"/>
      <c r="F141" s="208"/>
      <c r="G141" s="208"/>
      <c r="H141" s="208"/>
      <c r="I141" s="208"/>
      <c r="J141" s="208"/>
      <c r="K141" s="208"/>
      <c r="L141" s="208"/>
      <c r="M141" s="14"/>
      <c r="N141" s="208"/>
      <c r="O141" s="208"/>
      <c r="P141" s="208"/>
    </row>
    <row r="142" spans="1:16" s="15" customFormat="1" ht="15">
      <c r="A142" s="509">
        <f t="shared" si="3"/>
        <v>116</v>
      </c>
      <c r="B142" s="123"/>
      <c r="C142" s="129"/>
      <c r="D142" s="123"/>
      <c r="E142" s="123"/>
      <c r="F142" s="208"/>
      <c r="G142" s="208"/>
      <c r="H142" s="208"/>
      <c r="I142" s="208"/>
      <c r="J142" s="208"/>
      <c r="K142" s="208"/>
      <c r="L142" s="208"/>
      <c r="M142" s="14"/>
      <c r="N142" s="208"/>
      <c r="O142" s="208"/>
      <c r="P142" s="208"/>
    </row>
    <row r="143" spans="1:16" s="15" customFormat="1" ht="15.75">
      <c r="A143" s="509">
        <f t="shared" si="3"/>
        <v>117</v>
      </c>
      <c r="B143" s="123"/>
      <c r="C143" s="321"/>
      <c r="D143" s="281"/>
      <c r="E143" s="426"/>
      <c r="F143" s="208"/>
      <c r="G143" s="208"/>
      <c r="H143" s="208"/>
      <c r="I143" s="208"/>
      <c r="J143" s="208"/>
      <c r="K143" s="208"/>
      <c r="L143" s="208"/>
      <c r="M143" s="14"/>
      <c r="N143" s="208"/>
      <c r="O143" s="208"/>
      <c r="P143" s="208"/>
    </row>
    <row r="144" spans="1:16" s="15" customFormat="1" ht="15.75">
      <c r="A144" s="509">
        <f t="shared" si="3"/>
        <v>118</v>
      </c>
      <c r="B144" s="123"/>
      <c r="C144" s="291" t="s">
        <v>392</v>
      </c>
      <c r="F144" s="208"/>
      <c r="G144" s="208"/>
      <c r="H144" s="208"/>
      <c r="I144" s="208"/>
      <c r="J144" s="208"/>
      <c r="K144" s="208"/>
      <c r="L144" s="208"/>
      <c r="M144" s="14"/>
      <c r="N144" s="208"/>
      <c r="O144" s="208"/>
      <c r="P144" s="208"/>
    </row>
    <row r="145" spans="1:16" s="15" customFormat="1" ht="15.75">
      <c r="A145" s="509">
        <f t="shared" si="3"/>
        <v>119</v>
      </c>
      <c r="B145" s="123"/>
      <c r="C145" s="281"/>
      <c r="D145" s="281"/>
      <c r="E145" s="426"/>
      <c r="F145" s="208"/>
      <c r="G145" s="208"/>
      <c r="H145" s="208"/>
      <c r="I145" s="208"/>
      <c r="J145" s="208"/>
      <c r="K145" s="208"/>
      <c r="L145" s="208"/>
      <c r="M145" s="14"/>
      <c r="N145" s="208"/>
      <c r="O145" s="208"/>
      <c r="P145" s="208"/>
    </row>
    <row r="146" spans="1:16" s="15" customFormat="1" ht="15.75">
      <c r="A146" s="509">
        <f t="shared" si="3"/>
        <v>120</v>
      </c>
      <c r="B146" s="123"/>
      <c r="C146" s="287" t="s">
        <v>393</v>
      </c>
      <c r="D146" s="281"/>
      <c r="E146" s="426"/>
      <c r="F146" s="208">
        <f>'S5.1 '!$G$34</f>
        <v>58.22549999999999</v>
      </c>
      <c r="G146" s="208"/>
      <c r="H146" s="208">
        <f>'S5.1 '!$I$34</f>
        <v>76.15537999999998</v>
      </c>
      <c r="I146" s="208"/>
      <c r="J146" s="208">
        <f>'S5.1 '!$K$34</f>
        <v>109.18634000000002</v>
      </c>
      <c r="K146" s="208"/>
      <c r="L146" s="208">
        <f>'S5.1 '!$M$34</f>
        <v>124.24452379931144</v>
      </c>
      <c r="M146" s="14"/>
      <c r="N146" s="208">
        <f>'S5.1 '!$O$34</f>
        <v>127.04605070296422</v>
      </c>
      <c r="O146" s="208"/>
      <c r="P146" s="208">
        <f>'S5.1 '!$Q$34</f>
        <v>130.32643400189522</v>
      </c>
    </row>
    <row r="147" spans="1:16" s="15" customFormat="1" ht="15.75">
      <c r="A147" s="509">
        <f t="shared" si="3"/>
        <v>121</v>
      </c>
      <c r="B147" s="123"/>
      <c r="C147" s="281"/>
      <c r="D147" s="281"/>
      <c r="E147" s="426"/>
      <c r="F147" s="208"/>
      <c r="G147" s="208"/>
      <c r="H147" s="603"/>
      <c r="I147" s="604"/>
      <c r="J147" s="603"/>
      <c r="K147" s="604"/>
      <c r="L147" s="603"/>
      <c r="M147" s="605"/>
      <c r="N147" s="603"/>
      <c r="O147" s="606"/>
      <c r="P147" s="603"/>
    </row>
    <row r="148" spans="1:16" s="15" customFormat="1" ht="15.75">
      <c r="A148" s="509">
        <f t="shared" si="3"/>
        <v>122</v>
      </c>
      <c r="B148" s="123"/>
      <c r="C148" s="321" t="s">
        <v>892</v>
      </c>
      <c r="D148" s="281"/>
      <c r="E148" s="501"/>
      <c r="F148" s="208"/>
      <c r="G148" s="208"/>
      <c r="H148" s="607"/>
      <c r="I148" s="604"/>
      <c r="J148" s="607"/>
      <c r="K148" s="604"/>
      <c r="L148" s="607"/>
      <c r="M148" s="605"/>
      <c r="N148" s="607"/>
      <c r="O148" s="606"/>
      <c r="P148" s="607"/>
    </row>
    <row r="149" spans="1:16" s="15" customFormat="1" ht="15.75">
      <c r="A149" s="509">
        <f t="shared" si="3"/>
        <v>123</v>
      </c>
      <c r="B149" s="123"/>
      <c r="C149" s="321" t="s">
        <v>775</v>
      </c>
      <c r="D149" s="281"/>
      <c r="E149" s="501"/>
      <c r="F149" s="208"/>
      <c r="G149" s="208"/>
      <c r="H149" s="208"/>
      <c r="I149" s="208"/>
      <c r="J149" s="208"/>
      <c r="K149" s="208"/>
      <c r="L149" s="208"/>
      <c r="M149" s="14"/>
      <c r="N149" s="208"/>
      <c r="O149" s="208"/>
      <c r="P149" s="208"/>
    </row>
    <row r="150" spans="1:16" s="76" customFormat="1" ht="15">
      <c r="A150" s="509">
        <f t="shared" si="3"/>
        <v>124</v>
      </c>
      <c r="B150" s="463"/>
      <c r="C150" s="321"/>
      <c r="D150" s="463"/>
      <c r="E150" s="463"/>
      <c r="F150" s="450"/>
      <c r="G150" s="450"/>
      <c r="H150" s="450"/>
      <c r="I150" s="450"/>
      <c r="J150" s="450"/>
      <c r="K150" s="450"/>
      <c r="L150" s="450"/>
      <c r="M150" s="530"/>
      <c r="N150" s="450"/>
      <c r="O150" s="450"/>
      <c r="P150" s="450"/>
    </row>
    <row r="151" spans="1:16" s="76" customFormat="1" ht="15">
      <c r="A151" s="509">
        <f t="shared" si="3"/>
        <v>125</v>
      </c>
      <c r="B151" s="463"/>
      <c r="C151" s="321"/>
      <c r="D151" s="463"/>
      <c r="E151" s="463"/>
      <c r="F151" s="450"/>
      <c r="G151" s="450"/>
      <c r="H151" s="450"/>
      <c r="I151" s="450"/>
      <c r="J151" s="450"/>
      <c r="K151" s="450"/>
      <c r="L151" s="450"/>
      <c r="M151" s="530"/>
      <c r="N151" s="450"/>
      <c r="O151" s="450"/>
      <c r="P151" s="450"/>
    </row>
    <row r="152" spans="1:16" s="15" customFormat="1" ht="15">
      <c r="A152" s="509">
        <f t="shared" si="3"/>
        <v>126</v>
      </c>
      <c r="B152" s="123"/>
      <c r="C152" s="287" t="s">
        <v>93</v>
      </c>
      <c r="D152" s="123"/>
      <c r="E152" s="123"/>
      <c r="F152" s="208">
        <f>'S5.1 '!$G$38</f>
        <v>409.78839999999997</v>
      </c>
      <c r="G152" s="208"/>
      <c r="H152" s="208">
        <f>'S5.1 '!$I$38</f>
        <v>409.54194000000007</v>
      </c>
      <c r="I152" s="208"/>
      <c r="J152" s="208">
        <f>'S5.1 '!$K$38</f>
        <v>443.61270000000007</v>
      </c>
      <c r="K152" s="208"/>
      <c r="L152" s="208">
        <f>'S5.1 '!$M$38</f>
        <v>478.18939161132766</v>
      </c>
      <c r="M152" s="208"/>
      <c r="N152" s="208">
        <f>'S5.1 '!$O$38</f>
        <v>510.25874563025127</v>
      </c>
      <c r="O152" s="208"/>
      <c r="P152" s="208">
        <f>'S5.1 '!$Q$38</f>
        <v>543.49184675015158</v>
      </c>
    </row>
    <row r="153" spans="1:16" s="15" customFormat="1" ht="15.75">
      <c r="A153" s="509">
        <f t="shared" si="3"/>
        <v>127</v>
      </c>
      <c r="B153" s="123"/>
      <c r="C153" s="129"/>
      <c r="D153" s="123"/>
      <c r="E153" s="123"/>
      <c r="F153" s="208"/>
      <c r="G153" s="208"/>
      <c r="H153" s="603"/>
      <c r="I153" s="604"/>
      <c r="J153" s="603"/>
      <c r="K153" s="604"/>
      <c r="L153" s="603"/>
      <c r="M153" s="605"/>
      <c r="N153" s="603"/>
      <c r="O153" s="606"/>
      <c r="P153" s="603"/>
    </row>
    <row r="154" spans="1:16" s="15" customFormat="1" ht="15.75">
      <c r="A154" s="509">
        <f t="shared" si="3"/>
        <v>128</v>
      </c>
      <c r="B154" s="106"/>
      <c r="C154" s="321" t="s">
        <v>776</v>
      </c>
      <c r="D154" s="123"/>
      <c r="E154" s="123"/>
      <c r="F154" s="208"/>
      <c r="G154" s="208"/>
      <c r="H154" s="607"/>
      <c r="I154" s="604"/>
      <c r="J154" s="607"/>
      <c r="K154" s="604"/>
      <c r="L154" s="607"/>
      <c r="M154" s="605"/>
      <c r="N154" s="607"/>
      <c r="O154" s="606"/>
      <c r="P154" s="607"/>
    </row>
    <row r="155" spans="1:16" s="15" customFormat="1" ht="15">
      <c r="A155" s="509">
        <f t="shared" si="3"/>
        <v>129</v>
      </c>
      <c r="B155" s="123"/>
      <c r="C155" s="321" t="s">
        <v>758</v>
      </c>
      <c r="D155" s="123"/>
      <c r="E155" s="123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</row>
    <row r="156" spans="1:16" s="15" customFormat="1" ht="15">
      <c r="A156" s="509">
        <f t="shared" si="3"/>
        <v>130</v>
      </c>
      <c r="B156" s="123"/>
      <c r="C156" s="321"/>
      <c r="D156" s="123"/>
      <c r="E156" s="123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</row>
    <row r="157" spans="1:16" s="15" customFormat="1" ht="15">
      <c r="A157" s="509">
        <f t="shared" si="3"/>
        <v>131</v>
      </c>
      <c r="B157" s="123"/>
      <c r="C157" s="321" t="s">
        <v>777</v>
      </c>
      <c r="D157" s="123"/>
      <c r="E157" s="123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</row>
    <row r="158" spans="1:16" s="15" customFormat="1" ht="15">
      <c r="A158" s="509">
        <f t="shared" si="3"/>
        <v>132</v>
      </c>
      <c r="B158" s="123"/>
      <c r="C158" s="321" t="s">
        <v>778</v>
      </c>
      <c r="D158" s="123"/>
      <c r="E158" s="123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</row>
    <row r="159" spans="1:16" s="76" customFormat="1" ht="15">
      <c r="A159" s="509">
        <f t="shared" si="3"/>
        <v>133</v>
      </c>
      <c r="B159" s="463"/>
      <c r="C159" s="321"/>
      <c r="D159" s="463"/>
      <c r="E159" s="463"/>
      <c r="F159" s="450"/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</row>
    <row r="160" spans="1:16" s="76" customFormat="1" ht="15">
      <c r="A160" s="509">
        <f t="shared" si="3"/>
        <v>134</v>
      </c>
      <c r="B160" s="463"/>
      <c r="C160" s="321" t="s">
        <v>499</v>
      </c>
      <c r="D160" s="463"/>
      <c r="E160" s="463"/>
      <c r="F160" s="450"/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</row>
    <row r="161" spans="1:17" s="76" customFormat="1" ht="15">
      <c r="A161" s="509">
        <f t="shared" si="3"/>
        <v>135</v>
      </c>
      <c r="B161" s="463"/>
      <c r="C161" s="321" t="s">
        <v>613</v>
      </c>
      <c r="D161" s="463"/>
      <c r="E161" s="463"/>
      <c r="F161" s="450"/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</row>
    <row r="162" spans="1:17" s="15" customFormat="1" ht="15">
      <c r="A162" s="509">
        <f t="shared" si="3"/>
        <v>136</v>
      </c>
      <c r="B162" s="123"/>
      <c r="C162" s="321"/>
      <c r="D162" s="123"/>
      <c r="E162" s="123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</row>
    <row r="163" spans="1:17" s="15" customFormat="1" ht="15">
      <c r="A163" s="509">
        <f t="shared" si="3"/>
        <v>137</v>
      </c>
      <c r="B163" s="123"/>
      <c r="C163" s="321" t="s">
        <v>498</v>
      </c>
      <c r="D163" s="123"/>
      <c r="E163" s="123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</row>
    <row r="164" spans="1:17" s="15" customFormat="1" ht="15">
      <c r="A164" s="509">
        <f t="shared" si="3"/>
        <v>138</v>
      </c>
      <c r="B164" s="123"/>
      <c r="C164" s="321" t="s">
        <v>779</v>
      </c>
      <c r="D164" s="123"/>
      <c r="E164" s="123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</row>
    <row r="165" spans="1:17" s="76" customFormat="1" ht="15">
      <c r="A165" s="509"/>
      <c r="B165" s="463"/>
      <c r="C165" s="321"/>
      <c r="D165" s="463"/>
      <c r="E165" s="463"/>
      <c r="F165" s="450"/>
      <c r="G165" s="450"/>
      <c r="H165" s="450"/>
      <c r="I165" s="450"/>
      <c r="J165" s="450"/>
      <c r="K165" s="450"/>
      <c r="L165" s="450"/>
      <c r="M165" s="530"/>
      <c r="N165" s="450"/>
      <c r="O165" s="450"/>
      <c r="P165" s="450"/>
    </row>
    <row r="166" spans="1:17" s="15" customFormat="1" ht="15.75">
      <c r="A166" s="763" t="s">
        <v>540</v>
      </c>
      <c r="B166" s="763"/>
      <c r="C166" s="763"/>
      <c r="D166" s="763"/>
      <c r="E166" s="763"/>
      <c r="F166" s="763"/>
      <c r="G166" s="763"/>
      <c r="H166" s="763"/>
      <c r="I166" s="763"/>
      <c r="J166" s="763"/>
      <c r="K166" s="763"/>
      <c r="L166" s="763"/>
      <c r="M166" s="763"/>
      <c r="N166" s="763"/>
      <c r="O166" s="762"/>
      <c r="P166" s="762"/>
      <c r="Q166" s="9" t="s">
        <v>502</v>
      </c>
    </row>
    <row r="167" spans="1:17" s="15" customFormat="1" ht="15.75">
      <c r="A167" s="763" t="s">
        <v>463</v>
      </c>
      <c r="B167" s="763"/>
      <c r="C167" s="763"/>
      <c r="D167" s="763"/>
      <c r="E167" s="763"/>
      <c r="F167" s="763"/>
      <c r="G167" s="763"/>
      <c r="H167" s="763"/>
      <c r="I167" s="763"/>
      <c r="J167" s="763"/>
      <c r="K167" s="763"/>
      <c r="L167" s="763"/>
      <c r="M167" s="763"/>
      <c r="N167" s="763"/>
      <c r="O167" s="762"/>
      <c r="P167" s="762"/>
      <c r="Q167" s="126" t="s">
        <v>4</v>
      </c>
    </row>
    <row r="168" spans="1:17" s="15" customFormat="1" ht="15.75">
      <c r="A168" s="763" t="s">
        <v>229</v>
      </c>
      <c r="B168" s="763"/>
      <c r="C168" s="763"/>
      <c r="D168" s="763"/>
      <c r="E168" s="763"/>
      <c r="F168" s="763"/>
      <c r="G168" s="763"/>
      <c r="H168" s="763"/>
      <c r="I168" s="763"/>
      <c r="J168" s="763"/>
      <c r="K168" s="763"/>
      <c r="L168" s="763"/>
      <c r="M168" s="763"/>
      <c r="N168" s="763"/>
      <c r="O168" s="762"/>
      <c r="P168" s="762"/>
    </row>
    <row r="169" spans="1:17" s="134" customFormat="1" ht="15.75">
      <c r="A169" s="61" t="s">
        <v>32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120"/>
      <c r="P169" s="62"/>
    </row>
    <row r="170" spans="1:17" s="76" customFormat="1" ht="15.75">
      <c r="A170" s="641"/>
      <c r="B170" s="641"/>
      <c r="C170" s="641"/>
      <c r="D170" s="641"/>
      <c r="E170" s="641"/>
      <c r="F170" s="641"/>
      <c r="G170" s="641"/>
      <c r="H170" s="641"/>
      <c r="I170" s="641"/>
      <c r="J170" s="641"/>
      <c r="K170" s="641"/>
      <c r="L170" s="641"/>
      <c r="M170" s="641"/>
      <c r="N170" s="641"/>
      <c r="O170" s="450"/>
      <c r="P170" s="450"/>
    </row>
    <row r="171" spans="1:17" s="15" customFormat="1" ht="15.75">
      <c r="A171" s="426" t="s">
        <v>33</v>
      </c>
      <c r="B171" s="426"/>
      <c r="C171" s="426"/>
      <c r="D171" s="426"/>
      <c r="E171" s="426"/>
      <c r="F171" s="10" t="s">
        <v>25</v>
      </c>
      <c r="G171" s="10"/>
      <c r="H171" s="10" t="s">
        <v>25</v>
      </c>
      <c r="I171" s="10"/>
      <c r="J171" s="10" t="s">
        <v>25</v>
      </c>
      <c r="K171" s="10"/>
      <c r="L171" s="10" t="s">
        <v>330</v>
      </c>
      <c r="M171" s="14"/>
      <c r="N171" s="10" t="s">
        <v>330</v>
      </c>
      <c r="P171" s="10" t="s">
        <v>330</v>
      </c>
    </row>
    <row r="172" spans="1:17" s="15" customFormat="1" ht="15.75">
      <c r="A172" s="279" t="s">
        <v>35</v>
      </c>
      <c r="B172" s="426"/>
      <c r="C172" s="279" t="s">
        <v>178</v>
      </c>
      <c r="D172" s="279"/>
      <c r="E172" s="426"/>
      <c r="F172" s="502">
        <v>2010</v>
      </c>
      <c r="G172" s="503"/>
      <c r="H172" s="502">
        <v>2011</v>
      </c>
      <c r="I172" s="503"/>
      <c r="J172" s="502">
        <v>2012</v>
      </c>
      <c r="K172" s="503"/>
      <c r="L172" s="502">
        <v>2013</v>
      </c>
      <c r="M172" s="504"/>
      <c r="N172" s="502">
        <v>2014</v>
      </c>
      <c r="O172" s="505"/>
      <c r="P172" s="502">
        <v>2015</v>
      </c>
    </row>
    <row r="173" spans="1:17" s="76" customFormat="1" ht="15.75">
      <c r="A173" s="401"/>
      <c r="B173" s="769"/>
      <c r="C173" s="401"/>
      <c r="D173" s="401"/>
      <c r="E173" s="769"/>
      <c r="F173" s="525"/>
      <c r="G173" s="523"/>
      <c r="H173" s="525"/>
      <c r="I173" s="523"/>
      <c r="J173" s="525"/>
      <c r="K173" s="523"/>
      <c r="L173" s="525"/>
      <c r="M173" s="527"/>
      <c r="N173" s="525"/>
      <c r="O173" s="505"/>
      <c r="P173" s="525"/>
    </row>
    <row r="174" spans="1:17" s="15" customFormat="1" ht="15.75">
      <c r="A174" s="509">
        <f>+A164+1</f>
        <v>139</v>
      </c>
      <c r="B174" s="123"/>
      <c r="C174" s="301" t="s">
        <v>647</v>
      </c>
      <c r="D174" s="123"/>
      <c r="E174" s="123"/>
      <c r="F174" s="123"/>
      <c r="G174" s="123"/>
      <c r="H174" s="106"/>
      <c r="I174" s="123"/>
      <c r="J174" s="106"/>
      <c r="K174" s="123"/>
      <c r="L174" s="106"/>
      <c r="M174" s="14"/>
      <c r="N174" s="208"/>
      <c r="O174" s="208"/>
      <c r="P174" s="208"/>
    </row>
    <row r="175" spans="1:17" s="76" customFormat="1" ht="15">
      <c r="A175" s="509">
        <f>+A174+1</f>
        <v>140</v>
      </c>
      <c r="B175" s="463"/>
      <c r="C175" s="321"/>
      <c r="D175" s="463"/>
      <c r="E175" s="463"/>
      <c r="F175" s="450"/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</row>
    <row r="176" spans="1:17" s="15" customFormat="1" ht="15">
      <c r="A176" s="509">
        <f>+A175+1</f>
        <v>141</v>
      </c>
      <c r="B176" s="123"/>
      <c r="C176" s="287" t="s">
        <v>94</v>
      </c>
      <c r="D176" s="123"/>
      <c r="E176" s="123"/>
      <c r="F176" s="208">
        <f>'S5.1 '!$G$39</f>
        <v>532.44666000000018</v>
      </c>
      <c r="G176" s="208"/>
      <c r="H176" s="208">
        <f>'S5.1 '!$I$39</f>
        <v>462.38002</v>
      </c>
      <c r="I176" s="208"/>
      <c r="J176" s="208">
        <f>'S5.1 '!$K$39</f>
        <v>483.60667000000007</v>
      </c>
      <c r="K176" s="208"/>
      <c r="L176" s="450">
        <f>'S5.1 '!$M$39</f>
        <v>563.3842858976725</v>
      </c>
      <c r="M176" s="208"/>
      <c r="N176" s="208">
        <f>'S5.1 '!$O$39</f>
        <v>575.9976775270294</v>
      </c>
      <c r="O176" s="208"/>
      <c r="P176" s="208">
        <f>'S5.1 '!$Q$39</f>
        <v>504.46260659114205</v>
      </c>
    </row>
    <row r="177" spans="1:16" s="15" customFormat="1" ht="15.75">
      <c r="A177" s="509">
        <f t="shared" ref="A177:A218" si="4">+A176+1</f>
        <v>142</v>
      </c>
      <c r="B177" s="106"/>
      <c r="C177" s="129"/>
      <c r="D177" s="123"/>
      <c r="E177" s="123"/>
      <c r="F177" s="208"/>
      <c r="G177" s="208"/>
      <c r="H177" s="603"/>
      <c r="I177" s="604"/>
      <c r="J177" s="603"/>
      <c r="K177" s="604"/>
      <c r="L177" s="603"/>
      <c r="M177" s="605"/>
      <c r="N177" s="603"/>
      <c r="O177" s="606"/>
      <c r="P177" s="603"/>
    </row>
    <row r="178" spans="1:16" s="15" customFormat="1" ht="15.75">
      <c r="A178" s="509">
        <f t="shared" si="4"/>
        <v>143</v>
      </c>
      <c r="B178" s="123"/>
      <c r="C178" s="129" t="s">
        <v>500</v>
      </c>
      <c r="D178" s="123"/>
      <c r="E178" s="123"/>
      <c r="F178" s="208"/>
      <c r="G178" s="208"/>
      <c r="H178" s="607"/>
      <c r="I178" s="604"/>
      <c r="J178" s="607"/>
      <c r="K178" s="604"/>
      <c r="L178" s="607"/>
      <c r="M178" s="605"/>
      <c r="N178" s="607"/>
      <c r="O178" s="606"/>
      <c r="P178" s="607"/>
    </row>
    <row r="179" spans="1:16" s="15" customFormat="1" ht="15">
      <c r="A179" s="509">
        <f t="shared" si="4"/>
        <v>144</v>
      </c>
      <c r="B179" s="123"/>
      <c r="C179" s="288" t="s">
        <v>599</v>
      </c>
      <c r="D179" s="123"/>
      <c r="E179" s="123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</row>
    <row r="180" spans="1:16" s="15" customFormat="1" ht="15">
      <c r="A180" s="509">
        <f t="shared" si="4"/>
        <v>145</v>
      </c>
      <c r="B180" s="123"/>
      <c r="C180" s="305" t="s">
        <v>614</v>
      </c>
      <c r="D180" s="123"/>
      <c r="E180" s="123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</row>
    <row r="181" spans="1:16" s="76" customFormat="1" ht="15">
      <c r="A181" s="509">
        <f t="shared" si="4"/>
        <v>146</v>
      </c>
      <c r="B181" s="463"/>
      <c r="C181" s="288"/>
      <c r="D181" s="463"/>
      <c r="E181" s="463"/>
      <c r="F181" s="450"/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</row>
    <row r="182" spans="1:16" s="76" customFormat="1" ht="15">
      <c r="A182" s="509">
        <f t="shared" si="4"/>
        <v>147</v>
      </c>
      <c r="B182" s="463"/>
      <c r="C182" s="288" t="s">
        <v>786</v>
      </c>
      <c r="D182" s="463"/>
      <c r="E182" s="463"/>
      <c r="F182" s="450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</row>
    <row r="183" spans="1:16" s="76" customFormat="1" ht="15">
      <c r="A183" s="509">
        <f t="shared" si="4"/>
        <v>148</v>
      </c>
      <c r="B183" s="463"/>
      <c r="C183" s="288" t="s">
        <v>787</v>
      </c>
      <c r="D183" s="463"/>
      <c r="E183" s="463"/>
      <c r="F183" s="450"/>
      <c r="G183" s="450"/>
      <c r="H183" s="450"/>
      <c r="I183" s="450"/>
      <c r="J183" s="450"/>
      <c r="K183" s="450"/>
      <c r="L183" s="450"/>
      <c r="M183" s="450"/>
      <c r="N183" s="450"/>
      <c r="O183" s="450"/>
      <c r="P183" s="450"/>
    </row>
    <row r="184" spans="1:16" s="76" customFormat="1" ht="15">
      <c r="A184" s="509">
        <f t="shared" si="4"/>
        <v>149</v>
      </c>
      <c r="B184" s="463"/>
      <c r="C184" s="288"/>
      <c r="D184" s="463"/>
      <c r="E184" s="463"/>
      <c r="F184" s="450"/>
      <c r="G184" s="450"/>
      <c r="H184" s="450"/>
      <c r="I184" s="450"/>
      <c r="J184" s="450"/>
      <c r="K184" s="450"/>
      <c r="L184" s="450"/>
      <c r="M184" s="450"/>
      <c r="N184" s="450"/>
      <c r="O184" s="450"/>
      <c r="P184" s="450"/>
    </row>
    <row r="185" spans="1:16" s="15" customFormat="1" ht="15">
      <c r="A185" s="509">
        <f t="shared" si="4"/>
        <v>150</v>
      </c>
      <c r="B185" s="123"/>
      <c r="C185" s="288" t="s">
        <v>789</v>
      </c>
      <c r="D185" s="123"/>
      <c r="E185" s="123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</row>
    <row r="186" spans="1:16" s="76" customFormat="1" ht="15">
      <c r="A186" s="509">
        <f t="shared" si="4"/>
        <v>151</v>
      </c>
      <c r="B186" s="463"/>
      <c r="C186" s="288" t="s">
        <v>790</v>
      </c>
      <c r="D186" s="463"/>
      <c r="E186" s="463"/>
      <c r="F186" s="450"/>
      <c r="G186" s="450"/>
      <c r="H186" s="450"/>
      <c r="I186" s="450"/>
      <c r="J186" s="450"/>
      <c r="K186" s="450"/>
      <c r="L186" s="450"/>
      <c r="M186" s="450"/>
      <c r="N186" s="450"/>
      <c r="O186" s="450"/>
      <c r="P186" s="450"/>
    </row>
    <row r="187" spans="1:16" s="76" customFormat="1" ht="15">
      <c r="A187" s="509">
        <f t="shared" si="4"/>
        <v>152</v>
      </c>
      <c r="B187" s="463"/>
      <c r="C187" s="288" t="s">
        <v>791</v>
      </c>
      <c r="D187" s="463"/>
      <c r="E187" s="463"/>
      <c r="F187" s="450"/>
      <c r="G187" s="450"/>
      <c r="H187" s="450"/>
      <c r="I187" s="450"/>
      <c r="J187" s="450"/>
      <c r="K187" s="450"/>
      <c r="L187" s="450"/>
      <c r="M187" s="450"/>
      <c r="N187" s="450"/>
      <c r="O187" s="450"/>
      <c r="P187" s="450"/>
    </row>
    <row r="188" spans="1:16" s="15" customFormat="1" ht="15">
      <c r="A188" s="509">
        <f t="shared" si="4"/>
        <v>153</v>
      </c>
      <c r="B188" s="123"/>
      <c r="C188" s="513"/>
      <c r="D188" s="463"/>
      <c r="E188" s="123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</row>
    <row r="189" spans="1:16" s="15" customFormat="1" ht="15">
      <c r="A189" s="509">
        <f t="shared" si="4"/>
        <v>154</v>
      </c>
      <c r="B189" s="123"/>
      <c r="C189" s="321" t="s">
        <v>788</v>
      </c>
      <c r="D189" s="463"/>
      <c r="E189" s="123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</row>
    <row r="190" spans="1:16" s="15" customFormat="1" ht="15">
      <c r="A190" s="509">
        <f t="shared" si="4"/>
        <v>155</v>
      </c>
      <c r="B190" s="123"/>
      <c r="C190" s="321" t="s">
        <v>801</v>
      </c>
      <c r="D190" s="463"/>
      <c r="E190" s="123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</row>
    <row r="191" spans="1:16" s="15" customFormat="1" ht="15">
      <c r="A191" s="509">
        <f t="shared" si="4"/>
        <v>156</v>
      </c>
      <c r="B191" s="123"/>
      <c r="C191" s="129"/>
      <c r="D191" s="463"/>
      <c r="E191" s="123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</row>
    <row r="192" spans="1:16" s="76" customFormat="1" ht="15">
      <c r="A192" s="509">
        <f t="shared" si="4"/>
        <v>157</v>
      </c>
      <c r="B192" s="463"/>
      <c r="C192" s="288"/>
      <c r="D192" s="463"/>
      <c r="E192" s="463"/>
      <c r="F192" s="450"/>
      <c r="G192" s="450"/>
      <c r="H192" s="450"/>
      <c r="I192" s="450"/>
      <c r="J192" s="450"/>
      <c r="K192" s="450"/>
      <c r="L192" s="450"/>
      <c r="M192" s="450"/>
      <c r="N192" s="450"/>
      <c r="O192" s="450"/>
      <c r="P192" s="450"/>
    </row>
    <row r="193" spans="1:16" s="15" customFormat="1" ht="15">
      <c r="A193" s="509">
        <f t="shared" si="4"/>
        <v>158</v>
      </c>
      <c r="B193" s="123"/>
      <c r="C193" s="287" t="s">
        <v>284</v>
      </c>
      <c r="D193" s="123"/>
      <c r="E193" s="123"/>
      <c r="F193" s="208">
        <f>'S5.1 '!$G$40</f>
        <v>695.73518999999999</v>
      </c>
      <c r="G193" s="208"/>
      <c r="H193" s="208">
        <f>'S5.1 '!$I$40</f>
        <v>702.77555999999993</v>
      </c>
      <c r="I193" s="208"/>
      <c r="J193" s="208">
        <f>'S5.1 '!$K$40</f>
        <v>695.22829999999988</v>
      </c>
      <c r="K193" s="208"/>
      <c r="L193" s="208">
        <f>'S5.1 '!$M$40</f>
        <v>749.45858204356114</v>
      </c>
      <c r="M193" s="208"/>
      <c r="N193" s="208">
        <f>'S5.1 '!$O$40</f>
        <v>765.06951354764556</v>
      </c>
      <c r="O193" s="208"/>
      <c r="P193" s="208">
        <f>'S5.1 '!$Q$40</f>
        <v>789.48741750630188</v>
      </c>
    </row>
    <row r="194" spans="1:16" s="15" customFormat="1" ht="15.75">
      <c r="A194" s="509">
        <f t="shared" si="4"/>
        <v>159</v>
      </c>
      <c r="B194" s="123"/>
      <c r="C194" s="287"/>
      <c r="D194" s="123"/>
      <c r="E194" s="123"/>
      <c r="F194" s="208"/>
      <c r="G194" s="208"/>
      <c r="H194" s="603"/>
      <c r="I194" s="604"/>
      <c r="J194" s="603"/>
      <c r="K194" s="604"/>
      <c r="L194" s="603"/>
      <c r="M194" s="605"/>
      <c r="N194" s="603"/>
      <c r="O194" s="606"/>
      <c r="P194" s="603"/>
    </row>
    <row r="195" spans="1:16" s="15" customFormat="1" ht="15.75">
      <c r="A195" s="509">
        <f t="shared" si="4"/>
        <v>160</v>
      </c>
      <c r="B195" s="123"/>
      <c r="C195" s="321" t="s">
        <v>810</v>
      </c>
      <c r="D195" s="123"/>
      <c r="E195" s="123"/>
      <c r="F195" s="208"/>
      <c r="G195" s="208"/>
      <c r="H195" s="607"/>
      <c r="I195" s="604"/>
      <c r="J195" s="607"/>
      <c r="K195" s="604"/>
      <c r="L195" s="607"/>
      <c r="M195" s="605"/>
      <c r="N195" s="607"/>
      <c r="O195" s="606"/>
      <c r="P195" s="607"/>
    </row>
    <row r="196" spans="1:16" s="15" customFormat="1" ht="15">
      <c r="A196" s="509">
        <f t="shared" si="4"/>
        <v>161</v>
      </c>
      <c r="B196" s="123"/>
      <c r="C196" s="321" t="s">
        <v>888</v>
      </c>
      <c r="D196" s="123"/>
      <c r="E196" s="123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</row>
    <row r="197" spans="1:16" s="76" customFormat="1" ht="15">
      <c r="A197" s="509">
        <f t="shared" si="4"/>
        <v>162</v>
      </c>
      <c r="B197" s="463"/>
      <c r="C197" s="288"/>
      <c r="D197" s="463"/>
      <c r="E197" s="463"/>
      <c r="F197" s="450"/>
      <c r="G197" s="450"/>
      <c r="H197" s="450"/>
      <c r="I197" s="450"/>
      <c r="J197" s="450"/>
      <c r="K197" s="450"/>
      <c r="L197" s="450"/>
      <c r="M197" s="450"/>
      <c r="N197" s="450"/>
      <c r="O197" s="450"/>
      <c r="P197" s="450"/>
    </row>
    <row r="198" spans="1:16" s="76" customFormat="1" ht="15">
      <c r="A198" s="509">
        <f t="shared" si="4"/>
        <v>163</v>
      </c>
      <c r="B198" s="463"/>
      <c r="C198" s="288"/>
      <c r="D198" s="463"/>
      <c r="E198" s="463"/>
      <c r="F198" s="450"/>
      <c r="G198" s="450"/>
      <c r="H198" s="450"/>
      <c r="I198" s="450"/>
      <c r="J198" s="450"/>
      <c r="K198" s="450"/>
      <c r="L198" s="450"/>
      <c r="M198" s="450"/>
      <c r="N198" s="450"/>
      <c r="O198" s="450"/>
      <c r="P198" s="450"/>
    </row>
    <row r="199" spans="1:16" s="15" customFormat="1" ht="15">
      <c r="A199" s="509">
        <f t="shared" si="4"/>
        <v>164</v>
      </c>
      <c r="B199" s="123"/>
      <c r="C199" s="287" t="s">
        <v>96</v>
      </c>
      <c r="D199" s="123"/>
      <c r="E199" s="123"/>
      <c r="F199" s="208">
        <f>'S5.1 '!$G$41</f>
        <v>164.80347</v>
      </c>
      <c r="G199" s="208"/>
      <c r="H199" s="208">
        <f>'S5.1 '!$I$41</f>
        <v>167.82192000000003</v>
      </c>
      <c r="I199" s="208"/>
      <c r="J199" s="208">
        <f>'S5.1 '!$K$41</f>
        <v>181.69431000000003</v>
      </c>
      <c r="K199" s="208"/>
      <c r="L199" s="208">
        <f>'S5.1 '!$M$41</f>
        <v>227.69545110328815</v>
      </c>
      <c r="M199" s="208"/>
      <c r="N199" s="208">
        <f>'S5.1 '!$O$41</f>
        <v>232.97080430516368</v>
      </c>
      <c r="O199" s="208"/>
      <c r="P199" s="208">
        <f>'S5.1 '!$Q$41</f>
        <v>239.25538018360493</v>
      </c>
    </row>
    <row r="200" spans="1:16" s="15" customFormat="1" ht="15.75">
      <c r="A200" s="509">
        <f t="shared" si="4"/>
        <v>165</v>
      </c>
      <c r="B200" s="123"/>
      <c r="C200" s="287"/>
      <c r="D200" s="123"/>
      <c r="E200" s="123"/>
      <c r="F200" s="208"/>
      <c r="G200" s="208"/>
      <c r="H200" s="603"/>
      <c r="I200" s="604"/>
      <c r="J200" s="603"/>
      <c r="K200" s="604"/>
      <c r="L200" s="603"/>
      <c r="M200" s="605"/>
      <c r="N200" s="603"/>
      <c r="O200" s="606"/>
      <c r="P200" s="603"/>
    </row>
    <row r="201" spans="1:16" s="76" customFormat="1" ht="15.75">
      <c r="A201" s="509">
        <f t="shared" si="4"/>
        <v>166</v>
      </c>
      <c r="B201" s="463"/>
      <c r="C201" s="321" t="s">
        <v>617</v>
      </c>
      <c r="D201" s="463"/>
      <c r="E201" s="463"/>
      <c r="F201" s="450"/>
      <c r="G201" s="450"/>
      <c r="H201" s="607"/>
      <c r="I201" s="604"/>
      <c r="J201" s="607"/>
      <c r="K201" s="604"/>
      <c r="L201" s="607"/>
      <c r="M201" s="605"/>
      <c r="N201" s="607"/>
      <c r="O201" s="606"/>
      <c r="P201" s="607"/>
    </row>
    <row r="202" spans="1:16" s="76" customFormat="1" ht="15">
      <c r="A202" s="509">
        <f t="shared" si="4"/>
        <v>167</v>
      </c>
      <c r="B202" s="463"/>
      <c r="C202" s="321" t="s">
        <v>501</v>
      </c>
      <c r="D202" s="463"/>
      <c r="E202" s="463"/>
      <c r="F202" s="450"/>
      <c r="G202" s="450"/>
      <c r="H202" s="438"/>
      <c r="I202" s="463"/>
      <c r="J202" s="438"/>
      <c r="K202" s="463"/>
      <c r="L202" s="438"/>
      <c r="M202" s="530"/>
      <c r="N202" s="438"/>
      <c r="P202" s="438"/>
    </row>
    <row r="203" spans="1:16" s="76" customFormat="1" ht="15">
      <c r="A203" s="509">
        <f t="shared" si="4"/>
        <v>168</v>
      </c>
      <c r="B203" s="463"/>
      <c r="C203" s="287"/>
      <c r="D203" s="463"/>
      <c r="E203" s="463"/>
      <c r="F203" s="450"/>
      <c r="G203" s="450"/>
      <c r="H203" s="438"/>
      <c r="I203" s="463"/>
      <c r="J203" s="438"/>
      <c r="K203" s="463"/>
      <c r="L203" s="438"/>
      <c r="M203" s="530"/>
      <c r="N203" s="438"/>
      <c r="P203" s="438"/>
    </row>
    <row r="204" spans="1:16" s="15" customFormat="1" ht="15">
      <c r="A204" s="509">
        <f t="shared" si="4"/>
        <v>169</v>
      </c>
      <c r="B204" s="123"/>
      <c r="C204" s="321" t="s">
        <v>615</v>
      </c>
      <c r="D204" s="123"/>
      <c r="E204" s="123"/>
      <c r="F204" s="208"/>
      <c r="G204" s="208"/>
      <c r="H204" s="304"/>
      <c r="I204" s="463"/>
      <c r="J204" s="304"/>
      <c r="K204" s="463"/>
      <c r="L204" s="304"/>
      <c r="M204" s="530"/>
      <c r="N204" s="304"/>
      <c r="O204" s="76"/>
      <c r="P204" s="304"/>
    </row>
    <row r="205" spans="1:16" s="15" customFormat="1" ht="15">
      <c r="A205" s="509">
        <f t="shared" si="4"/>
        <v>170</v>
      </c>
      <c r="B205" s="123"/>
      <c r="C205" s="288" t="s">
        <v>616</v>
      </c>
      <c r="D205" s="123"/>
      <c r="E205" s="123"/>
      <c r="F205" s="208"/>
      <c r="G205" s="208"/>
      <c r="H205" s="208"/>
      <c r="I205" s="208"/>
      <c r="J205" s="208"/>
      <c r="K205" s="208"/>
      <c r="L205" s="208"/>
      <c r="M205" s="208"/>
      <c r="N205" s="208"/>
      <c r="O205" s="208"/>
      <c r="P205" s="208"/>
    </row>
    <row r="206" spans="1:16" s="76" customFormat="1" ht="15">
      <c r="A206" s="509">
        <f t="shared" si="4"/>
        <v>171</v>
      </c>
      <c r="B206" s="463"/>
      <c r="C206" s="288"/>
      <c r="D206" s="463"/>
      <c r="E206" s="463"/>
      <c r="F206" s="450"/>
      <c r="G206" s="450"/>
      <c r="H206" s="450"/>
      <c r="I206" s="450"/>
      <c r="J206" s="450"/>
      <c r="K206" s="450"/>
      <c r="L206" s="450"/>
      <c r="M206" s="450"/>
      <c r="N206" s="450"/>
      <c r="O206" s="450"/>
      <c r="P206" s="450"/>
    </row>
    <row r="207" spans="1:16" s="76" customFormat="1" ht="15">
      <c r="A207" s="509">
        <f t="shared" si="4"/>
        <v>172</v>
      </c>
      <c r="B207" s="463"/>
      <c r="C207" s="288"/>
      <c r="D207" s="463"/>
      <c r="E207" s="463"/>
      <c r="F207" s="450"/>
      <c r="G207" s="450"/>
      <c r="H207" s="450"/>
      <c r="I207" s="450"/>
      <c r="J207" s="450"/>
      <c r="K207" s="450"/>
      <c r="L207" s="450"/>
      <c r="M207" s="450"/>
      <c r="N207" s="450"/>
      <c r="O207" s="450"/>
      <c r="P207" s="450"/>
    </row>
    <row r="208" spans="1:16" s="15" customFormat="1" ht="15">
      <c r="A208" s="509">
        <f t="shared" si="4"/>
        <v>173</v>
      </c>
      <c r="B208" s="123"/>
      <c r="C208" s="287" t="s">
        <v>344</v>
      </c>
      <c r="D208" s="123"/>
      <c r="E208" s="123"/>
      <c r="F208" s="208">
        <f>'S5.1 '!$G$42</f>
        <v>118.62984000000003</v>
      </c>
      <c r="G208" s="208"/>
      <c r="H208" s="208">
        <f>'S5.1 '!$I$42</f>
        <v>109.76342000000001</v>
      </c>
      <c r="I208" s="208"/>
      <c r="J208" s="208">
        <f>'S5.1 '!$K$42</f>
        <v>123.40278999999998</v>
      </c>
      <c r="K208" s="208"/>
      <c r="L208" s="208">
        <f>'S5.1 '!$M$42</f>
        <v>139.91301400283265</v>
      </c>
      <c r="M208" s="208"/>
      <c r="N208" s="208">
        <f>'S5.1 '!$O$42</f>
        <v>143.16818282186145</v>
      </c>
      <c r="O208" s="208"/>
      <c r="P208" s="208">
        <f>'S5.1 '!$Q$42</f>
        <v>147.02407254572728</v>
      </c>
    </row>
    <row r="209" spans="1:27" s="15" customFormat="1" ht="15.75">
      <c r="A209" s="509">
        <f t="shared" si="4"/>
        <v>174</v>
      </c>
      <c r="B209" s="123"/>
      <c r="C209" s="129"/>
      <c r="D209" s="123"/>
      <c r="E209" s="123"/>
      <c r="F209" s="208"/>
      <c r="G209" s="208"/>
      <c r="H209" s="603"/>
      <c r="I209" s="604"/>
      <c r="J209" s="603"/>
      <c r="K209" s="604"/>
      <c r="L209" s="603"/>
      <c r="M209" s="605"/>
      <c r="N209" s="603"/>
      <c r="O209" s="606"/>
      <c r="P209" s="603"/>
    </row>
    <row r="210" spans="1:27" s="15" customFormat="1" ht="15.75">
      <c r="A210" s="509">
        <f t="shared" si="4"/>
        <v>175</v>
      </c>
      <c r="B210" s="123"/>
      <c r="C210" s="321" t="s">
        <v>617</v>
      </c>
      <c r="D210" s="123"/>
      <c r="E210" s="123"/>
      <c r="F210" s="208"/>
      <c r="G210" s="208"/>
      <c r="H210" s="607"/>
      <c r="I210" s="604"/>
      <c r="J210" s="607"/>
      <c r="K210" s="604"/>
      <c r="L210" s="607"/>
      <c r="M210" s="605"/>
      <c r="N210" s="607"/>
      <c r="O210" s="606"/>
      <c r="P210" s="607"/>
    </row>
    <row r="211" spans="1:27" s="15" customFormat="1" ht="15">
      <c r="A211" s="509">
        <f t="shared" si="4"/>
        <v>176</v>
      </c>
      <c r="B211" s="123"/>
      <c r="C211" s="321" t="s">
        <v>501</v>
      </c>
      <c r="D211" s="123"/>
      <c r="E211" s="123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</row>
    <row r="212" spans="1:27" s="76" customFormat="1" ht="15">
      <c r="A212" s="509">
        <f t="shared" si="4"/>
        <v>177</v>
      </c>
      <c r="B212" s="463"/>
      <c r="C212" s="321"/>
      <c r="D212" s="463"/>
      <c r="E212" s="463"/>
      <c r="F212" s="450"/>
      <c r="G212" s="450"/>
      <c r="H212" s="450"/>
      <c r="I212" s="450"/>
      <c r="J212" s="450"/>
      <c r="K212" s="450"/>
      <c r="L212" s="450"/>
      <c r="M212" s="450"/>
      <c r="N212" s="450"/>
      <c r="O212" s="450"/>
      <c r="P212" s="450"/>
    </row>
    <row r="213" spans="1:27" s="76" customFormat="1" ht="15">
      <c r="A213" s="509">
        <f t="shared" si="4"/>
        <v>178</v>
      </c>
      <c r="B213" s="463"/>
      <c r="C213" s="321" t="s">
        <v>615</v>
      </c>
      <c r="D213" s="463"/>
      <c r="E213" s="463"/>
      <c r="F213" s="450"/>
      <c r="G213" s="450"/>
      <c r="H213" s="450"/>
      <c r="I213" s="450"/>
      <c r="J213" s="450"/>
      <c r="K213" s="450"/>
      <c r="L213" s="450"/>
      <c r="M213" s="450"/>
      <c r="N213" s="450"/>
      <c r="O213" s="450"/>
      <c r="P213" s="450"/>
    </row>
    <row r="214" spans="1:27" s="15" customFormat="1" ht="15">
      <c r="A214" s="509">
        <f t="shared" si="4"/>
        <v>179</v>
      </c>
      <c r="B214" s="123"/>
      <c r="C214" s="288" t="s">
        <v>616</v>
      </c>
      <c r="D214" s="123"/>
      <c r="E214" s="123"/>
      <c r="F214" s="123"/>
      <c r="G214" s="123"/>
      <c r="H214" s="106"/>
      <c r="I214" s="123"/>
      <c r="J214" s="106"/>
      <c r="K214" s="123"/>
      <c r="L214" s="106"/>
      <c r="M214" s="14"/>
      <c r="N214" s="208"/>
      <c r="O214" s="208"/>
      <c r="P214" s="208"/>
    </row>
    <row r="215" spans="1:27" s="76" customFormat="1" ht="15">
      <c r="A215" s="509">
        <f t="shared" si="4"/>
        <v>180</v>
      </c>
      <c r="B215" s="463"/>
      <c r="C215" s="321"/>
      <c r="D215" s="463"/>
      <c r="E215" s="463"/>
      <c r="F215" s="463"/>
      <c r="G215" s="463"/>
      <c r="H215" s="411"/>
      <c r="I215" s="463"/>
      <c r="J215" s="411"/>
      <c r="K215" s="463"/>
      <c r="L215" s="411"/>
      <c r="M215" s="530"/>
      <c r="N215" s="450"/>
      <c r="O215" s="450"/>
      <c r="P215" s="450"/>
    </row>
    <row r="216" spans="1:27" s="76" customFormat="1" ht="15">
      <c r="A216" s="509">
        <f t="shared" si="4"/>
        <v>181</v>
      </c>
      <c r="B216" s="463"/>
      <c r="C216" s="321"/>
      <c r="D216" s="463"/>
      <c r="E216" s="463"/>
      <c r="F216" s="463"/>
      <c r="G216" s="463"/>
      <c r="H216" s="411"/>
      <c r="I216" s="463"/>
      <c r="J216" s="411"/>
      <c r="K216" s="463"/>
      <c r="L216" s="411"/>
      <c r="M216" s="530"/>
      <c r="N216" s="450"/>
      <c r="O216" s="450"/>
      <c r="P216" s="450"/>
    </row>
    <row r="217" spans="1:27" s="15" customFormat="1" ht="15">
      <c r="A217" s="509">
        <f t="shared" si="4"/>
        <v>182</v>
      </c>
      <c r="B217" s="123"/>
      <c r="C217" s="287" t="s">
        <v>314</v>
      </c>
      <c r="D217" s="123"/>
      <c r="E217" s="123"/>
      <c r="F217" s="208">
        <f>'S5.1 '!$G$46</f>
        <v>1644.6685200000004</v>
      </c>
      <c r="G217" s="208"/>
      <c r="H217" s="208">
        <f>'S5.1 '!$I$46</f>
        <v>1792.1056800000008</v>
      </c>
      <c r="I217" s="208"/>
      <c r="J217" s="208">
        <f>'S5.1 '!$K$46</f>
        <v>2028.02097</v>
      </c>
      <c r="K217" s="208"/>
      <c r="L217" s="208">
        <f>'S5.1 '!$M$46</f>
        <v>2305.8321525113888</v>
      </c>
      <c r="M217" s="14"/>
      <c r="N217" s="208">
        <f>'S5.1 '!$O$46</f>
        <v>2448.2794251792643</v>
      </c>
      <c r="O217" s="208"/>
      <c r="P217" s="208">
        <f>'S5.1 '!$Q$46</f>
        <v>2444.6828501010687</v>
      </c>
    </row>
    <row r="218" spans="1:27" s="15" customFormat="1" ht="15.75">
      <c r="A218" s="509">
        <f t="shared" si="4"/>
        <v>183</v>
      </c>
      <c r="B218" s="123"/>
      <c r="C218" s="129" t="s">
        <v>27</v>
      </c>
      <c r="D218" s="123"/>
      <c r="E218" s="123"/>
      <c r="F218" s="208" t="s">
        <v>27</v>
      </c>
      <c r="G218" s="208"/>
      <c r="H218" s="603"/>
      <c r="I218" s="604"/>
      <c r="J218" s="603"/>
      <c r="K218" s="604"/>
      <c r="L218" s="603"/>
      <c r="M218" s="605"/>
      <c r="N218" s="603"/>
      <c r="O218" s="606"/>
      <c r="P218" s="603"/>
      <c r="V218" s="80"/>
      <c r="W218" s="80"/>
      <c r="X218" s="80"/>
      <c r="Y218" s="80"/>
    </row>
    <row r="219" spans="1:27" s="15" customFormat="1" ht="15.75">
      <c r="A219" s="509">
        <f t="shared" ref="A219:A223" si="5">+A218+1</f>
        <v>184</v>
      </c>
      <c r="B219" s="123"/>
      <c r="C219" s="321" t="s">
        <v>802</v>
      </c>
      <c r="D219" s="123"/>
      <c r="E219" s="123"/>
      <c r="F219" s="208"/>
      <c r="G219" s="208"/>
      <c r="H219" s="607"/>
      <c r="I219" s="604"/>
      <c r="J219" s="607"/>
      <c r="K219" s="604"/>
      <c r="L219" s="607"/>
      <c r="M219" s="605"/>
      <c r="N219" s="607"/>
      <c r="O219" s="606"/>
      <c r="P219" s="607"/>
      <c r="V219" s="563"/>
      <c r="W219" s="563"/>
      <c r="X219" s="563"/>
      <c r="Y219" s="563"/>
      <c r="Z219" s="450"/>
      <c r="AA219" s="450"/>
    </row>
    <row r="220" spans="1:27" s="15" customFormat="1" ht="15">
      <c r="A220" s="509">
        <f t="shared" si="5"/>
        <v>185</v>
      </c>
      <c r="B220" s="123"/>
      <c r="C220" s="321" t="s">
        <v>809</v>
      </c>
      <c r="D220" s="123"/>
      <c r="E220" s="123"/>
      <c r="F220" s="208"/>
      <c r="G220" s="208"/>
      <c r="H220" s="208" t="s">
        <v>27</v>
      </c>
      <c r="I220" s="208"/>
      <c r="J220" s="208"/>
      <c r="K220" s="208"/>
      <c r="L220" s="208" t="s">
        <v>27</v>
      </c>
      <c r="M220" s="14"/>
      <c r="N220" s="208"/>
      <c r="O220" s="208"/>
      <c r="P220" s="208"/>
      <c r="V220" s="563"/>
      <c r="W220" s="563"/>
      <c r="X220" s="563"/>
      <c r="Y220" s="563"/>
      <c r="Z220" s="450"/>
      <c r="AA220" s="450"/>
    </row>
    <row r="221" spans="1:27" s="15" customFormat="1" ht="15">
      <c r="A221" s="509">
        <f t="shared" si="5"/>
        <v>186</v>
      </c>
      <c r="B221" s="123"/>
      <c r="C221" s="322"/>
      <c r="D221" s="123"/>
      <c r="E221" s="123"/>
      <c r="F221" s="208"/>
      <c r="G221" s="208"/>
      <c r="H221" s="208"/>
      <c r="I221" s="208"/>
      <c r="J221" s="208"/>
      <c r="K221" s="208"/>
      <c r="L221" s="208" t="s">
        <v>27</v>
      </c>
      <c r="M221" s="14"/>
      <c r="N221" s="208"/>
      <c r="O221" s="208"/>
      <c r="P221" s="208"/>
      <c r="V221" s="563"/>
      <c r="W221" s="563"/>
      <c r="X221" s="563"/>
      <c r="Y221" s="563"/>
      <c r="Z221" s="450"/>
      <c r="AA221" s="450"/>
    </row>
    <row r="222" spans="1:27" s="15" customFormat="1" ht="15">
      <c r="A222" s="509">
        <f t="shared" si="5"/>
        <v>187</v>
      </c>
      <c r="B222" s="123"/>
      <c r="C222" s="321" t="s">
        <v>804</v>
      </c>
      <c r="D222" s="123"/>
      <c r="E222" s="123"/>
      <c r="F222" s="208"/>
      <c r="G222" s="208"/>
      <c r="H222" s="208" t="s">
        <v>27</v>
      </c>
      <c r="I222" s="208"/>
      <c r="J222" s="208" t="s">
        <v>27</v>
      </c>
      <c r="K222" s="208"/>
      <c r="L222" s="208"/>
      <c r="M222" s="14"/>
      <c r="N222" s="208"/>
      <c r="O222" s="208"/>
      <c r="P222" s="208"/>
      <c r="V222" s="563"/>
      <c r="W222" s="563"/>
      <c r="X222" s="563"/>
      <c r="Y222" s="563"/>
      <c r="Z222" s="450"/>
      <c r="AA222" s="450"/>
    </row>
    <row r="223" spans="1:27" s="76" customFormat="1" ht="15">
      <c r="A223" s="509">
        <f t="shared" si="5"/>
        <v>188</v>
      </c>
      <c r="B223" s="152"/>
      <c r="C223" s="321" t="s">
        <v>805</v>
      </c>
      <c r="D223" s="152"/>
      <c r="E223" s="152"/>
      <c r="F223" s="450"/>
      <c r="G223" s="450"/>
      <c r="H223" s="450"/>
      <c r="I223" s="450"/>
      <c r="J223" s="450"/>
      <c r="K223" s="450"/>
      <c r="L223" s="450"/>
      <c r="M223" s="530"/>
      <c r="N223" s="450"/>
      <c r="O223" s="450"/>
      <c r="P223" s="450"/>
      <c r="V223" s="563"/>
      <c r="W223" s="563"/>
      <c r="X223" s="563"/>
      <c r="Y223" s="563"/>
      <c r="Z223" s="450"/>
      <c r="AA223" s="450"/>
    </row>
    <row r="224" spans="1:27" s="76" customFormat="1" ht="15">
      <c r="A224" s="509">
        <f>+A223+1</f>
        <v>189</v>
      </c>
      <c r="B224" s="152"/>
      <c r="C224" s="321"/>
      <c r="D224" s="463"/>
      <c r="E224" s="463"/>
      <c r="F224" s="450"/>
      <c r="G224" s="450"/>
      <c r="H224" s="450"/>
      <c r="I224" s="450"/>
      <c r="J224" s="450"/>
      <c r="K224" s="450"/>
      <c r="L224" s="450"/>
      <c r="M224" s="530"/>
      <c r="N224" s="450"/>
      <c r="O224" s="450"/>
      <c r="P224" s="450"/>
      <c r="V224" s="563"/>
      <c r="W224" s="563"/>
      <c r="X224" s="563"/>
      <c r="Y224" s="563"/>
      <c r="Z224" s="450"/>
      <c r="AA224" s="450"/>
    </row>
    <row r="225" spans="1:27" s="76" customFormat="1" ht="15">
      <c r="A225" s="509">
        <f t="shared" ref="A225:A229" si="6">+A224+1</f>
        <v>190</v>
      </c>
      <c r="B225" s="463"/>
      <c r="C225" s="321" t="s">
        <v>849</v>
      </c>
      <c r="D225" s="463"/>
      <c r="E225" s="463"/>
      <c r="F225" s="450"/>
      <c r="G225" s="450"/>
      <c r="H225" s="450"/>
      <c r="I225" s="450"/>
      <c r="J225" s="450"/>
      <c r="K225" s="450"/>
      <c r="L225" s="450"/>
      <c r="M225" s="530"/>
      <c r="N225" s="450"/>
      <c r="O225" s="450"/>
      <c r="P225" s="450"/>
      <c r="V225" s="563"/>
      <c r="W225" s="563"/>
      <c r="X225" s="563"/>
      <c r="Y225" s="563"/>
      <c r="Z225" s="450"/>
      <c r="AA225" s="450"/>
    </row>
    <row r="226" spans="1:27" s="76" customFormat="1" ht="15">
      <c r="A226" s="509">
        <f t="shared" si="6"/>
        <v>191</v>
      </c>
      <c r="B226" s="463"/>
      <c r="C226" s="321" t="s">
        <v>858</v>
      </c>
      <c r="D226" s="463"/>
      <c r="E226" s="463"/>
      <c r="F226" s="450"/>
      <c r="G226" s="450"/>
      <c r="H226" s="450"/>
      <c r="I226" s="450"/>
      <c r="J226" s="450"/>
      <c r="K226" s="450"/>
      <c r="L226" s="450"/>
      <c r="M226" s="530"/>
      <c r="N226" s="450"/>
      <c r="O226" s="450"/>
      <c r="P226" s="450"/>
      <c r="V226" s="563"/>
      <c r="W226" s="563"/>
      <c r="X226" s="563"/>
      <c r="Y226" s="563"/>
      <c r="Z226" s="450"/>
      <c r="AA226" s="450"/>
    </row>
    <row r="227" spans="1:27" s="76" customFormat="1" ht="15">
      <c r="A227" s="509">
        <f t="shared" si="6"/>
        <v>192</v>
      </c>
      <c r="C227" s="321" t="s">
        <v>859</v>
      </c>
      <c r="D227" s="152"/>
      <c r="E227" s="152"/>
      <c r="F227" s="450"/>
      <c r="G227" s="450"/>
      <c r="H227" s="450"/>
      <c r="I227" s="450"/>
      <c r="J227" s="450"/>
      <c r="K227" s="450"/>
      <c r="L227" s="450"/>
      <c r="M227" s="530"/>
      <c r="N227" s="450"/>
      <c r="O227" s="450"/>
      <c r="P227" s="450"/>
      <c r="V227" s="80"/>
      <c r="W227" s="80"/>
      <c r="X227" s="80"/>
      <c r="Y227" s="563"/>
      <c r="Z227" s="450"/>
      <c r="AA227" s="450"/>
    </row>
    <row r="228" spans="1:27" s="76" customFormat="1" ht="15">
      <c r="A228" s="509">
        <f t="shared" si="6"/>
        <v>193</v>
      </c>
      <c r="C228" s="321"/>
      <c r="D228" s="463"/>
      <c r="E228" s="463"/>
      <c r="F228" s="450"/>
      <c r="G228" s="450"/>
      <c r="H228" s="450"/>
      <c r="I228" s="450"/>
      <c r="J228" s="450"/>
      <c r="K228" s="450"/>
      <c r="L228" s="450"/>
      <c r="M228" s="530"/>
      <c r="N228" s="450"/>
      <c r="O228" s="450"/>
      <c r="P228" s="450"/>
      <c r="V228" s="80"/>
      <c r="W228" s="80"/>
      <c r="X228" s="80"/>
      <c r="Y228" s="563"/>
      <c r="Z228" s="450"/>
      <c r="AA228" s="450"/>
    </row>
    <row r="229" spans="1:27" s="76" customFormat="1" ht="15">
      <c r="A229" s="509">
        <f t="shared" si="6"/>
        <v>194</v>
      </c>
      <c r="C229" s="321" t="s">
        <v>857</v>
      </c>
      <c r="D229" s="463"/>
      <c r="E229" s="463"/>
      <c r="F229" s="450"/>
      <c r="G229" s="450"/>
      <c r="H229" s="450"/>
      <c r="I229" s="450"/>
      <c r="J229" s="450"/>
      <c r="K229" s="450"/>
      <c r="L229" s="450"/>
      <c r="M229" s="530"/>
      <c r="N229" s="450"/>
      <c r="O229" s="450"/>
      <c r="P229" s="450"/>
      <c r="V229" s="80"/>
      <c r="W229" s="80"/>
      <c r="X229" s="80"/>
      <c r="Y229" s="563"/>
      <c r="Z229" s="450"/>
      <c r="AA229" s="450"/>
    </row>
    <row r="230" spans="1:27" s="76" customFormat="1" ht="15">
      <c r="A230" s="509">
        <f>+A229+1</f>
        <v>195</v>
      </c>
      <c r="B230" s="123"/>
      <c r="C230" s="288" t="s">
        <v>891</v>
      </c>
      <c r="D230" s="463"/>
      <c r="E230" s="463"/>
      <c r="F230" s="450"/>
      <c r="G230" s="450"/>
      <c r="H230" s="450"/>
      <c r="I230" s="450"/>
      <c r="J230" s="450"/>
      <c r="K230" s="450"/>
      <c r="L230" s="450"/>
      <c r="M230" s="530"/>
      <c r="N230" s="450"/>
      <c r="O230" s="450"/>
      <c r="P230" s="450"/>
      <c r="V230" s="80"/>
      <c r="W230" s="80"/>
      <c r="X230" s="80"/>
      <c r="Y230" s="563"/>
      <c r="Z230" s="450"/>
      <c r="AA230" s="450"/>
    </row>
    <row r="231" spans="1:27" s="15" customFormat="1" ht="15">
      <c r="D231" s="123"/>
      <c r="E231" s="123"/>
      <c r="F231" s="208"/>
      <c r="G231" s="208"/>
      <c r="H231" s="208" t="s">
        <v>27</v>
      </c>
      <c r="I231" s="208"/>
      <c r="J231" s="208"/>
      <c r="K231" s="208"/>
      <c r="L231" s="208"/>
      <c r="M231" s="14"/>
      <c r="N231" s="208"/>
      <c r="O231" s="208"/>
      <c r="P231" s="208"/>
      <c r="V231" s="76"/>
      <c r="W231" s="76"/>
      <c r="X231" s="76"/>
      <c r="Y231" s="76"/>
    </row>
    <row r="232" spans="1:27" s="15" customFormat="1" ht="15.75">
      <c r="A232" s="763" t="s">
        <v>540</v>
      </c>
      <c r="B232" s="763"/>
      <c r="C232" s="763"/>
      <c r="D232" s="763"/>
      <c r="E232" s="763"/>
      <c r="F232" s="763"/>
      <c r="G232" s="763"/>
      <c r="H232" s="763"/>
      <c r="I232" s="763"/>
      <c r="J232" s="763"/>
      <c r="K232" s="763"/>
      <c r="L232" s="763"/>
      <c r="M232" s="763"/>
      <c r="N232" s="763"/>
      <c r="O232" s="762"/>
      <c r="P232" s="762"/>
      <c r="Q232" s="9" t="s">
        <v>502</v>
      </c>
    </row>
    <row r="233" spans="1:27" s="15" customFormat="1" ht="15.75">
      <c r="A233" s="763" t="s">
        <v>463</v>
      </c>
      <c r="B233" s="763"/>
      <c r="C233" s="763"/>
      <c r="D233" s="763"/>
      <c r="E233" s="763"/>
      <c r="F233" s="763"/>
      <c r="G233" s="763"/>
      <c r="H233" s="763"/>
      <c r="I233" s="763"/>
      <c r="J233" s="763"/>
      <c r="K233" s="763"/>
      <c r="L233" s="763"/>
      <c r="M233" s="763"/>
      <c r="N233" s="763"/>
      <c r="O233" s="762"/>
      <c r="P233" s="762"/>
      <c r="Q233" s="126" t="s">
        <v>5</v>
      </c>
    </row>
    <row r="234" spans="1:27" s="15" customFormat="1" ht="15.75">
      <c r="A234" s="763" t="s">
        <v>229</v>
      </c>
      <c r="B234" s="763"/>
      <c r="C234" s="763"/>
      <c r="D234" s="763"/>
      <c r="E234" s="763"/>
      <c r="F234" s="763"/>
      <c r="G234" s="763"/>
      <c r="H234" s="763"/>
      <c r="I234" s="763"/>
      <c r="J234" s="763"/>
      <c r="K234" s="763"/>
      <c r="L234" s="763"/>
      <c r="M234" s="763"/>
      <c r="N234" s="763"/>
      <c r="O234" s="762"/>
      <c r="P234" s="762"/>
    </row>
    <row r="235" spans="1:27" s="134" customFormat="1" ht="15.75">
      <c r="A235" s="61" t="s">
        <v>32</v>
      </c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120"/>
      <c r="P235" s="62"/>
    </row>
    <row r="236" spans="1:27" s="76" customFormat="1" ht="15.75">
      <c r="A236" s="641"/>
      <c r="B236" s="641"/>
      <c r="C236" s="641"/>
      <c r="D236" s="641"/>
      <c r="E236" s="641"/>
      <c r="F236" s="641"/>
      <c r="G236" s="641"/>
      <c r="H236" s="641"/>
      <c r="I236" s="641"/>
      <c r="J236" s="641"/>
      <c r="K236" s="641"/>
      <c r="L236" s="641"/>
      <c r="M236" s="641"/>
      <c r="N236" s="641"/>
      <c r="O236" s="450"/>
      <c r="P236" s="450"/>
    </row>
    <row r="237" spans="1:27" s="15" customFormat="1" ht="15.75">
      <c r="A237" s="426" t="s">
        <v>33</v>
      </c>
      <c r="B237" s="426"/>
      <c r="C237" s="426"/>
      <c r="D237" s="426"/>
      <c r="E237" s="426"/>
      <c r="F237" s="10" t="s">
        <v>25</v>
      </c>
      <c r="G237" s="10"/>
      <c r="H237" s="10" t="s">
        <v>25</v>
      </c>
      <c r="I237" s="10"/>
      <c r="J237" s="10" t="s">
        <v>25</v>
      </c>
      <c r="K237" s="10"/>
      <c r="L237" s="10" t="s">
        <v>330</v>
      </c>
      <c r="M237" s="14"/>
      <c r="N237" s="10" t="s">
        <v>330</v>
      </c>
      <c r="P237" s="10" t="s">
        <v>330</v>
      </c>
    </row>
    <row r="238" spans="1:27" s="15" customFormat="1" ht="15.75">
      <c r="A238" s="279" t="s">
        <v>35</v>
      </c>
      <c r="B238" s="426"/>
      <c r="C238" s="279" t="s">
        <v>178</v>
      </c>
      <c r="D238" s="279"/>
      <c r="E238" s="426"/>
      <c r="F238" s="502">
        <v>2010</v>
      </c>
      <c r="G238" s="503"/>
      <c r="H238" s="502">
        <v>2011</v>
      </c>
      <c r="I238" s="503"/>
      <c r="J238" s="502">
        <v>2012</v>
      </c>
      <c r="K238" s="503"/>
      <c r="L238" s="502">
        <v>2013</v>
      </c>
      <c r="M238" s="504"/>
      <c r="N238" s="502">
        <v>2014</v>
      </c>
      <c r="O238" s="505"/>
      <c r="P238" s="502">
        <v>2015</v>
      </c>
    </row>
    <row r="239" spans="1:27" s="76" customFormat="1" ht="15.75">
      <c r="A239" s="401"/>
      <c r="B239" s="769"/>
      <c r="C239" s="401"/>
      <c r="D239" s="401"/>
      <c r="E239" s="769"/>
      <c r="F239" s="525"/>
      <c r="G239" s="523"/>
      <c r="H239" s="525"/>
      <c r="I239" s="523"/>
      <c r="J239" s="525"/>
      <c r="K239" s="523"/>
      <c r="L239" s="525"/>
      <c r="M239" s="527"/>
      <c r="N239" s="525"/>
      <c r="O239" s="505"/>
      <c r="P239" s="525"/>
    </row>
    <row r="240" spans="1:27" s="15" customFormat="1" ht="15.75">
      <c r="A240" s="290">
        <f>+A230+1</f>
        <v>196</v>
      </c>
      <c r="B240" s="123"/>
      <c r="C240" s="410" t="s">
        <v>645</v>
      </c>
      <c r="D240" s="123"/>
      <c r="E240" s="123"/>
      <c r="F240" s="123"/>
      <c r="G240" s="123"/>
      <c r="H240" s="106"/>
      <c r="I240" s="123"/>
      <c r="J240" s="106"/>
      <c r="K240" s="123"/>
      <c r="L240" s="106"/>
      <c r="M240" s="14"/>
      <c r="N240" s="208"/>
      <c r="O240" s="208"/>
      <c r="P240" s="208"/>
    </row>
    <row r="241" spans="1:18" s="15" customFormat="1" ht="15.75">
      <c r="A241" s="509">
        <f>+A240+1</f>
        <v>197</v>
      </c>
      <c r="B241" s="123"/>
      <c r="C241" s="130"/>
      <c r="D241" s="123"/>
      <c r="E241" s="123"/>
      <c r="F241" s="123"/>
      <c r="G241" s="123"/>
      <c r="H241" s="106"/>
      <c r="I241" s="123"/>
      <c r="J241" s="106"/>
      <c r="K241" s="123"/>
      <c r="L241" s="106"/>
      <c r="M241" s="14"/>
      <c r="N241" s="208"/>
      <c r="O241" s="208"/>
      <c r="P241" s="208"/>
    </row>
    <row r="242" spans="1:18" s="15" customFormat="1" ht="15">
      <c r="A242" s="509">
        <f>+A241+1</f>
        <v>198</v>
      </c>
      <c r="B242" s="123"/>
      <c r="C242" s="322" t="s">
        <v>22</v>
      </c>
      <c r="D242" s="123"/>
      <c r="E242" s="123"/>
      <c r="F242" s="208">
        <f>'S5.1 '!$G$47</f>
        <v>183.68548999999999</v>
      </c>
      <c r="G242" s="208"/>
      <c r="H242" s="208">
        <f>'S5.1 '!$I$47</f>
        <v>70.675169999999994</v>
      </c>
      <c r="I242" s="208"/>
      <c r="J242" s="208">
        <f>'S5.1 '!$K$47</f>
        <v>195.56289999999998</v>
      </c>
      <c r="K242" s="208"/>
      <c r="L242" s="450">
        <f>'S5.1 '!$M$47</f>
        <v>134.57715399999998</v>
      </c>
      <c r="M242" s="463"/>
      <c r="N242" s="450">
        <f>'S5.1 '!$O$47</f>
        <v>137.26869708000001</v>
      </c>
      <c r="O242" s="450"/>
      <c r="P242" s="450">
        <f>'S5.1 '!$Q$47</f>
        <v>140.01407102159999</v>
      </c>
      <c r="Q242" s="448"/>
      <c r="R242" s="448"/>
    </row>
    <row r="243" spans="1:18" s="15" customFormat="1" ht="15.75">
      <c r="A243" s="509">
        <f>+A242+1</f>
        <v>199</v>
      </c>
      <c r="B243" s="123"/>
      <c r="C243" s="287"/>
      <c r="D243" s="123"/>
      <c r="E243" s="123"/>
      <c r="F243" s="208"/>
      <c r="G243" s="208"/>
      <c r="H243" s="603"/>
      <c r="I243" s="604"/>
      <c r="J243" s="603"/>
      <c r="K243" s="604"/>
      <c r="L243" s="603"/>
      <c r="M243" s="605"/>
      <c r="N243" s="603"/>
      <c r="O243" s="606"/>
      <c r="P243" s="603"/>
    </row>
    <row r="244" spans="1:18" s="15" customFormat="1" ht="15.75">
      <c r="A244" s="509">
        <f t="shared" ref="A244:A295" si="7">+A243+1</f>
        <v>200</v>
      </c>
      <c r="B244" s="123"/>
      <c r="C244" s="321" t="s">
        <v>792</v>
      </c>
      <c r="D244" s="123"/>
      <c r="E244" s="123"/>
      <c r="F244" s="208"/>
      <c r="G244" s="208"/>
      <c r="H244" s="450"/>
      <c r="I244" s="604"/>
      <c r="J244" s="767"/>
      <c r="K244" s="604"/>
      <c r="L244" s="607"/>
      <c r="M244" s="605"/>
      <c r="N244" s="607"/>
      <c r="O244" s="606"/>
      <c r="P244" s="607"/>
    </row>
    <row r="245" spans="1:18" s="76" customFormat="1" ht="15">
      <c r="A245" s="509">
        <f t="shared" si="7"/>
        <v>201</v>
      </c>
      <c r="B245" s="463"/>
      <c r="C245" s="321" t="s">
        <v>803</v>
      </c>
      <c r="D245" s="463"/>
      <c r="E245" s="463"/>
      <c r="F245" s="450"/>
      <c r="G245" s="450"/>
      <c r="H245" s="304"/>
      <c r="I245" s="463"/>
      <c r="J245" s="304"/>
      <c r="K245" s="463"/>
      <c r="L245" s="304"/>
      <c r="M245" s="530"/>
      <c r="N245" s="304"/>
      <c r="P245" s="304"/>
    </row>
    <row r="246" spans="1:18" s="15" customFormat="1" ht="15">
      <c r="A246" s="509">
        <f t="shared" si="7"/>
        <v>202</v>
      </c>
      <c r="B246" s="123"/>
      <c r="C246" s="448"/>
      <c r="D246" s="101"/>
      <c r="E246" s="123"/>
      <c r="F246" s="208"/>
      <c r="G246" s="208"/>
      <c r="H246" s="208"/>
      <c r="I246" s="208"/>
      <c r="J246" s="208"/>
      <c r="K246" s="208"/>
      <c r="L246" s="208"/>
      <c r="M246" s="14"/>
      <c r="N246" s="208"/>
      <c r="O246" s="208"/>
      <c r="P246" s="208"/>
    </row>
    <row r="247" spans="1:18" s="15" customFormat="1" ht="15">
      <c r="A247" s="509">
        <f t="shared" si="7"/>
        <v>203</v>
      </c>
      <c r="B247" s="123"/>
      <c r="C247" s="321" t="s">
        <v>621</v>
      </c>
      <c r="D247" s="101"/>
      <c r="E247" s="123"/>
      <c r="F247" s="208"/>
      <c r="G247" s="208"/>
      <c r="H247" s="208"/>
      <c r="I247" s="208"/>
      <c r="J247" s="208"/>
      <c r="K247" s="208"/>
      <c r="L247" s="208"/>
      <c r="M247" s="14"/>
      <c r="N247" s="208"/>
      <c r="O247" s="208"/>
      <c r="P247" s="208"/>
    </row>
    <row r="248" spans="1:18" s="15" customFormat="1" ht="15">
      <c r="A248" s="509">
        <f t="shared" si="7"/>
        <v>204</v>
      </c>
      <c r="B248" s="123"/>
      <c r="C248" s="321" t="s">
        <v>623</v>
      </c>
      <c r="D248" s="101"/>
      <c r="E248" s="123"/>
      <c r="F248" s="208"/>
      <c r="G248" s="208"/>
      <c r="H248" s="208"/>
      <c r="I248" s="208"/>
      <c r="J248" s="208"/>
      <c r="K248" s="208"/>
      <c r="L248" s="208"/>
      <c r="M248" s="14"/>
      <c r="N248" s="208"/>
      <c r="O248" s="208"/>
      <c r="P248" s="208"/>
    </row>
    <row r="249" spans="1:18" s="76" customFormat="1" ht="15">
      <c r="A249" s="509">
        <f t="shared" si="7"/>
        <v>205</v>
      </c>
      <c r="B249" s="463"/>
      <c r="C249" s="321" t="s">
        <v>515</v>
      </c>
      <c r="D249" s="448"/>
      <c r="E249" s="463"/>
      <c r="F249" s="450"/>
      <c r="G249" s="450"/>
      <c r="H249" s="450"/>
      <c r="I249" s="450"/>
      <c r="J249" s="450"/>
      <c r="K249" s="450"/>
      <c r="L249" s="450"/>
      <c r="M249" s="530"/>
      <c r="N249" s="450"/>
      <c r="O249" s="450"/>
      <c r="P249" s="450"/>
    </row>
    <row r="250" spans="1:18" s="76" customFormat="1" ht="15">
      <c r="A250" s="509">
        <f t="shared" si="7"/>
        <v>206</v>
      </c>
      <c r="B250" s="463"/>
      <c r="C250" s="321"/>
      <c r="D250" s="448"/>
      <c r="E250" s="463"/>
      <c r="F250" s="450"/>
      <c r="G250" s="450"/>
      <c r="H250" s="450"/>
      <c r="I250" s="450"/>
      <c r="J250" s="450"/>
      <c r="K250" s="450"/>
      <c r="L250" s="450"/>
      <c r="M250" s="530"/>
      <c r="N250" s="450"/>
      <c r="O250" s="450"/>
      <c r="P250" s="450"/>
    </row>
    <row r="251" spans="1:18" s="76" customFormat="1" ht="15">
      <c r="A251" s="509">
        <f t="shared" si="7"/>
        <v>207</v>
      </c>
      <c r="B251" s="463"/>
      <c r="C251" s="321" t="s">
        <v>618</v>
      </c>
      <c r="D251" s="448"/>
      <c r="E251" s="463"/>
      <c r="F251" s="450"/>
      <c r="G251" s="450"/>
      <c r="H251" s="450"/>
      <c r="I251" s="450"/>
      <c r="J251" s="450"/>
      <c r="K251" s="450"/>
      <c r="L251" s="450"/>
      <c r="M251" s="530"/>
      <c r="N251" s="450"/>
      <c r="O251" s="450"/>
      <c r="P251" s="450"/>
    </row>
    <row r="252" spans="1:18" s="15" customFormat="1" ht="15">
      <c r="A252" s="509">
        <f t="shared" si="7"/>
        <v>208</v>
      </c>
      <c r="B252" s="123"/>
      <c r="C252" s="288"/>
      <c r="D252" s="123"/>
      <c r="E252" s="123"/>
      <c r="F252" s="208"/>
      <c r="G252" s="208"/>
      <c r="H252" s="208"/>
      <c r="I252" s="208"/>
      <c r="J252" s="208"/>
      <c r="K252" s="208"/>
      <c r="L252" s="450"/>
      <c r="M252" s="463"/>
      <c r="N252" s="450"/>
      <c r="O252" s="450"/>
      <c r="P252" s="450"/>
      <c r="Q252" s="448"/>
      <c r="R252" s="448"/>
    </row>
    <row r="253" spans="1:18" s="76" customFormat="1" ht="15">
      <c r="A253" s="509">
        <f>+A252+1</f>
        <v>209</v>
      </c>
      <c r="B253" s="463"/>
      <c r="C253" s="288"/>
      <c r="D253" s="463"/>
      <c r="E253" s="463"/>
      <c r="F253" s="450"/>
      <c r="G253" s="450"/>
      <c r="H253" s="450"/>
      <c r="I253" s="450"/>
      <c r="J253" s="450"/>
      <c r="K253" s="450"/>
      <c r="L253" s="450"/>
      <c r="M253" s="463"/>
      <c r="N253" s="450"/>
      <c r="O253" s="450"/>
      <c r="P253" s="450"/>
      <c r="Q253" s="448"/>
      <c r="R253" s="448"/>
    </row>
    <row r="254" spans="1:18" s="15" customFormat="1" ht="15">
      <c r="A254" s="509">
        <f t="shared" si="7"/>
        <v>210</v>
      </c>
      <c r="B254" s="123"/>
      <c r="C254" s="287" t="s">
        <v>98</v>
      </c>
      <c r="D254" s="123"/>
      <c r="E254" s="123"/>
      <c r="F254" s="208">
        <f>'S5.1 '!$G$48</f>
        <v>214.96708000000001</v>
      </c>
      <c r="G254" s="208"/>
      <c r="H254" s="208">
        <f>'S5.1 '!$I$48</f>
        <v>243.68517999999997</v>
      </c>
      <c r="I254" s="208"/>
      <c r="J254" s="208">
        <f>'S5.1 '!$K$48</f>
        <v>245.40821</v>
      </c>
      <c r="K254" s="208"/>
      <c r="L254" s="450">
        <f>'S5.1 '!$M$48</f>
        <v>262.30068737496725</v>
      </c>
      <c r="M254" s="463"/>
      <c r="N254" s="450">
        <f>'S5.1 '!$O$48</f>
        <v>201.90373258892527</v>
      </c>
      <c r="O254" s="450"/>
      <c r="P254" s="450">
        <f>'S5.1 '!$Q$48</f>
        <v>137.93895502161774</v>
      </c>
      <c r="Q254" s="448"/>
      <c r="R254" s="448"/>
    </row>
    <row r="255" spans="1:18" s="15" customFormat="1" ht="15.75">
      <c r="A255" s="509">
        <f t="shared" si="7"/>
        <v>211</v>
      </c>
      <c r="B255" s="123"/>
      <c r="C255" s="287"/>
      <c r="D255" s="123"/>
      <c r="E255" s="123"/>
      <c r="F255" s="208"/>
      <c r="G255" s="208"/>
      <c r="H255" s="603"/>
      <c r="I255" s="604"/>
      <c r="J255" s="603"/>
      <c r="K255" s="604"/>
      <c r="L255" s="603"/>
      <c r="M255" s="605"/>
      <c r="N255" s="603"/>
      <c r="O255" s="606"/>
      <c r="P255" s="603"/>
      <c r="Q255" s="448"/>
      <c r="R255" s="448"/>
    </row>
    <row r="256" spans="1:18" s="76" customFormat="1" ht="15.75">
      <c r="A256" s="509">
        <f t="shared" si="7"/>
        <v>212</v>
      </c>
      <c r="B256" s="463"/>
      <c r="C256" s="288" t="s">
        <v>519</v>
      </c>
      <c r="D256" s="463"/>
      <c r="E256" s="463"/>
      <c r="F256" s="450"/>
      <c r="G256" s="450"/>
      <c r="H256" s="607"/>
      <c r="I256" s="604"/>
      <c r="J256" s="607"/>
      <c r="K256" s="604"/>
      <c r="L256" s="607"/>
      <c r="M256" s="604"/>
      <c r="N256" s="607"/>
      <c r="O256" s="761"/>
      <c r="P256" s="607"/>
      <c r="Q256" s="448"/>
      <c r="R256" s="448"/>
    </row>
    <row r="257" spans="1:16" s="76" customFormat="1" ht="15">
      <c r="A257" s="509">
        <f t="shared" si="7"/>
        <v>213</v>
      </c>
      <c r="B257" s="463"/>
      <c r="C257" s="288" t="s">
        <v>619</v>
      </c>
      <c r="D257" s="463"/>
      <c r="E257" s="463"/>
      <c r="F257" s="450"/>
      <c r="G257" s="450"/>
      <c r="H257" s="450"/>
      <c r="I257" s="450"/>
      <c r="J257" s="450"/>
      <c r="K257" s="450"/>
      <c r="L257" s="450"/>
      <c r="M257" s="530"/>
      <c r="N257" s="450"/>
      <c r="O257" s="450"/>
      <c r="P257" s="450"/>
    </row>
    <row r="258" spans="1:16" s="76" customFormat="1" ht="15">
      <c r="A258" s="509">
        <f t="shared" si="7"/>
        <v>214</v>
      </c>
      <c r="B258" s="463"/>
      <c r="C258" s="288"/>
      <c r="D258" s="463"/>
      <c r="E258" s="463"/>
      <c r="F258" s="450"/>
      <c r="G258" s="450"/>
      <c r="H258" s="450"/>
      <c r="I258" s="450"/>
      <c r="J258" s="450"/>
      <c r="K258" s="450"/>
      <c r="L258" s="450"/>
      <c r="M258" s="530"/>
      <c r="N258" s="450"/>
      <c r="O258" s="450"/>
      <c r="P258" s="450"/>
    </row>
    <row r="259" spans="1:16" s="76" customFormat="1" ht="15">
      <c r="A259" s="509">
        <f t="shared" si="7"/>
        <v>215</v>
      </c>
      <c r="B259" s="463"/>
      <c r="C259" s="288" t="s">
        <v>793</v>
      </c>
      <c r="D259" s="463"/>
      <c r="E259" s="463"/>
      <c r="F259" s="450"/>
      <c r="G259" s="450"/>
      <c r="H259" s="450"/>
      <c r="I259" s="450"/>
      <c r="J259" s="450"/>
      <c r="K259" s="450"/>
      <c r="L259" s="450"/>
      <c r="M259" s="530"/>
      <c r="N259" s="450"/>
      <c r="O259" s="450"/>
      <c r="P259" s="450"/>
    </row>
    <row r="260" spans="1:16" s="15" customFormat="1" ht="15">
      <c r="A260" s="509">
        <f t="shared" si="7"/>
        <v>216</v>
      </c>
      <c r="B260" s="123"/>
      <c r="C260" s="321" t="s">
        <v>520</v>
      </c>
      <c r="D260" s="123"/>
      <c r="E260" s="123"/>
      <c r="F260" s="208"/>
      <c r="G260" s="208"/>
      <c r="H260" s="208"/>
      <c r="I260" s="208"/>
      <c r="J260" s="208"/>
      <c r="K260" s="208"/>
      <c r="L260" s="208"/>
      <c r="M260" s="14"/>
      <c r="N260" s="208"/>
      <c r="O260" s="208"/>
      <c r="P260" s="208"/>
    </row>
    <row r="261" spans="1:16" s="76" customFormat="1" ht="15">
      <c r="A261" s="509">
        <f t="shared" si="7"/>
        <v>217</v>
      </c>
      <c r="B261" s="463"/>
      <c r="C261" s="321"/>
      <c r="D261" s="463"/>
      <c r="E261" s="463"/>
      <c r="F261" s="450"/>
      <c r="G261" s="450"/>
      <c r="H261" s="450"/>
      <c r="I261" s="450"/>
      <c r="J261" s="450"/>
      <c r="K261" s="450"/>
      <c r="L261" s="450"/>
      <c r="M261" s="530"/>
      <c r="N261" s="450"/>
      <c r="O261" s="450"/>
      <c r="P261" s="450"/>
    </row>
    <row r="262" spans="1:16" s="76" customFormat="1" ht="15">
      <c r="A262" s="509">
        <f t="shared" si="7"/>
        <v>218</v>
      </c>
      <c r="B262" s="463"/>
      <c r="C262" s="321" t="s">
        <v>794</v>
      </c>
      <c r="D262" s="463"/>
      <c r="E262" s="463"/>
      <c r="F262" s="450"/>
      <c r="G262" s="450"/>
      <c r="H262" s="450"/>
      <c r="I262" s="450"/>
      <c r="J262" s="450"/>
      <c r="K262" s="450"/>
      <c r="L262" s="450"/>
      <c r="M262" s="530"/>
      <c r="N262" s="450"/>
      <c r="O262" s="450"/>
      <c r="P262" s="450"/>
    </row>
    <row r="263" spans="1:16" s="76" customFormat="1" ht="15">
      <c r="A263" s="509">
        <f t="shared" si="7"/>
        <v>219</v>
      </c>
      <c r="B263" s="463"/>
      <c r="C263" s="321" t="s">
        <v>521</v>
      </c>
      <c r="D263" s="463"/>
      <c r="E263" s="463"/>
      <c r="F263" s="450"/>
      <c r="G263" s="450"/>
      <c r="H263" s="450"/>
      <c r="I263" s="450"/>
      <c r="J263" s="450"/>
      <c r="K263" s="450"/>
      <c r="L263" s="450"/>
      <c r="M263" s="530"/>
      <c r="N263" s="450"/>
      <c r="O263" s="450"/>
      <c r="P263" s="450"/>
    </row>
    <row r="264" spans="1:16" s="15" customFormat="1" ht="15">
      <c r="A264" s="509">
        <f t="shared" si="7"/>
        <v>220</v>
      </c>
      <c r="B264" s="123"/>
      <c r="C264" s="129"/>
      <c r="D264" s="123"/>
      <c r="E264" s="123"/>
      <c r="F264" s="208"/>
      <c r="G264" s="208"/>
      <c r="H264" s="208"/>
      <c r="I264" s="208"/>
      <c r="J264" s="208"/>
      <c r="K264" s="208"/>
      <c r="L264" s="208"/>
      <c r="M264" s="14"/>
      <c r="N264" s="208"/>
      <c r="O264" s="208"/>
      <c r="P264" s="208"/>
    </row>
    <row r="265" spans="1:16" s="76" customFormat="1" ht="15">
      <c r="A265" s="509">
        <f t="shared" si="7"/>
        <v>221</v>
      </c>
      <c r="B265" s="463"/>
      <c r="C265" s="288"/>
      <c r="D265" s="463"/>
      <c r="E265" s="463"/>
      <c r="F265" s="450"/>
      <c r="G265" s="450"/>
      <c r="H265" s="450"/>
      <c r="I265" s="450"/>
      <c r="J265" s="450"/>
      <c r="K265" s="450"/>
      <c r="L265" s="450"/>
      <c r="M265" s="530"/>
      <c r="N265" s="450"/>
      <c r="O265" s="450"/>
      <c r="P265" s="450"/>
    </row>
    <row r="266" spans="1:16" s="15" customFormat="1" ht="15">
      <c r="A266" s="509">
        <f t="shared" si="7"/>
        <v>222</v>
      </c>
      <c r="B266" s="123"/>
      <c r="C266" s="287" t="s">
        <v>99</v>
      </c>
      <c r="D266" s="127"/>
      <c r="E266" s="127"/>
      <c r="F266" s="208">
        <f>'S5.1 '!$G$50</f>
        <v>253.23703999999995</v>
      </c>
      <c r="G266" s="208"/>
      <c r="H266" s="208">
        <f>'S5.1 '!$I$50</f>
        <v>254.32885000000002</v>
      </c>
      <c r="I266" s="208"/>
      <c r="J266" s="208">
        <f>'S5.1 '!$K$50</f>
        <v>247.77565000000001</v>
      </c>
      <c r="K266" s="208"/>
      <c r="L266" s="208">
        <f>'S5.1 '!$M$50</f>
        <v>278.13659116409673</v>
      </c>
      <c r="M266" s="14"/>
      <c r="N266" s="208">
        <f>'S5.1 '!$O$50</f>
        <v>283.1876872056726</v>
      </c>
      <c r="O266" s="208"/>
      <c r="P266" s="208">
        <f>'S5.1 '!$Q$50</f>
        <v>289.65626464092793</v>
      </c>
    </row>
    <row r="267" spans="1:16" s="15" customFormat="1" ht="15.75">
      <c r="A267" s="509">
        <f t="shared" si="7"/>
        <v>223</v>
      </c>
      <c r="B267" s="123"/>
      <c r="C267" s="287"/>
      <c r="D267" s="127"/>
      <c r="E267" s="127"/>
      <c r="F267" s="208"/>
      <c r="G267" s="208"/>
      <c r="H267" s="603"/>
      <c r="I267" s="604"/>
      <c r="J267" s="603"/>
      <c r="K267" s="604"/>
      <c r="L267" s="603"/>
      <c r="M267" s="605"/>
      <c r="N267" s="603"/>
      <c r="O267" s="606"/>
      <c r="P267" s="603"/>
    </row>
    <row r="268" spans="1:16" s="15" customFormat="1" ht="15.75">
      <c r="A268" s="509">
        <f t="shared" si="7"/>
        <v>224</v>
      </c>
      <c r="B268" s="123"/>
      <c r="C268" s="321" t="s">
        <v>522</v>
      </c>
      <c r="D268" s="127"/>
      <c r="E268" s="127"/>
      <c r="F268" s="208"/>
      <c r="G268" s="208"/>
      <c r="H268" s="607"/>
      <c r="I268" s="604"/>
      <c r="J268" s="607"/>
      <c r="K268" s="604"/>
      <c r="L268" s="607"/>
      <c r="M268" s="605"/>
      <c r="N268" s="607"/>
      <c r="O268" s="606"/>
      <c r="P268" s="607"/>
    </row>
    <row r="269" spans="1:16" s="15" customFormat="1" ht="15">
      <c r="A269" s="509">
        <f t="shared" si="7"/>
        <v>225</v>
      </c>
      <c r="B269" s="123"/>
      <c r="C269" s="321" t="s">
        <v>780</v>
      </c>
      <c r="D269" s="127"/>
      <c r="E269" s="127"/>
      <c r="F269" s="208"/>
      <c r="G269" s="208"/>
      <c r="H269" s="208"/>
      <c r="I269" s="208"/>
      <c r="J269" s="208"/>
      <c r="K269" s="208"/>
      <c r="L269" s="208"/>
      <c r="M269" s="14"/>
      <c r="N269" s="208"/>
      <c r="O269" s="208"/>
      <c r="P269" s="208"/>
    </row>
    <row r="270" spans="1:16" s="15" customFormat="1" ht="15">
      <c r="A270" s="509">
        <f t="shared" si="7"/>
        <v>226</v>
      </c>
      <c r="B270" s="123"/>
      <c r="C270" s="321"/>
      <c r="D270" s="127"/>
      <c r="E270" s="127"/>
      <c r="F270" s="208"/>
      <c r="G270" s="208"/>
      <c r="H270" s="208"/>
      <c r="I270" s="208"/>
      <c r="J270" s="208"/>
      <c r="K270" s="208"/>
      <c r="L270" s="208"/>
      <c r="M270" s="14"/>
      <c r="N270" s="208"/>
      <c r="O270" s="208"/>
      <c r="P270" s="208"/>
    </row>
    <row r="271" spans="1:16" s="76" customFormat="1" ht="15">
      <c r="A271" s="509">
        <f t="shared" si="7"/>
        <v>227</v>
      </c>
      <c r="B271" s="463"/>
      <c r="C271" s="321"/>
      <c r="D271" s="398"/>
      <c r="E271" s="398"/>
      <c r="F271" s="450"/>
      <c r="G271" s="450"/>
      <c r="H271" s="450"/>
      <c r="I271" s="450"/>
      <c r="J271" s="450"/>
      <c r="K271" s="450"/>
      <c r="L271" s="450"/>
      <c r="M271" s="530"/>
      <c r="N271" s="450"/>
      <c r="O271" s="450"/>
      <c r="P271" s="450"/>
    </row>
    <row r="272" spans="1:16" s="15" customFormat="1" ht="15">
      <c r="A272" s="509">
        <f t="shared" si="7"/>
        <v>228</v>
      </c>
      <c r="B272" s="123"/>
      <c r="C272" s="287" t="s">
        <v>343</v>
      </c>
      <c r="D272" s="127"/>
      <c r="E272" s="127"/>
      <c r="F272" s="208">
        <f>'S5.1 '!$G$51</f>
        <v>404.06233000000009</v>
      </c>
      <c r="G272" s="208"/>
      <c r="H272" s="208">
        <f>'S5.1 '!$I$51</f>
        <v>386.73844000000008</v>
      </c>
      <c r="I272" s="208"/>
      <c r="J272" s="208">
        <f>'S5.1 '!$K$51</f>
        <v>456.04681999999997</v>
      </c>
      <c r="K272" s="208"/>
      <c r="L272" s="208">
        <f>'S5.1 '!$M$51</f>
        <v>468.81393735262128</v>
      </c>
      <c r="M272" s="14"/>
      <c r="N272" s="208">
        <f>'S5.1 '!$O$51</f>
        <v>478.72121883473801</v>
      </c>
      <c r="O272" s="208"/>
      <c r="P272" s="208">
        <f>'S5.1 '!$Q$51</f>
        <v>494.23357831501914</v>
      </c>
    </row>
    <row r="273" spans="1:16" s="15" customFormat="1" ht="15.75">
      <c r="A273" s="509">
        <f t="shared" si="7"/>
        <v>229</v>
      </c>
      <c r="B273" s="123"/>
      <c r="C273" s="129"/>
      <c r="D273" s="127"/>
      <c r="E273" s="127"/>
      <c r="F273" s="208"/>
      <c r="G273" s="208"/>
      <c r="H273" s="603"/>
      <c r="I273" s="604"/>
      <c r="J273" s="603"/>
      <c r="K273" s="604"/>
      <c r="L273" s="603"/>
      <c r="M273" s="605"/>
      <c r="N273" s="603"/>
      <c r="O273" s="606"/>
      <c r="P273" s="603"/>
    </row>
    <row r="274" spans="1:16" s="15" customFormat="1" ht="15.75">
      <c r="A274" s="509">
        <f t="shared" si="7"/>
        <v>230</v>
      </c>
      <c r="B274" s="123"/>
      <c r="C274" s="326" t="s">
        <v>620</v>
      </c>
      <c r="D274" s="127"/>
      <c r="E274" s="127"/>
      <c r="F274" s="208"/>
      <c r="G274" s="208"/>
      <c r="H274" s="607"/>
      <c r="I274" s="604"/>
      <c r="J274" s="607"/>
      <c r="K274" s="604"/>
      <c r="L274" s="607"/>
      <c r="M274" s="605"/>
      <c r="N274" s="607"/>
      <c r="O274" s="606"/>
      <c r="P274" s="607"/>
    </row>
    <row r="275" spans="1:16" s="76" customFormat="1" ht="15">
      <c r="A275" s="509">
        <f t="shared" si="7"/>
        <v>231</v>
      </c>
      <c r="B275" s="463"/>
      <c r="C275" s="326"/>
      <c r="D275" s="398"/>
      <c r="E275" s="398"/>
      <c r="F275" s="450"/>
      <c r="G275" s="450"/>
      <c r="H275" s="304"/>
      <c r="I275" s="463"/>
      <c r="J275" s="304"/>
      <c r="K275" s="463"/>
      <c r="L275" s="304"/>
      <c r="M275" s="530"/>
      <c r="N275" s="304"/>
      <c r="P275" s="304"/>
    </row>
    <row r="276" spans="1:16" s="15" customFormat="1" ht="15">
      <c r="A276" s="509">
        <f t="shared" si="7"/>
        <v>232</v>
      </c>
      <c r="B276" s="123"/>
      <c r="C276" s="321"/>
      <c r="D276" s="127"/>
      <c r="E276" s="127"/>
      <c r="F276" s="208"/>
      <c r="G276" s="208"/>
      <c r="H276" s="208"/>
      <c r="I276" s="208"/>
      <c r="J276" s="208"/>
      <c r="K276" s="208"/>
      <c r="L276" s="208"/>
      <c r="M276" s="14"/>
      <c r="N276" s="208"/>
      <c r="O276" s="208"/>
      <c r="P276" s="208"/>
    </row>
    <row r="277" spans="1:16" s="15" customFormat="1" ht="15">
      <c r="A277" s="509">
        <f t="shared" si="7"/>
        <v>233</v>
      </c>
      <c r="B277" s="123"/>
      <c r="C277" s="287" t="s">
        <v>313</v>
      </c>
      <c r="D277" s="127"/>
      <c r="E277" s="127"/>
      <c r="F277" s="208">
        <f>'S5.1 '!$G$52</f>
        <v>213.47958</v>
      </c>
      <c r="G277" s="208"/>
      <c r="H277" s="208">
        <f>'S5.1 '!$I$52</f>
        <v>206.71964999999997</v>
      </c>
      <c r="I277" s="208"/>
      <c r="J277" s="208">
        <f>'S5.1 '!$K$52</f>
        <v>65.999629999999996</v>
      </c>
      <c r="K277" s="208"/>
      <c r="L277" s="208">
        <f>'S5.1 '!$M$52</f>
        <v>159.56354730322181</v>
      </c>
      <c r="M277" s="14"/>
      <c r="N277" s="208">
        <f>'S5.1 '!$O$52</f>
        <v>162.79744771998202</v>
      </c>
      <c r="O277" s="208"/>
      <c r="P277" s="208">
        <f>'S5.1 '!$Q$52</f>
        <v>170.20399999541431</v>
      </c>
    </row>
    <row r="278" spans="1:16" s="15" customFormat="1" ht="15.75">
      <c r="A278" s="509">
        <f t="shared" si="7"/>
        <v>234</v>
      </c>
      <c r="B278" s="123"/>
      <c r="C278" s="129"/>
      <c r="D278" s="127"/>
      <c r="E278" s="127"/>
      <c r="F278" s="208"/>
      <c r="G278" s="208"/>
      <c r="H278" s="603"/>
      <c r="I278" s="604"/>
      <c r="J278" s="603"/>
      <c r="K278" s="604"/>
      <c r="L278" s="603"/>
      <c r="M278" s="605"/>
      <c r="N278" s="603"/>
      <c r="O278" s="606"/>
      <c r="P278" s="603"/>
    </row>
    <row r="279" spans="1:16" s="15" customFormat="1" ht="15.75">
      <c r="A279" s="509">
        <f t="shared" si="7"/>
        <v>235</v>
      </c>
      <c r="B279" s="123"/>
      <c r="C279" s="321" t="s">
        <v>759</v>
      </c>
      <c r="D279" s="127"/>
      <c r="E279" s="127"/>
      <c r="F279" s="208"/>
      <c r="G279" s="208"/>
      <c r="H279" s="607"/>
      <c r="I279" s="604"/>
      <c r="J279" s="607"/>
      <c r="K279" s="604"/>
      <c r="L279" s="607"/>
      <c r="M279" s="605"/>
      <c r="N279" s="607"/>
      <c r="O279" s="606"/>
      <c r="P279" s="607"/>
    </row>
    <row r="280" spans="1:16" s="76" customFormat="1" ht="15">
      <c r="A280" s="509">
        <f t="shared" si="7"/>
        <v>236</v>
      </c>
      <c r="B280" s="463"/>
      <c r="C280" s="321"/>
      <c r="D280" s="398"/>
      <c r="E280" s="398"/>
      <c r="F280" s="450"/>
      <c r="G280" s="450"/>
      <c r="H280" s="450"/>
      <c r="I280" s="450"/>
      <c r="J280" s="450"/>
      <c r="K280" s="450"/>
      <c r="L280" s="450"/>
      <c r="M280" s="530"/>
      <c r="N280" s="450"/>
      <c r="O280" s="450"/>
      <c r="P280" s="450"/>
    </row>
    <row r="281" spans="1:16" s="76" customFormat="1" ht="15">
      <c r="A281" s="509">
        <f t="shared" si="7"/>
        <v>237</v>
      </c>
      <c r="B281" s="463"/>
      <c r="C281" s="321" t="s">
        <v>523</v>
      </c>
      <c r="D281" s="398"/>
      <c r="E281" s="398"/>
      <c r="F281" s="450"/>
      <c r="G281" s="450"/>
      <c r="H281" s="450"/>
      <c r="I281" s="450"/>
      <c r="J281" s="450"/>
      <c r="K281" s="450"/>
      <c r="L281" s="450"/>
      <c r="M281" s="530"/>
      <c r="N281" s="450"/>
      <c r="O281" s="450"/>
      <c r="P281" s="450"/>
    </row>
    <row r="282" spans="1:16" s="76" customFormat="1" ht="15">
      <c r="A282" s="509">
        <f t="shared" si="7"/>
        <v>238</v>
      </c>
      <c r="B282" s="463"/>
      <c r="C282" s="321" t="s">
        <v>524</v>
      </c>
      <c r="D282" s="398"/>
      <c r="E282" s="398"/>
      <c r="F282" s="450"/>
      <c r="G282" s="450"/>
      <c r="H282" s="450"/>
      <c r="I282" s="450"/>
      <c r="J282" s="450"/>
      <c r="K282" s="450"/>
      <c r="L282" s="450"/>
      <c r="M282" s="530"/>
      <c r="N282" s="450"/>
      <c r="O282" s="450"/>
      <c r="P282" s="450"/>
    </row>
    <row r="283" spans="1:16" s="76" customFormat="1" ht="15">
      <c r="A283" s="509">
        <f t="shared" si="7"/>
        <v>239</v>
      </c>
      <c r="B283" s="463"/>
      <c r="C283" s="321"/>
      <c r="D283" s="398"/>
      <c r="E283" s="398"/>
      <c r="F283" s="450"/>
      <c r="G283" s="450"/>
      <c r="H283" s="450"/>
      <c r="I283" s="450"/>
      <c r="J283" s="450"/>
      <c r="K283" s="450"/>
      <c r="L283" s="450"/>
      <c r="M283" s="530"/>
      <c r="N283" s="450"/>
      <c r="O283" s="450"/>
      <c r="P283" s="450"/>
    </row>
    <row r="284" spans="1:16" s="76" customFormat="1" ht="15">
      <c r="A284" s="509">
        <f t="shared" si="7"/>
        <v>240</v>
      </c>
      <c r="B284" s="463"/>
      <c r="C284" s="321"/>
      <c r="D284" s="398"/>
      <c r="E284" s="398"/>
      <c r="F284" s="450"/>
      <c r="G284" s="450"/>
      <c r="H284" s="450"/>
      <c r="I284" s="450"/>
      <c r="J284" s="450"/>
      <c r="K284" s="450"/>
      <c r="L284" s="450"/>
      <c r="M284" s="530"/>
      <c r="N284" s="450"/>
      <c r="O284" s="450"/>
      <c r="P284" s="450"/>
    </row>
    <row r="285" spans="1:16" s="15" customFormat="1" ht="15">
      <c r="A285" s="509">
        <f t="shared" si="7"/>
        <v>241</v>
      </c>
      <c r="B285" s="123"/>
      <c r="C285" s="287" t="s">
        <v>315</v>
      </c>
      <c r="D285" s="127"/>
      <c r="E285" s="127"/>
      <c r="F285" s="208">
        <f>'S5.1 '!$G$54</f>
        <v>110.35896000000001</v>
      </c>
      <c r="G285" s="208"/>
      <c r="H285" s="208">
        <f>'S5.1 '!$I$54</f>
        <v>76.485089999999985</v>
      </c>
      <c r="I285" s="208"/>
      <c r="J285" s="208">
        <f>'S5.1 '!$K$54</f>
        <v>143.15400000000002</v>
      </c>
      <c r="K285" s="208"/>
      <c r="L285" s="208">
        <f>'S5.1 '!$M$54</f>
        <v>132.85697273489504</v>
      </c>
      <c r="M285" s="14"/>
      <c r="N285" s="450">
        <f>'S5.1 '!$O$54</f>
        <v>155.55976774573384</v>
      </c>
      <c r="O285" s="208"/>
      <c r="P285" s="208">
        <f>'S5.1 '!$Q$54</f>
        <v>138.35924136367464</v>
      </c>
    </row>
    <row r="286" spans="1:16" s="15" customFormat="1" ht="15.75">
      <c r="A286" s="509">
        <f t="shared" si="7"/>
        <v>242</v>
      </c>
      <c r="B286" s="123"/>
      <c r="C286" s="129"/>
      <c r="D286" s="127"/>
      <c r="E286" s="127"/>
      <c r="F286" s="208"/>
      <c r="G286" s="208"/>
      <c r="H286" s="603"/>
      <c r="I286" s="604"/>
      <c r="J286" s="603"/>
      <c r="K286" s="604"/>
      <c r="L286" s="603"/>
      <c r="M286" s="605"/>
      <c r="N286" s="603"/>
      <c r="O286" s="606"/>
      <c r="P286" s="603"/>
    </row>
    <row r="287" spans="1:16" s="15" customFormat="1" ht="15.75">
      <c r="A287" s="509">
        <f t="shared" si="7"/>
        <v>243</v>
      </c>
      <c r="B287" s="123"/>
      <c r="C287" s="288" t="s">
        <v>622</v>
      </c>
      <c r="D287" s="127"/>
      <c r="E287" s="127"/>
      <c r="F287" s="208"/>
      <c r="G287" s="208"/>
      <c r="H287" s="607"/>
      <c r="I287" s="604"/>
      <c r="J287" s="607"/>
      <c r="K287" s="604"/>
      <c r="L287" s="607"/>
      <c r="M287" s="605"/>
      <c r="N287" s="607"/>
      <c r="O287" s="606"/>
      <c r="P287" s="607"/>
    </row>
    <row r="288" spans="1:16" s="76" customFormat="1" ht="15">
      <c r="A288" s="509">
        <f t="shared" si="7"/>
        <v>244</v>
      </c>
      <c r="B288" s="463"/>
      <c r="C288" s="288" t="s">
        <v>760</v>
      </c>
      <c r="D288" s="398"/>
      <c r="E288" s="398"/>
      <c r="F288" s="450"/>
      <c r="G288" s="450"/>
      <c r="H288" s="450"/>
      <c r="I288" s="450"/>
      <c r="J288" s="450"/>
      <c r="K288" s="450"/>
      <c r="L288" s="450"/>
      <c r="M288" s="530"/>
      <c r="P288" s="530"/>
    </row>
    <row r="289" spans="1:16" s="76" customFormat="1" ht="15">
      <c r="A289" s="509">
        <f t="shared" si="7"/>
        <v>245</v>
      </c>
      <c r="B289" s="463"/>
      <c r="C289" s="288"/>
      <c r="D289" s="398"/>
      <c r="E289" s="398"/>
      <c r="F289" s="450"/>
      <c r="G289" s="450"/>
      <c r="H289" s="450"/>
      <c r="I289" s="450"/>
      <c r="J289" s="450"/>
      <c r="K289" s="450"/>
      <c r="L289" s="450"/>
      <c r="M289" s="530"/>
      <c r="P289" s="530"/>
    </row>
    <row r="290" spans="1:16" s="15" customFormat="1" ht="15">
      <c r="A290" s="509">
        <f t="shared" si="7"/>
        <v>246</v>
      </c>
      <c r="B290" s="123"/>
      <c r="C290" s="288" t="s">
        <v>624</v>
      </c>
      <c r="D290" s="127"/>
      <c r="E290" s="127"/>
      <c r="F290" s="208"/>
      <c r="G290" s="208"/>
      <c r="H290" s="208"/>
      <c r="I290" s="208"/>
      <c r="J290" s="208"/>
      <c r="K290" s="208"/>
      <c r="L290" s="208"/>
      <c r="M290" s="14"/>
      <c r="P290" s="14"/>
    </row>
    <row r="291" spans="1:16" s="15" customFormat="1" ht="15">
      <c r="A291" s="509">
        <f t="shared" si="7"/>
        <v>247</v>
      </c>
      <c r="B291" s="123"/>
      <c r="C291" s="288" t="s">
        <v>625</v>
      </c>
      <c r="D291" s="127"/>
      <c r="E291" s="127"/>
      <c r="F291" s="123"/>
      <c r="G291" s="123"/>
      <c r="H291" s="123"/>
      <c r="I291" s="123"/>
      <c r="J291" s="153"/>
      <c r="K291" s="123"/>
      <c r="L291" s="123"/>
      <c r="M291" s="14"/>
      <c r="P291" s="14"/>
    </row>
    <row r="292" spans="1:16" ht="15">
      <c r="A292" s="509">
        <f t="shared" si="7"/>
        <v>248</v>
      </c>
    </row>
    <row r="293" spans="1:16" ht="15">
      <c r="A293" s="509">
        <f t="shared" si="7"/>
        <v>249</v>
      </c>
      <c r="C293" s="288" t="s">
        <v>814</v>
      </c>
    </row>
    <row r="294" spans="1:16" ht="15">
      <c r="A294" s="509">
        <f t="shared" si="7"/>
        <v>250</v>
      </c>
    </row>
    <row r="295" spans="1:16" ht="15">
      <c r="A295" s="509">
        <f t="shared" si="7"/>
        <v>251</v>
      </c>
      <c r="C295" s="288" t="s">
        <v>813</v>
      </c>
    </row>
    <row r="296" spans="1:16">
      <c r="A296" s="510"/>
    </row>
    <row r="297" spans="1:16">
      <c r="A297" s="510"/>
    </row>
  </sheetData>
  <printOptions horizontalCentered="1"/>
  <pageMargins left="0.93" right="0.02" top="0.47" bottom="0.26" header="0.27" footer="0.2"/>
  <pageSetup scale="57" fitToHeight="5" orientation="landscape" horizontalDpi="1200" verticalDpi="1200" r:id="rId1"/>
  <headerFooter alignWithMargins="0"/>
  <rowBreaks count="4" manualBreakCount="4">
    <brk id="61" max="16" man="1"/>
    <brk id="121" max="16" man="1"/>
    <brk id="165" max="16" man="1"/>
    <brk id="23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28</vt:i4>
      </vt:variant>
    </vt:vector>
  </HeadingPairs>
  <TitlesOfParts>
    <vt:vector size="57" baseType="lpstr">
      <vt:lpstr>S1.1</vt:lpstr>
      <vt:lpstr>S2.1</vt:lpstr>
      <vt:lpstr>S2.2</vt:lpstr>
      <vt:lpstr>S3.1</vt:lpstr>
      <vt:lpstr>S3.2</vt:lpstr>
      <vt:lpstr>S4.1</vt:lpstr>
      <vt:lpstr>S4.2</vt:lpstr>
      <vt:lpstr>S5.1 </vt:lpstr>
      <vt:lpstr>S5.2</vt:lpstr>
      <vt:lpstr>S5.3</vt:lpstr>
      <vt:lpstr>S7.1</vt:lpstr>
      <vt:lpstr>S7.2</vt:lpstr>
      <vt:lpstr>S7.3</vt:lpstr>
      <vt:lpstr>S7.4</vt:lpstr>
      <vt:lpstr>S7.5</vt:lpstr>
      <vt:lpstr>S8.1</vt:lpstr>
      <vt:lpstr>S8.2 &amp; 8.3</vt:lpstr>
      <vt:lpstr>S8.4 </vt:lpstr>
      <vt:lpstr>S8.5</vt:lpstr>
      <vt:lpstr>S8.6 </vt:lpstr>
      <vt:lpstr>S8.7</vt:lpstr>
      <vt:lpstr>S8.8 </vt:lpstr>
      <vt:lpstr>S8.9</vt:lpstr>
      <vt:lpstr>S8.10</vt:lpstr>
      <vt:lpstr>S8.11</vt:lpstr>
      <vt:lpstr>S8.12</vt:lpstr>
      <vt:lpstr>S9.1</vt:lpstr>
      <vt:lpstr>S10.1</vt:lpstr>
      <vt:lpstr>S12.1</vt:lpstr>
      <vt:lpstr>S1.1!Print_Area</vt:lpstr>
      <vt:lpstr>S10.1!Print_Area</vt:lpstr>
      <vt:lpstr>S12.1!Print_Area</vt:lpstr>
      <vt:lpstr>S2.1!Print_Area</vt:lpstr>
      <vt:lpstr>S2.2!Print_Area</vt:lpstr>
      <vt:lpstr>S3.2!Print_Area</vt:lpstr>
      <vt:lpstr>S4.1!Print_Area</vt:lpstr>
      <vt:lpstr>S4.2!Print_Area</vt:lpstr>
      <vt:lpstr>'S5.1 '!Print_Area</vt:lpstr>
      <vt:lpstr>S5.2!Print_Area</vt:lpstr>
      <vt:lpstr>S5.3!Print_Area</vt:lpstr>
      <vt:lpstr>S7.1!Print_Area</vt:lpstr>
      <vt:lpstr>S7.2!Print_Area</vt:lpstr>
      <vt:lpstr>S7.3!Print_Area</vt:lpstr>
      <vt:lpstr>S7.4!Print_Area</vt:lpstr>
      <vt:lpstr>S7.5!Print_Area</vt:lpstr>
      <vt:lpstr>S8.1!Print_Area</vt:lpstr>
      <vt:lpstr>S8.10!Print_Area</vt:lpstr>
      <vt:lpstr>S8.11!Print_Area</vt:lpstr>
      <vt:lpstr>S8.12!Print_Area</vt:lpstr>
      <vt:lpstr>'S8.2 &amp; 8.3'!Print_Area</vt:lpstr>
      <vt:lpstr>S8.5!Print_Area</vt:lpstr>
      <vt:lpstr>'S8.6 '!Print_Area</vt:lpstr>
      <vt:lpstr>S8.7!Print_Area</vt:lpstr>
      <vt:lpstr>'S8.8 '!Print_Area</vt:lpstr>
      <vt:lpstr>S8.9!Print_Area</vt:lpstr>
      <vt:lpstr>S9.1!Print_Area</vt:lpstr>
      <vt:lpstr>S8.1!Print_Titles</vt:lpstr>
    </vt:vector>
  </TitlesOfParts>
  <Company>ATCO Group of Companies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Pitzel</dc:creator>
  <cp:lastModifiedBy>Assistant</cp:lastModifiedBy>
  <cp:lastPrinted>2013-05-23T20:49:16Z</cp:lastPrinted>
  <dcterms:created xsi:type="dcterms:W3CDTF">2002-03-25T16:44:51Z</dcterms:created>
  <dcterms:modified xsi:type="dcterms:W3CDTF">2013-06-10T23:34:12Z</dcterms:modified>
</cp:coreProperties>
</file>