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9945" yWindow="390" windowWidth="17955" windowHeight="12915" tabRatio="875"/>
  </bookViews>
  <sheets>
    <sheet name="S1.1" sheetId="2" r:id="rId1"/>
    <sheet name="S2.1" sheetId="3" r:id="rId2"/>
    <sheet name="S2.2" sheetId="4" r:id="rId3"/>
    <sheet name="S3.1" sheetId="5" r:id="rId4"/>
    <sheet name="S3.2" sheetId="6" r:id="rId5"/>
    <sheet name="S4.1" sheetId="7" r:id="rId6"/>
    <sheet name="S4.2" sheetId="8" r:id="rId7"/>
    <sheet name="S5.1 " sheetId="9" r:id="rId8"/>
    <sheet name="S5.2" sheetId="34" r:id="rId9"/>
    <sheet name="S5.3" sheetId="35" r:id="rId10"/>
    <sheet name="S7.1" sheetId="12" r:id="rId11"/>
    <sheet name="S7.2" sheetId="13" r:id="rId12"/>
    <sheet name="S7.3" sheetId="14" r:id="rId13"/>
    <sheet name="S7.4" sheetId="15" r:id="rId14"/>
    <sheet name="S8.1" sheetId="16" r:id="rId15"/>
    <sheet name="S8.2 &amp; 8.3" sheetId="17" r:id="rId16"/>
    <sheet name="S8.4 " sheetId="18" r:id="rId17"/>
    <sheet name="S8.5" sheetId="19" r:id="rId18"/>
    <sheet name="S8.6 " sheetId="20" r:id="rId19"/>
    <sheet name="S8.7" sheetId="21" r:id="rId20"/>
    <sheet name="S8.8 " sheetId="22" r:id="rId21"/>
    <sheet name="S8.9" sheetId="40" r:id="rId22"/>
    <sheet name="S8.10" sheetId="23" r:id="rId23"/>
    <sheet name="S8.11" sheetId="24" r:id="rId24"/>
    <sheet name="S8.12" sheetId="25" r:id="rId25"/>
    <sheet name="S9.1" sheetId="26" r:id="rId26"/>
    <sheet name="S9.2" sheetId="41" r:id="rId27"/>
    <sheet name="S10.1" sheetId="27" r:id="rId28"/>
  </sheets>
  <externalReferences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 localSheetId="1">#REF!</definedName>
    <definedName name="\A" localSheetId="2">#REF!</definedName>
    <definedName name="\A" localSheetId="7">#REF!</definedName>
    <definedName name="\A" localSheetId="8">#REF!</definedName>
    <definedName name="\A" localSheetId="9">#REF!</definedName>
    <definedName name="\A" localSheetId="21">#REF!</definedName>
    <definedName name="\A" localSheetId="25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7">#REF!</definedName>
    <definedName name="\B" localSheetId="8">#REF!</definedName>
    <definedName name="\B" localSheetId="9">#REF!</definedName>
    <definedName name="\B" localSheetId="21">#REF!</definedName>
    <definedName name="\B" localSheetId="25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7">#REF!</definedName>
    <definedName name="\C" localSheetId="8">#REF!</definedName>
    <definedName name="\C" localSheetId="9">#REF!</definedName>
    <definedName name="\C" localSheetId="21">#REF!</definedName>
    <definedName name="\C" localSheetId="25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7">#REF!</definedName>
    <definedName name="\D" localSheetId="8">#REF!</definedName>
    <definedName name="\D" localSheetId="9">#REF!</definedName>
    <definedName name="\D" localSheetId="21">#REF!</definedName>
    <definedName name="\D" localSheetId="25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7">#REF!</definedName>
    <definedName name="\E" localSheetId="8">#REF!</definedName>
    <definedName name="\E" localSheetId="9">#REF!</definedName>
    <definedName name="\E" localSheetId="21">#REF!</definedName>
    <definedName name="\E" localSheetId="25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7">#REF!</definedName>
    <definedName name="\F" localSheetId="8">#REF!</definedName>
    <definedName name="\F" localSheetId="9">#REF!</definedName>
    <definedName name="\F" localSheetId="21">#REF!</definedName>
    <definedName name="\F" localSheetId="25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7">#REF!</definedName>
    <definedName name="\G" localSheetId="8">#REF!</definedName>
    <definedName name="\G" localSheetId="9">#REF!</definedName>
    <definedName name="\G" localSheetId="21">#REF!</definedName>
    <definedName name="\G" localSheetId="25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7">#REF!</definedName>
    <definedName name="\H" localSheetId="8">#REF!</definedName>
    <definedName name="\H" localSheetId="9">#REF!</definedName>
    <definedName name="\H" localSheetId="21">#REF!</definedName>
    <definedName name="\H" localSheetId="25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7">#REF!</definedName>
    <definedName name="\I" localSheetId="8">#REF!</definedName>
    <definedName name="\I" localSheetId="9">#REF!</definedName>
    <definedName name="\I" localSheetId="21">#REF!</definedName>
    <definedName name="\I" localSheetId="25">#REF!</definedName>
    <definedName name="\I">#REF!</definedName>
    <definedName name="\J" localSheetId="0">#REF!</definedName>
    <definedName name="\J" localSheetId="1">#REF!</definedName>
    <definedName name="\J" localSheetId="2">#REF!</definedName>
    <definedName name="\J" localSheetId="7">#REF!</definedName>
    <definedName name="\J" localSheetId="8">#REF!</definedName>
    <definedName name="\J" localSheetId="9">#REF!</definedName>
    <definedName name="\J" localSheetId="21">#REF!</definedName>
    <definedName name="\J" localSheetId="25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7">#REF!</definedName>
    <definedName name="\K" localSheetId="8">#REF!</definedName>
    <definedName name="\K" localSheetId="9">#REF!</definedName>
    <definedName name="\K" localSheetId="21">#REF!</definedName>
    <definedName name="\K" localSheetId="25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7">#REF!</definedName>
    <definedName name="\L" localSheetId="8">#REF!</definedName>
    <definedName name="\L" localSheetId="9">#REF!</definedName>
    <definedName name="\L" localSheetId="21">#REF!</definedName>
    <definedName name="\L" localSheetId="25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7">#REF!</definedName>
    <definedName name="\M" localSheetId="8">#REF!</definedName>
    <definedName name="\M" localSheetId="9">#REF!</definedName>
    <definedName name="\M" localSheetId="21">#REF!</definedName>
    <definedName name="\M" localSheetId="25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7">#REF!</definedName>
    <definedName name="\N" localSheetId="8">#REF!</definedName>
    <definedName name="\N" localSheetId="9">#REF!</definedName>
    <definedName name="\N" localSheetId="21">#REF!</definedName>
    <definedName name="\N" localSheetId="25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 localSheetId="7">#REF!</definedName>
    <definedName name="\O" localSheetId="8">#REF!</definedName>
    <definedName name="\O" localSheetId="9">#REF!</definedName>
    <definedName name="\O" localSheetId="21">#REF!</definedName>
    <definedName name="\O" localSheetId="25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 localSheetId="7">#REF!</definedName>
    <definedName name="\P" localSheetId="8">#REF!</definedName>
    <definedName name="\P" localSheetId="9">#REF!</definedName>
    <definedName name="\P" localSheetId="21">#REF!</definedName>
    <definedName name="\P" localSheetId="25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7">#REF!</definedName>
    <definedName name="\Q" localSheetId="8">#REF!</definedName>
    <definedName name="\Q" localSheetId="9">#REF!</definedName>
    <definedName name="\Q" localSheetId="21">#REF!</definedName>
    <definedName name="\Q" localSheetId="25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7">#REF!</definedName>
    <definedName name="\R" localSheetId="8">#REF!</definedName>
    <definedName name="\R" localSheetId="9">#REF!</definedName>
    <definedName name="\R" localSheetId="21">#REF!</definedName>
    <definedName name="\R" localSheetId="25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7">#REF!</definedName>
    <definedName name="\S" localSheetId="8">#REF!</definedName>
    <definedName name="\S" localSheetId="9">#REF!</definedName>
    <definedName name="\S" localSheetId="21">#REF!</definedName>
    <definedName name="\S" localSheetId="25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7">#REF!</definedName>
    <definedName name="\T" localSheetId="8">#REF!</definedName>
    <definedName name="\T" localSheetId="9">#REF!</definedName>
    <definedName name="\T" localSheetId="21">#REF!</definedName>
    <definedName name="\T" localSheetId="25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7">#REF!</definedName>
    <definedName name="\U" localSheetId="8">#REF!</definedName>
    <definedName name="\U" localSheetId="9">#REF!</definedName>
    <definedName name="\U" localSheetId="21">#REF!</definedName>
    <definedName name="\U" localSheetId="25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7">#REF!</definedName>
    <definedName name="\V" localSheetId="8">#REF!</definedName>
    <definedName name="\V" localSheetId="9">#REF!</definedName>
    <definedName name="\V" localSheetId="21">#REF!</definedName>
    <definedName name="\V" localSheetId="25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7">#REF!</definedName>
    <definedName name="\W" localSheetId="8">#REF!</definedName>
    <definedName name="\W" localSheetId="9">#REF!</definedName>
    <definedName name="\W" localSheetId="21">#REF!</definedName>
    <definedName name="\W" localSheetId="25">#REF!</definedName>
    <definedName name="\W">#REF!</definedName>
    <definedName name="\Z" localSheetId="0">#REF!</definedName>
    <definedName name="\Z" localSheetId="1">#REF!</definedName>
    <definedName name="\Z" localSheetId="2">#REF!</definedName>
    <definedName name="\Z" localSheetId="7">#REF!</definedName>
    <definedName name="\Z" localSheetId="8">#REF!</definedName>
    <definedName name="\Z" localSheetId="9">#REF!</definedName>
    <definedName name="\Z" localSheetId="21">#REF!</definedName>
    <definedName name="\Z" localSheetId="25">#REF!</definedName>
    <definedName name="\Z">#REF!</definedName>
    <definedName name="_F_" localSheetId="21">#REF!</definedName>
    <definedName name="_F_">#REF!</definedName>
    <definedName name="_H_" localSheetId="21">#REF!</definedName>
    <definedName name="_H_">#REF!</definedName>
    <definedName name="_L_" localSheetId="21">#REF!</definedName>
    <definedName name="_L_">#REF!</definedName>
    <definedName name="_O_" localSheetId="21">#REF!</definedName>
    <definedName name="_O_">#REF!</definedName>
    <definedName name="_P_" localSheetId="21">#REF!</definedName>
    <definedName name="_P_">#REF!</definedName>
    <definedName name="_RM_" localSheetId="21">#REF!</definedName>
    <definedName name="_RM_">#REF!</definedName>
    <definedName name="_SS_" localSheetId="21">#REF!</definedName>
    <definedName name="_SS_">#REF!</definedName>
    <definedName name="_TL_" localSheetId="21">#REF!</definedName>
    <definedName name="_TL_">#REF!</definedName>
    <definedName name="_V_" localSheetId="21">#REF!</definedName>
    <definedName name="_V_">#REF!</definedName>
    <definedName name="all" localSheetId="0">#REF!</definedName>
    <definedName name="all" localSheetId="1">#REF!</definedName>
    <definedName name="all" localSheetId="2">#REF!</definedName>
    <definedName name="all" localSheetId="7">#REF!</definedName>
    <definedName name="all" localSheetId="8">#REF!</definedName>
    <definedName name="all" localSheetId="9">#REF!</definedName>
    <definedName name="all" localSheetId="21">#REF!</definedName>
    <definedName name="all" localSheetId="25">#REF!</definedName>
    <definedName name="all">#REF!</definedName>
    <definedName name="Call_Centre_cost" localSheetId="8">[1]Projects!#REF!</definedName>
    <definedName name="Call_Centre_cost" localSheetId="21">[1]Projects!#REF!</definedName>
    <definedName name="Call_Centre_cost">[1]Projects!#REF!</definedName>
    <definedName name="Call_Centre_num" localSheetId="8">[1]Projects!#REF!</definedName>
    <definedName name="Call_Centre_num" localSheetId="21">[1]Projects!#REF!</definedName>
    <definedName name="Call_Centre_num">[1]Projects!#REF!</definedName>
    <definedName name="_xlnm.Database" localSheetId="8">#REF!</definedName>
    <definedName name="_xlnm.Database" localSheetId="9">#REF!</definedName>
    <definedName name="_xlnm.Database" localSheetId="21">#REF!</definedName>
    <definedName name="_xlnm.Database">#REF!</definedName>
    <definedName name="Estimated_Voice___South" localSheetId="8">[1]Projects!#REF!</definedName>
    <definedName name="Estimated_Voice___South" localSheetId="21">[1]Projects!#REF!</definedName>
    <definedName name="Estimated_Voice___South">[1]Projects!#REF!</definedName>
    <definedName name="HPSET" localSheetId="0">#REF!</definedName>
    <definedName name="HPSET" localSheetId="1">#REF!</definedName>
    <definedName name="HPSET" localSheetId="2">#REF!</definedName>
    <definedName name="HPSET" localSheetId="7">#REF!</definedName>
    <definedName name="HPSET" localSheetId="8">#REF!</definedName>
    <definedName name="HPSET" localSheetId="9">#REF!</definedName>
    <definedName name="HPSET" localSheetId="21">#REF!</definedName>
    <definedName name="HPSET" localSheetId="25">#REF!</definedName>
    <definedName name="HPSET">#REF!</definedName>
    <definedName name="hpset1" localSheetId="8">#REF!</definedName>
    <definedName name="hpset1" localSheetId="9">#REF!</definedName>
    <definedName name="hpset1" localSheetId="21">#REF!</definedName>
    <definedName name="hpset1">#REF!</definedName>
    <definedName name="HPSETMACRO" localSheetId="0">#REF!</definedName>
    <definedName name="HPSETMACRO" localSheetId="1">#REF!</definedName>
    <definedName name="HPSETMACRO" localSheetId="2">#REF!</definedName>
    <definedName name="HPSETMACRO" localSheetId="7">#REF!</definedName>
    <definedName name="HPSETMACRO" localSheetId="8">#REF!</definedName>
    <definedName name="HPSETMACRO" localSheetId="9">#REF!</definedName>
    <definedName name="HPSETMACRO" localSheetId="21">#REF!</definedName>
    <definedName name="HPSETMACRO" localSheetId="25">#REF!</definedName>
    <definedName name="HPSETMACRO">#REF!</definedName>
    <definedName name="hpsetmacro2" localSheetId="21">#REF!</definedName>
    <definedName name="hpsetmacro2">#REF!</definedName>
    <definedName name="index" localSheetId="21">#REF!</definedName>
    <definedName name="index">#REF!</definedName>
    <definedName name="input" localSheetId="21">#REF!</definedName>
    <definedName name="input">#REF!</definedName>
    <definedName name="Laptops_cost" localSheetId="8">[1]Projects!#REF!</definedName>
    <definedName name="Laptops_cost" localSheetId="21">[1]Projects!#REF!</definedName>
    <definedName name="Laptops_cost">[1]Projects!#REF!</definedName>
    <definedName name="Laptops_num" localSheetId="8">[1]Projects!#REF!</definedName>
    <definedName name="Laptops_num" localSheetId="21">[1]Projects!#REF!</definedName>
    <definedName name="Laptops_num">[1]Projects!#REF!</definedName>
    <definedName name="LESS__Hardware___Voice_Costs_to_be_capitalized" localSheetId="8">[1]Projects!#REF!</definedName>
    <definedName name="LESS__Hardware___Voice_Costs_to_be_capitalized" localSheetId="21">[1]Projects!#REF!</definedName>
    <definedName name="LESS__Hardware___Voice_Costs_to_be_capitalized">[1]Projects!#REF!</definedName>
    <definedName name="Number_of_staff" localSheetId="8">[1]Projects!#REF!</definedName>
    <definedName name="Number_of_staff" localSheetId="21">[1]Projects!#REF!</definedName>
    <definedName name="Number_of_staff">[1]Projects!#REF!</definedName>
    <definedName name="pafe2" localSheetId="8">#REF!</definedName>
    <definedName name="pafe2" localSheetId="9">#REF!</definedName>
    <definedName name="pafe2" localSheetId="21">#REF!</definedName>
    <definedName name="pafe2">#REF!</definedName>
    <definedName name="page1" localSheetId="8">#REF!</definedName>
    <definedName name="page1" localSheetId="9">#REF!</definedName>
    <definedName name="page1" localSheetId="21">#REF!</definedName>
    <definedName name="page1">#REF!</definedName>
    <definedName name="part1" localSheetId="8">#REF!</definedName>
    <definedName name="part1" localSheetId="9">#REF!</definedName>
    <definedName name="part1" localSheetId="21">#REF!</definedName>
    <definedName name="part1">#REF!</definedName>
    <definedName name="part2" localSheetId="21">#REF!</definedName>
    <definedName name="part2">#REF!</definedName>
    <definedName name="PCs_cost" localSheetId="8">[1]Projects!#REF!</definedName>
    <definedName name="PCs_cost" localSheetId="21">[1]Projects!#REF!</definedName>
    <definedName name="PCs_cost">[1]Projects!#REF!</definedName>
    <definedName name="PCs_num" localSheetId="8">[1]Projects!#REF!</definedName>
    <definedName name="PCs_num" localSheetId="21">[1]Projects!#REF!</definedName>
    <definedName name="PCs_num">[1]Projects!#REF!</definedName>
    <definedName name="_xlnm.Print_Area" localSheetId="0">S1.1!$A$1:$S$24</definedName>
    <definedName name="_xlnm.Print_Area" localSheetId="27">S10.1!$A$1:$S$38</definedName>
    <definedName name="_xlnm.Print_Area" localSheetId="1">S2.1!$A$1:$U$87</definedName>
    <definedName name="_xlnm.Print_Area" localSheetId="2">S2.2!$A$1:$S$14</definedName>
    <definedName name="_xlnm.Print_Area" localSheetId="3">S3.1!$A$1:$S$26</definedName>
    <definedName name="_xlnm.Print_Area" localSheetId="4">S3.2!$A$1:$S$39</definedName>
    <definedName name="_xlnm.Print_Area" localSheetId="5">S4.1!$A$1:$S$21</definedName>
    <definedName name="_xlnm.Print_Area" localSheetId="6">S4.2!$A$1:$S$41</definedName>
    <definedName name="_xlnm.Print_Area" localSheetId="7">'S5.1 '!$A$1:$S$57</definedName>
    <definedName name="_xlnm.Print_Area" localSheetId="8">S5.2!$A$1:$P$117</definedName>
    <definedName name="_xlnm.Print_Area" localSheetId="9">S5.3!$A$1:$U$32</definedName>
    <definedName name="_xlnm.Print_Area" localSheetId="10">S7.1!$A$1:$S$13</definedName>
    <definedName name="_xlnm.Print_Area" localSheetId="11">S7.2!$A$1:$K$61</definedName>
    <definedName name="_xlnm.Print_Area" localSheetId="12">S7.3!$A$1:$K$61</definedName>
    <definedName name="_xlnm.Print_Area" localSheetId="13">S7.4!$A$1:$V$59</definedName>
    <definedName name="_xlnm.Print_Area" localSheetId="14">S8.1!$A$1:$P$100</definedName>
    <definedName name="_xlnm.Print_Area" localSheetId="22">S8.10!$A$1:$S$45</definedName>
    <definedName name="_xlnm.Print_Area" localSheetId="23">S8.11!$A$1:$S$44</definedName>
    <definedName name="_xlnm.Print_Area" localSheetId="24">S8.12!$A$1:$S$27</definedName>
    <definedName name="_xlnm.Print_Area" localSheetId="15">'S8.2 &amp; 8.3'!$A$1:$O$228</definedName>
    <definedName name="_xlnm.Print_Area" localSheetId="16">'S8.4 '!$A$1:$S$43</definedName>
    <definedName name="_xlnm.Print_Area" localSheetId="17">S8.5!$A$1:$S$37</definedName>
    <definedName name="_xlnm.Print_Area" localSheetId="18">'S8.6 '!$A$1:$S$36</definedName>
    <definedName name="_xlnm.Print_Area" localSheetId="19">S8.7!$A$1:$T$30</definedName>
    <definedName name="_xlnm.Print_Area" localSheetId="20">'S8.8 '!$A$1:$S$105</definedName>
    <definedName name="_xlnm.Print_Area" localSheetId="21">S8.9!$A$1:$K$16</definedName>
    <definedName name="_xlnm.Print_Area" localSheetId="25">S9.1!$A$1:$S$43</definedName>
    <definedName name="_xlnm.Print_Area" localSheetId="26">S9.2!$A$1:$S$294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21">#REF!</definedName>
    <definedName name="Print_Area_MI" localSheetId="25">#REF!</definedName>
    <definedName name="Print_Area_MI">#REF!</definedName>
    <definedName name="Printer___High_cost" localSheetId="8">[1]Projects!#REF!</definedName>
    <definedName name="Printer___High_cost" localSheetId="9">[1]Projects!#REF!</definedName>
    <definedName name="Printer___High_cost" localSheetId="21">[1]Projects!#REF!</definedName>
    <definedName name="Printer___High_cost">[1]Projects!#REF!</definedName>
    <definedName name="Printer___High_num" localSheetId="8">[1]Projects!#REF!</definedName>
    <definedName name="Printer___High_num" localSheetId="9">[1]Projects!#REF!</definedName>
    <definedName name="Printer___High_num" localSheetId="21">[1]Projects!#REF!</definedName>
    <definedName name="Printer___High_num">[1]Projects!#REF!</definedName>
    <definedName name="Printer___Low_cost" localSheetId="21">[1]Projects!#REF!</definedName>
    <definedName name="Printer___Low_cost">[1]Projects!#REF!</definedName>
    <definedName name="Printer___Low_num" localSheetId="21">[1]Projects!#REF!</definedName>
    <definedName name="Printer___Low_num">[1]Projects!#REF!</definedName>
    <definedName name="Printer___Standard_cost" localSheetId="21">[1]Projects!#REF!</definedName>
    <definedName name="Printer___Standard_cost">[1]Projects!#REF!</definedName>
    <definedName name="Printer___Standard_num" localSheetId="21">[1]Projects!#REF!</definedName>
    <definedName name="Printer___Standard_num">[1]Projects!#REF!</definedName>
    <definedName name="Proj55156" localSheetId="21">'[2]Schedule 10-B-4'!#REF!</definedName>
    <definedName name="Proj55156">'[2]Schedule 10-B-4'!#REF!</definedName>
    <definedName name="Proj55156." localSheetId="21">'[3]Schedule 10-B-4'!#REF!</definedName>
    <definedName name="Proj55156.">'[3]Schedule 10-B-4'!#REF!</definedName>
    <definedName name="RiderJForecast" localSheetId="8">'[4]YEC GRASales &amp; Rider J Forecast'!#REF!</definedName>
    <definedName name="RiderJForecast" localSheetId="21">'[4]YEC GRASales &amp; Rider J Forecast'!#REF!</definedName>
    <definedName name="RiderJForecast">'[4]YEC GRASales &amp; Rider J Forecast'!#REF!</definedName>
    <definedName name="rolling" localSheetId="0">#REF!</definedName>
    <definedName name="rolling" localSheetId="1">#REF!</definedName>
    <definedName name="rolling" localSheetId="2">#REF!</definedName>
    <definedName name="rolling" localSheetId="7">#REF!</definedName>
    <definedName name="rolling" localSheetId="8">#REF!</definedName>
    <definedName name="rolling" localSheetId="9">#REF!</definedName>
    <definedName name="rolling" localSheetId="21">#REF!</definedName>
    <definedName name="rolling" localSheetId="25">#REF!</definedName>
    <definedName name="rolling">#REF!</definedName>
    <definedName name="Salesforecastdollars" localSheetId="8">#REF!</definedName>
    <definedName name="Salesforecastdollars" localSheetId="9">#REF!</definedName>
    <definedName name="Salesforecastdollars" localSheetId="21">#REF!</definedName>
    <definedName name="Salesforecastdollars">#REF!</definedName>
    <definedName name="SalesforecastKWh" localSheetId="21">#REF!</definedName>
    <definedName name="SalesforecastKWh">#REF!</definedName>
    <definedName name="Schedule10B5" localSheetId="21">#REF!</definedName>
    <definedName name="Schedule10B5">#REF!</definedName>
    <definedName name="Schedule11B4" localSheetId="21">#REF!</definedName>
    <definedName name="Schedule11B4">#REF!</definedName>
    <definedName name="Schedule11B5" localSheetId="21">#REF!</definedName>
    <definedName name="Schedule11B5">#REF!</definedName>
    <definedName name="Schedule12B2" localSheetId="21">#REF!</definedName>
    <definedName name="Schedule12B2">#REF!</definedName>
    <definedName name="Schedule15B2" localSheetId="21">#REF!</definedName>
    <definedName name="Schedule15B2">#REF!</definedName>
    <definedName name="Schedule15B3" localSheetId="21">#REF!</definedName>
    <definedName name="Schedule15B3">#REF!</definedName>
    <definedName name="Schedule16B3" localSheetId="21">#REF!</definedName>
    <definedName name="Schedule16B3">#REF!</definedName>
    <definedName name="Schedule16B4" localSheetId="21">#REF!</definedName>
    <definedName name="Schedule16B4">#REF!</definedName>
    <definedName name="Schedule16B5" localSheetId="21">#REF!</definedName>
    <definedName name="Schedule16B5">#REF!</definedName>
    <definedName name="Schedule17B3" localSheetId="21">#REF!</definedName>
    <definedName name="Schedule17B3">#REF!</definedName>
    <definedName name="Schedule17B4" localSheetId="21">'[2]Schedule 17-B-4'!#REF!</definedName>
    <definedName name="Schedule17B4">'[2]Schedule 17-B-4'!#REF!</definedName>
    <definedName name="Schedule19B2" localSheetId="8">#REF!</definedName>
    <definedName name="Schedule19B2" localSheetId="9">#REF!</definedName>
    <definedName name="Schedule19B2" localSheetId="21">#REF!</definedName>
    <definedName name="Schedule19B2">#REF!</definedName>
    <definedName name="Schedule20B5" localSheetId="8">#REF!</definedName>
    <definedName name="Schedule20B5" localSheetId="9">#REF!</definedName>
    <definedName name="Schedule20B5" localSheetId="21">#REF!</definedName>
    <definedName name="Schedule20B5">#REF!</definedName>
    <definedName name="Schedule21B4" localSheetId="8">#REF!</definedName>
    <definedName name="Schedule21B4" localSheetId="9">#REF!</definedName>
    <definedName name="Schedule21B4" localSheetId="21">#REF!</definedName>
    <definedName name="Schedule21B4">#REF!</definedName>
    <definedName name="Schedule21B5" localSheetId="21">#REF!</definedName>
    <definedName name="Schedule21B5">#REF!</definedName>
    <definedName name="Schedule22B2" localSheetId="21">#REF!</definedName>
    <definedName name="Schedule22B2">#REF!</definedName>
    <definedName name="Schedule22B4" localSheetId="21">#REF!</definedName>
    <definedName name="Schedule22B4">#REF!</definedName>
    <definedName name="Schedule22B5" localSheetId="21">#REF!</definedName>
    <definedName name="Schedule22B5">#REF!</definedName>
    <definedName name="Schedule22B8" localSheetId="21">#REF!</definedName>
    <definedName name="Schedule22B8">#REF!</definedName>
    <definedName name="Schedule24E1" localSheetId="21">#REF!</definedName>
    <definedName name="Schedule24E1">#REF!</definedName>
    <definedName name="Schedule24E2" localSheetId="21">#REF!</definedName>
    <definedName name="Schedule24E2">#REF!</definedName>
    <definedName name="Schedule24E3" localSheetId="21">#REF!</definedName>
    <definedName name="Schedule24E3">#REF!</definedName>
    <definedName name="Schedule26E4" localSheetId="21">#REF!</definedName>
    <definedName name="Schedule26E4">#REF!</definedName>
    <definedName name="Schedule26E5" localSheetId="21">#REF!</definedName>
    <definedName name="Schedule26E5">#REF!</definedName>
    <definedName name="Schedule29B1" localSheetId="21">#REF!</definedName>
    <definedName name="Schedule29B1">#REF!</definedName>
    <definedName name="Schedule29B10" localSheetId="21">#REF!</definedName>
    <definedName name="Schedule29B10">#REF!</definedName>
    <definedName name="Schedule30B1" localSheetId="21">#REF!</definedName>
    <definedName name="Schedule30B1">#REF!</definedName>
    <definedName name="Schedule4B2" localSheetId="21">#REF!</definedName>
    <definedName name="Schedule4B2">#REF!</definedName>
    <definedName name="Schedule4B5" localSheetId="21">#REF!</definedName>
    <definedName name="Schedule4B5">#REF!</definedName>
    <definedName name="Schedule5B2" localSheetId="21">#REF!</definedName>
    <definedName name="Schedule5B2">#REF!</definedName>
    <definedName name="Schedule5B3" localSheetId="21">#REF!</definedName>
    <definedName name="Schedule5B3">#REF!</definedName>
    <definedName name="Schedule5B4" localSheetId="21">#REF!</definedName>
    <definedName name="Schedule5B4">#REF!</definedName>
    <definedName name="Schedule6B3" localSheetId="21">#REF!</definedName>
    <definedName name="Schedule6B3">#REF!</definedName>
    <definedName name="Schedule6B4" localSheetId="21">#REF!</definedName>
    <definedName name="Schedule6B4">#REF!</definedName>
    <definedName name="Schedule6B5" localSheetId="21">#REF!</definedName>
    <definedName name="Schedule6B5">#REF!</definedName>
    <definedName name="Schedule7B4" localSheetId="21">'[2]Schedule 7-B-4'!#REF!</definedName>
    <definedName name="Schedule7B4">'[2]Schedule 7-B-4'!#REF!</definedName>
    <definedName name="Schedule9B2" localSheetId="8">#REF!</definedName>
    <definedName name="Schedule9B2" localSheetId="9">#REF!</definedName>
    <definedName name="Schedule9B2" localSheetId="21">#REF!</definedName>
    <definedName name="Schedule9B2">#REF!</definedName>
    <definedName name="Specialized_Hardware" localSheetId="21">[1]Projects!#REF!</definedName>
    <definedName name="Specialized_Hardware">[1]Projects!#REF!</definedName>
    <definedName name="SUMMARY" localSheetId="0">#REF!</definedName>
    <definedName name="SUMMARY" localSheetId="1">#REF!</definedName>
    <definedName name="SUMMARY" localSheetId="2">#REF!</definedName>
    <definedName name="SUMMARY" localSheetId="7">#REF!</definedName>
    <definedName name="SUMMARY" localSheetId="8">#REF!</definedName>
    <definedName name="SUMMARY" localSheetId="9">#REF!</definedName>
    <definedName name="SUMMARY" localSheetId="21">#REF!</definedName>
    <definedName name="SUMMARY" localSheetId="25">#REF!</definedName>
    <definedName name="SUMMARY">#REF!</definedName>
    <definedName name="Terminals_cost" localSheetId="8">[1]Projects!#REF!</definedName>
    <definedName name="Terminals_cost" localSheetId="9">[1]Projects!#REF!</definedName>
    <definedName name="Terminals_cost" localSheetId="21">[1]Projects!#REF!</definedName>
    <definedName name="Terminals_cost">[1]Projects!#REF!</definedName>
    <definedName name="Terminals_num" localSheetId="8">[1]Projects!#REF!</definedName>
    <definedName name="Terminals_num" localSheetId="9">[1]Projects!#REF!</definedName>
    <definedName name="Terminals_num" localSheetId="21">[1]Projects!#REF!</definedName>
    <definedName name="Terminals_num">[1]Projects!#REF!</definedName>
    <definedName name="Total_Distributed" localSheetId="21">[1]Projects!#REF!</definedName>
    <definedName name="Total_Distributed">[1]Projects!#REF!</definedName>
    <definedName name="Total_Hardware" localSheetId="21">[1]Projects!#REF!</definedName>
    <definedName name="Total_Hardware">[1]Projects!#REF!</definedName>
    <definedName name="Total_Mainframe_Costs" localSheetId="21">[1]Projects!#REF!</definedName>
    <definedName name="Total_Mainframe_Costs">[1]Projects!#REF!</definedName>
    <definedName name="TOTAL_O_M" localSheetId="21">[1]Projects!#REF!</definedName>
    <definedName name="TOTAL_O_M">[1]Projects!#REF!</definedName>
    <definedName name="Total_Standard_Hardware" localSheetId="21">[1]Projects!#REF!</definedName>
    <definedName name="Total_Standard_Hardware">[1]Projects!#REF!</definedName>
    <definedName name="Training_Cost" localSheetId="21">[1]Projects!#REF!</definedName>
    <definedName name="Training_Cost">[1]Projects!#REF!</definedName>
    <definedName name="variance" localSheetId="0">#REF!</definedName>
    <definedName name="variance" localSheetId="1">#REF!</definedName>
    <definedName name="variance" localSheetId="2">#REF!</definedName>
    <definedName name="variance" localSheetId="7">#REF!</definedName>
    <definedName name="variance" localSheetId="8">#REF!</definedName>
    <definedName name="variance" localSheetId="9">#REF!</definedName>
    <definedName name="variance" localSheetId="21">#REF!</definedName>
    <definedName name="variance" localSheetId="25">#REF!</definedName>
    <definedName name="variance">#REF!</definedName>
    <definedName name="Voice___Long_Distance" localSheetId="8">[1]Projects!#REF!</definedName>
    <definedName name="Voice___Long_Distance" localSheetId="9">[1]Projects!#REF!</definedName>
    <definedName name="Voice___Long_Distance" localSheetId="21">[1]Projects!#REF!</definedName>
    <definedName name="Voice___Long_Distance">[1]Projects!#REF!</definedName>
    <definedName name="Voice_Lines_cost" localSheetId="8">[1]Projects!#REF!</definedName>
    <definedName name="Voice_Lines_cost" localSheetId="9">[1]Projects!#REF!</definedName>
    <definedName name="Voice_Lines_cost" localSheetId="21">[1]Projects!#REF!</definedName>
    <definedName name="Voice_Lines_cost">[1]Projects!#REF!</definedName>
    <definedName name="Voice_Lines_num" localSheetId="21">[1]Projects!#REF!</definedName>
    <definedName name="Voice_Lines_num">[1]Projects!#REF!</definedName>
    <definedName name="Voice_Mail_cost" localSheetId="21">[1]Projects!#REF!</definedName>
    <definedName name="Voice_Mail_cost">[1]Projects!#REF!</definedName>
    <definedName name="Voice_Mail_num" localSheetId="21">[1]Projects!#REF!</definedName>
    <definedName name="Voice_Mail_num">[1]Projects!#REF!</definedName>
    <definedName name="Voice_Sets_cost" localSheetId="21">[1]Projects!#REF!</definedName>
    <definedName name="Voice_Sets_cost">[1]Projects!#REF!</definedName>
    <definedName name="Voice_Sets_num" localSheetId="21">[1]Projects!#REF!</definedName>
    <definedName name="Voice_Sets_num">[1]Projects!#REF!</definedName>
    <definedName name="WAN" localSheetId="21">[1]Projects!#REF!</definedName>
    <definedName name="WAN">[1]Projects!#REF!</definedName>
    <definedName name="Z_275E5119_9E8C_43ED_ACD2_DF40CF10B219_.wvu.PrintArea" localSheetId="0" hidden="1">S1.1!$A$1:$S$24</definedName>
    <definedName name="Z_275E5119_9E8C_43ED_ACD2_DF40CF10B219_.wvu.PrintArea" localSheetId="27" hidden="1">S10.1!$A$1:$S$38</definedName>
    <definedName name="Z_275E5119_9E8C_43ED_ACD2_DF40CF10B219_.wvu.PrintArea" localSheetId="1" hidden="1">S2.1!$A$1:$H$74</definedName>
    <definedName name="Z_275E5119_9E8C_43ED_ACD2_DF40CF10B219_.wvu.PrintArea" localSheetId="2" hidden="1">S2.2!$A$1:$S$14</definedName>
    <definedName name="Z_275E5119_9E8C_43ED_ACD2_DF40CF10B219_.wvu.PrintArea" localSheetId="3" hidden="1">S3.1!$A$1:$S$26</definedName>
    <definedName name="Z_275E5119_9E8C_43ED_ACD2_DF40CF10B219_.wvu.PrintArea" localSheetId="4" hidden="1">S3.2!$A$1:$H$39</definedName>
    <definedName name="Z_275E5119_9E8C_43ED_ACD2_DF40CF10B219_.wvu.PrintArea" localSheetId="5" hidden="1">S4.1!$A$1:$S$21</definedName>
    <definedName name="Z_275E5119_9E8C_43ED_ACD2_DF40CF10B219_.wvu.PrintArea" localSheetId="6" hidden="1">S4.2!$A$1:$S$41</definedName>
    <definedName name="Z_275E5119_9E8C_43ED_ACD2_DF40CF10B219_.wvu.PrintArea" localSheetId="7" hidden="1">'S5.1 '!$A$1:$S$57</definedName>
    <definedName name="Z_275E5119_9E8C_43ED_ACD2_DF40CF10B219_.wvu.PrintArea" localSheetId="8" hidden="1">S5.2!$A$1:$N$117</definedName>
    <definedName name="Z_275E5119_9E8C_43ED_ACD2_DF40CF10B219_.wvu.PrintArea" localSheetId="9" hidden="1">S5.3!$A$1:$U$30</definedName>
    <definedName name="Z_275E5119_9E8C_43ED_ACD2_DF40CF10B219_.wvu.PrintArea" localSheetId="10" hidden="1">S7.1!$A$1:$S$13</definedName>
    <definedName name="Z_275E5119_9E8C_43ED_ACD2_DF40CF10B219_.wvu.PrintArea" localSheetId="11" hidden="1">S7.2!$A$1:$J$61</definedName>
    <definedName name="Z_275E5119_9E8C_43ED_ACD2_DF40CF10B219_.wvu.PrintArea" localSheetId="12" hidden="1">S7.3!$A$1:$K$61</definedName>
    <definedName name="Z_275E5119_9E8C_43ED_ACD2_DF40CF10B219_.wvu.PrintArea" localSheetId="13" hidden="1">S7.4!$A$1:$U$59</definedName>
    <definedName name="Z_275E5119_9E8C_43ED_ACD2_DF40CF10B219_.wvu.PrintArea" localSheetId="14" hidden="1">S8.1!$A$1:$O$100</definedName>
    <definedName name="Z_275E5119_9E8C_43ED_ACD2_DF40CF10B219_.wvu.PrintArea" localSheetId="22" hidden="1">S8.10!$A$1:$S$45</definedName>
    <definedName name="Z_275E5119_9E8C_43ED_ACD2_DF40CF10B219_.wvu.PrintArea" localSheetId="23" hidden="1">S8.11!$A$1:$R$44</definedName>
    <definedName name="Z_275E5119_9E8C_43ED_ACD2_DF40CF10B219_.wvu.PrintArea" localSheetId="24" hidden="1">S8.12!$A$1:$R$27</definedName>
    <definedName name="Z_275E5119_9E8C_43ED_ACD2_DF40CF10B219_.wvu.PrintArea" localSheetId="15" hidden="1">'S8.2 &amp; 8.3'!$A$5:$N$228</definedName>
    <definedName name="Z_275E5119_9E8C_43ED_ACD2_DF40CF10B219_.wvu.PrintArea" localSheetId="16" hidden="1">'S8.4 '!$A$1:$R$43</definedName>
    <definedName name="Z_275E5119_9E8C_43ED_ACD2_DF40CF10B219_.wvu.PrintArea" localSheetId="17" hidden="1">S8.5!$A$1:$R$37</definedName>
    <definedName name="Z_275E5119_9E8C_43ED_ACD2_DF40CF10B219_.wvu.PrintArea" localSheetId="18" hidden="1">'S8.6 '!$A$1:$R$36</definedName>
    <definedName name="Z_275E5119_9E8C_43ED_ACD2_DF40CF10B219_.wvu.PrintArea" localSheetId="19" hidden="1">S8.7!$A$1:$S$30</definedName>
    <definedName name="Z_275E5119_9E8C_43ED_ACD2_DF40CF10B219_.wvu.PrintArea" localSheetId="20" hidden="1">'S8.8 '!$A$1:$S$40</definedName>
    <definedName name="Z_275E5119_9E8C_43ED_ACD2_DF40CF10B219_.wvu.PrintArea" localSheetId="21" hidden="1">S8.9!$A$1:$K$16</definedName>
    <definedName name="Z_275E5119_9E8C_43ED_ACD2_DF40CF10B219_.wvu.PrintArea" localSheetId="25" hidden="1">S9.1!$A$1:$S$43</definedName>
    <definedName name="Z_275E5119_9E8C_43ED_ACD2_DF40CF10B219_.wvu.PrintTitles" localSheetId="10" hidden="1">S7.1!$B:$C,S7.1!$3:$8</definedName>
    <definedName name="Z_275E5119_9E8C_43ED_ACD2_DF40CF10B219_.wvu.PrintTitles" localSheetId="11" hidden="1">S7.2!$B:$C,S7.2!$3:$8</definedName>
    <definedName name="Z_275E5119_9E8C_43ED_ACD2_DF40CF10B219_.wvu.PrintTitles" localSheetId="12" hidden="1">S7.3!$B:$C,S7.3!$3:$8</definedName>
    <definedName name="Z_275E5119_9E8C_43ED_ACD2_DF40CF10B219_.wvu.PrintTitles" localSheetId="13" hidden="1">S7.4!$B:$C,S7.4!$3:$8</definedName>
    <definedName name="Z_275E5119_9E8C_43ED_ACD2_DF40CF10B219_.wvu.PrintTitles" localSheetId="14" hidden="1">S8.1!$1:$8</definedName>
    <definedName name="Z_418DF6FE_13EF_11D2_8C37_00A0C92A9A63_.wvu.Rows" localSheetId="9" hidden="1">[5]WAF!$A$8:$IV$103,[5]WAF!$A$354:$IV$364,[5]WAF!$A$366:$IV$371,[5]WAF!$A$386:$IV$409,[5]WAF!#REF!,[5]WAF!#REF!,[5]WAF!#REF!</definedName>
    <definedName name="Z_418DF6FE_13EF_11D2_8C37_00A0C92A9A63_.wvu.Rows" localSheetId="21" hidden="1">[5]WAF!$A$8:$IV$103,[5]WAF!$A$354:$IV$364,[5]WAF!$A$366:$IV$371,[5]WAF!$A$386:$IV$409,[5]WAF!#REF!,[5]WAF!#REF!,[5]WAF!#REF!</definedName>
    <definedName name="Z_418DF6FE_13EF_11D2_8C37_00A0C92A9A63_.wvu.Rows" hidden="1">[5]WAF!$A$8:$IV$103,[5]WAF!$A$354:$IV$364,[5]WAF!$A$366:$IV$371,[5]WAF!$A$386:$IV$409,[5]WAF!#REF!,[5]WAF!#REF!,[5]WAF!#REF!</definedName>
  </definedNames>
  <calcPr calcId="145621"/>
  <customWorkbookViews>
    <customWorkbookView name="Rob Pitzel - Personal View" guid="{275E5119-9E8C-43ED-ACD2-DF40CF10B219}" mergeInterval="0" personalView="1" maximized="1" xWindow="1" yWindow="1" windowWidth="1276" windowHeight="738" tabRatio="978" activeSheetId="20" showObjects="none"/>
    <customWorkbookView name="Randy Morgan - Personal View" guid="{D346ECD1-ED60-4F74-8B02-572F89E41ACB}" mergeInterval="0" personalView="1" maximized="1" windowWidth="1276" windowHeight="777" tabRatio="978" activeSheetId="2" showObjects="none"/>
  </customWorkbookViews>
</workbook>
</file>

<file path=xl/calcChain.xml><?xml version="1.0" encoding="utf-8"?>
<calcChain xmlns="http://schemas.openxmlformats.org/spreadsheetml/2006/main">
  <c r="R9" i="27" l="1"/>
  <c r="P9" i="27"/>
  <c r="N14" i="18" l="1"/>
  <c r="M14" i="18"/>
  <c r="K14" i="18"/>
  <c r="J14" i="18"/>
  <c r="H14" i="18"/>
  <c r="G14" i="18"/>
  <c r="G13" i="18"/>
  <c r="P55" i="9"/>
  <c r="R55" i="9"/>
  <c r="G14" i="27" l="1"/>
  <c r="H14" i="27"/>
  <c r="J14" i="27"/>
  <c r="R36" i="26"/>
  <c r="P36" i="26"/>
  <c r="N36" i="26"/>
  <c r="M36" i="26"/>
  <c r="K36" i="26"/>
  <c r="J36" i="26"/>
  <c r="H36" i="26"/>
  <c r="G36" i="26"/>
  <c r="A14" i="26"/>
  <c r="R21" i="7" l="1"/>
  <c r="P21" i="7"/>
  <c r="R39" i="8"/>
  <c r="S63" i="3" l="1"/>
  <c r="P63" i="3"/>
  <c r="N63" i="3"/>
  <c r="M63" i="3"/>
  <c r="K63" i="3"/>
  <c r="J63" i="3"/>
  <c r="H63" i="3"/>
  <c r="S62" i="3"/>
  <c r="P62" i="3"/>
  <c r="N62" i="3"/>
  <c r="M62" i="3"/>
  <c r="K62" i="3"/>
  <c r="J62" i="3"/>
  <c r="H62" i="3"/>
  <c r="S43" i="3"/>
  <c r="P43" i="3"/>
  <c r="N43" i="3"/>
  <c r="M43" i="3"/>
  <c r="K43" i="3"/>
  <c r="J43" i="3"/>
  <c r="H43" i="3"/>
  <c r="K17" i="2"/>
  <c r="F222" i="17" l="1"/>
  <c r="F223" i="17"/>
  <c r="F197" i="17"/>
  <c r="F196" i="17"/>
  <c r="M31" i="18" l="1"/>
  <c r="G31" i="18"/>
  <c r="P102" i="22"/>
  <c r="J22" i="2" l="1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12" i="14"/>
  <c r="A13" i="14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11" i="14"/>
  <c r="A12" i="13"/>
  <c r="A13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11" i="13"/>
  <c r="R32" i="24"/>
  <c r="P32" i="24"/>
  <c r="N32" i="24"/>
  <c r="K32" i="24"/>
  <c r="J32" i="24"/>
  <c r="H32" i="24"/>
  <c r="G32" i="24"/>
  <c r="R31" i="24"/>
  <c r="P31" i="24"/>
  <c r="N31" i="24"/>
  <c r="M31" i="24"/>
  <c r="K31" i="24"/>
  <c r="J31" i="24"/>
  <c r="H31" i="24"/>
  <c r="G31" i="24"/>
  <c r="K23" i="25" l="1"/>
  <c r="J23" i="25"/>
  <c r="H23" i="25"/>
  <c r="G23" i="25"/>
  <c r="G14" i="20" l="1"/>
  <c r="H14" i="20"/>
  <c r="J14" i="20"/>
  <c r="K14" i="20"/>
  <c r="M14" i="20"/>
  <c r="N14" i="20"/>
  <c r="R14" i="20"/>
  <c r="M26" i="27" l="1"/>
  <c r="N23" i="27"/>
  <c r="M23" i="27"/>
  <c r="K23" i="27"/>
  <c r="J23" i="27"/>
  <c r="H23" i="27"/>
  <c r="G23" i="27"/>
  <c r="G15" i="27"/>
  <c r="H15" i="27"/>
  <c r="J15" i="27"/>
  <c r="G24" i="27" l="1"/>
  <c r="J24" i="27"/>
  <c r="M24" i="27"/>
  <c r="A9" i="8" l="1"/>
  <c r="A10" i="8" l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K29" i="22"/>
  <c r="K28" i="22"/>
  <c r="R17" i="22"/>
  <c r="P17" i="22"/>
  <c r="N18" i="22"/>
  <c r="N17" i="22"/>
  <c r="M18" i="22"/>
  <c r="M17" i="22"/>
  <c r="K18" i="22"/>
  <c r="K17" i="22"/>
  <c r="J18" i="22"/>
  <c r="J17" i="22"/>
  <c r="H18" i="22"/>
  <c r="H17" i="22"/>
  <c r="G18" i="22"/>
  <c r="G17" i="22"/>
  <c r="H103" i="22"/>
  <c r="H105" i="22" s="1"/>
  <c r="H29" i="22" s="1"/>
  <c r="G103" i="22"/>
  <c r="G105" i="22" s="1"/>
  <c r="G29" i="22" s="1"/>
  <c r="J100" i="22" l="1"/>
  <c r="J103" i="22" s="1"/>
  <c r="J105" i="22" l="1"/>
  <c r="J29" i="22" s="1"/>
  <c r="M100" i="22"/>
  <c r="K100" i="22"/>
  <c r="K103" i="22" s="1"/>
  <c r="N100" i="22" s="1"/>
  <c r="N103" i="22" l="1"/>
  <c r="N105" i="22" s="1"/>
  <c r="N29" i="22" s="1"/>
  <c r="M103" i="22"/>
  <c r="M105" i="22" s="1"/>
  <c r="M29" i="22" s="1"/>
  <c r="M23" i="5"/>
  <c r="J23" i="5"/>
  <c r="G23" i="5"/>
  <c r="R102" i="22" l="1"/>
  <c r="R18" i="22" s="1"/>
  <c r="P18" i="22"/>
  <c r="P103" i="22"/>
  <c r="P105" i="22" s="1"/>
  <c r="P29" i="22" s="1"/>
  <c r="R100" i="22" l="1"/>
  <c r="R103" i="22" l="1"/>
  <c r="R105" i="22" s="1"/>
  <c r="R29" i="22" s="1"/>
  <c r="R26" i="27" l="1"/>
  <c r="G16" i="22"/>
  <c r="P95" i="22"/>
  <c r="P97" i="22" s="1"/>
  <c r="P28" i="22" s="1"/>
  <c r="N95" i="22"/>
  <c r="N97" i="22" s="1"/>
  <c r="N28" i="22" s="1"/>
  <c r="H95" i="22"/>
  <c r="H97" i="22" s="1"/>
  <c r="H28" i="22" s="1"/>
  <c r="G95" i="22"/>
  <c r="G97" i="22" s="1"/>
  <c r="G28" i="22" s="1"/>
  <c r="J92" i="22" l="1"/>
  <c r="J95" i="22" s="1"/>
  <c r="J97" i="22" s="1"/>
  <c r="J28" i="22" s="1"/>
  <c r="K92" i="22"/>
  <c r="K95" i="22"/>
  <c r="M92" i="22" s="1"/>
  <c r="M95" i="22" s="1"/>
  <c r="M97" i="22" s="1"/>
  <c r="M28" i="22" s="1"/>
  <c r="R92" i="22"/>
  <c r="R95" i="22" l="1"/>
  <c r="R97" i="22" s="1"/>
  <c r="R28" i="22" s="1"/>
  <c r="G293" i="41" l="1"/>
  <c r="G22" i="2" l="1"/>
  <c r="A9" i="41" l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l="1"/>
  <c r="A23" i="41" s="1"/>
  <c r="A24" i="41" s="1"/>
  <c r="A25" i="41" s="1"/>
  <c r="A26" i="41" s="1"/>
  <c r="A28" i="41" s="1"/>
  <c r="A29" i="41" s="1"/>
  <c r="A30" i="41" s="1"/>
  <c r="A31" i="41" s="1"/>
  <c r="A32" i="41" s="1"/>
  <c r="A33" i="41" s="1"/>
  <c r="A34" i="41" s="1"/>
  <c r="A35" i="41" s="1"/>
  <c r="A36" i="41" s="1"/>
  <c r="A38" i="41" s="1"/>
  <c r="A39" i="41" s="1"/>
  <c r="A40" i="41" s="1"/>
  <c r="A41" i="41" s="1"/>
  <c r="A42" i="41" s="1"/>
  <c r="A43" i="41" s="1"/>
  <c r="A44" i="41" s="1"/>
  <c r="A46" i="41" s="1"/>
  <c r="A47" i="41" s="1"/>
  <c r="A48" i="41" s="1"/>
  <c r="A49" i="41" s="1"/>
  <c r="A51" i="41" s="1"/>
  <c r="A52" i="41" s="1"/>
  <c r="A53" i="41" s="1"/>
  <c r="A54" i="41" s="1"/>
  <c r="A55" i="41" s="1"/>
  <c r="A64" i="41" l="1"/>
  <c r="A65" i="41" s="1"/>
  <c r="A66" i="41" s="1"/>
  <c r="A67" i="41" s="1"/>
  <c r="A69" i="41" s="1"/>
  <c r="A70" i="41" s="1"/>
  <c r="A72" i="41" s="1"/>
  <c r="A73" i="41" s="1"/>
  <c r="A75" i="41" s="1"/>
  <c r="A76" i="41" s="1"/>
  <c r="A78" i="41" s="1"/>
  <c r="A79" i="41" s="1"/>
  <c r="A81" i="41" s="1"/>
  <c r="A83" i="41" s="1"/>
  <c r="A84" i="41" s="1"/>
  <c r="M93" i="41"/>
  <c r="A85" i="41" l="1"/>
  <c r="A86" i="41" s="1"/>
  <c r="A87" i="41" s="1"/>
  <c r="A88" i="41" s="1"/>
  <c r="A89" i="41" s="1"/>
  <c r="A90" i="41" s="1"/>
  <c r="A92" i="41" s="1"/>
  <c r="A93" i="41" s="1"/>
  <c r="A95" i="41" s="1"/>
  <c r="A96" i="41" s="1"/>
  <c r="P9" i="26"/>
  <c r="A97" i="41" l="1"/>
  <c r="A98" i="41" s="1"/>
  <c r="A99" i="41" s="1"/>
  <c r="A101" i="41" s="1"/>
  <c r="A102" i="41" s="1"/>
  <c r="A103" i="41" s="1"/>
  <c r="A105" i="41" s="1"/>
  <c r="A106" i="41" s="1"/>
  <c r="A107" i="41" s="1"/>
  <c r="A108" i="41" s="1"/>
  <c r="A109" i="41" s="1"/>
  <c r="A110" i="41" s="1"/>
  <c r="A111" i="41" s="1"/>
  <c r="A120" i="41" s="1"/>
  <c r="P14" i="20" l="1"/>
  <c r="M211" i="17" l="1"/>
  <c r="M212" i="17"/>
  <c r="M213" i="17"/>
  <c r="M214" i="17"/>
  <c r="M215" i="17"/>
  <c r="M216" i="17"/>
  <c r="M217" i="17"/>
  <c r="M218" i="17"/>
  <c r="M219" i="17"/>
  <c r="M220" i="17"/>
  <c r="M221" i="17"/>
  <c r="M222" i="17"/>
  <c r="R93" i="41" l="1"/>
  <c r="K27" i="22" l="1"/>
  <c r="R16" i="22" l="1"/>
  <c r="P16" i="22"/>
  <c r="N16" i="22"/>
  <c r="M16" i="22"/>
  <c r="K16" i="22"/>
  <c r="J16" i="22"/>
  <c r="H16" i="22"/>
  <c r="P87" i="22"/>
  <c r="N87" i="22"/>
  <c r="N89" i="22" s="1"/>
  <c r="N27" i="22" s="1"/>
  <c r="H87" i="22"/>
  <c r="J84" i="22" s="1"/>
  <c r="J87" i="22" s="1"/>
  <c r="J89" i="22" s="1"/>
  <c r="J27" i="22" s="1"/>
  <c r="G87" i="22"/>
  <c r="G89" i="22" s="1"/>
  <c r="G27" i="22" s="1"/>
  <c r="R84" i="22" l="1"/>
  <c r="R87" i="22" s="1"/>
  <c r="R89" i="22" s="1"/>
  <c r="R27" i="22" s="1"/>
  <c r="K84" i="22"/>
  <c r="K87" i="22"/>
  <c r="M84" i="22" s="1"/>
  <c r="M87" i="22" s="1"/>
  <c r="M89" i="22" s="1"/>
  <c r="M27" i="22" s="1"/>
  <c r="P89" i="22"/>
  <c r="P27" i="22" s="1"/>
  <c r="H89" i="22"/>
  <c r="H27" i="22" s="1"/>
  <c r="O24" i="35" l="1"/>
  <c r="O28" i="35" s="1"/>
  <c r="G56" i="14" l="1"/>
  <c r="G54" i="14"/>
  <c r="G53" i="14"/>
  <c r="G52" i="14"/>
  <c r="G50" i="14"/>
  <c r="G49" i="14"/>
  <c r="G48" i="14"/>
  <c r="G46" i="14"/>
  <c r="G42" i="14"/>
  <c r="G41" i="14"/>
  <c r="G39" i="14"/>
  <c r="G38" i="14"/>
  <c r="G37" i="14"/>
  <c r="G35" i="14"/>
  <c r="G34" i="14"/>
  <c r="G33" i="14"/>
  <c r="G31" i="14"/>
  <c r="G27" i="14"/>
  <c r="G23" i="14"/>
  <c r="G21" i="14"/>
  <c r="G20" i="14"/>
  <c r="G19" i="14"/>
  <c r="G12" i="14"/>
  <c r="G13" i="14"/>
  <c r="G14" i="14"/>
  <c r="G55" i="13"/>
  <c r="G51" i="13"/>
  <c r="I21" i="14" l="1"/>
  <c r="I31" i="14"/>
  <c r="I35" i="14"/>
  <c r="I39" i="14"/>
  <c r="I46" i="14"/>
  <c r="I50" i="14"/>
  <c r="I54" i="14"/>
  <c r="G49" i="13"/>
  <c r="G53" i="13"/>
  <c r="I50" i="13"/>
  <c r="I54" i="13"/>
  <c r="G22" i="14"/>
  <c r="G32" i="14"/>
  <c r="G36" i="14"/>
  <c r="G40" i="14"/>
  <c r="G47" i="14"/>
  <c r="G51" i="14"/>
  <c r="G55" i="14"/>
  <c r="G15" i="14"/>
  <c r="I49" i="13"/>
  <c r="I13" i="14"/>
  <c r="I47" i="13"/>
  <c r="I51" i="13"/>
  <c r="I53" i="13"/>
  <c r="G52" i="13"/>
  <c r="G56" i="13"/>
  <c r="I14" i="14"/>
  <c r="I15" i="14"/>
  <c r="I22" i="14"/>
  <c r="I32" i="14"/>
  <c r="I36" i="14"/>
  <c r="I40" i="14"/>
  <c r="I47" i="14"/>
  <c r="I51" i="14"/>
  <c r="I55" i="14"/>
  <c r="I12" i="14"/>
  <c r="I19" i="14"/>
  <c r="I23" i="14"/>
  <c r="I33" i="14"/>
  <c r="I37" i="14"/>
  <c r="I41" i="14"/>
  <c r="I48" i="14"/>
  <c r="I52" i="14"/>
  <c r="I56" i="14"/>
  <c r="I48" i="13"/>
  <c r="I52" i="13"/>
  <c r="I56" i="13"/>
  <c r="I20" i="14"/>
  <c r="I27" i="14"/>
  <c r="I34" i="14"/>
  <c r="I38" i="14"/>
  <c r="I42" i="14"/>
  <c r="I49" i="14"/>
  <c r="I53" i="14"/>
  <c r="G54" i="13"/>
  <c r="G50" i="13"/>
  <c r="M209" i="17" l="1"/>
  <c r="M208" i="17"/>
  <c r="M207" i="17"/>
  <c r="N237" i="41" l="1"/>
  <c r="M237" i="41"/>
  <c r="K237" i="41"/>
  <c r="J237" i="41"/>
  <c r="H237" i="41"/>
  <c r="G237" i="41"/>
  <c r="R231" i="41"/>
  <c r="P231" i="41"/>
  <c r="N231" i="41"/>
  <c r="M231" i="41"/>
  <c r="K231" i="41"/>
  <c r="J231" i="41"/>
  <c r="H231" i="41"/>
  <c r="G231" i="41"/>
  <c r="R237" i="41" l="1"/>
  <c r="P237" i="41"/>
  <c r="L224" i="17" l="1"/>
  <c r="M224" i="17" s="1"/>
  <c r="I224" i="17"/>
  <c r="I197" i="17" l="1"/>
  <c r="H223" i="17"/>
  <c r="I223" i="17" s="1"/>
  <c r="L223" i="17" s="1"/>
  <c r="M223" i="17" s="1"/>
  <c r="L197" i="17"/>
  <c r="M197" i="17" s="1"/>
  <c r="P22" i="18" l="1"/>
  <c r="R293" i="41" l="1"/>
  <c r="N293" i="41"/>
  <c r="K293" i="41"/>
  <c r="H293" i="41"/>
  <c r="P293" i="41"/>
  <c r="M293" i="41"/>
  <c r="J293" i="41"/>
  <c r="P227" i="41"/>
  <c r="N227" i="41"/>
  <c r="K227" i="41"/>
  <c r="J227" i="41"/>
  <c r="H227" i="41"/>
  <c r="G227" i="41"/>
  <c r="M227" i="41"/>
  <c r="R227" i="41"/>
  <c r="N211" i="41"/>
  <c r="K211" i="41"/>
  <c r="H211" i="41"/>
  <c r="R211" i="41"/>
  <c r="P211" i="41"/>
  <c r="M211" i="41"/>
  <c r="J211" i="41"/>
  <c r="G211" i="41"/>
  <c r="N111" i="41"/>
  <c r="K111" i="41"/>
  <c r="H111" i="41"/>
  <c r="M111" i="41"/>
  <c r="J111" i="41"/>
  <c r="G111" i="41"/>
  <c r="N93" i="41"/>
  <c r="K93" i="41"/>
  <c r="H93" i="41"/>
  <c r="J93" i="41"/>
  <c r="G93" i="41"/>
  <c r="G294" i="41" l="1"/>
  <c r="H294" i="41"/>
  <c r="J294" i="41"/>
  <c r="K294" i="41"/>
  <c r="M294" i="41"/>
  <c r="N294" i="41"/>
  <c r="M23" i="25" l="1"/>
  <c r="R23" i="25" l="1"/>
  <c r="P23" i="25"/>
  <c r="R28" i="27" l="1"/>
  <c r="M28" i="27"/>
  <c r="M29" i="27"/>
  <c r="R11" i="5"/>
  <c r="P49" i="3"/>
  <c r="P51" i="3" l="1"/>
  <c r="P11" i="5"/>
  <c r="S51" i="3"/>
  <c r="S49" i="3"/>
  <c r="R23" i="6" l="1"/>
  <c r="P23" i="6"/>
  <c r="M23" i="6"/>
  <c r="R34" i="8" l="1"/>
  <c r="P39" i="8"/>
  <c r="G11" i="13" l="1"/>
  <c r="P66" i="3" l="1"/>
  <c r="P70" i="3" s="1"/>
  <c r="P74" i="3" l="1"/>
  <c r="G65" i="16"/>
  <c r="M22" i="2"/>
  <c r="F224" i="17"/>
  <c r="M196" i="17"/>
  <c r="M195" i="17"/>
  <c r="F195" i="17"/>
  <c r="M194" i="17"/>
  <c r="F194" i="17"/>
  <c r="M193" i="17"/>
  <c r="M192" i="17"/>
  <c r="M191" i="17"/>
  <c r="M190" i="17"/>
  <c r="M189" i="17"/>
  <c r="M188" i="17"/>
  <c r="M187" i="17"/>
  <c r="M186" i="17"/>
  <c r="M185" i="17"/>
  <c r="M184" i="17"/>
  <c r="M183" i="17"/>
  <c r="M182" i="17"/>
  <c r="M181" i="17"/>
  <c r="R31" i="18" l="1"/>
  <c r="P34" i="8" l="1"/>
  <c r="M11" i="5" l="1"/>
  <c r="M16" i="5" s="1"/>
  <c r="M10" i="5" l="1"/>
  <c r="M12" i="5" s="1"/>
  <c r="M51" i="3" l="1"/>
  <c r="S42" i="3"/>
  <c r="S41" i="3"/>
  <c r="P42" i="3"/>
  <c r="P41" i="3"/>
  <c r="S21" i="3"/>
  <c r="P21" i="3"/>
  <c r="S19" i="3"/>
  <c r="P19" i="3"/>
  <c r="S14" i="3"/>
  <c r="P14" i="3"/>
  <c r="S12" i="3"/>
  <c r="P12" i="3"/>
  <c r="M9" i="26"/>
  <c r="J9" i="26"/>
  <c r="G9" i="26"/>
  <c r="F136" i="17"/>
  <c r="F137" i="17"/>
  <c r="F138" i="17"/>
  <c r="M138" i="17"/>
  <c r="M137" i="17"/>
  <c r="M136" i="17"/>
  <c r="M135" i="17"/>
  <c r="M134" i="17"/>
  <c r="M133" i="17"/>
  <c r="M132" i="17"/>
  <c r="M131" i="17"/>
  <c r="M130" i="17"/>
  <c r="M129" i="17"/>
  <c r="M128" i="17"/>
  <c r="M127" i="17"/>
  <c r="M126" i="17"/>
  <c r="M125" i="17"/>
  <c r="M124" i="17"/>
  <c r="M123" i="17"/>
  <c r="M82" i="17"/>
  <c r="M81" i="17"/>
  <c r="M80" i="17"/>
  <c r="M79" i="17"/>
  <c r="M78" i="17"/>
  <c r="M77" i="17"/>
  <c r="M76" i="17"/>
  <c r="M75" i="17"/>
  <c r="M74" i="17"/>
  <c r="M73" i="17"/>
  <c r="M71" i="17"/>
  <c r="M70" i="17"/>
  <c r="M69" i="17"/>
  <c r="M68" i="17"/>
  <c r="M67" i="17"/>
  <c r="G29" i="20"/>
  <c r="J23" i="6"/>
  <c r="G23" i="6"/>
  <c r="J19" i="7"/>
  <c r="G19" i="7" l="1"/>
  <c r="P78" i="3"/>
  <c r="P80" i="3" s="1"/>
  <c r="P29" i="20" l="1"/>
  <c r="J21" i="5"/>
  <c r="G21" i="5"/>
  <c r="G19" i="19" l="1"/>
  <c r="G26" i="20"/>
  <c r="N9" i="26" l="1"/>
  <c r="K9" i="26"/>
  <c r="N23" i="25"/>
  <c r="G20" i="25"/>
  <c r="G11" i="25"/>
  <c r="J14" i="23"/>
  <c r="G14" i="23"/>
  <c r="K15" i="22"/>
  <c r="K12" i="22"/>
  <c r="H15" i="22"/>
  <c r="H12" i="22"/>
  <c r="G33" i="22"/>
  <c r="M14" i="22"/>
  <c r="M13" i="22"/>
  <c r="M12" i="22"/>
  <c r="J15" i="22"/>
  <c r="J14" i="22"/>
  <c r="K13" i="22"/>
  <c r="J13" i="22"/>
  <c r="J12" i="22"/>
  <c r="G15" i="22"/>
  <c r="G14" i="22"/>
  <c r="G13" i="22"/>
  <c r="G12" i="22"/>
  <c r="G11" i="20"/>
  <c r="G32" i="19"/>
  <c r="G37" i="18"/>
  <c r="G29" i="18"/>
  <c r="L225" i="17"/>
  <c r="H198" i="17"/>
  <c r="L198" i="17"/>
  <c r="L226" i="17" s="1"/>
  <c r="L139" i="17"/>
  <c r="L199" i="17" s="1"/>
  <c r="H165" i="17"/>
  <c r="L83" i="17"/>
  <c r="L140" i="17" s="1"/>
  <c r="M83" i="17"/>
  <c r="M140" i="17" s="1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L28" i="17"/>
  <c r="L84" i="17" s="1"/>
  <c r="N56" i="15"/>
  <c r="Q56" i="15" s="1"/>
  <c r="N54" i="15"/>
  <c r="N53" i="15"/>
  <c r="Q53" i="15" s="1"/>
  <c r="N52" i="15"/>
  <c r="Q52" i="15" s="1"/>
  <c r="N51" i="15"/>
  <c r="Q51" i="15" s="1"/>
  <c r="N50" i="15"/>
  <c r="Q50" i="15" s="1"/>
  <c r="N49" i="15"/>
  <c r="Q49" i="15" s="1"/>
  <c r="N48" i="15"/>
  <c r="Q48" i="15" s="1"/>
  <c r="N47" i="15"/>
  <c r="Q47" i="15" s="1"/>
  <c r="N46" i="15"/>
  <c r="Q46" i="15" s="1"/>
  <c r="N42" i="15"/>
  <c r="Q42" i="15" s="1"/>
  <c r="N41" i="15"/>
  <c r="Q41" i="15" s="1"/>
  <c r="N40" i="15"/>
  <c r="Q40" i="15" s="1"/>
  <c r="N39" i="15"/>
  <c r="Q39" i="15" s="1"/>
  <c r="N38" i="15"/>
  <c r="Q38" i="15" s="1"/>
  <c r="N37" i="15"/>
  <c r="Q37" i="15" s="1"/>
  <c r="N36" i="15"/>
  <c r="Q36" i="15" s="1"/>
  <c r="N35" i="15"/>
  <c r="Q35" i="15" s="1"/>
  <c r="N34" i="15"/>
  <c r="Q34" i="15" s="1"/>
  <c r="N33" i="15"/>
  <c r="Q33" i="15" s="1"/>
  <c r="N32" i="15"/>
  <c r="Q32" i="15" s="1"/>
  <c r="N31" i="15"/>
  <c r="Q31" i="15" s="1"/>
  <c r="N27" i="15"/>
  <c r="Q27" i="15" s="1"/>
  <c r="N23" i="15"/>
  <c r="Q23" i="15" s="1"/>
  <c r="N22" i="15"/>
  <c r="Q22" i="15" s="1"/>
  <c r="N21" i="15"/>
  <c r="Q21" i="15" s="1"/>
  <c r="N20" i="15"/>
  <c r="Q20" i="15" s="1"/>
  <c r="N19" i="15"/>
  <c r="Q19" i="15" s="1"/>
  <c r="N15" i="15"/>
  <c r="Q15" i="15" s="1"/>
  <c r="N14" i="15"/>
  <c r="Q14" i="15" s="1"/>
  <c r="N13" i="15"/>
  <c r="Q13" i="15" s="1"/>
  <c r="N12" i="15"/>
  <c r="Q12" i="15" s="1"/>
  <c r="N11" i="15"/>
  <c r="Q11" i="15" s="1"/>
  <c r="N23" i="6"/>
  <c r="K23" i="6"/>
  <c r="H23" i="6"/>
  <c r="N21" i="5"/>
  <c r="H21" i="5" l="1"/>
  <c r="K21" i="5"/>
  <c r="G19" i="22"/>
  <c r="J19" i="22"/>
  <c r="H14" i="22"/>
  <c r="R15" i="5"/>
  <c r="P15" i="5"/>
  <c r="K14" i="22"/>
  <c r="K19" i="22" s="1"/>
  <c r="H13" i="22"/>
  <c r="N41" i="3"/>
  <c r="N42" i="3"/>
  <c r="M198" i="17"/>
  <c r="M165" i="17"/>
  <c r="N53" i="17"/>
  <c r="H19" i="22" l="1"/>
  <c r="M226" i="17"/>
  <c r="P29" i="27"/>
  <c r="R29" i="27"/>
  <c r="L165" i="17"/>
  <c r="Q57" i="15" l="1"/>
  <c r="Q43" i="15"/>
  <c r="Q28" i="15"/>
  <c r="Q24" i="15"/>
  <c r="Q16" i="15"/>
  <c r="N57" i="15"/>
  <c r="N43" i="15"/>
  <c r="N28" i="15"/>
  <c r="N24" i="15"/>
  <c r="N16" i="15"/>
  <c r="K57" i="15"/>
  <c r="K43" i="15"/>
  <c r="K28" i="15"/>
  <c r="K24" i="15"/>
  <c r="K16" i="15"/>
  <c r="K55" i="9"/>
  <c r="K44" i="9"/>
  <c r="K35" i="9"/>
  <c r="K31" i="9"/>
  <c r="K26" i="9"/>
  <c r="K15" i="9"/>
  <c r="H55" i="9"/>
  <c r="H44" i="9"/>
  <c r="H35" i="9"/>
  <c r="H31" i="9"/>
  <c r="H26" i="9"/>
  <c r="H15" i="9"/>
  <c r="Q59" i="15" l="1"/>
  <c r="N10" i="12" s="1"/>
  <c r="N59" i="15"/>
  <c r="K10" i="12" s="1"/>
  <c r="K57" i="9"/>
  <c r="K59" i="15"/>
  <c r="H10" i="12" s="1"/>
  <c r="H57" i="9"/>
  <c r="H17" i="2" s="1"/>
  <c r="J24" i="35" l="1"/>
  <c r="J28" i="35" s="1"/>
  <c r="L24" i="35"/>
  <c r="L28" i="35" s="1"/>
  <c r="M24" i="35"/>
  <c r="M28" i="35" s="1"/>
  <c r="P24" i="35"/>
  <c r="P28" i="35" s="1"/>
  <c r="I24" i="35"/>
  <c r="I28" i="35" s="1"/>
  <c r="G79" i="22" l="1"/>
  <c r="H79" i="22" s="1"/>
  <c r="J75" i="22" s="1"/>
  <c r="J79" i="22" s="1"/>
  <c r="K79" i="22" l="1"/>
  <c r="N75" i="22" s="1"/>
  <c r="N79" i="22" s="1"/>
  <c r="M75" i="22"/>
  <c r="M79" i="22" s="1"/>
  <c r="P75" i="22" s="1"/>
  <c r="G81" i="22"/>
  <c r="G26" i="22" s="1"/>
  <c r="H81" i="22"/>
  <c r="H26" i="22" s="1"/>
  <c r="J81" i="22"/>
  <c r="J26" i="22" s="1"/>
  <c r="K81" i="22" l="1"/>
  <c r="K26" i="22" s="1"/>
  <c r="N81" i="22"/>
  <c r="N26" i="22" s="1"/>
  <c r="R78" i="22"/>
  <c r="P76" i="22"/>
  <c r="M81" i="22"/>
  <c r="M26" i="22" s="1"/>
  <c r="P28" i="27" l="1"/>
  <c r="P79" i="22"/>
  <c r="R75" i="22" s="1"/>
  <c r="P81" i="22" l="1"/>
  <c r="P26" i="22" s="1"/>
  <c r="R79" i="22"/>
  <c r="R81" i="22" s="1"/>
  <c r="R26" i="22" s="1"/>
  <c r="N21" i="3"/>
  <c r="N19" i="3"/>
  <c r="N14" i="3"/>
  <c r="N12" i="3"/>
  <c r="U57" i="15" l="1"/>
  <c r="U43" i="15"/>
  <c r="U28" i="15"/>
  <c r="U24" i="15"/>
  <c r="U16" i="15"/>
  <c r="S57" i="15"/>
  <c r="S43" i="15"/>
  <c r="S28" i="15"/>
  <c r="S24" i="15"/>
  <c r="S16" i="15"/>
  <c r="P57" i="15"/>
  <c r="P43" i="15"/>
  <c r="P28" i="15"/>
  <c r="P24" i="15"/>
  <c r="P16" i="15"/>
  <c r="S59" i="15" l="1"/>
  <c r="R10" i="12" s="1"/>
  <c r="P59" i="15"/>
  <c r="M10" i="12" s="1"/>
  <c r="U59" i="15"/>
  <c r="G41" i="3" l="1"/>
  <c r="H41" i="3"/>
  <c r="R22" i="18" l="1"/>
  <c r="N22" i="18"/>
  <c r="K22" i="18"/>
  <c r="J22" i="18"/>
  <c r="H22" i="18"/>
  <c r="G22" i="18"/>
  <c r="M21" i="5" l="1"/>
  <c r="H26" i="5" l="1"/>
  <c r="H15" i="2" l="1"/>
  <c r="G46" i="22" l="1"/>
  <c r="G70" i="22"/>
  <c r="G72" i="22" l="1"/>
  <c r="G25" i="22" s="1"/>
  <c r="J67" i="22"/>
  <c r="G48" i="22"/>
  <c r="G23" i="22" s="1"/>
  <c r="J42" i="22"/>
  <c r="H46" i="22"/>
  <c r="H70" i="22"/>
  <c r="J70" i="22" l="1"/>
  <c r="K67" i="22"/>
  <c r="J46" i="22"/>
  <c r="M42" i="22" s="1"/>
  <c r="H48" i="22"/>
  <c r="H23" i="22" s="1"/>
  <c r="H72" i="22"/>
  <c r="H25" i="22" s="1"/>
  <c r="K46" i="22"/>
  <c r="J48" i="22" l="1"/>
  <c r="J23" i="22" s="1"/>
  <c r="K48" i="22"/>
  <c r="K23" i="22" s="1"/>
  <c r="N42" i="22"/>
  <c r="J72" i="22"/>
  <c r="J25" i="22" s="1"/>
  <c r="M67" i="22"/>
  <c r="M69" i="22" s="1"/>
  <c r="M32" i="24" s="1"/>
  <c r="M46" i="22"/>
  <c r="P42" i="22" s="1"/>
  <c r="M15" i="22" l="1"/>
  <c r="M19" i="22" s="1"/>
  <c r="M48" i="22"/>
  <c r="M23" i="22" s="1"/>
  <c r="J55" i="13" l="1"/>
  <c r="J55" i="14" l="1"/>
  <c r="R15" i="22" l="1"/>
  <c r="P15" i="22"/>
  <c r="N15" i="22"/>
  <c r="K70" i="22" l="1"/>
  <c r="N67" i="22" s="1"/>
  <c r="K72" i="22" l="1"/>
  <c r="K25" i="22" s="1"/>
  <c r="M70" i="22"/>
  <c r="N70" i="22" l="1"/>
  <c r="N72" i="22" s="1"/>
  <c r="N25" i="22" s="1"/>
  <c r="P67" i="22"/>
  <c r="M72" i="22"/>
  <c r="M25" i="22" s="1"/>
  <c r="P70" i="22" l="1"/>
  <c r="R67" i="22" s="1"/>
  <c r="P72" i="22" l="1"/>
  <c r="P25" i="22" s="1"/>
  <c r="R70" i="22"/>
  <c r="R72" i="22" l="1"/>
  <c r="R25" i="22" s="1"/>
  <c r="A10" i="21" l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M13" i="26"/>
  <c r="K13" i="26"/>
  <c r="J13" i="26"/>
  <c r="G13" i="26"/>
  <c r="A10" i="26"/>
  <c r="A11" i="26" s="1"/>
  <c r="A12" i="26" s="1"/>
  <c r="A13" i="26" l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178" i="17" l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K78" i="3"/>
  <c r="K80" i="3" s="1"/>
  <c r="K84" i="3" s="1"/>
  <c r="G42" i="3"/>
  <c r="H42" i="3"/>
  <c r="J42" i="3"/>
  <c r="K42" i="3"/>
  <c r="M42" i="3"/>
  <c r="H78" i="3"/>
  <c r="H80" i="3" s="1"/>
  <c r="H82" i="3" l="1"/>
  <c r="H84" i="3"/>
  <c r="K82" i="3"/>
  <c r="H16" i="40"/>
  <c r="P34" i="22" s="1"/>
  <c r="A10" i="40" l="1"/>
  <c r="A11" i="40" s="1"/>
  <c r="A12" i="40" s="1"/>
  <c r="A13" i="40" s="1"/>
  <c r="A14" i="40" s="1"/>
  <c r="A15" i="40" s="1"/>
  <c r="A16" i="40" s="1"/>
  <c r="J16" i="40" l="1"/>
  <c r="R34" i="22" s="1"/>
  <c r="R14" i="22" l="1"/>
  <c r="P14" i="22"/>
  <c r="N14" i="22"/>
  <c r="R13" i="22"/>
  <c r="P13" i="22"/>
  <c r="N13" i="22"/>
  <c r="N46" i="22"/>
  <c r="N48" i="22" s="1"/>
  <c r="N23" i="22" l="1"/>
  <c r="M27" i="24" l="1"/>
  <c r="P30" i="24"/>
  <c r="N30" i="24"/>
  <c r="M30" i="24"/>
  <c r="R29" i="24"/>
  <c r="P29" i="24"/>
  <c r="N29" i="24"/>
  <c r="R28" i="24"/>
  <c r="P28" i="24"/>
  <c r="N28" i="24"/>
  <c r="M28" i="24"/>
  <c r="R27" i="24"/>
  <c r="N27" i="24"/>
  <c r="P27" i="24"/>
  <c r="M22" i="24"/>
  <c r="N19" i="23"/>
  <c r="M23" i="23"/>
  <c r="M19" i="23"/>
  <c r="M12" i="23"/>
  <c r="J26" i="5" l="1"/>
  <c r="J15" i="2" l="1"/>
  <c r="A23" i="3"/>
  <c r="A24" i="3" s="1"/>
  <c r="A25" i="3" s="1"/>
  <c r="A26" i="3" s="1"/>
  <c r="A27" i="3" s="1"/>
  <c r="A28" i="3" s="1"/>
  <c r="A30" i="3" s="1"/>
  <c r="A31" i="3" s="1"/>
  <c r="A32" i="3" s="1"/>
  <c r="A33" i="3" s="1"/>
  <c r="A35" i="3" s="1"/>
  <c r="A36" i="3" s="1"/>
  <c r="A37" i="3" s="1"/>
  <c r="A38" i="3" s="1"/>
  <c r="A40" i="3" s="1"/>
  <c r="A41" i="3" s="1"/>
  <c r="A42" i="3" s="1"/>
  <c r="A43" i="3" s="1"/>
  <c r="A44" i="3" s="1"/>
  <c r="A46" i="3" s="1"/>
  <c r="A47" i="3" s="1"/>
  <c r="A48" i="3" s="1"/>
  <c r="A49" i="3" s="1"/>
  <c r="A50" i="3" s="1"/>
  <c r="A51" i="3" s="1"/>
  <c r="K26" i="5"/>
  <c r="K15" i="2" l="1"/>
  <c r="N78" i="3"/>
  <c r="N80" i="3" s="1"/>
  <c r="N84" i="3" s="1"/>
  <c r="N82" i="3" l="1"/>
  <c r="G40" i="13"/>
  <c r="E57" i="13" l="1"/>
  <c r="S58" i="3" l="1"/>
  <c r="N58" i="3"/>
  <c r="S38" i="3"/>
  <c r="N38" i="3"/>
  <c r="P38" i="3"/>
  <c r="S61" i="3"/>
  <c r="N33" i="3" l="1"/>
  <c r="P33" i="3"/>
  <c r="N56" i="3"/>
  <c r="P58" i="3"/>
  <c r="N61" i="3"/>
  <c r="S33" i="3"/>
  <c r="P56" i="3"/>
  <c r="S56" i="3"/>
  <c r="P61" i="3"/>
  <c r="S44" i="3"/>
  <c r="P64" i="3" l="1"/>
  <c r="P10" i="12"/>
  <c r="P44" i="3"/>
  <c r="S64" i="3"/>
  <c r="S66" i="3"/>
  <c r="S70" i="3" s="1"/>
  <c r="N66" i="3"/>
  <c r="N64" i="3"/>
  <c r="N44" i="3"/>
  <c r="N70" i="3" l="1"/>
  <c r="N74" i="3" s="1"/>
  <c r="S74" i="3"/>
  <c r="H28" i="14"/>
  <c r="N10" i="2" l="1"/>
  <c r="N10" i="24"/>
  <c r="N13" i="26"/>
  <c r="G31" i="13" l="1"/>
  <c r="J54" i="13" l="1"/>
  <c r="E43" i="13"/>
  <c r="M20" i="2"/>
  <c r="M25" i="24" l="1"/>
  <c r="M57" i="15" l="1"/>
  <c r="M43" i="15"/>
  <c r="M28" i="15"/>
  <c r="M24" i="15"/>
  <c r="M16" i="15"/>
  <c r="J57" i="15"/>
  <c r="J43" i="15"/>
  <c r="J28" i="15"/>
  <c r="J24" i="15"/>
  <c r="J16" i="15"/>
  <c r="J59" i="15" l="1"/>
  <c r="G10" i="12" s="1"/>
  <c r="M59" i="15"/>
  <c r="J10" i="12" s="1"/>
  <c r="I28" i="14" l="1"/>
  <c r="N13" i="21" l="1"/>
  <c r="N21" i="21" l="1"/>
  <c r="N28" i="21"/>
  <c r="N30" i="21" l="1"/>
  <c r="M15" i="20" s="1"/>
  <c r="M31" i="20" s="1"/>
  <c r="I37" i="13"/>
  <c r="O28" i="21" l="1"/>
  <c r="K24" i="27"/>
  <c r="H57" i="13"/>
  <c r="O21" i="21"/>
  <c r="M49" i="3" l="1"/>
  <c r="I57" i="14" l="1"/>
  <c r="H57" i="14"/>
  <c r="R29" i="20" l="1"/>
  <c r="N29" i="20"/>
  <c r="M29" i="20"/>
  <c r="N20" i="20" l="1"/>
  <c r="N14" i="19" s="1"/>
  <c r="M20" i="20"/>
  <c r="M14" i="19" s="1"/>
  <c r="K20" i="20"/>
  <c r="K14" i="19" s="1"/>
  <c r="N22" i="2"/>
  <c r="H83" i="17"/>
  <c r="H108" i="17"/>
  <c r="M52" i="17"/>
  <c r="M109" i="17" s="1"/>
  <c r="L52" i="17"/>
  <c r="O13" i="21"/>
  <c r="O30" i="21" s="1"/>
  <c r="N15" i="20" s="1"/>
  <c r="N31" i="20" s="1"/>
  <c r="R25" i="19"/>
  <c r="P25" i="19"/>
  <c r="N25" i="19"/>
  <c r="M25" i="19"/>
  <c r="H139" i="17"/>
  <c r="N12" i="24" l="1"/>
  <c r="L109" i="17"/>
  <c r="L54" i="17"/>
  <c r="L55" i="17" s="1"/>
  <c r="N52" i="17"/>
  <c r="M54" i="17"/>
  <c r="M55" i="17" s="1"/>
  <c r="N22" i="24"/>
  <c r="N12" i="23"/>
  <c r="H225" i="17"/>
  <c r="R21" i="27"/>
  <c r="P21" i="27"/>
  <c r="N21" i="27"/>
  <c r="K21" i="27"/>
  <c r="K32" i="27" s="1"/>
  <c r="N55" i="17" l="1"/>
  <c r="P22" i="24"/>
  <c r="P12" i="23"/>
  <c r="M225" i="17"/>
  <c r="R12" i="23" l="1"/>
  <c r="R22" i="24"/>
  <c r="N198" i="17"/>
  <c r="N226" i="17" s="1"/>
  <c r="L227" i="17"/>
  <c r="L228" i="17" s="1"/>
  <c r="G93" i="16" s="1"/>
  <c r="N225" i="17"/>
  <c r="R22" i="27"/>
  <c r="P22" i="27"/>
  <c r="R15" i="27"/>
  <c r="P15" i="27"/>
  <c r="N15" i="27"/>
  <c r="M15" i="27"/>
  <c r="K15" i="27"/>
  <c r="M227" i="17" l="1"/>
  <c r="N24" i="27"/>
  <c r="N32" i="27" s="1"/>
  <c r="R24" i="27"/>
  <c r="P24" i="27"/>
  <c r="P12" i="22" l="1"/>
  <c r="P19" i="22" s="1"/>
  <c r="N12" i="22"/>
  <c r="N19" i="22" s="1"/>
  <c r="M14" i="27" l="1"/>
  <c r="M19" i="7"/>
  <c r="M16" i="2" s="1"/>
  <c r="M13" i="12"/>
  <c r="M28" i="20" s="1"/>
  <c r="P14" i="27" l="1"/>
  <c r="P21" i="2"/>
  <c r="M11" i="23"/>
  <c r="M21" i="2"/>
  <c r="M19" i="2"/>
  <c r="N14" i="27"/>
  <c r="N21" i="2"/>
  <c r="N23" i="8"/>
  <c r="N9" i="7" s="1"/>
  <c r="N25" i="6" s="1"/>
  <c r="M23" i="8"/>
  <c r="M9" i="7" s="1"/>
  <c r="M25" i="6" s="1"/>
  <c r="P38" i="8"/>
  <c r="P36" i="8"/>
  <c r="P35" i="8"/>
  <c r="M11" i="27" l="1"/>
  <c r="M24" i="24"/>
  <c r="M41" i="23"/>
  <c r="M43" i="23" s="1"/>
  <c r="R37" i="8"/>
  <c r="R36" i="8"/>
  <c r="P37" i="8"/>
  <c r="R35" i="8"/>
  <c r="P23" i="8"/>
  <c r="P9" i="7" s="1"/>
  <c r="R23" i="8"/>
  <c r="R9" i="7" s="1"/>
  <c r="R38" i="8"/>
  <c r="P40" i="8" l="1"/>
  <c r="P13" i="7" s="1"/>
  <c r="R40" i="8"/>
  <c r="R13" i="7" l="1"/>
  <c r="R11" i="6" l="1"/>
  <c r="P11" i="6"/>
  <c r="P13" i="6" s="1"/>
  <c r="N32" i="26"/>
  <c r="N21" i="26"/>
  <c r="M26" i="5" l="1"/>
  <c r="M15" i="2" s="1"/>
  <c r="M10" i="23" s="1"/>
  <c r="M38" i="3"/>
  <c r="M58" i="3"/>
  <c r="M19" i="3"/>
  <c r="M21" i="3"/>
  <c r="M61" i="3"/>
  <c r="M33" i="3"/>
  <c r="M56" i="3"/>
  <c r="S78" i="3"/>
  <c r="S80" i="3" s="1"/>
  <c r="M12" i="3"/>
  <c r="M14" i="3"/>
  <c r="M41" i="3"/>
  <c r="M44" i="3"/>
  <c r="R13" i="6"/>
  <c r="P17" i="6"/>
  <c r="M27" i="6"/>
  <c r="R17" i="6" l="1"/>
  <c r="M29" i="6"/>
  <c r="M17" i="6" s="1"/>
  <c r="M64" i="3"/>
  <c r="M11" i="6"/>
  <c r="M66" i="3"/>
  <c r="M14" i="4"/>
  <c r="M11" i="2" s="1"/>
  <c r="N14" i="4"/>
  <c r="N11" i="2" s="1"/>
  <c r="N12" i="2" s="1"/>
  <c r="H29" i="20"/>
  <c r="N39" i="26"/>
  <c r="N41" i="26" s="1"/>
  <c r="M32" i="26"/>
  <c r="M21" i="26"/>
  <c r="K21" i="26"/>
  <c r="K32" i="26"/>
  <c r="M70" i="3" l="1"/>
  <c r="M74" i="3" s="1"/>
  <c r="M10" i="2" s="1"/>
  <c r="M37" i="6"/>
  <c r="M13" i="6"/>
  <c r="M33" i="6"/>
  <c r="M35" i="6"/>
  <c r="N11" i="6"/>
  <c r="N15" i="6" s="1"/>
  <c r="M10" i="24" l="1"/>
  <c r="M12" i="24" s="1"/>
  <c r="M15" i="6"/>
  <c r="M39" i="26"/>
  <c r="M41" i="26" s="1"/>
  <c r="K33" i="24"/>
  <c r="M33" i="24"/>
  <c r="M39" i="6"/>
  <c r="N33" i="24"/>
  <c r="L200" i="17"/>
  <c r="A10" i="35"/>
  <c r="M13" i="20" l="1"/>
  <c r="M16" i="20" s="1"/>
  <c r="A11" i="35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N13" i="20"/>
  <c r="N16" i="20" s="1"/>
  <c r="M139" i="17"/>
  <c r="M199" i="17" l="1"/>
  <c r="N139" i="17"/>
  <c r="N199" i="17" s="1"/>
  <c r="N15" i="9" l="1"/>
  <c r="N26" i="9"/>
  <c r="N31" i="9"/>
  <c r="N35" i="9"/>
  <c r="N44" i="9"/>
  <c r="N55" i="9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61" i="34" s="1"/>
  <c r="N57" i="9" l="1"/>
  <c r="N17" i="2" s="1"/>
  <c r="N9" i="23" l="1"/>
  <c r="K39" i="26" l="1"/>
  <c r="K41" i="26" s="1"/>
  <c r="J33" i="3"/>
  <c r="H38" i="3"/>
  <c r="H33" i="3"/>
  <c r="G61" i="3"/>
  <c r="K20" i="2"/>
  <c r="K25" i="19"/>
  <c r="K23" i="23"/>
  <c r="K19" i="23"/>
  <c r="K12" i="23"/>
  <c r="L13" i="21"/>
  <c r="K13" i="21"/>
  <c r="I13" i="21"/>
  <c r="H13" i="21"/>
  <c r="L28" i="21"/>
  <c r="L21" i="21"/>
  <c r="K29" i="20"/>
  <c r="K13" i="12"/>
  <c r="K30" i="24"/>
  <c r="K29" i="24"/>
  <c r="K28" i="24"/>
  <c r="K27" i="24"/>
  <c r="K22" i="24"/>
  <c r="K22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G20" i="2"/>
  <c r="H20" i="2"/>
  <c r="J20" i="2"/>
  <c r="J12" i="27" s="1"/>
  <c r="H22" i="2"/>
  <c r="G21" i="27"/>
  <c r="G32" i="27" s="1"/>
  <c r="H24" i="27"/>
  <c r="H21" i="27"/>
  <c r="J21" i="27"/>
  <c r="G12" i="3"/>
  <c r="H12" i="3"/>
  <c r="J12" i="3"/>
  <c r="K12" i="3"/>
  <c r="H14" i="3"/>
  <c r="J14" i="3"/>
  <c r="K14" i="3"/>
  <c r="G19" i="3"/>
  <c r="H19" i="3"/>
  <c r="J19" i="3"/>
  <c r="K19" i="3"/>
  <c r="G21" i="3"/>
  <c r="H21" i="3"/>
  <c r="J21" i="3"/>
  <c r="K21" i="3"/>
  <c r="G33" i="3"/>
  <c r="K33" i="3"/>
  <c r="G38" i="3"/>
  <c r="J38" i="3"/>
  <c r="K38" i="3"/>
  <c r="J41" i="3"/>
  <c r="K41" i="3"/>
  <c r="G49" i="3"/>
  <c r="J49" i="3"/>
  <c r="A53" i="3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6" i="3" s="1"/>
  <c r="G56" i="3"/>
  <c r="H56" i="3"/>
  <c r="J56" i="3"/>
  <c r="K56" i="3"/>
  <c r="H61" i="3"/>
  <c r="J61" i="3"/>
  <c r="K61" i="3"/>
  <c r="G62" i="3"/>
  <c r="A10" i="5"/>
  <c r="A11" i="5" s="1"/>
  <c r="A12" i="5" s="1"/>
  <c r="A13" i="5" s="1"/>
  <c r="A15" i="5" s="1"/>
  <c r="A16" i="5" s="1"/>
  <c r="G12" i="5"/>
  <c r="G27" i="6" s="1"/>
  <c r="H12" i="5"/>
  <c r="H27" i="6" s="1"/>
  <c r="J12" i="5"/>
  <c r="J27" i="6" s="1"/>
  <c r="K12" i="5"/>
  <c r="K27" i="6" s="1"/>
  <c r="J16" i="5"/>
  <c r="A19" i="5"/>
  <c r="A21" i="5" s="1"/>
  <c r="A22" i="5" s="1"/>
  <c r="A23" i="5" s="1"/>
  <c r="A24" i="5" s="1"/>
  <c r="H10" i="23"/>
  <c r="J10" i="23"/>
  <c r="K19" i="7"/>
  <c r="K16" i="2" s="1"/>
  <c r="K11" i="23" s="1"/>
  <c r="G23" i="8"/>
  <c r="G9" i="7" s="1"/>
  <c r="G25" i="6" s="1"/>
  <c r="H23" i="8"/>
  <c r="H9" i="7" s="1"/>
  <c r="H25" i="6" s="1"/>
  <c r="J23" i="8"/>
  <c r="J9" i="7" s="1"/>
  <c r="J25" i="6" s="1"/>
  <c r="K23" i="8"/>
  <c r="K9" i="7" s="1"/>
  <c r="K25" i="6" s="1"/>
  <c r="G40" i="8"/>
  <c r="H40" i="8"/>
  <c r="H13" i="7" s="1"/>
  <c r="J40" i="8"/>
  <c r="J13" i="7" s="1"/>
  <c r="J21" i="7" s="1"/>
  <c r="K40" i="8"/>
  <c r="K13" i="7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G13" i="12"/>
  <c r="G19" i="2" s="1"/>
  <c r="H13" i="12"/>
  <c r="H19" i="2" s="1"/>
  <c r="J13" i="12"/>
  <c r="J19" i="2" s="1"/>
  <c r="G12" i="13"/>
  <c r="G13" i="13"/>
  <c r="G14" i="13"/>
  <c r="G15" i="13"/>
  <c r="E16" i="13"/>
  <c r="G19" i="13"/>
  <c r="G20" i="13"/>
  <c r="G21" i="13"/>
  <c r="G22" i="13"/>
  <c r="G23" i="13"/>
  <c r="E24" i="13"/>
  <c r="G27" i="13"/>
  <c r="G28" i="13" s="1"/>
  <c r="E28" i="13"/>
  <c r="G32" i="13"/>
  <c r="I32" i="13"/>
  <c r="G33" i="13"/>
  <c r="I33" i="13"/>
  <c r="I34" i="13"/>
  <c r="G35" i="13"/>
  <c r="I35" i="13"/>
  <c r="G36" i="13"/>
  <c r="I36" i="13"/>
  <c r="G37" i="13"/>
  <c r="J37" i="13" s="1"/>
  <c r="G38" i="13"/>
  <c r="I38" i="13"/>
  <c r="G39" i="13"/>
  <c r="I39" i="13"/>
  <c r="I40" i="13"/>
  <c r="G41" i="13"/>
  <c r="I41" i="13"/>
  <c r="G42" i="13"/>
  <c r="I42" i="13"/>
  <c r="G46" i="13"/>
  <c r="I46" i="13"/>
  <c r="G47" i="13"/>
  <c r="J47" i="13" s="1"/>
  <c r="G48" i="13"/>
  <c r="J37" i="14"/>
  <c r="J38" i="14"/>
  <c r="J40" i="14"/>
  <c r="J41" i="14"/>
  <c r="J46" i="14"/>
  <c r="J47" i="14"/>
  <c r="J48" i="14"/>
  <c r="J49" i="14"/>
  <c r="J50" i="14"/>
  <c r="J51" i="14"/>
  <c r="J52" i="14"/>
  <c r="J53" i="14"/>
  <c r="J54" i="14"/>
  <c r="J56" i="14"/>
  <c r="E57" i="14"/>
  <c r="G23" i="16"/>
  <c r="M23" i="16"/>
  <c r="L85" i="17"/>
  <c r="A10" i="17"/>
  <c r="A11" i="17" s="1"/>
  <c r="A12" i="17" s="1"/>
  <c r="A13" i="17" s="1"/>
  <c r="A14" i="17" s="1"/>
  <c r="A15" i="17" s="1"/>
  <c r="H28" i="17"/>
  <c r="H52" i="17"/>
  <c r="N84" i="17"/>
  <c r="A10" i="18"/>
  <c r="A11" i="18" s="1"/>
  <c r="A12" i="18" s="1"/>
  <c r="A13" i="18" s="1"/>
  <c r="A14" i="18" s="1"/>
  <c r="A15" i="18" s="1"/>
  <c r="A17" i="18" s="1"/>
  <c r="A18" i="18" s="1"/>
  <c r="A19" i="18" s="1"/>
  <c r="A20" i="18" s="1"/>
  <c r="A21" i="18" s="1"/>
  <c r="G40" i="18"/>
  <c r="H25" i="19"/>
  <c r="J25" i="19"/>
  <c r="G20" i="20"/>
  <c r="G14" i="19" s="1"/>
  <c r="H20" i="20"/>
  <c r="H14" i="19" s="1"/>
  <c r="J20" i="20"/>
  <c r="J14" i="19" s="1"/>
  <c r="J29" i="20"/>
  <c r="H21" i="21"/>
  <c r="I21" i="21"/>
  <c r="I28" i="21"/>
  <c r="H28" i="21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G12" i="23"/>
  <c r="H12" i="23"/>
  <c r="J12" i="23"/>
  <c r="G19" i="23"/>
  <c r="H19" i="23"/>
  <c r="J19" i="23"/>
  <c r="G23" i="23"/>
  <c r="H23" i="23"/>
  <c r="J23" i="23"/>
  <c r="G27" i="24"/>
  <c r="G28" i="24"/>
  <c r="G29" i="24"/>
  <c r="G30" i="24"/>
  <c r="H27" i="24"/>
  <c r="H28" i="24"/>
  <c r="H29" i="24"/>
  <c r="H30" i="24"/>
  <c r="J27" i="24"/>
  <c r="J28" i="24"/>
  <c r="J29" i="24"/>
  <c r="J30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G22" i="24"/>
  <c r="H22" i="24"/>
  <c r="J22" i="24"/>
  <c r="A9" i="25"/>
  <c r="H13" i="26"/>
  <c r="G32" i="26"/>
  <c r="H32" i="26"/>
  <c r="J32" i="26"/>
  <c r="A10" i="27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13" i="16"/>
  <c r="A15" i="16" s="1"/>
  <c r="A17" i="16" s="1"/>
  <c r="A19" i="16" s="1"/>
  <c r="A21" i="16" s="1"/>
  <c r="A23" i="16" s="1"/>
  <c r="A25" i="16" s="1"/>
  <c r="A27" i="16" s="1"/>
  <c r="A29" i="16" s="1"/>
  <c r="A31" i="16" s="1"/>
  <c r="A33" i="16" s="1"/>
  <c r="A35" i="16" s="1"/>
  <c r="A37" i="16" s="1"/>
  <c r="A39" i="16" s="1"/>
  <c r="A41" i="16" s="1"/>
  <c r="A43" i="16" s="1"/>
  <c r="A45" i="16" s="1"/>
  <c r="A47" i="16" s="1"/>
  <c r="A49" i="16" s="1"/>
  <c r="A61" i="16" s="1"/>
  <c r="A63" i="16" s="1"/>
  <c r="A65" i="16" s="1"/>
  <c r="A67" i="16" s="1"/>
  <c r="A69" i="16" s="1"/>
  <c r="A71" i="16" s="1"/>
  <c r="A73" i="16" s="1"/>
  <c r="A75" i="16" s="1"/>
  <c r="A77" i="16" s="1"/>
  <c r="A79" i="16" s="1"/>
  <c r="A81" i="16" s="1"/>
  <c r="A83" i="16" s="1"/>
  <c r="A85" i="16" s="1"/>
  <c r="A87" i="16" s="1"/>
  <c r="A89" i="16" s="1"/>
  <c r="A91" i="16" s="1"/>
  <c r="A93" i="16" s="1"/>
  <c r="A95" i="16" s="1"/>
  <c r="A97" i="16" s="1"/>
  <c r="A99" i="16" s="1"/>
  <c r="G16" i="2"/>
  <c r="G34" i="13"/>
  <c r="A27" i="24" l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K12" i="27"/>
  <c r="K25" i="24"/>
  <c r="A26" i="5"/>
  <c r="G11" i="23"/>
  <c r="A68" i="3"/>
  <c r="A69" i="3" s="1"/>
  <c r="A70" i="3" s="1"/>
  <c r="A72" i="3" s="1"/>
  <c r="A74" i="3" s="1"/>
  <c r="A76" i="3" s="1"/>
  <c r="A78" i="3" s="1"/>
  <c r="A79" i="3" s="1"/>
  <c r="A80" i="3" s="1"/>
  <c r="A82" i="3" s="1"/>
  <c r="A84" i="3" s="1"/>
  <c r="A86" i="3" s="1"/>
  <c r="A87" i="3" s="1"/>
  <c r="G25" i="24"/>
  <c r="K11" i="6"/>
  <c r="K15" i="6" s="1"/>
  <c r="H11" i="6"/>
  <c r="H15" i="6" s="1"/>
  <c r="G11" i="6"/>
  <c r="G15" i="6" s="1"/>
  <c r="G42" i="18"/>
  <c r="G15" i="18" s="1"/>
  <c r="J37" i="18"/>
  <c r="J11" i="6"/>
  <c r="J15" i="6" s="1"/>
  <c r="H25" i="24"/>
  <c r="H41" i="23"/>
  <c r="H43" i="23" s="1"/>
  <c r="L86" i="17"/>
  <c r="G33" i="16" s="1"/>
  <c r="A16" i="17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63" i="17" s="1"/>
  <c r="A64" i="17" s="1"/>
  <c r="A65" i="17" s="1"/>
  <c r="A66" i="17" s="1"/>
  <c r="A67" i="17" s="1"/>
  <c r="A68" i="17" s="1"/>
  <c r="A69" i="17" s="1"/>
  <c r="A70" i="17" s="1"/>
  <c r="A71" i="17" s="1"/>
  <c r="H32" i="27"/>
  <c r="G13" i="7"/>
  <c r="K21" i="7"/>
  <c r="J16" i="2"/>
  <c r="J11" i="23" s="1"/>
  <c r="G14" i="4"/>
  <c r="G11" i="2" s="1"/>
  <c r="A22" i="18"/>
  <c r="A23" i="18" s="1"/>
  <c r="A24" i="18" s="1"/>
  <c r="A26" i="18" s="1"/>
  <c r="A27" i="18" s="1"/>
  <c r="A28" i="18" s="1"/>
  <c r="A29" i="18" s="1"/>
  <c r="A30" i="18" s="1"/>
  <c r="A31" i="18" s="1"/>
  <c r="A32" i="18" s="1"/>
  <c r="A34" i="18" s="1"/>
  <c r="A35" i="18" s="1"/>
  <c r="A36" i="18" s="1"/>
  <c r="A37" i="18" s="1"/>
  <c r="A38" i="18" s="1"/>
  <c r="A39" i="18" s="1"/>
  <c r="A40" i="18" s="1"/>
  <c r="A42" i="18" s="1"/>
  <c r="J32" i="27"/>
  <c r="E59" i="13"/>
  <c r="H21" i="2"/>
  <c r="G21" i="2"/>
  <c r="G24" i="13"/>
  <c r="H21" i="7"/>
  <c r="H19" i="7"/>
  <c r="H16" i="2" s="1"/>
  <c r="H11" i="23" s="1"/>
  <c r="G14" i="3"/>
  <c r="G43" i="3"/>
  <c r="G44" i="3" s="1"/>
  <c r="G57" i="13"/>
  <c r="J33" i="13"/>
  <c r="J34" i="13"/>
  <c r="J57" i="14"/>
  <c r="G57" i="14"/>
  <c r="J42" i="13"/>
  <c r="J40" i="13"/>
  <c r="J38" i="13"/>
  <c r="J36" i="13"/>
  <c r="J48" i="13"/>
  <c r="J41" i="13"/>
  <c r="J39" i="13"/>
  <c r="J32" i="13"/>
  <c r="K13" i="20"/>
  <c r="I57" i="13"/>
  <c r="J56" i="13"/>
  <c r="J53" i="13"/>
  <c r="J50" i="13"/>
  <c r="J52" i="13"/>
  <c r="J46" i="13"/>
  <c r="H11" i="27"/>
  <c r="G43" i="13"/>
  <c r="J35" i="13"/>
  <c r="G21" i="26"/>
  <c r="I30" i="21"/>
  <c r="H15" i="20" s="1"/>
  <c r="H31" i="20" s="1"/>
  <c r="J24" i="24"/>
  <c r="J28" i="20"/>
  <c r="J29" i="6"/>
  <c r="J37" i="6" s="1"/>
  <c r="K28" i="20"/>
  <c r="J11" i="7"/>
  <c r="J51" i="13"/>
  <c r="J49" i="13"/>
  <c r="H28" i="20"/>
  <c r="K11" i="7"/>
  <c r="H30" i="21"/>
  <c r="G15" i="20" s="1"/>
  <c r="G31" i="20" s="1"/>
  <c r="G33" i="20" s="1"/>
  <c r="J26" i="20" s="1"/>
  <c r="M108" i="17"/>
  <c r="M166" i="17" s="1"/>
  <c r="L108" i="17"/>
  <c r="L166" i="17" s="1"/>
  <c r="H21" i="26"/>
  <c r="G12" i="27"/>
  <c r="J25" i="24"/>
  <c r="G16" i="24"/>
  <c r="J21" i="2"/>
  <c r="G37" i="22"/>
  <c r="J33" i="22" s="1"/>
  <c r="J37" i="22" s="1"/>
  <c r="M33" i="22" s="1"/>
  <c r="M34" i="22" s="1"/>
  <c r="K28" i="21"/>
  <c r="K21" i="21"/>
  <c r="L30" i="21"/>
  <c r="K15" i="20" s="1"/>
  <c r="K31" i="20" s="1"/>
  <c r="M28" i="17"/>
  <c r="N83" i="17"/>
  <c r="N109" i="17" s="1"/>
  <c r="K29" i="6"/>
  <c r="H29" i="6"/>
  <c r="H24" i="24"/>
  <c r="K10" i="23"/>
  <c r="H12" i="27"/>
  <c r="K44" i="3"/>
  <c r="K19" i="2"/>
  <c r="K24" i="24" s="1"/>
  <c r="G25" i="25"/>
  <c r="J21" i="26"/>
  <c r="G58" i="3"/>
  <c r="G63" i="3"/>
  <c r="G51" i="3"/>
  <c r="H58" i="3"/>
  <c r="J51" i="3"/>
  <c r="K58" i="3"/>
  <c r="J58" i="3"/>
  <c r="G16" i="25"/>
  <c r="J11" i="25" s="1"/>
  <c r="H40" i="18"/>
  <c r="R38" i="24"/>
  <c r="J38" i="24"/>
  <c r="M38" i="24" s="1"/>
  <c r="P38" i="24" s="1"/>
  <c r="G16" i="13"/>
  <c r="H11" i="7"/>
  <c r="J44" i="3"/>
  <c r="H44" i="3"/>
  <c r="H14" i="4"/>
  <c r="H11" i="2" s="1"/>
  <c r="K14" i="4"/>
  <c r="K11" i="2" s="1"/>
  <c r="J14" i="4"/>
  <c r="H33" i="20" l="1"/>
  <c r="K26" i="20" s="1"/>
  <c r="M84" i="17"/>
  <c r="M85" i="17" s="1"/>
  <c r="G39" i="26"/>
  <c r="G41" i="26" s="1"/>
  <c r="G41" i="23"/>
  <c r="G43" i="23" s="1"/>
  <c r="H33" i="6"/>
  <c r="M29" i="24"/>
  <c r="M21" i="27"/>
  <c r="M32" i="27" s="1"/>
  <c r="H25" i="25"/>
  <c r="K20" i="25" s="1"/>
  <c r="J20" i="25"/>
  <c r="J25" i="25" s="1"/>
  <c r="M20" i="25" s="1"/>
  <c r="K37" i="6"/>
  <c r="K35" i="6"/>
  <c r="K33" i="6"/>
  <c r="J35" i="6"/>
  <c r="J33" i="6"/>
  <c r="J17" i="6"/>
  <c r="H39" i="26"/>
  <c r="H33" i="24"/>
  <c r="M86" i="17"/>
  <c r="N86" i="17" s="1"/>
  <c r="M33" i="16" s="1"/>
  <c r="A72" i="17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G21" i="7"/>
  <c r="G32" i="18"/>
  <c r="E61" i="13"/>
  <c r="H17" i="27"/>
  <c r="H34" i="27" s="1"/>
  <c r="H36" i="27" s="1"/>
  <c r="H38" i="27" s="1"/>
  <c r="J39" i="24"/>
  <c r="G40" i="24"/>
  <c r="H35" i="6"/>
  <c r="H17" i="6"/>
  <c r="M110" i="17"/>
  <c r="M111" i="17" s="1"/>
  <c r="M141" i="17" s="1"/>
  <c r="G59" i="13"/>
  <c r="G33" i="24"/>
  <c r="G13" i="20"/>
  <c r="G16" i="20" s="1"/>
  <c r="J57" i="13"/>
  <c r="J11" i="27"/>
  <c r="J17" i="27" s="1"/>
  <c r="J34" i="27" s="1"/>
  <c r="J36" i="27" s="1"/>
  <c r="J38" i="27" s="1"/>
  <c r="J41" i="23"/>
  <c r="J43" i="23" s="1"/>
  <c r="K41" i="23"/>
  <c r="K43" i="23" s="1"/>
  <c r="K11" i="27"/>
  <c r="K21" i="2"/>
  <c r="K14" i="27"/>
  <c r="G11" i="27"/>
  <c r="G24" i="24"/>
  <c r="K30" i="21"/>
  <c r="J15" i="20" s="1"/>
  <c r="J31" i="20" s="1"/>
  <c r="L141" i="17"/>
  <c r="L142" i="17" s="1"/>
  <c r="G63" i="16" s="1"/>
  <c r="L110" i="17"/>
  <c r="L111" i="17" s="1"/>
  <c r="G43" i="16" s="1"/>
  <c r="N108" i="17"/>
  <c r="N140" i="17" s="1"/>
  <c r="H37" i="6"/>
  <c r="N165" i="17"/>
  <c r="M228" i="17"/>
  <c r="J15" i="24"/>
  <c r="H16" i="24"/>
  <c r="L30" i="17"/>
  <c r="L31" i="17" s="1"/>
  <c r="G13" i="16" s="1"/>
  <c r="L167" i="17"/>
  <c r="L168" i="17" s="1"/>
  <c r="G73" i="16" s="1"/>
  <c r="K17" i="6"/>
  <c r="K9" i="23"/>
  <c r="K13" i="23" s="1"/>
  <c r="K15" i="23" s="1"/>
  <c r="G27" i="25"/>
  <c r="G31" i="19" s="1"/>
  <c r="J32" i="19" s="1"/>
  <c r="G13" i="19"/>
  <c r="G15" i="19" s="1"/>
  <c r="J40" i="18"/>
  <c r="M37" i="18" s="1"/>
  <c r="H42" i="18"/>
  <c r="H15" i="18" s="1"/>
  <c r="H16" i="25"/>
  <c r="K66" i="3"/>
  <c r="K70" i="3" s="1"/>
  <c r="K74" i="3" s="1"/>
  <c r="K64" i="3"/>
  <c r="H64" i="3"/>
  <c r="H66" i="3"/>
  <c r="J64" i="3"/>
  <c r="J66" i="3"/>
  <c r="J70" i="3" s="1"/>
  <c r="J74" i="3" s="1"/>
  <c r="J10" i="2" s="1"/>
  <c r="G66" i="3"/>
  <c r="G64" i="3"/>
  <c r="J11" i="2"/>
  <c r="K10" i="24" l="1"/>
  <c r="K10" i="2"/>
  <c r="H70" i="3"/>
  <c r="H74" i="3" s="1"/>
  <c r="M200" i="17"/>
  <c r="M201" i="17" s="1"/>
  <c r="M142" i="17"/>
  <c r="G70" i="3"/>
  <c r="G74" i="3" s="1"/>
  <c r="K12" i="2"/>
  <c r="H13" i="20"/>
  <c r="H16" i="20" s="1"/>
  <c r="H41" i="26"/>
  <c r="J39" i="26"/>
  <c r="J33" i="24"/>
  <c r="G17" i="27"/>
  <c r="G34" i="27" s="1"/>
  <c r="G36" i="27" s="1"/>
  <c r="G38" i="27" s="1"/>
  <c r="H27" i="25"/>
  <c r="H31" i="19" s="1"/>
  <c r="K32" i="19" s="1"/>
  <c r="K11" i="25"/>
  <c r="K25" i="25"/>
  <c r="N20" i="25" s="1"/>
  <c r="G34" i="18"/>
  <c r="J29" i="18"/>
  <c r="K12" i="24"/>
  <c r="N29" i="17"/>
  <c r="A95" i="17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H32" i="18"/>
  <c r="H34" i="18" s="1"/>
  <c r="N142" i="17"/>
  <c r="M63" i="16" s="1"/>
  <c r="H40" i="24"/>
  <c r="G39" i="22"/>
  <c r="G22" i="22" s="1"/>
  <c r="K39" i="6"/>
  <c r="H9" i="23"/>
  <c r="H13" i="23" s="1"/>
  <c r="H15" i="23" s="1"/>
  <c r="J39" i="6"/>
  <c r="K40" i="24"/>
  <c r="J40" i="24"/>
  <c r="M39" i="24"/>
  <c r="K16" i="24"/>
  <c r="J16" i="24"/>
  <c r="M15" i="24"/>
  <c r="J23" i="2"/>
  <c r="J26" i="24" s="1"/>
  <c r="G18" i="20"/>
  <c r="J11" i="20" s="1"/>
  <c r="H37" i="22"/>
  <c r="K33" i="22" s="1"/>
  <c r="H39" i="6"/>
  <c r="K17" i="27"/>
  <c r="K34" i="27" s="1"/>
  <c r="K36" i="27" s="1"/>
  <c r="K38" i="27" s="1"/>
  <c r="N111" i="17"/>
  <c r="M43" i="16" s="1"/>
  <c r="L201" i="17"/>
  <c r="N28" i="17"/>
  <c r="H23" i="2"/>
  <c r="H26" i="24" s="1"/>
  <c r="G33" i="19"/>
  <c r="G35" i="19" s="1"/>
  <c r="H13" i="19"/>
  <c r="H15" i="19" s="1"/>
  <c r="J16" i="25"/>
  <c r="M11" i="25" s="1"/>
  <c r="J42" i="18"/>
  <c r="J15" i="18" s="1"/>
  <c r="K40" i="18"/>
  <c r="J10" i="24"/>
  <c r="J12" i="24" s="1"/>
  <c r="J12" i="2"/>
  <c r="H10" i="2" l="1"/>
  <c r="H12" i="2" s="1"/>
  <c r="H10" i="24"/>
  <c r="H12" i="24" s="1"/>
  <c r="H18" i="24" s="1"/>
  <c r="G10" i="2"/>
  <c r="G12" i="2" s="1"/>
  <c r="G10" i="24"/>
  <c r="G12" i="24" s="1"/>
  <c r="G18" i="24" s="1"/>
  <c r="J13" i="20"/>
  <c r="J16" i="20" s="1"/>
  <c r="J41" i="26"/>
  <c r="G23" i="2"/>
  <c r="G26" i="24" s="1"/>
  <c r="H18" i="20"/>
  <c r="K11" i="20" s="1"/>
  <c r="N201" i="17"/>
  <c r="M83" i="16" s="1"/>
  <c r="G83" i="16"/>
  <c r="J32" i="18"/>
  <c r="A135" i="17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I19" i="13"/>
  <c r="J19" i="13" s="1"/>
  <c r="K18" i="24"/>
  <c r="G24" i="18"/>
  <c r="G26" i="18" s="1"/>
  <c r="J33" i="20"/>
  <c r="K23" i="2"/>
  <c r="N16" i="24"/>
  <c r="N18" i="24" s="1"/>
  <c r="R15" i="24"/>
  <c r="R16" i="24" s="1"/>
  <c r="J18" i="24"/>
  <c r="N40" i="24"/>
  <c r="R39" i="24"/>
  <c r="R40" i="24" s="1"/>
  <c r="P15" i="24"/>
  <c r="P16" i="24" s="1"/>
  <c r="M16" i="24"/>
  <c r="M18" i="24" s="1"/>
  <c r="P39" i="24"/>
  <c r="P40" i="24" s="1"/>
  <c r="M40" i="24"/>
  <c r="H24" i="2"/>
  <c r="G22" i="20"/>
  <c r="G10" i="19" s="1"/>
  <c r="G18" i="19" s="1"/>
  <c r="J19" i="19" s="1"/>
  <c r="H39" i="22"/>
  <c r="H22" i="22" s="1"/>
  <c r="K42" i="18"/>
  <c r="K15" i="18" s="1"/>
  <c r="M40" i="18"/>
  <c r="P37" i="18" s="1"/>
  <c r="N228" i="17"/>
  <c r="M93" i="16" s="1"/>
  <c r="M30" i="17"/>
  <c r="M31" i="17" s="1"/>
  <c r="N31" i="17" s="1"/>
  <c r="N166" i="17"/>
  <c r="M167" i="17"/>
  <c r="M168" i="17" s="1"/>
  <c r="N168" i="17" s="1"/>
  <c r="M73" i="16" s="1"/>
  <c r="H33" i="19"/>
  <c r="H35" i="19" s="1"/>
  <c r="K32" i="18"/>
  <c r="K16" i="25"/>
  <c r="N11" i="25" s="1"/>
  <c r="J27" i="25"/>
  <c r="H22" i="20" l="1"/>
  <c r="H10" i="19" s="1"/>
  <c r="H18" i="19" s="1"/>
  <c r="K19" i="19" s="1"/>
  <c r="K24" i="2"/>
  <c r="K21" i="24" s="1"/>
  <c r="K26" i="24"/>
  <c r="K33" i="20"/>
  <c r="N26" i="20" s="1"/>
  <c r="M26" i="20"/>
  <c r="M33" i="20" s="1"/>
  <c r="J34" i="18"/>
  <c r="M29" i="18"/>
  <c r="M32" i="18" s="1"/>
  <c r="H21" i="24"/>
  <c r="H34" i="24" s="1"/>
  <c r="H36" i="24" s="1"/>
  <c r="H42" i="24" s="1"/>
  <c r="H44" i="24" s="1"/>
  <c r="A157" i="17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M13" i="16"/>
  <c r="G17" i="18"/>
  <c r="G17" i="16" s="1"/>
  <c r="G19" i="16" s="1"/>
  <c r="I11" i="13"/>
  <c r="H24" i="18"/>
  <c r="H26" i="18" s="1"/>
  <c r="H13" i="18" s="1"/>
  <c r="H17" i="18" s="1"/>
  <c r="G27" i="16" s="1"/>
  <c r="G29" i="16" s="1"/>
  <c r="J13" i="19"/>
  <c r="J15" i="19" s="1"/>
  <c r="G20" i="19"/>
  <c r="G22" i="19" s="1"/>
  <c r="G36" i="20"/>
  <c r="J18" i="20"/>
  <c r="M11" i="20" s="1"/>
  <c r="J39" i="22"/>
  <c r="J22" i="22" s="1"/>
  <c r="K37" i="22"/>
  <c r="N33" i="22" s="1"/>
  <c r="K34" i="18"/>
  <c r="M42" i="18"/>
  <c r="M15" i="18" s="1"/>
  <c r="N40" i="18"/>
  <c r="K27" i="25"/>
  <c r="M16" i="25"/>
  <c r="P11" i="25" s="1"/>
  <c r="J31" i="19"/>
  <c r="M32" i="19" s="1"/>
  <c r="H36" i="20"/>
  <c r="K13" i="19" l="1"/>
  <c r="K15" i="19" s="1"/>
  <c r="I13" i="16"/>
  <c r="I15" i="16"/>
  <c r="I17" i="16"/>
  <c r="J21" i="18"/>
  <c r="J24" i="18" s="1"/>
  <c r="M21" i="18" s="1"/>
  <c r="I27" i="16"/>
  <c r="I23" i="16"/>
  <c r="I25" i="16"/>
  <c r="J22" i="20"/>
  <c r="I22" i="13"/>
  <c r="J22" i="13" s="1"/>
  <c r="I21" i="13"/>
  <c r="J21" i="13" s="1"/>
  <c r="I23" i="13"/>
  <c r="J23" i="13" s="1"/>
  <c r="N16" i="25"/>
  <c r="K39" i="22"/>
  <c r="K22" i="22" s="1"/>
  <c r="M37" i="22"/>
  <c r="P33" i="22" s="1"/>
  <c r="N42" i="18"/>
  <c r="N15" i="18" s="1"/>
  <c r="P40" i="18"/>
  <c r="K31" i="19"/>
  <c r="N32" i="19" s="1"/>
  <c r="J33" i="19"/>
  <c r="J35" i="19" s="1"/>
  <c r="M34" i="18"/>
  <c r="N32" i="18"/>
  <c r="H20" i="19"/>
  <c r="H22" i="19" s="1"/>
  <c r="I19" i="16" l="1"/>
  <c r="I29" i="16"/>
  <c r="J26" i="18"/>
  <c r="J13" i="18" s="1"/>
  <c r="J17" i="18" s="1"/>
  <c r="G37" i="16" s="1"/>
  <c r="K24" i="18"/>
  <c r="I20" i="13"/>
  <c r="H24" i="13"/>
  <c r="J10" i="19"/>
  <c r="J18" i="19" s="1"/>
  <c r="M19" i="19" s="1"/>
  <c r="K16" i="20"/>
  <c r="K18" i="20" s="1"/>
  <c r="N11" i="20" s="1"/>
  <c r="J36" i="20"/>
  <c r="N37" i="22"/>
  <c r="M39" i="22"/>
  <c r="M22" i="22" s="1"/>
  <c r="K33" i="19"/>
  <c r="K35" i="19" s="1"/>
  <c r="N34" i="18"/>
  <c r="P29" i="18"/>
  <c r="P32" i="18" s="1"/>
  <c r="P42" i="18"/>
  <c r="P15" i="18" s="1"/>
  <c r="R37" i="18"/>
  <c r="R40" i="18" s="1"/>
  <c r="R42" i="18" l="1"/>
  <c r="R15" i="18" s="1"/>
  <c r="K22" i="20"/>
  <c r="K10" i="19" s="1"/>
  <c r="K18" i="19" s="1"/>
  <c r="K26" i="18"/>
  <c r="K13" i="18" s="1"/>
  <c r="K17" i="18" s="1"/>
  <c r="G47" i="16" s="1"/>
  <c r="G39" i="16"/>
  <c r="I37" i="16" s="1"/>
  <c r="M24" i="18"/>
  <c r="J20" i="13"/>
  <c r="J24" i="13" s="1"/>
  <c r="I24" i="13"/>
  <c r="J20" i="19"/>
  <c r="J22" i="19" s="1"/>
  <c r="M18" i="20"/>
  <c r="P11" i="20" s="1"/>
  <c r="N39" i="22"/>
  <c r="N22" i="22" s="1"/>
  <c r="P37" i="22"/>
  <c r="P34" i="18"/>
  <c r="P14" i="18" s="1"/>
  <c r="R29" i="18"/>
  <c r="R32" i="18" s="1"/>
  <c r="R34" i="18" s="1"/>
  <c r="R14" i="18" s="1"/>
  <c r="K36" i="20" l="1"/>
  <c r="M22" i="20"/>
  <c r="I35" i="16"/>
  <c r="I33" i="16"/>
  <c r="M26" i="18"/>
  <c r="M13" i="18" s="1"/>
  <c r="M17" i="18" s="1"/>
  <c r="G67" i="16" s="1"/>
  <c r="G49" i="16"/>
  <c r="I47" i="16" s="1"/>
  <c r="N24" i="18"/>
  <c r="P21" i="18" s="1"/>
  <c r="N18" i="20"/>
  <c r="N22" i="20" s="1"/>
  <c r="N10" i="19" s="1"/>
  <c r="P39" i="22"/>
  <c r="P22" i="22" s="1"/>
  <c r="R33" i="22"/>
  <c r="M10" i="19" l="1"/>
  <c r="R35" i="22"/>
  <c r="N19" i="19"/>
  <c r="K20" i="19"/>
  <c r="K22" i="19" s="1"/>
  <c r="N26" i="18"/>
  <c r="N13" i="18" s="1"/>
  <c r="N17" i="18" s="1"/>
  <c r="G77" i="16" s="1"/>
  <c r="P24" i="18"/>
  <c r="R21" i="18" s="1"/>
  <c r="R24" i="18" s="1"/>
  <c r="R26" i="18" s="1"/>
  <c r="R13" i="18" s="1"/>
  <c r="R17" i="18" s="1"/>
  <c r="G97" i="16" s="1"/>
  <c r="I45" i="16"/>
  <c r="I43" i="16"/>
  <c r="I39" i="16"/>
  <c r="R12" i="22" l="1"/>
  <c r="R19" i="22" s="1"/>
  <c r="R30" i="24"/>
  <c r="R37" i="22"/>
  <c r="I49" i="16"/>
  <c r="P26" i="18"/>
  <c r="P13" i="18" s="1"/>
  <c r="P17" i="18" s="1"/>
  <c r="G87" i="16" s="1"/>
  <c r="R39" i="22" l="1"/>
  <c r="R22" i="22" s="1"/>
  <c r="R21" i="2"/>
  <c r="R14" i="27"/>
  <c r="M12" i="2"/>
  <c r="P26" i="20" l="1"/>
  <c r="M36" i="20"/>
  <c r="M13" i="19"/>
  <c r="M15" i="19" s="1"/>
  <c r="M18" i="19" s="1"/>
  <c r="P19" i="19" s="1"/>
  <c r="M20" i="19" l="1"/>
  <c r="M22" i="19" s="1"/>
  <c r="A62" i="34" l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G99" i="16"/>
  <c r="A103" i="34" l="1"/>
  <c r="A112" i="34" s="1"/>
  <c r="I95" i="16"/>
  <c r="G69" i="16"/>
  <c r="I65" i="16" s="1"/>
  <c r="G79" i="16"/>
  <c r="I93" i="16"/>
  <c r="I97" i="16"/>
  <c r="I75" i="16" l="1"/>
  <c r="I73" i="16"/>
  <c r="I77" i="16"/>
  <c r="I99" i="16"/>
  <c r="I67" i="16"/>
  <c r="I63" i="16"/>
  <c r="I69" i="16" l="1"/>
  <c r="I79" i="16"/>
  <c r="M25" i="25" l="1"/>
  <c r="M12" i="27"/>
  <c r="P20" i="25" l="1"/>
  <c r="M27" i="25"/>
  <c r="M31" i="19" s="1"/>
  <c r="P32" i="19" s="1"/>
  <c r="M17" i="27"/>
  <c r="N20" i="2"/>
  <c r="N25" i="25"/>
  <c r="N12" i="27" l="1"/>
  <c r="N25" i="24"/>
  <c r="M33" i="19"/>
  <c r="M35" i="19" s="1"/>
  <c r="N27" i="25"/>
  <c r="N31" i="19" s="1"/>
  <c r="N33" i="19" l="1"/>
  <c r="N35" i="19" s="1"/>
  <c r="N40" i="8" l="1"/>
  <c r="N13" i="7" s="1"/>
  <c r="N19" i="7" l="1"/>
  <c r="N16" i="2" s="1"/>
  <c r="N11" i="23" s="1"/>
  <c r="N21" i="7" l="1"/>
  <c r="R25" i="6"/>
  <c r="R27" i="6" s="1"/>
  <c r="R10" i="5" s="1"/>
  <c r="R21" i="5" s="1"/>
  <c r="R11" i="7"/>
  <c r="R29" i="6" l="1"/>
  <c r="N12" i="5"/>
  <c r="N27" i="6" s="1"/>
  <c r="R35" i="6" l="1"/>
  <c r="R33" i="6"/>
  <c r="R37" i="6"/>
  <c r="N26" i="5"/>
  <c r="R12" i="5"/>
  <c r="N15" i="2" l="1"/>
  <c r="N10" i="23" s="1"/>
  <c r="N13" i="23" s="1"/>
  <c r="N15" i="23" s="1"/>
  <c r="R39" i="6"/>
  <c r="A113" i="34" l="1"/>
  <c r="A114" i="34" s="1"/>
  <c r="A115" i="34" s="1"/>
  <c r="A116" i="34" s="1"/>
  <c r="A117" i="34" s="1"/>
  <c r="K34" i="24" l="1"/>
  <c r="K36" i="24" s="1"/>
  <c r="K42" i="24" s="1"/>
  <c r="K44" i="24" s="1"/>
  <c r="H27" i="23" l="1"/>
  <c r="K27" i="23"/>
  <c r="J11" i="13" l="1"/>
  <c r="I13" i="13" l="1"/>
  <c r="J13" i="13" s="1"/>
  <c r="I14" i="13"/>
  <c r="J14" i="13" s="1"/>
  <c r="I15" i="13"/>
  <c r="J15" i="13" s="1"/>
  <c r="I11" i="14" l="1"/>
  <c r="I12" i="13"/>
  <c r="H16" i="13"/>
  <c r="G11" i="14"/>
  <c r="E16" i="14" l="1"/>
  <c r="J12" i="13"/>
  <c r="J16" i="13" s="1"/>
  <c r="I16" i="13"/>
  <c r="G16" i="14"/>
  <c r="J15" i="14"/>
  <c r="J13" i="14"/>
  <c r="J12" i="14" l="1"/>
  <c r="J14" i="14"/>
  <c r="H16" i="14" l="1"/>
  <c r="J11" i="14" l="1"/>
  <c r="I16" i="14"/>
  <c r="J16" i="14" l="1"/>
  <c r="I31" i="13" l="1"/>
  <c r="H43" i="13"/>
  <c r="I43" i="13" l="1"/>
  <c r="J31" i="13"/>
  <c r="J43" i="13" s="1"/>
  <c r="E43" i="14"/>
  <c r="G43" i="14" l="1"/>
  <c r="J33" i="14" l="1"/>
  <c r="J36" i="14"/>
  <c r="J32" i="14"/>
  <c r="H43" i="14"/>
  <c r="J34" i="14"/>
  <c r="J42" i="14"/>
  <c r="J39" i="14"/>
  <c r="J35" i="14"/>
  <c r="I43" i="14" l="1"/>
  <c r="J31" i="14"/>
  <c r="J43" i="14" l="1"/>
  <c r="H28" i="13" l="1"/>
  <c r="H59" i="13" s="1"/>
  <c r="I27" i="13"/>
  <c r="I28" i="13" s="1"/>
  <c r="I59" i="13" s="1"/>
  <c r="E28" i="14" l="1"/>
  <c r="J27" i="13"/>
  <c r="G28" i="14" l="1"/>
  <c r="J27" i="14"/>
  <c r="J28" i="13"/>
  <c r="J59" i="13" s="1"/>
  <c r="P9" i="12" s="1"/>
  <c r="N13" i="12" l="1"/>
  <c r="J28" i="14"/>
  <c r="N28" i="20" l="1"/>
  <c r="N33" i="20" s="1"/>
  <c r="N19" i="2"/>
  <c r="N13" i="19" l="1"/>
  <c r="N15" i="19" s="1"/>
  <c r="N18" i="19" s="1"/>
  <c r="N36" i="20"/>
  <c r="N24" i="24"/>
  <c r="N41" i="23"/>
  <c r="N43" i="23" s="1"/>
  <c r="N11" i="27"/>
  <c r="N17" i="27" l="1"/>
  <c r="N20" i="19"/>
  <c r="N22" i="19" s="1"/>
  <c r="N34" i="27" l="1"/>
  <c r="N36" i="27" l="1"/>
  <c r="N38" i="27" l="1"/>
  <c r="N23" i="23" l="1"/>
  <c r="P19" i="23"/>
  <c r="N23" i="2"/>
  <c r="N26" i="24" l="1"/>
  <c r="N24" i="2"/>
  <c r="N21" i="24" l="1"/>
  <c r="N34" i="24" s="1"/>
  <c r="N36" i="24" s="1"/>
  <c r="N42" i="24" s="1"/>
  <c r="N44" i="24" s="1"/>
  <c r="N27" i="23" s="1"/>
  <c r="E24" i="14"/>
  <c r="E59" i="14" l="1"/>
  <c r="E61" i="14" s="1"/>
  <c r="G24" i="14"/>
  <c r="G59" i="14" s="1"/>
  <c r="J21" i="14" l="1"/>
  <c r="J22" i="14"/>
  <c r="J20" i="14"/>
  <c r="J23" i="14"/>
  <c r="H24" i="14" l="1"/>
  <c r="H59" i="14" l="1"/>
  <c r="I24" i="14"/>
  <c r="I59" i="14" s="1"/>
  <c r="J19" i="14"/>
  <c r="J24" i="14" l="1"/>
  <c r="J59" i="14" s="1"/>
  <c r="P13" i="12" l="1"/>
  <c r="R9" i="12"/>
  <c r="R13" i="12" s="1"/>
  <c r="P28" i="20" l="1"/>
  <c r="P19" i="2"/>
  <c r="P11" i="27" l="1"/>
  <c r="P24" i="24"/>
  <c r="P23" i="23"/>
  <c r="R28" i="20" l="1"/>
  <c r="R19" i="2"/>
  <c r="R24" i="24" l="1"/>
  <c r="R11" i="27"/>
  <c r="R19" i="23" l="1"/>
  <c r="R23" i="23" l="1"/>
  <c r="G51" i="22" l="1"/>
  <c r="G54" i="22" s="1"/>
  <c r="H54" i="22"/>
  <c r="H56" i="22" l="1"/>
  <c r="H24" i="22" s="1"/>
  <c r="K51" i="22"/>
  <c r="H30" i="22"/>
  <c r="H24" i="19" s="1"/>
  <c r="H27" i="19" s="1"/>
  <c r="H36" i="19" s="1"/>
  <c r="K29" i="16" s="1"/>
  <c r="G56" i="22"/>
  <c r="G24" i="22" s="1"/>
  <c r="J51" i="22"/>
  <c r="J54" i="22" s="1"/>
  <c r="M51" i="22" s="1"/>
  <c r="M29" i="16" l="1"/>
  <c r="K25" i="16"/>
  <c r="K27" i="16"/>
  <c r="O27" i="16" s="1"/>
  <c r="K23" i="16"/>
  <c r="O23" i="16" s="1"/>
  <c r="G30" i="22"/>
  <c r="G24" i="19" s="1"/>
  <c r="J56" i="22"/>
  <c r="J24" i="22" s="1"/>
  <c r="M54" i="22"/>
  <c r="M56" i="22" l="1"/>
  <c r="M24" i="22" s="1"/>
  <c r="P51" i="22"/>
  <c r="O25" i="16"/>
  <c r="M25" i="16" s="1"/>
  <c r="H29" i="23"/>
  <c r="H31" i="23" s="1"/>
  <c r="K54" i="22"/>
  <c r="M30" i="22"/>
  <c r="M24" i="19" s="1"/>
  <c r="M27" i="19" s="1"/>
  <c r="M36" i="19" s="1"/>
  <c r="K69" i="16" s="1"/>
  <c r="J30" i="22"/>
  <c r="J24" i="19" s="1"/>
  <c r="J27" i="19" s="1"/>
  <c r="J36" i="19" s="1"/>
  <c r="K39" i="16" s="1"/>
  <c r="H33" i="23"/>
  <c r="P54" i="22" l="1"/>
  <c r="P56" i="22" s="1"/>
  <c r="K56" i="22"/>
  <c r="K24" i="22" s="1"/>
  <c r="N51" i="22"/>
  <c r="N54" i="22" s="1"/>
  <c r="N56" i="22" s="1"/>
  <c r="N24" i="22" s="1"/>
  <c r="K35" i="16"/>
  <c r="K33" i="16"/>
  <c r="O33" i="16" s="1"/>
  <c r="K37" i="16"/>
  <c r="O37" i="16" s="1"/>
  <c r="K65" i="16"/>
  <c r="M69" i="16"/>
  <c r="K63" i="16"/>
  <c r="O63" i="16" s="1"/>
  <c r="M29" i="23" s="1"/>
  <c r="M31" i="23" s="1"/>
  <c r="K67" i="16"/>
  <c r="O67" i="16" s="1"/>
  <c r="K30" i="22"/>
  <c r="K24" i="19" s="1"/>
  <c r="K27" i="19" s="1"/>
  <c r="K36" i="19" s="1"/>
  <c r="K49" i="16" s="1"/>
  <c r="K43" i="16" s="1"/>
  <c r="O43" i="16" s="1"/>
  <c r="H35" i="23"/>
  <c r="H37" i="23"/>
  <c r="H39" i="23" s="1"/>
  <c r="M39" i="16"/>
  <c r="R51" i="22"/>
  <c r="O65" i="16" l="1"/>
  <c r="M65" i="16" s="1"/>
  <c r="M49" i="16"/>
  <c r="K45" i="16"/>
  <c r="N30" i="22"/>
  <c r="N24" i="19" s="1"/>
  <c r="N27" i="19" s="1"/>
  <c r="N36" i="19" s="1"/>
  <c r="K79" i="16" s="1"/>
  <c r="K47" i="16"/>
  <c r="O47" i="16" s="1"/>
  <c r="O45" i="16" s="1"/>
  <c r="P24" i="22"/>
  <c r="K29" i="23"/>
  <c r="K31" i="23" s="1"/>
  <c r="R54" i="22"/>
  <c r="R56" i="22" s="1"/>
  <c r="R24" i="22" s="1"/>
  <c r="J29" i="23"/>
  <c r="J31" i="23" s="1"/>
  <c r="O35" i="16"/>
  <c r="M33" i="23"/>
  <c r="M34" i="27" l="1"/>
  <c r="M36" i="27" s="1"/>
  <c r="M38" i="27" s="1"/>
  <c r="K75" i="16"/>
  <c r="K77" i="16"/>
  <c r="O77" i="16" s="1"/>
  <c r="M79" i="16"/>
  <c r="K73" i="16"/>
  <c r="O73" i="16" s="1"/>
  <c r="M35" i="23"/>
  <c r="M37" i="23"/>
  <c r="M39" i="23" s="1"/>
  <c r="M35" i="16"/>
  <c r="J33" i="23"/>
  <c r="K33" i="23"/>
  <c r="M45" i="16"/>
  <c r="N29" i="23" l="1"/>
  <c r="N31" i="23" s="1"/>
  <c r="O75" i="16"/>
  <c r="M75" i="16" s="1"/>
  <c r="M23" i="2"/>
  <c r="M26" i="24" s="1"/>
  <c r="J35" i="23"/>
  <c r="J37" i="23"/>
  <c r="J39" i="23" s="1"/>
  <c r="K35" i="23"/>
  <c r="K37" i="23"/>
  <c r="K39" i="23" s="1"/>
  <c r="N33" i="23" l="1"/>
  <c r="N35" i="23" s="1"/>
  <c r="N37" i="23" l="1"/>
  <c r="N39" i="23" s="1"/>
  <c r="P19" i="7"/>
  <c r="P16" i="2" s="1"/>
  <c r="P11" i="23" l="1"/>
  <c r="M40" i="8" l="1"/>
  <c r="M13" i="7" s="1"/>
  <c r="M21" i="7" l="1"/>
  <c r="M11" i="7"/>
  <c r="G97" i="34" l="1"/>
  <c r="G80" i="34"/>
  <c r="G36" i="34"/>
  <c r="G63" i="34"/>
  <c r="G48" i="34"/>
  <c r="G42" i="34"/>
  <c r="G90" i="34"/>
  <c r="I90" i="34" l="1"/>
  <c r="I97" i="34"/>
  <c r="I80" i="34"/>
  <c r="I63" i="34"/>
  <c r="I36" i="34"/>
  <c r="I42" i="34"/>
  <c r="I48" i="34"/>
  <c r="G114" i="34"/>
  <c r="I114" i="34"/>
  <c r="I71" i="34"/>
  <c r="I28" i="34"/>
  <c r="I19" i="34"/>
  <c r="G71" i="34"/>
  <c r="G28" i="34"/>
  <c r="G19" i="34"/>
  <c r="J31" i="9"/>
  <c r="J35" i="9"/>
  <c r="G55" i="9"/>
  <c r="G15" i="9"/>
  <c r="G11" i="34"/>
  <c r="J44" i="9"/>
  <c r="G31" i="9"/>
  <c r="G26" i="9"/>
  <c r="J15" i="9"/>
  <c r="I11" i="34"/>
  <c r="J55" i="9"/>
  <c r="J26" i="9"/>
  <c r="G35" i="9"/>
  <c r="G44" i="9"/>
  <c r="G57" i="9" l="1"/>
  <c r="G17" i="2" s="1"/>
  <c r="J57" i="9"/>
  <c r="J17" i="2" s="1"/>
  <c r="G9" i="23" l="1"/>
  <c r="J9" i="23"/>
  <c r="J13" i="23" s="1"/>
  <c r="J15" i="23" s="1"/>
  <c r="J24" i="2"/>
  <c r="J21" i="24" l="1"/>
  <c r="J34" i="24" s="1"/>
  <c r="J36" i="24" s="1"/>
  <c r="J42" i="24" s="1"/>
  <c r="J44" i="24" s="1"/>
  <c r="J27" i="23" s="1"/>
  <c r="K90" i="34" l="1"/>
  <c r="K11" i="34"/>
  <c r="K80" i="34" l="1"/>
  <c r="K42" i="34"/>
  <c r="K97" i="34"/>
  <c r="K48" i="34"/>
  <c r="K63" i="34"/>
  <c r="K36" i="34"/>
  <c r="M31" i="9"/>
  <c r="K114" i="34"/>
  <c r="K71" i="34"/>
  <c r="K28" i="34"/>
  <c r="K19" i="34"/>
  <c r="M15" i="9"/>
  <c r="M26" i="9"/>
  <c r="M55" i="9"/>
  <c r="M44" i="9"/>
  <c r="M35" i="9"/>
  <c r="M57" i="9" l="1"/>
  <c r="M17" i="2" l="1"/>
  <c r="M9" i="23" s="1"/>
  <c r="O80" i="34" l="1"/>
  <c r="M80" i="34"/>
  <c r="R14" i="4"/>
  <c r="R11" i="2" s="1"/>
  <c r="P14" i="4"/>
  <c r="P11" i="2" s="1"/>
  <c r="R35" i="9" l="1"/>
  <c r="O48" i="34"/>
  <c r="M42" i="34"/>
  <c r="M63" i="34"/>
  <c r="O90" i="34"/>
  <c r="O36" i="34"/>
  <c r="M90" i="34"/>
  <c r="O42" i="34"/>
  <c r="M36" i="34"/>
  <c r="M48" i="34"/>
  <c r="O97" i="34"/>
  <c r="M97" i="34"/>
  <c r="O63" i="34"/>
  <c r="O71" i="34"/>
  <c r="O114" i="34"/>
  <c r="O28" i="34"/>
  <c r="P31" i="9"/>
  <c r="R26" i="9"/>
  <c r="M71" i="34"/>
  <c r="R44" i="9"/>
  <c r="M19" i="34"/>
  <c r="M28" i="34"/>
  <c r="R31" i="9"/>
  <c r="R15" i="9"/>
  <c r="O11" i="34"/>
  <c r="P26" i="9"/>
  <c r="O19" i="34"/>
  <c r="P15" i="9" l="1"/>
  <c r="M11" i="34"/>
  <c r="M114" i="34"/>
  <c r="P44" i="9"/>
  <c r="R57" i="9"/>
  <c r="P35" i="9"/>
  <c r="P57" i="9" l="1"/>
  <c r="R17" i="2"/>
  <c r="R9" i="23" l="1"/>
  <c r="P17" i="2"/>
  <c r="P9" i="23" l="1"/>
  <c r="R22" i="5" l="1"/>
  <c r="R26" i="5" l="1"/>
  <c r="R15" i="2" s="1"/>
  <c r="R10" i="23" s="1"/>
  <c r="M13" i="23"/>
  <c r="M15" i="23" s="1"/>
  <c r="M24" i="2"/>
  <c r="P22" i="5"/>
  <c r="M21" i="24" l="1"/>
  <c r="M34" i="24" s="1"/>
  <c r="M36" i="24" s="1"/>
  <c r="M42" i="24" s="1"/>
  <c r="M44" i="24" s="1"/>
  <c r="M27" i="23" s="1"/>
  <c r="G25" i="19" l="1"/>
  <c r="G27" i="19" s="1"/>
  <c r="G36" i="19" s="1"/>
  <c r="K19" i="16" s="1"/>
  <c r="K17" i="16" l="1"/>
  <c r="O17" i="16" s="1"/>
  <c r="K15" i="16"/>
  <c r="M19" i="16"/>
  <c r="K13" i="16"/>
  <c r="O13" i="16" s="1"/>
  <c r="G29" i="23" l="1"/>
  <c r="G31" i="23" s="1"/>
  <c r="O15" i="16"/>
  <c r="G33" i="23" l="1"/>
  <c r="M15" i="16"/>
  <c r="G35" i="23" l="1"/>
  <c r="G37" i="23"/>
  <c r="G39" i="23" s="1"/>
  <c r="Q13" i="21" l="1"/>
  <c r="Q21" i="21" l="1"/>
  <c r="Q28" i="21" l="1"/>
  <c r="Q30" i="21" s="1"/>
  <c r="P15" i="20" s="1"/>
  <c r="P31" i="20" s="1"/>
  <c r="P33" i="20" s="1"/>
  <c r="S21" i="21"/>
  <c r="S13" i="21"/>
  <c r="S28" i="21" l="1"/>
  <c r="S30" i="21" s="1"/>
  <c r="R15" i="20" s="1"/>
  <c r="R31" i="20" s="1"/>
  <c r="R26" i="20"/>
  <c r="P13" i="19"/>
  <c r="R33" i="20" l="1"/>
  <c r="R13" i="19" l="1"/>
  <c r="G89" i="16" l="1"/>
  <c r="I85" i="16" s="1"/>
  <c r="I83" i="16" l="1"/>
  <c r="I87" i="16"/>
  <c r="I89" i="16" l="1"/>
  <c r="R24" i="35" l="1"/>
  <c r="R28" i="35" s="1"/>
  <c r="T24" i="35" l="1"/>
  <c r="T28" i="35" s="1"/>
  <c r="A121" i="41" l="1"/>
  <c r="A122" i="41" s="1"/>
  <c r="A123" i="41" s="1"/>
  <c r="A124" i="41" l="1"/>
  <c r="A125" i="41" s="1"/>
  <c r="A126" i="41" s="1"/>
  <c r="A128" i="41" s="1"/>
  <c r="A129" i="41" s="1"/>
  <c r="A130" i="41" s="1"/>
  <c r="A131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6" i="41" l="1"/>
  <c r="A157" i="41" s="1"/>
  <c r="A158" i="41" s="1"/>
  <c r="A159" i="41" s="1"/>
  <c r="A160" i="41" s="1"/>
  <c r="A161" i="41" s="1"/>
  <c r="A170" i="41" l="1"/>
  <c r="A171" i="41" s="1"/>
  <c r="A172" i="41" l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90" i="41" s="1"/>
  <c r="A191" i="41" s="1"/>
  <c r="A192" i="41" l="1"/>
  <c r="A193" i="41" s="1"/>
  <c r="A194" i="41" s="1"/>
  <c r="A195" i="41" s="1"/>
  <c r="A196" i="41" s="1"/>
  <c r="A197" i="41" s="1"/>
  <c r="A199" i="41" s="1"/>
  <c r="A200" i="41" s="1"/>
  <c r="R23" i="27"/>
  <c r="A201" i="41" l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20" i="41" s="1"/>
  <c r="A221" i="41" s="1"/>
  <c r="A222" i="41" s="1"/>
  <c r="P93" i="41"/>
  <c r="A223" i="41" l="1"/>
  <c r="A224" i="41" s="1"/>
  <c r="A225" i="41" s="1"/>
  <c r="A226" i="41" s="1"/>
  <c r="A227" i="41" s="1"/>
  <c r="A229" i="41" s="1"/>
  <c r="A230" i="41" s="1"/>
  <c r="A231" i="41" s="1"/>
  <c r="A233" i="41" s="1"/>
  <c r="A234" i="41" s="1"/>
  <c r="A235" i="41" s="1"/>
  <c r="A236" i="41" s="1"/>
  <c r="A237" i="41" s="1"/>
  <c r="A239" i="41" s="1"/>
  <c r="A240" i="41" s="1"/>
  <c r="A241" i="41" s="1"/>
  <c r="A242" i="41" s="1"/>
  <c r="P23" i="27"/>
  <c r="A243" i="41" l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8" i="41" s="1"/>
  <c r="A259" i="41" s="1"/>
  <c r="A260" i="41" l="1"/>
  <c r="A261" i="41" s="1"/>
  <c r="A262" i="41" s="1"/>
  <c r="A263" i="41" s="1"/>
  <c r="A265" i="41" s="1"/>
  <c r="A267" i="41" s="1"/>
  <c r="A269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9" i="41" s="1"/>
  <c r="A290" i="41" s="1"/>
  <c r="A292" i="41" s="1"/>
  <c r="A293" i="41" s="1"/>
  <c r="A294" i="41" s="1"/>
  <c r="P16" i="25" l="1"/>
  <c r="R11" i="25" l="1"/>
  <c r="R111" i="41" l="1"/>
  <c r="R294" i="41" s="1"/>
  <c r="P111" i="41"/>
  <c r="P294" i="41" s="1"/>
  <c r="R16" i="25"/>
  <c r="P20" i="2" l="1"/>
  <c r="P25" i="25"/>
  <c r="R20" i="25" l="1"/>
  <c r="P27" i="25"/>
  <c r="P31" i="19" s="1"/>
  <c r="P25" i="24"/>
  <c r="P12" i="27"/>
  <c r="P17" i="27" s="1"/>
  <c r="P41" i="23"/>
  <c r="P43" i="23" s="1"/>
  <c r="R20" i="2" l="1"/>
  <c r="R12" i="27" s="1"/>
  <c r="R17" i="27" s="1"/>
  <c r="R32" i="19"/>
  <c r="P33" i="19"/>
  <c r="P35" i="19" s="1"/>
  <c r="R25" i="25"/>
  <c r="R25" i="24" l="1"/>
  <c r="R41" i="23"/>
  <c r="R43" i="23" s="1"/>
  <c r="R27" i="25"/>
  <c r="R31" i="19" s="1"/>
  <c r="R33" i="19" s="1"/>
  <c r="R35" i="19" s="1"/>
  <c r="R9" i="26"/>
  <c r="P20" i="20"/>
  <c r="P14" i="19" s="1"/>
  <c r="P15" i="19" s="1"/>
  <c r="P32" i="26"/>
  <c r="P13" i="26"/>
  <c r="P21" i="26" l="1"/>
  <c r="P33" i="24" l="1"/>
  <c r="R20" i="20" l="1"/>
  <c r="R14" i="19" s="1"/>
  <c r="R15" i="19" s="1"/>
  <c r="R13" i="26"/>
  <c r="R32" i="26" l="1"/>
  <c r="R21" i="26"/>
  <c r="R33" i="24" l="1"/>
  <c r="R39" i="26"/>
  <c r="R13" i="20" l="1"/>
  <c r="R16" i="20" s="1"/>
  <c r="R41" i="26"/>
  <c r="R19" i="7" l="1"/>
  <c r="R16" i="2" s="1"/>
  <c r="R11" i="23" l="1"/>
  <c r="R13" i="23" s="1"/>
  <c r="R15" i="23" s="1"/>
  <c r="G11" i="7" l="1"/>
  <c r="G29" i="6"/>
  <c r="G33" i="6" s="1"/>
  <c r="G35" i="6" l="1"/>
  <c r="G37" i="6"/>
  <c r="G17" i="6"/>
  <c r="P11" i="7"/>
  <c r="P25" i="6"/>
  <c r="P27" i="6" s="1"/>
  <c r="G39" i="6" l="1"/>
  <c r="P44" i="22" l="1"/>
  <c r="P39" i="26"/>
  <c r="P41" i="26" s="1"/>
  <c r="P26" i="27" l="1"/>
  <c r="P13" i="20"/>
  <c r="P16" i="20" s="1"/>
  <c r="P18" i="20" s="1"/>
  <c r="R11" i="20" s="1"/>
  <c r="R18" i="20" s="1"/>
  <c r="R22" i="20" s="1"/>
  <c r="P46" i="22"/>
  <c r="P22" i="20" l="1"/>
  <c r="P48" i="22"/>
  <c r="P23" i="22" s="1"/>
  <c r="P30" i="22" s="1"/>
  <c r="P24" i="19" s="1"/>
  <c r="R42" i="22"/>
  <c r="R36" i="20"/>
  <c r="R10" i="19"/>
  <c r="R18" i="19" s="1"/>
  <c r="P36" i="20" l="1"/>
  <c r="P10" i="19"/>
  <c r="P18" i="19" s="1"/>
  <c r="R19" i="19" s="1"/>
  <c r="R20" i="19" s="1"/>
  <c r="R22" i="19" s="1"/>
  <c r="R46" i="22"/>
  <c r="R48" i="22" s="1"/>
  <c r="R23" i="22" s="1"/>
  <c r="R30" i="22" s="1"/>
  <c r="R24" i="19" s="1"/>
  <c r="P20" i="19" l="1"/>
  <c r="P22" i="19" s="1"/>
  <c r="P27" i="19" s="1"/>
  <c r="P36" i="19" s="1"/>
  <c r="K89" i="16" s="1"/>
  <c r="K87" i="16" s="1"/>
  <c r="O87" i="16" s="1"/>
  <c r="R27" i="19"/>
  <c r="R36" i="19" s="1"/>
  <c r="K99" i="16" s="1"/>
  <c r="K85" i="16" l="1"/>
  <c r="K83" i="16"/>
  <c r="O83" i="16" s="1"/>
  <c r="O85" i="16" s="1"/>
  <c r="K97" i="16"/>
  <c r="O97" i="16" s="1"/>
  <c r="K95" i="16"/>
  <c r="K93" i="16"/>
  <c r="O93" i="16" s="1"/>
  <c r="O95" i="16" l="1"/>
  <c r="M95" i="16" s="1"/>
  <c r="M85" i="16"/>
  <c r="P29" i="23"/>
  <c r="P31" i="23" s="1"/>
  <c r="M89" i="16"/>
  <c r="R29" i="23"/>
  <c r="R31" i="23" s="1"/>
  <c r="R33" i="23" l="1"/>
  <c r="R35" i="23" s="1"/>
  <c r="P33" i="23"/>
  <c r="P37" i="23" s="1"/>
  <c r="P39" i="23" s="1"/>
  <c r="P22" i="2"/>
  <c r="M99" i="16"/>
  <c r="R22" i="2"/>
  <c r="R37" i="23" l="1"/>
  <c r="R39" i="23" s="1"/>
  <c r="P35" i="23"/>
  <c r="N11" i="7"/>
  <c r="N29" i="6"/>
  <c r="N37" i="6" l="1"/>
  <c r="N33" i="6"/>
  <c r="N35" i="6"/>
  <c r="N17" i="6"/>
  <c r="N39" i="6" l="1"/>
  <c r="P29" i="6"/>
  <c r="P37" i="6" s="1"/>
  <c r="P10" i="5"/>
  <c r="P21" i="5" s="1"/>
  <c r="P33" i="6" l="1"/>
  <c r="P26" i="5"/>
  <c r="P15" i="2" s="1"/>
  <c r="P12" i="5"/>
  <c r="P35" i="6"/>
  <c r="P39" i="6" s="1"/>
  <c r="P10" i="23" l="1"/>
  <c r="P13" i="23" s="1"/>
  <c r="P15" i="23" s="1"/>
  <c r="G16" i="5" l="1"/>
  <c r="G26" i="5"/>
  <c r="G15" i="2" l="1"/>
  <c r="G10" i="23" l="1"/>
  <c r="G13" i="23" s="1"/>
  <c r="G15" i="23" s="1"/>
  <c r="G24" i="2"/>
  <c r="G21" i="24" l="1"/>
  <c r="G34" i="24" s="1"/>
  <c r="G36" i="24" s="1"/>
  <c r="G42" i="24" s="1"/>
  <c r="G44" i="24" s="1"/>
  <c r="G27" i="23" s="1"/>
  <c r="P32" i="27" l="1"/>
  <c r="P34" i="27" l="1"/>
  <c r="P36" i="27" s="1"/>
  <c r="P38" i="27" s="1"/>
  <c r="P23" i="2" l="1"/>
  <c r="P24" i="2" s="1"/>
  <c r="P26" i="24" l="1"/>
  <c r="P21" i="24"/>
  <c r="P10" i="2"/>
  <c r="R32" i="27"/>
  <c r="P34" i="24" l="1"/>
  <c r="P36" i="24" s="1"/>
  <c r="P42" i="24" s="1"/>
  <c r="R34" i="27"/>
  <c r="R36" i="27" s="1"/>
  <c r="R38" i="27" s="1"/>
  <c r="Q68" i="3"/>
  <c r="Q70" i="3" s="1"/>
  <c r="P12" i="2"/>
  <c r="R23" i="2" l="1"/>
  <c r="R26" i="24" s="1"/>
  <c r="Q74" i="3"/>
  <c r="P10" i="24" s="1"/>
  <c r="P12" i="24" s="1"/>
  <c r="Q82" i="3"/>
  <c r="Q84" i="3"/>
  <c r="P18" i="24" l="1"/>
  <c r="P44" i="24" s="1"/>
  <c r="P27" i="23" s="1"/>
  <c r="R24" i="2"/>
  <c r="R21" i="24" s="1"/>
  <c r="R34" i="24" s="1"/>
  <c r="R36" i="24" s="1"/>
  <c r="R42" i="24" s="1"/>
  <c r="R10" i="2" l="1"/>
  <c r="R12" i="2" l="1"/>
  <c r="T68" i="3"/>
  <c r="T70" i="3" s="1"/>
  <c r="T82" i="3" l="1"/>
  <c r="T84" i="3"/>
  <c r="T74" i="3"/>
  <c r="R10" i="24" s="1"/>
  <c r="R12" i="24" s="1"/>
  <c r="R18" i="24" s="1"/>
  <c r="R44" i="24" s="1"/>
  <c r="R27" i="23" s="1"/>
</calcChain>
</file>

<file path=xl/sharedStrings.xml><?xml version="1.0" encoding="utf-8"?>
<sst xmlns="http://schemas.openxmlformats.org/spreadsheetml/2006/main" count="2533" uniqueCount="1027">
  <si>
    <t>71800 - Provision for Uncollectible Accounts</t>
  </si>
  <si>
    <t>L.4 / L.3</t>
  </si>
  <si>
    <t xml:space="preserve">S </t>
  </si>
  <si>
    <t>V</t>
  </si>
  <si>
    <t>Approved</t>
  </si>
  <si>
    <t>L.2 x L.6</t>
  </si>
  <si>
    <t>L.3 x L.7</t>
  </si>
  <si>
    <t xml:space="preserve">Shortfall Rider J </t>
  </si>
  <si>
    <t>Purchase Power Expense ($000s)</t>
  </si>
  <si>
    <t>Purchases (MWh)</t>
  </si>
  <si>
    <t>Meter Services</t>
  </si>
  <si>
    <t>Actual</t>
  </si>
  <si>
    <t>Total</t>
  </si>
  <si>
    <t xml:space="preserve"> </t>
  </si>
  <si>
    <t>Add:</t>
  </si>
  <si>
    <t>Depreciation</t>
  </si>
  <si>
    <t>Deduct:</t>
  </si>
  <si>
    <t>CCA</t>
  </si>
  <si>
    <t>($000s)</t>
  </si>
  <si>
    <t>Line</t>
  </si>
  <si>
    <t>Cross</t>
  </si>
  <si>
    <t>No.</t>
  </si>
  <si>
    <t>Ref.</t>
  </si>
  <si>
    <t>Mid Year</t>
  </si>
  <si>
    <t>Rate</t>
  </si>
  <si>
    <t>Cost</t>
  </si>
  <si>
    <t>Balance</t>
  </si>
  <si>
    <t>Ratio</t>
  </si>
  <si>
    <t>Base</t>
  </si>
  <si>
    <t>Return</t>
  </si>
  <si>
    <t>Utility Revenue Requirement</t>
  </si>
  <si>
    <t xml:space="preserve">  Distribution</t>
  </si>
  <si>
    <t xml:space="preserve">  General</t>
  </si>
  <si>
    <t>Miscellaneous Revenue</t>
  </si>
  <si>
    <t>Reconnect Revenue</t>
  </si>
  <si>
    <t>Summary of Customers, Energy Sales and Revenue</t>
  </si>
  <si>
    <t>Residential</t>
  </si>
  <si>
    <t xml:space="preserve">  Customers</t>
  </si>
  <si>
    <t xml:space="preserve">  Sales in MWh</t>
  </si>
  <si>
    <t xml:space="preserve">  MWh sales per customer</t>
  </si>
  <si>
    <t xml:space="preserve">  Revenue ($000s)</t>
  </si>
  <si>
    <t>Commercial</t>
  </si>
  <si>
    <t xml:space="preserve">Total Company </t>
  </si>
  <si>
    <t>Computation of Allowance for Working Capital</t>
  </si>
  <si>
    <t>Net Capital Employed</t>
  </si>
  <si>
    <t>Principal</t>
  </si>
  <si>
    <t>Per $100 of</t>
  </si>
  <si>
    <t>Average</t>
  </si>
  <si>
    <t xml:space="preserve">Issue </t>
  </si>
  <si>
    <t>Coupon</t>
  </si>
  <si>
    <t xml:space="preserve">Maturity </t>
  </si>
  <si>
    <t>Amount</t>
  </si>
  <si>
    <t>Total Property, Plant and Equipment</t>
  </si>
  <si>
    <t>Vehicles</t>
  </si>
  <si>
    <t>Total General Plant Retirements</t>
  </si>
  <si>
    <t>Accumulated Amortization</t>
  </si>
  <si>
    <t>Contributions in Aid of Construction</t>
  </si>
  <si>
    <t>Effective</t>
  </si>
  <si>
    <t>Outstanding</t>
  </si>
  <si>
    <t>Carrying</t>
  </si>
  <si>
    <t>Embedded</t>
  </si>
  <si>
    <t>Series</t>
  </si>
  <si>
    <t>Date</t>
  </si>
  <si>
    <t>Offered</t>
  </si>
  <si>
    <t>Cost Rate</t>
  </si>
  <si>
    <t>Prior Year</t>
  </si>
  <si>
    <t>No Cost Capital</t>
  </si>
  <si>
    <t>Rate Case Write-off</t>
  </si>
  <si>
    <t>87300 - Maintenance</t>
  </si>
  <si>
    <t>87500 - Meter and Meter Testing</t>
  </si>
  <si>
    <t>87800 - Street Light Maintenance</t>
  </si>
  <si>
    <t>87000 - Supervision</t>
  </si>
  <si>
    <t>88400 - Communication</t>
  </si>
  <si>
    <t>88900 - Maintenance Warehouse and Office</t>
  </si>
  <si>
    <t>70200 - General Public Information</t>
  </si>
  <si>
    <t>71000 - Supervision</t>
  </si>
  <si>
    <t>71100 - Customer Applications and Service Orders</t>
  </si>
  <si>
    <t>71200 - Meter Reading</t>
  </si>
  <si>
    <t>71300 - Customer Billing and Accounting</t>
  </si>
  <si>
    <t>71400 - Revenue Collections</t>
  </si>
  <si>
    <t>72100 - Administrative Expenses</t>
  </si>
  <si>
    <t>72300 - Insurance</t>
  </si>
  <si>
    <t>72500 - Employee Expenses</t>
  </si>
  <si>
    <t>Return on Rate Base</t>
  </si>
  <si>
    <t xml:space="preserve">Cross </t>
  </si>
  <si>
    <t>K</t>
  </si>
  <si>
    <t>87200 - Vehicle Depreciation</t>
  </si>
  <si>
    <t>Computation of Rate Base</t>
  </si>
  <si>
    <t>Property, Plant and Equipment</t>
  </si>
  <si>
    <t>Gross Rate Base</t>
  </si>
  <si>
    <t>Net Rate Base</t>
  </si>
  <si>
    <t>Meters</t>
  </si>
  <si>
    <t>Miscellaneous Other</t>
  </si>
  <si>
    <t>YFR/</t>
  </si>
  <si>
    <t>Net</t>
  </si>
  <si>
    <t>Depn.</t>
  </si>
  <si>
    <t>Acct.</t>
  </si>
  <si>
    <t>Curve</t>
  </si>
  <si>
    <t>Life</t>
  </si>
  <si>
    <t>Salvage</t>
  </si>
  <si>
    <t>Rates</t>
  </si>
  <si>
    <t>Distribution Plant</t>
  </si>
  <si>
    <t>471 00</t>
  </si>
  <si>
    <t>Land Rights</t>
  </si>
  <si>
    <t>473 00</t>
  </si>
  <si>
    <t>Poles, Towers &amp; Fixtures</t>
  </si>
  <si>
    <t>474 00</t>
  </si>
  <si>
    <t>Overhead Conductor</t>
  </si>
  <si>
    <t>474 10</t>
  </si>
  <si>
    <t>Services - Overhead</t>
  </si>
  <si>
    <t>475 00</t>
  </si>
  <si>
    <t>Underground Conductor</t>
  </si>
  <si>
    <t>475 10</t>
  </si>
  <si>
    <t>Services - Underground</t>
  </si>
  <si>
    <t>476 10</t>
  </si>
  <si>
    <t>477 10</t>
  </si>
  <si>
    <t>Substation Equipment</t>
  </si>
  <si>
    <t>478 10</t>
  </si>
  <si>
    <t>Street Lighting</t>
  </si>
  <si>
    <t>479 10</t>
  </si>
  <si>
    <t>Total Distribution Plant</t>
  </si>
  <si>
    <t>General Plant</t>
  </si>
  <si>
    <t>482 00</t>
  </si>
  <si>
    <t>Structures &amp; Improvements</t>
  </si>
  <si>
    <t>483 00</t>
  </si>
  <si>
    <t>Office Furniture &amp; Equipment</t>
  </si>
  <si>
    <t>485 00</t>
  </si>
  <si>
    <t>Tool &amp; Work Equipment</t>
  </si>
  <si>
    <t>S3</t>
  </si>
  <si>
    <t>486 00</t>
  </si>
  <si>
    <t>Total General Plant</t>
  </si>
  <si>
    <t>Plant Studied</t>
  </si>
  <si>
    <t>Total Plant</t>
  </si>
  <si>
    <t>Services to Outside Parties</t>
  </si>
  <si>
    <t>Distribution:</t>
  </si>
  <si>
    <t>Continuity Schedule of Property, Plant and Equipment</t>
  </si>
  <si>
    <t>Additions</t>
  </si>
  <si>
    <t>Net Property, Plant and Equipment</t>
  </si>
  <si>
    <t>Prior Year Gross Contributions</t>
  </si>
  <si>
    <t>Retirements</t>
  </si>
  <si>
    <t>Current Year Gross Contributions</t>
  </si>
  <si>
    <t>Gross Amortization</t>
  </si>
  <si>
    <t>Net Contributions in Aid of Construction</t>
  </si>
  <si>
    <t>Continuity Schedule of Contributions in Aid of Construction</t>
  </si>
  <si>
    <t>Continuity Schedule of Capital Retirements by Function</t>
  </si>
  <si>
    <t>87700 - Transformer Repair and Replacement</t>
  </si>
  <si>
    <t>Total Capital Retirements</t>
  </si>
  <si>
    <t xml:space="preserve">   Description</t>
  </si>
  <si>
    <t>Accumulated Depreciation</t>
  </si>
  <si>
    <t>Description</t>
  </si>
  <si>
    <t xml:space="preserve">Income Tax Expense </t>
  </si>
  <si>
    <t>GST Rate</t>
  </si>
  <si>
    <t>Sales and Losses</t>
  </si>
  <si>
    <t>Losses -%</t>
  </si>
  <si>
    <t>Total Purchase Power Expense</t>
  </si>
  <si>
    <t>Purchase Power Rates</t>
  </si>
  <si>
    <t>Total Utility Expenses</t>
  </si>
  <si>
    <t>Labour and Fringe</t>
  </si>
  <si>
    <t>Net Costs Subject to GST</t>
  </si>
  <si>
    <t>Income Tax</t>
  </si>
  <si>
    <t>Net O&amp;M</t>
  </si>
  <si>
    <t>Return - Long Term Debt</t>
  </si>
  <si>
    <t>Combined Long Term Debt Lag Days</t>
  </si>
  <si>
    <t>O&amp;M Lag Days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</si>
  <si>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</si>
  <si>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</si>
  <si>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</si>
  <si>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</si>
  <si>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</si>
  <si>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</si>
  <si>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</si>
  <si>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REVENUE:</t>
  </si>
  <si>
    <t>EXPENSES:</t>
  </si>
  <si>
    <t xml:space="preserve">GST Rate </t>
  </si>
  <si>
    <t>GST Billable</t>
  </si>
  <si>
    <t>Total Operating Revenue Subject to GST</t>
  </si>
  <si>
    <t>Day Factor  - Revenues</t>
  </si>
  <si>
    <t>Day Factor - Remittance Lag</t>
  </si>
  <si>
    <t>GST Impact on Working Capital Increase/(Decrease)</t>
  </si>
  <si>
    <t>GST Refundable</t>
  </si>
  <si>
    <t>Day Factor - Expense (Including Capital)</t>
  </si>
  <si>
    <t>Revenues</t>
  </si>
  <si>
    <t>Existing</t>
  </si>
  <si>
    <t>70100 - Public Information Administration</t>
  </si>
  <si>
    <t>Rate Case Expenditure</t>
  </si>
  <si>
    <t>Continuity Schedule of No Cost Capital</t>
  </si>
  <si>
    <t>Total Revenues</t>
  </si>
  <si>
    <t>Costs</t>
  </si>
  <si>
    <t>Total Costs</t>
  </si>
  <si>
    <t>Retail Revenues</t>
  </si>
  <si>
    <t>Affiliate Company</t>
  </si>
  <si>
    <t>Services Provided</t>
  </si>
  <si>
    <t>ATCO Electric</t>
  </si>
  <si>
    <t>ATCO Gas</t>
  </si>
  <si>
    <t>Office Services</t>
  </si>
  <si>
    <t>Metering Services</t>
  </si>
  <si>
    <t>Total Head Office Fees</t>
  </si>
  <si>
    <t>Information Technology</t>
  </si>
  <si>
    <t>Billing System Services</t>
  </si>
  <si>
    <t>O&amp;M Category</t>
  </si>
  <si>
    <t>Operations and Maintenance Expenses</t>
  </si>
  <si>
    <t>Details of Affiliate Costs in Operations and Maintenance</t>
  </si>
  <si>
    <t>Details of Head Office Costs</t>
  </si>
  <si>
    <t>Total Affiliate Costs included in Operations and Maintenance</t>
  </si>
  <si>
    <t>Plant Additions</t>
  </si>
  <si>
    <t xml:space="preserve">  Production</t>
  </si>
  <si>
    <t>Purchases</t>
  </si>
  <si>
    <t>Primary Energy</t>
  </si>
  <si>
    <t>Primary Energy Expense</t>
  </si>
  <si>
    <t>Continuity Schedule of Deferred Charges &amp; Credits</t>
  </si>
  <si>
    <t>Diesel Fuel</t>
  </si>
  <si>
    <t>Diesel Generation and Fuel Summary</t>
  </si>
  <si>
    <t>Generation:</t>
  </si>
  <si>
    <t>Generating Plants</t>
  </si>
  <si>
    <t>87100 - Brushing</t>
  </si>
  <si>
    <t>Generation</t>
  </si>
  <si>
    <t>Total Generation Retirements</t>
  </si>
  <si>
    <t xml:space="preserve">Tax Receivable Lag Days </t>
  </si>
  <si>
    <t>442 00</t>
  </si>
  <si>
    <t>444 00</t>
  </si>
  <si>
    <t>445 00</t>
  </si>
  <si>
    <t>Generating Equipment &amp; Prime Mover - Other</t>
  </si>
  <si>
    <t>446 00</t>
  </si>
  <si>
    <t>447 00</t>
  </si>
  <si>
    <t>Misc. Power Plant Equipment - Other</t>
  </si>
  <si>
    <t>Accessory Electric Equipment - Other</t>
  </si>
  <si>
    <t>457 00</t>
  </si>
  <si>
    <t xml:space="preserve">Line Transformers </t>
  </si>
  <si>
    <t xml:space="preserve">Substation Equipment </t>
  </si>
  <si>
    <t>478 20</t>
  </si>
  <si>
    <t>Sentinel Lights</t>
  </si>
  <si>
    <t>484 00</t>
  </si>
  <si>
    <t>Transportation &amp; Mobile Equipment</t>
  </si>
  <si>
    <t>Communication Structures &amp; Equipment</t>
  </si>
  <si>
    <t>Total Transmission</t>
  </si>
  <si>
    <t>Computer Hardware/Software</t>
  </si>
  <si>
    <t>Distribution</t>
  </si>
  <si>
    <t>Sources - %</t>
  </si>
  <si>
    <t>Property Taxes</t>
  </si>
  <si>
    <t>Franchise &amp; Consent</t>
  </si>
  <si>
    <t>491  00</t>
  </si>
  <si>
    <t>S.8.5 L.21</t>
  </si>
  <si>
    <t>S.8.5 L.2</t>
  </si>
  <si>
    <t>S.8.5 L.4</t>
  </si>
  <si>
    <t>S.8.5 L.13</t>
  </si>
  <si>
    <t>S.8.5 L.17</t>
  </si>
  <si>
    <t xml:space="preserve">  Customers (average during year)</t>
  </si>
  <si>
    <t>S.1.1 L.7</t>
  </si>
  <si>
    <t>S.1.1 L.2</t>
  </si>
  <si>
    <t>S.1.1 L.3</t>
  </si>
  <si>
    <t>S.1.1 L.8</t>
  </si>
  <si>
    <t>S.1.1 L.15</t>
  </si>
  <si>
    <t>S.1.1 L.9</t>
  </si>
  <si>
    <t>S.3.1 L.4</t>
  </si>
  <si>
    <t>S.1.1 L.16</t>
  </si>
  <si>
    <t>Injuries &amp; Damages Costs</t>
  </si>
  <si>
    <t>Total Distribution Retirements</t>
  </si>
  <si>
    <t>Rate Case Reserve</t>
  </si>
  <si>
    <t>Injuries &amp; Damages Write-off</t>
  </si>
  <si>
    <t>Total Write-off</t>
  </si>
  <si>
    <t>S.3.2 L.2</t>
  </si>
  <si>
    <t>Total Deferred Charges &amp; Credits Summary</t>
  </si>
  <si>
    <t>Write-off Summary</t>
  </si>
  <si>
    <t>Deferred Credits Mid-Year Balance Summary</t>
  </si>
  <si>
    <t>Total Deferred Credits Mid-Year Balance</t>
  </si>
  <si>
    <t>S.8.5 L.12</t>
  </si>
  <si>
    <t>S.1.1 L.13</t>
  </si>
  <si>
    <t>Rate Case Costs</t>
  </si>
  <si>
    <t>Operating Expenses Working Capital</t>
  </si>
  <si>
    <t>Taxes Payable Working Capital</t>
  </si>
  <si>
    <t>Long Term Debt Working Capital</t>
  </si>
  <si>
    <t>Prior Year Accumulated Amortization</t>
  </si>
  <si>
    <t>Current Year Accumulated Amortization</t>
  </si>
  <si>
    <t>Schedule of Purchase Power</t>
  </si>
  <si>
    <t>Schedule of Energy Losses</t>
  </si>
  <si>
    <t>Material Management</t>
  </si>
  <si>
    <t xml:space="preserve">72100 - Administrative </t>
  </si>
  <si>
    <t>72700 - Relocation</t>
  </si>
  <si>
    <t>72100 - Administrative</t>
  </si>
  <si>
    <t>72900 - Audit/Legal Fees &amp; Special Studies</t>
  </si>
  <si>
    <t>87400 - Underground Line Maintenance</t>
  </si>
  <si>
    <t>S.1.1 L.12</t>
  </si>
  <si>
    <t>S.8.5 L.5</t>
  </si>
  <si>
    <t>S.1.1 L.11</t>
  </si>
  <si>
    <t>Opening</t>
  </si>
  <si>
    <t>PPE</t>
  </si>
  <si>
    <t xml:space="preserve">on Opening </t>
  </si>
  <si>
    <t xml:space="preserve">Depreciation </t>
  </si>
  <si>
    <t xml:space="preserve">on Capital </t>
  </si>
  <si>
    <t xml:space="preserve">Total </t>
  </si>
  <si>
    <t>Deprecation</t>
  </si>
  <si>
    <t>Capital</t>
  </si>
  <si>
    <t>Schedule of Amortization of Differences</t>
  </si>
  <si>
    <t>Test Period</t>
  </si>
  <si>
    <t>Total Amortization of Differences</t>
  </si>
  <si>
    <t>General Provision</t>
  </si>
  <si>
    <t>Amortization of Differences</t>
  </si>
  <si>
    <t>Vehicle Depreciation Capitalized</t>
  </si>
  <si>
    <t>Total Depreciation Expense</t>
  </si>
  <si>
    <t>Schedule of Depreciation Expense</t>
  </si>
  <si>
    <t>S.7.1 L.4</t>
  </si>
  <si>
    <t>Computer Equipment</t>
  </si>
  <si>
    <t>Sources - MWh</t>
  </si>
  <si>
    <t>ATCO I-Tek</t>
  </si>
  <si>
    <t>72600 - Training and Safety</t>
  </si>
  <si>
    <t>71500 - Collection of Delinquent Accounts</t>
  </si>
  <si>
    <t xml:space="preserve">Income Tax Installment Lag Days </t>
  </si>
  <si>
    <t>Tax Installments Working Capital</t>
  </si>
  <si>
    <t>Capital Expenditures</t>
  </si>
  <si>
    <t>Net Impact of GST on Working Capital</t>
  </si>
  <si>
    <t>Effect of GST on Working Capital</t>
  </si>
  <si>
    <t>64000 - Supervision and Engineering Diesel</t>
  </si>
  <si>
    <t>62600 - Hydro Generation</t>
  </si>
  <si>
    <t>64600 - Diesel Generation</t>
  </si>
  <si>
    <t>72400 - Injuries &amp; Damages</t>
  </si>
  <si>
    <t>72800 - Miscellaneous General</t>
  </si>
  <si>
    <t>Secondary Sales</t>
  </si>
  <si>
    <t>Wholesale Sales</t>
  </si>
  <si>
    <t>Secondary Energy Expense</t>
  </si>
  <si>
    <t>82600 - Hydro Maintenance</t>
  </si>
  <si>
    <t>Production - Hydro</t>
  </si>
  <si>
    <t>Hydro Structures</t>
  </si>
  <si>
    <t>Hydro Resv, Dams &amp; Waterways</t>
  </si>
  <si>
    <t>Hydro Generators</t>
  </si>
  <si>
    <t>Hydro Accessory Electrical Equip</t>
  </si>
  <si>
    <t>Hydro Misc Equip</t>
  </si>
  <si>
    <t>Production - Diesel</t>
  </si>
  <si>
    <t>488 20</t>
  </si>
  <si>
    <t>Company Housing</t>
  </si>
  <si>
    <t xml:space="preserve">Transmission </t>
  </si>
  <si>
    <t>84600 - Diesel Maintenance</t>
  </si>
  <si>
    <t>S.4.1 L.1</t>
  </si>
  <si>
    <t>S.3.2 L.10</t>
  </si>
  <si>
    <t>Deferred Pension and Regulatory Asset/Liability</t>
  </si>
  <si>
    <t>D</t>
  </si>
  <si>
    <t>E</t>
  </si>
  <si>
    <t>N</t>
  </si>
  <si>
    <t>O</t>
  </si>
  <si>
    <t>P</t>
  </si>
  <si>
    <t>Q</t>
  </si>
  <si>
    <t>R</t>
  </si>
  <si>
    <t>Fuel Variance</t>
  </si>
  <si>
    <t>Fuel Expense</t>
  </si>
  <si>
    <t>Total Production - Hydro</t>
  </si>
  <si>
    <t>Total Production - Diesel</t>
  </si>
  <si>
    <t>87310 - Service to Outside Parties</t>
  </si>
  <si>
    <t>Public Information</t>
  </si>
  <si>
    <t xml:space="preserve">70200 - General Public Information </t>
  </si>
  <si>
    <t>Joint Use</t>
  </si>
  <si>
    <t>Other</t>
  </si>
  <si>
    <t>476 30</t>
  </si>
  <si>
    <t>AMR - Meters</t>
  </si>
  <si>
    <t>422 00</t>
  </si>
  <si>
    <t>423 00</t>
  </si>
  <si>
    <t>425 00</t>
  </si>
  <si>
    <t>426 00</t>
  </si>
  <si>
    <t>427 00</t>
  </si>
  <si>
    <t>R3</t>
  </si>
  <si>
    <t>R4</t>
  </si>
  <si>
    <t>R2.5</t>
  </si>
  <si>
    <t>R2</t>
  </si>
  <si>
    <t>SQ</t>
  </si>
  <si>
    <t>Total Company - Retail - Primary</t>
  </si>
  <si>
    <t>YEC Revenue Shortfall (Rider J)</t>
  </si>
  <si>
    <t>S.5.1 L.49</t>
  </si>
  <si>
    <t>72200 - Administrative Corporate</t>
  </si>
  <si>
    <t>T</t>
  </si>
  <si>
    <t>U</t>
  </si>
  <si>
    <t>S.8.6 L.14</t>
  </si>
  <si>
    <t>Inventory Pool Costs Capitalized</t>
  </si>
  <si>
    <t>Watson Lake</t>
  </si>
  <si>
    <t>Beaver Creek</t>
  </si>
  <si>
    <t>Destruction Bay</t>
  </si>
  <si>
    <t>Old Crow</t>
  </si>
  <si>
    <t>Swift River</t>
  </si>
  <si>
    <t>87500 - Meters and Meter Testing</t>
  </si>
  <si>
    <t>Plant Not Studied - Land</t>
  </si>
  <si>
    <t xml:space="preserve">Plant Not Studied -Land </t>
  </si>
  <si>
    <t>Average Cost (in cents per litre)</t>
  </si>
  <si>
    <t>S.4.1 L.3</t>
  </si>
  <si>
    <t>Defined Benefit Pension</t>
  </si>
  <si>
    <t>Other Post Employment Benefits (OPEB)</t>
  </si>
  <si>
    <t>Injuries &amp; Damages</t>
  </si>
  <si>
    <t>Pension &amp; OPEB payments</t>
  </si>
  <si>
    <t>% Rate Increase over Existing Rates</t>
  </si>
  <si>
    <t>Total No Cost Capital Mid-Year Balance</t>
  </si>
  <si>
    <t>Mid-Year Balance Summary</t>
  </si>
  <si>
    <t>Add: Charges</t>
  </si>
  <si>
    <t>Less: Cash Payments</t>
  </si>
  <si>
    <t>Add: Write-off</t>
  </si>
  <si>
    <t>Less: Costs</t>
  </si>
  <si>
    <t>L.30</t>
  </si>
  <si>
    <t>Add:   Rate Case Costs</t>
  </si>
  <si>
    <t>S.4.1 L.6</t>
  </si>
  <si>
    <t>S.8.4 L.8</t>
  </si>
  <si>
    <t xml:space="preserve">      Internal Combustion</t>
  </si>
  <si>
    <t>Note 1</t>
  </si>
  <si>
    <t>Dismantling Costs</t>
  </si>
  <si>
    <t xml:space="preserve">      Hydro</t>
  </si>
  <si>
    <t>Street Lights</t>
  </si>
  <si>
    <t>Proposed</t>
  </si>
  <si>
    <t>Less: Rate Case (Write-off) Credit</t>
  </si>
  <si>
    <t>Add: Costs</t>
  </si>
  <si>
    <t>Less: Write-off</t>
  </si>
  <si>
    <t>Line Transformers</t>
  </si>
  <si>
    <t>Software</t>
  </si>
  <si>
    <t>Industrial</t>
  </si>
  <si>
    <t>Standby Units</t>
  </si>
  <si>
    <t xml:space="preserve">After Hours - Call Answering </t>
  </si>
  <si>
    <t>483 20</t>
  </si>
  <si>
    <t>Pelly Crossing Deferral Account</t>
  </si>
  <si>
    <t>Watson Lake LNG Study Costs</t>
  </si>
  <si>
    <t>Phase I</t>
  </si>
  <si>
    <t>Legal Expenses</t>
  </si>
  <si>
    <t>ATCO Electric Disbursements</t>
  </si>
  <si>
    <t>Yukon Electrical Disbursements</t>
  </si>
  <si>
    <t>Board Costs</t>
  </si>
  <si>
    <t>S.2.2 L.6</t>
  </si>
  <si>
    <t>Fuel Information</t>
  </si>
  <si>
    <t>S.3.1 L.14</t>
  </si>
  <si>
    <t>Other Revenue</t>
  </si>
  <si>
    <t>Purchase Power</t>
  </si>
  <si>
    <t>Operations and Maintenance</t>
  </si>
  <si>
    <t>Amortization of Contributions</t>
  </si>
  <si>
    <t>Amortization of Deferred Charges &amp; Credits</t>
  </si>
  <si>
    <t>Income Taxes</t>
  </si>
  <si>
    <t>Page 6-1</t>
  </si>
  <si>
    <t>S.8.12 L.8</t>
  </si>
  <si>
    <t>Litres of Fuel (000s)</t>
  </si>
  <si>
    <t>Fuel Costs ($000s)</t>
  </si>
  <si>
    <t>Average Cost (cents per litre)</t>
  </si>
  <si>
    <t>Utility Earnings Before Tax</t>
  </si>
  <si>
    <t>Non-Allowable Expenses</t>
  </si>
  <si>
    <t>Charges to Deferred Pension &amp; OPEB</t>
  </si>
  <si>
    <t>Tax Installments</t>
  </si>
  <si>
    <t>Income Taxes Receivable (Payable)</t>
  </si>
  <si>
    <t>GST Impact on Working Capital</t>
  </si>
  <si>
    <t>Working Capital</t>
  </si>
  <si>
    <t>S.8.10 L.29</t>
  </si>
  <si>
    <t>(L.4*L.8)/365</t>
  </si>
  <si>
    <t>S.8.10 L.16</t>
  </si>
  <si>
    <t>88800 - Maintenance Company-Owned Houses</t>
  </si>
  <si>
    <t>Total Operations and Maintenance Expenses</t>
  </si>
  <si>
    <t>Balance at Beginning of Year</t>
  </si>
  <si>
    <t>Retirement and Disposals</t>
  </si>
  <si>
    <t>S.8.7 L.22</t>
  </si>
  <si>
    <t>Reclassify from Deferred Charges</t>
  </si>
  <si>
    <t>Kluane Wind Study</t>
  </si>
  <si>
    <t xml:space="preserve">64600 - Diesel Generation </t>
  </si>
  <si>
    <t>LNG Storage and Vapourization Skid</t>
  </si>
  <si>
    <t>S.8.6 L.10</t>
  </si>
  <si>
    <t>492 00</t>
  </si>
  <si>
    <t>493 00</t>
  </si>
  <si>
    <t>496 00</t>
  </si>
  <si>
    <t>Demand Side Management</t>
  </si>
  <si>
    <t>491 00</t>
  </si>
  <si>
    <t>Other Deferrals and Studies Costs</t>
  </si>
  <si>
    <t xml:space="preserve">  Administration and General</t>
  </si>
  <si>
    <t xml:space="preserve">  Public Information</t>
  </si>
  <si>
    <t>Customer Accounting</t>
  </si>
  <si>
    <t>Sub-Total</t>
  </si>
  <si>
    <t>Taxable Income</t>
  </si>
  <si>
    <t xml:space="preserve">Tax Rate </t>
  </si>
  <si>
    <t>Book to Filing Adjustment</t>
  </si>
  <si>
    <t>Total Current Provision</t>
  </si>
  <si>
    <t>Less: Capitalized</t>
  </si>
  <si>
    <t>S.8.4 L.28</t>
  </si>
  <si>
    <t>Work in progress, Beginning of Year</t>
  </si>
  <si>
    <t>Total Capital Expenditures</t>
  </si>
  <si>
    <t>Work in Progress, End of Year</t>
  </si>
  <si>
    <t>S.8.6 L.5</t>
  </si>
  <si>
    <t>S.8.12 L.11</t>
  </si>
  <si>
    <t>S.8.6 L.7</t>
  </si>
  <si>
    <t>Balance at End of Year</t>
  </si>
  <si>
    <t>Construction-in-Progress</t>
  </si>
  <si>
    <t>Depreciation Expense</t>
  </si>
  <si>
    <t>Depreciation Capitalized</t>
  </si>
  <si>
    <t>Dismantling</t>
  </si>
  <si>
    <t>S.8.6 L. 21</t>
  </si>
  <si>
    <t>S.7.1 L.3</t>
  </si>
  <si>
    <t>S.8.6 L.25</t>
  </si>
  <si>
    <t>Year End Balance</t>
  </si>
  <si>
    <t>Total Deductions</t>
  </si>
  <si>
    <t>Current Year End Balance</t>
  </si>
  <si>
    <t>Previous Year End Balance</t>
  </si>
  <si>
    <t>Mid-Year Balance</t>
  </si>
  <si>
    <t>Mid-Year Deferred Charges/Credits</t>
  </si>
  <si>
    <t>S.8.1 L.5,10,15,20, 25, 30, 35, 40</t>
  </si>
  <si>
    <t>Long-Term Debt</t>
  </si>
  <si>
    <t>Common Stock</t>
  </si>
  <si>
    <t>S. 7.1 L. 2</t>
  </si>
  <si>
    <t>S.2.1 L.46</t>
  </si>
  <si>
    <t>Fuel</t>
  </si>
  <si>
    <t>Net Plant in Service</t>
  </si>
  <si>
    <t>YEC Firm Revenue</t>
  </si>
  <si>
    <t>W</t>
  </si>
  <si>
    <t>X</t>
  </si>
  <si>
    <t>Y</t>
  </si>
  <si>
    <t>Z</t>
  </si>
  <si>
    <t>S.8.1 L.4,9,14,19, 24,29,34,39</t>
  </si>
  <si>
    <t>L.23</t>
  </si>
  <si>
    <t>L.16</t>
  </si>
  <si>
    <t>(L.12+L.15) / 2</t>
  </si>
  <si>
    <t>(L.19+L.22) / 2</t>
  </si>
  <si>
    <t>(L.26+L.29) / 2</t>
  </si>
  <si>
    <t>S.8.4 L.27</t>
  </si>
  <si>
    <t>S.8.4 L.14 + L.21</t>
  </si>
  <si>
    <t>Other Retirements Less Than $20,000</t>
  </si>
  <si>
    <t>Intervener Costs</t>
  </si>
  <si>
    <t>Financial Reporting and Regulatory Support</t>
  </si>
  <si>
    <t>Licence - Fish Lake</t>
  </si>
  <si>
    <t>Rates and Terms &amp; Conditions</t>
  </si>
  <si>
    <t>General Property and Equipment:</t>
  </si>
  <si>
    <t>Additions to Property</t>
  </si>
  <si>
    <t>S.5.2 L.3</t>
  </si>
  <si>
    <t>Governance, HR, and Health &amp; Safety</t>
  </si>
  <si>
    <t>Payroll, Use of Systems and IT</t>
  </si>
  <si>
    <t>ES&amp;G &amp; Other Deductible Costs</t>
  </si>
  <si>
    <t>Fish Lake Water Licence Costs</t>
  </si>
  <si>
    <t>% Rate Increase Over Existing Rates</t>
  </si>
  <si>
    <t>Affiliate Charges included in Operations and Maintenance Expenses</t>
  </si>
  <si>
    <t>ATCO I-Tek (ITBS)</t>
  </si>
  <si>
    <t>Private Lights</t>
  </si>
  <si>
    <t>Hydro Generation</t>
  </si>
  <si>
    <t>Diesel Generation</t>
  </si>
  <si>
    <t>Total Energy Sales - MWh</t>
  </si>
  <si>
    <t>Losses and Company Used - MWh</t>
  </si>
  <si>
    <t>Total Generation and Purchases (MWh)</t>
  </si>
  <si>
    <t>Hydro Grid Standby Diesel Generation</t>
  </si>
  <si>
    <t>Primary Energy Charge ($ per kWh)</t>
  </si>
  <si>
    <t>Secondary Sales ($ per kWh)</t>
  </si>
  <si>
    <t xml:space="preserve">  Cents per kWh</t>
  </si>
  <si>
    <t>Total Diesel Generation (in MWh)</t>
  </si>
  <si>
    <t>Fuel Heat Rate (kWh per litre)</t>
  </si>
  <si>
    <t>Generation (MWh)</t>
  </si>
  <si>
    <t>Net Heat Rate (kWh/litre)</t>
  </si>
  <si>
    <t>L0</t>
  </si>
  <si>
    <t>L3</t>
  </si>
  <si>
    <t>Fuel Holders, Producers, &amp; Acc. Equipment - Other</t>
  </si>
  <si>
    <t>Inventory (Three-Year Average)</t>
  </si>
  <si>
    <t>Structures and Improvements - Other</t>
  </si>
  <si>
    <t>Add: Costs/AFUDC</t>
  </si>
  <si>
    <t>Deferred Charges Write-off</t>
  </si>
  <si>
    <t>Demand Side Management Program Costs</t>
  </si>
  <si>
    <t>L. 65</t>
  </si>
  <si>
    <t>L. 73</t>
  </si>
  <si>
    <t>L. 70</t>
  </si>
  <si>
    <t>(L.68+L.71)/2</t>
  </si>
  <si>
    <t>Page 2 of 2</t>
  </si>
  <si>
    <t>Page 1 of 2</t>
  </si>
  <si>
    <t>Schedule 1.1</t>
  </si>
  <si>
    <t xml:space="preserve"> Schedule 2.1</t>
  </si>
  <si>
    <t xml:space="preserve"> Schedule 10.1</t>
  </si>
  <si>
    <t xml:space="preserve"> Schedule 9.1</t>
  </si>
  <si>
    <t xml:space="preserve"> Schedule 7.1</t>
  </si>
  <si>
    <t>2016 - 2017 General Rate Application</t>
  </si>
  <si>
    <t xml:space="preserve"> Schedule 8.12</t>
  </si>
  <si>
    <t xml:space="preserve"> Schedule 8.11</t>
  </si>
  <si>
    <t xml:space="preserve"> Schedule 8.10</t>
  </si>
  <si>
    <t xml:space="preserve"> Schedule 8.9</t>
  </si>
  <si>
    <t xml:space="preserve"> Schedule 8.8</t>
  </si>
  <si>
    <t xml:space="preserve"> Schedule 8.7</t>
  </si>
  <si>
    <t xml:space="preserve"> Schedule 8.6</t>
  </si>
  <si>
    <t xml:space="preserve"> Schedule 8.5</t>
  </si>
  <si>
    <t xml:space="preserve"> Schedule 8.4</t>
  </si>
  <si>
    <t xml:space="preserve"> Schedule 8.2</t>
  </si>
  <si>
    <t xml:space="preserve"> Schedule 8.3</t>
  </si>
  <si>
    <t xml:space="preserve"> Schedule 8.1</t>
  </si>
  <si>
    <t xml:space="preserve"> Schedule 7.4</t>
  </si>
  <si>
    <t xml:space="preserve"> Schedule 7.3</t>
  </si>
  <si>
    <t xml:space="preserve"> Schedule 7.2</t>
  </si>
  <si>
    <t xml:space="preserve"> Schedule 5.3</t>
  </si>
  <si>
    <t xml:space="preserve"> Schedule 5.2</t>
  </si>
  <si>
    <t xml:space="preserve"> Schedule 5.1</t>
  </si>
  <si>
    <t xml:space="preserve"> Schedule 4.2</t>
  </si>
  <si>
    <t xml:space="preserve"> Schedule 4.1</t>
  </si>
  <si>
    <t xml:space="preserve"> Schedule 3.2</t>
  </si>
  <si>
    <t xml:space="preserve"> Schedule 3.1</t>
  </si>
  <si>
    <t xml:space="preserve"> Schedule 2.2</t>
  </si>
  <si>
    <t>2013 Actual</t>
  </si>
  <si>
    <t>2013 Approved</t>
  </si>
  <si>
    <t>2014 Actual</t>
  </si>
  <si>
    <t>2014 Approved</t>
  </si>
  <si>
    <t>2015 Actual</t>
  </si>
  <si>
    <t>2015 Approved</t>
  </si>
  <si>
    <t>2016 Test Period</t>
  </si>
  <si>
    <t>2017 Test Period</t>
  </si>
  <si>
    <t>Schedule of Debt Capital Employed and Embedded Cost</t>
  </si>
  <si>
    <t>Page 1 of 3</t>
  </si>
  <si>
    <t>Page 2 of 3</t>
  </si>
  <si>
    <t>Page 3 of 3</t>
  </si>
  <si>
    <t>Calculation of Depreciation Expense 2016</t>
  </si>
  <si>
    <t>Calculation of Depreciation Expense 2017</t>
  </si>
  <si>
    <t>AA</t>
  </si>
  <si>
    <t>AB</t>
  </si>
  <si>
    <t>AC</t>
  </si>
  <si>
    <t>S.7.4 L. 51</t>
  </si>
  <si>
    <t>Less: Adjustment for Board Order 2014-09</t>
  </si>
  <si>
    <t>Purchase Power Capitalized</t>
  </si>
  <si>
    <t>Less: Write Off</t>
  </si>
  <si>
    <t>RIDER R (RATE INCREASE @ CURRENT RATES)</t>
  </si>
  <si>
    <t>Demand Side Management Costs</t>
  </si>
  <si>
    <t>New Extensions</t>
  </si>
  <si>
    <t>Distribution Improvements</t>
  </si>
  <si>
    <t>Street and Sentinel Lights</t>
  </si>
  <si>
    <t>Meters - AMR</t>
  </si>
  <si>
    <t>Transformers and Regulators</t>
  </si>
  <si>
    <t>Tools, Instruments &amp; Equipment</t>
  </si>
  <si>
    <t>Office Computer Equipment</t>
  </si>
  <si>
    <t>Fish Lake Water License Renewal</t>
  </si>
  <si>
    <t>Communication Equipment</t>
  </si>
  <si>
    <t>Transportation Equipment</t>
  </si>
  <si>
    <t>Land and Buildings</t>
  </si>
  <si>
    <t>Cost of Capital Expert</t>
  </si>
  <si>
    <t xml:space="preserve"> Schedule 9.2</t>
  </si>
  <si>
    <t>No</t>
  </si>
  <si>
    <t>Project Name</t>
  </si>
  <si>
    <t>Old Crow Plant Expansion</t>
  </si>
  <si>
    <t>500kW Mobile Generator</t>
  </si>
  <si>
    <t>Beaver Creek Programmable Logic Control (PLC) Upgrade</t>
  </si>
  <si>
    <t>Fish Lake Dyke Upgrade</t>
  </si>
  <si>
    <t>New 250kW Mobile Generator</t>
  </si>
  <si>
    <t>Destruction Bay Plant Foundation Refurbishment</t>
  </si>
  <si>
    <t>Louise Lake Control Structure</t>
  </si>
  <si>
    <t>OSS Control Upgrade</t>
  </si>
  <si>
    <t>Destruction Bay Programmable Logic Controller Upgrade</t>
  </si>
  <si>
    <t>Watson Lake Replace ABB 5HK Breakers</t>
  </si>
  <si>
    <t>Ross River Replace ABB 5HK Breakers</t>
  </si>
  <si>
    <t>Stewart Crossing Plant Improvements</t>
  </si>
  <si>
    <t>Fish Lake Unit 1 Needle Detach Failure</t>
  </si>
  <si>
    <t>Beaver Creek Fuel Line Upgrade</t>
  </si>
  <si>
    <t>Swift River Unit 1 Replacement</t>
  </si>
  <si>
    <t>IRC Chargers</t>
  </si>
  <si>
    <t>Pelly Crossing Fuel System Upgrade</t>
  </si>
  <si>
    <t>Other Projects Less Than $20,000</t>
  </si>
  <si>
    <t>Generation Total</t>
  </si>
  <si>
    <t>Whitehorse Municipal Services Building</t>
  </si>
  <si>
    <t>General Drafting and Mapping</t>
  </si>
  <si>
    <t>Yukon Government Teslin Sawmill Subdivision</t>
  </si>
  <si>
    <t>Lot 11 Marion Crescent</t>
  </si>
  <si>
    <t>Lot 1000 Airport Road</t>
  </si>
  <si>
    <t>Whistle Bend Stage 3</t>
  </si>
  <si>
    <t>Whistle Bend Subdivision Stage 1 &amp; 2</t>
  </si>
  <si>
    <t>City of Whitehorse Range Road Widening</t>
  </si>
  <si>
    <t>New Extensions Total</t>
  </si>
  <si>
    <t>PCB Identification and Transformer Change Outs</t>
  </si>
  <si>
    <t>Test and Treat Pole Program</t>
  </si>
  <si>
    <t>Downtown Whitehorse 4L313 Labert Street to Elliot Street</t>
  </si>
  <si>
    <t>Hotsprings Road Main Line Relocation and Upgrade</t>
  </si>
  <si>
    <t>Tagish 5L600 Rebuild</t>
  </si>
  <si>
    <t>Hillcrest Subdivision Conversion</t>
  </si>
  <si>
    <t>Downtown Whitehorse 4L316 6th Avenue 266 Reconductor</t>
  </si>
  <si>
    <t>Crestview to Mayo Road 5L628 Upgrade to 266 MCM</t>
  </si>
  <si>
    <t>Old Alaska Highway Bypass</t>
  </si>
  <si>
    <t>Carmacks North Main Line Rebuild</t>
  </si>
  <si>
    <t>Jack Hulland School Upgrades</t>
  </si>
  <si>
    <t>Teslin Area Pole Upgrades</t>
  </si>
  <si>
    <t>Lot 1037 Range Road Line Upgrade</t>
  </si>
  <si>
    <t>Whitehorse Safety Code Corrections</t>
  </si>
  <si>
    <t>Whitehorse 5L628 and New 34.5kV Build</t>
  </si>
  <si>
    <t>Downtown Whitehorse 25kV Conversion</t>
  </si>
  <si>
    <t>Downtown Whitehorse Capacity Upgrade</t>
  </si>
  <si>
    <t>Whitehorse Hotsprings Road 3 Phase Conversion</t>
  </si>
  <si>
    <t>Takhini/Marwell Completion of Mountain Air Subdivision</t>
  </si>
  <si>
    <t>MacDonald Road Pole Change</t>
  </si>
  <si>
    <t>Riverdale Line 4L317 Tagish Road</t>
  </si>
  <si>
    <t>Lewes Lake Substation Conversion</t>
  </si>
  <si>
    <t>Whitehorse Airport Hanger D Area Rebuild</t>
  </si>
  <si>
    <t>McLintock Substation Upgrade</t>
  </si>
  <si>
    <t>Spirit Lake Substation Upgrade</t>
  </si>
  <si>
    <t>Grey Mountain 4L320 Tie Upgrade</t>
  </si>
  <si>
    <t>Deep Creek Subdivision Connection</t>
  </si>
  <si>
    <t>Stewart Crossing West Town Conversion</t>
  </si>
  <si>
    <t>Upgrade of S2278</t>
  </si>
  <si>
    <t>Azure Road Extension</t>
  </si>
  <si>
    <t>Distribution Improvements Total</t>
  </si>
  <si>
    <t>Street and Sentinel Lighting</t>
  </si>
  <si>
    <t>Street and Sentinel Lighting Total</t>
  </si>
  <si>
    <t>Transformers &amp; Regulators</t>
  </si>
  <si>
    <t>GP&amp;E</t>
  </si>
  <si>
    <t>Downtown Office Building Envelope Upgrades</t>
  </si>
  <si>
    <t>Whitehorse Service Complex Pole Storage</t>
  </si>
  <si>
    <t>Downtown Office Interior Renovations</t>
  </si>
  <si>
    <t>Whitehorse Service Complex Parking Lot Improvements</t>
  </si>
  <si>
    <t>Whitehorse Service Complex Office Area Renovations</t>
  </si>
  <si>
    <t>Whitehorse Service Complex - Exterior &amp; Service Bay Upgrades</t>
  </si>
  <si>
    <t>Whitehorse Service Complex - Fence Extension</t>
  </si>
  <si>
    <t>Downtown Office Paving &amp; Drain</t>
  </si>
  <si>
    <t>Watson Lake Power Plant Connection to Town Water Supply</t>
  </si>
  <si>
    <t>Whitehorse Various Service Complex Renovations</t>
  </si>
  <si>
    <t>Whitehorse Service Complex Yard Extension</t>
  </si>
  <si>
    <t>Service Complex Heating System</t>
  </si>
  <si>
    <t>AEY SCADA Upgrades</t>
  </si>
  <si>
    <t>Miscellaneous Tools and Instruments</t>
  </si>
  <si>
    <t>Display Change to Yukon Electrical Billing Statements</t>
  </si>
  <si>
    <t>Windows 7 Upgrades</t>
  </si>
  <si>
    <t>E-Post Billing</t>
  </si>
  <si>
    <t>Field Collection System</t>
  </si>
  <si>
    <t>Field Collection System - Report Development (ITBS)</t>
  </si>
  <si>
    <t>Yukon Electrical Website Improvements</t>
  </si>
  <si>
    <t>New Cashier System</t>
  </si>
  <si>
    <t>Oracle R12 Upgrade</t>
  </si>
  <si>
    <t>One Time Credit Card Changes</t>
  </si>
  <si>
    <t>Replacement of Unit 989 - 1995 Hot Line Bucket Truck</t>
  </si>
  <si>
    <t>GP&amp;E Total</t>
  </si>
  <si>
    <t>Grand Total</t>
  </si>
  <si>
    <t>Fish Lake Ditch 3 Diversion Replacement</t>
  </si>
  <si>
    <t xml:space="preserve">Destruction Bay Unit 2 Replacement </t>
  </si>
  <si>
    <t>Old Crow Unit 3 Replacement</t>
  </si>
  <si>
    <t>Watson Lake Unit 2 Replacement</t>
  </si>
  <si>
    <t>Ross River Electrical Service Panel Upgrade</t>
  </si>
  <si>
    <t>Fish Lake Water Monitoring Upgrades</t>
  </si>
  <si>
    <t>Mobile Generator 250kW Voltage and Frequency Protection</t>
  </si>
  <si>
    <t>Mobile Generator 225 kW Refurbishment</t>
  </si>
  <si>
    <t>Old Crow Unit 2 Generator Refurbishment</t>
  </si>
  <si>
    <t>Fish Lake Unit 2 Assessment</t>
  </si>
  <si>
    <t>Destruction Bay Fuel Line Upgrade</t>
  </si>
  <si>
    <t>Watson Lake Bi-Fuel</t>
  </si>
  <si>
    <t>Haines Junction Fuel Containment Upgrade</t>
  </si>
  <si>
    <t>Teslin PLC Replacement - Design</t>
  </si>
  <si>
    <t>Teslin Plant Assessment</t>
  </si>
  <si>
    <t>PLC Replacement Stage 1</t>
  </si>
  <si>
    <t>Old Crow Original Plant Rebuild</t>
  </si>
  <si>
    <t>New Underground Line Extensions</t>
  </si>
  <si>
    <t>Annual Land Rights</t>
  </si>
  <si>
    <t>Annual Right of Way Widening</t>
  </si>
  <si>
    <t>General Pole Replacements</t>
  </si>
  <si>
    <t>McIntyre Subdivision Rebuild</t>
  </si>
  <si>
    <t>Range Road Rebuild</t>
  </si>
  <si>
    <t>Upgrade Underground Line Into Services and Shipyard Sub</t>
  </si>
  <si>
    <t>McCrae Substation Second Feeder Breaker</t>
  </si>
  <si>
    <t>McCrae Substation Transformer Upgrade to 10 MVA</t>
  </si>
  <si>
    <t>Carcross Nares Bridge Relocation</t>
  </si>
  <si>
    <t>Whistle Bend Way Underground Crossing</t>
  </si>
  <si>
    <t>Paint Mountain Conductor Replacement</t>
  </si>
  <si>
    <t>Replace Watson Lake Substation Transformer T2</t>
  </si>
  <si>
    <t>Shipyards Spare 25kV Breaker</t>
  </si>
  <si>
    <t>Replace Underground Cables at Whitehorse Airport</t>
  </si>
  <si>
    <t>Rebuild Line Behind City Municipal Services Building</t>
  </si>
  <si>
    <t>Haines Junction OSS Replacement</t>
  </si>
  <si>
    <t>Single Regulator 5L631</t>
  </si>
  <si>
    <t>Steward Crossing Ferry Hill Line Rebuild - Design</t>
  </si>
  <si>
    <t>McRae Substation Regulator Upgrade</t>
  </si>
  <si>
    <t>General Streetlight Replacements</t>
  </si>
  <si>
    <t>Whistle Bend Streetlights</t>
  </si>
  <si>
    <t>New Customer Streetlight Installations</t>
  </si>
  <si>
    <t>McIntyre Subdivision Streetlight Rebuild</t>
  </si>
  <si>
    <t>Watson Lake Street Light Replacement</t>
  </si>
  <si>
    <t>Meters Total</t>
  </si>
  <si>
    <t>Transformers &amp; Regulators Total</t>
  </si>
  <si>
    <t>General Capitalizable Transformers</t>
  </si>
  <si>
    <t>Spare 10 MVA Transformer</t>
  </si>
  <si>
    <t>Furnace Replacements - Watson Lake</t>
  </si>
  <si>
    <t>Watson Lake Septic Upgrade</t>
  </si>
  <si>
    <t>Service Complex Boiler Replacement</t>
  </si>
  <si>
    <t>Fish Lake Unit 1 Turbine and Building Replacement</t>
  </si>
  <si>
    <t>Watson Lake Unit 4 Replacement</t>
  </si>
  <si>
    <t>Beaver Creek Unit 2 Replacement</t>
  </si>
  <si>
    <t>Watson Lake Unit 6 Major Overhaul</t>
  </si>
  <si>
    <t>Fish Lake Unit 2 Siding Replacement</t>
  </si>
  <si>
    <t>Swift River Unit 2 Replacement</t>
  </si>
  <si>
    <t>Fish Lake Unit 1 Fiber Communication</t>
  </si>
  <si>
    <t>Fish Lake Unit 2 SCADA</t>
  </si>
  <si>
    <t>Fish Lake Unit 2 Penstock Improvements</t>
  </si>
  <si>
    <t>Fish Lake Unit 2 Building Improvements</t>
  </si>
  <si>
    <t>Fish Lake Unit 2 Vibration Monitoring</t>
  </si>
  <si>
    <t>Watson Lake Unit 5 Major Overhaul</t>
  </si>
  <si>
    <t>Beaver Creek Unit 1 Replacement</t>
  </si>
  <si>
    <t>Old Crow Unit 4 Addition</t>
  </si>
  <si>
    <t>Destruction Bay Unit 3 Replacement</t>
  </si>
  <si>
    <t>Old Crow Unit 2 Replacement</t>
  </si>
  <si>
    <t>Watson Lake Unit 1 Major Overhaul</t>
  </si>
  <si>
    <t>Old Crow Unit 2 - External Equipment</t>
  </si>
  <si>
    <t>Fish Lake Unit 1 Spillway Diversion Structure</t>
  </si>
  <si>
    <t>Fish Lake Unit 2 Head Pond Low Level Outlet Pipe</t>
  </si>
  <si>
    <t>Pelly Crossing Ventilation System Upgrade</t>
  </si>
  <si>
    <t>Pelly Crossing Unit 2 Silencer</t>
  </si>
  <si>
    <t>Fuel System Assessment</t>
  </si>
  <si>
    <t>New General Overhead Services - Various Subdivisions</t>
  </si>
  <si>
    <t>Replacement of Meters and New Installations</t>
  </si>
  <si>
    <t>Whistle Bend Underground Residential Service</t>
  </si>
  <si>
    <t>Teslin Sawmill Road Feeder Upgrade</t>
  </si>
  <si>
    <t>Watson Lake Underground Subdivision Replacement</t>
  </si>
  <si>
    <t>Upper Liard – Replace Liard River Crossing</t>
  </si>
  <si>
    <t>5L622 - Lewes River Bridge Crossing Replacement</t>
  </si>
  <si>
    <t>Fault Indicators in Padmount Equipment</t>
  </si>
  <si>
    <t>Spare Padmount Regulator for Shipyards Substation</t>
  </si>
  <si>
    <t>Fish Lake Ditch 1 Intake Building - Design</t>
  </si>
  <si>
    <t>Mobile Generator 350 kW Refurbish Enclosure</t>
  </si>
  <si>
    <t>Form 6 Substation Controls</t>
  </si>
  <si>
    <t>Windows XP Conversion for Operations Dispatch</t>
  </si>
  <si>
    <t>Whitehorse SCADA Dispatch UHF Repeater</t>
  </si>
  <si>
    <t>McIntyre Substation Change Switches and Busswork</t>
  </si>
  <si>
    <t>97 Lewes Blvd Upgrade</t>
  </si>
  <si>
    <t>Ion Meter Upgrade</t>
  </si>
  <si>
    <t>Ross River Recloser for S7580</t>
  </si>
  <si>
    <t>Shipyards Substation Upgrades</t>
  </si>
  <si>
    <t>Lot 1037 Range Road Trespass</t>
  </si>
  <si>
    <t>Watson Lake Substation Ground Grid Upgrade</t>
  </si>
  <si>
    <t>Nisutlin Bridge Cable Tray Upgrade</t>
  </si>
  <si>
    <t>Yukon Wildlife Preserve Powerline Rebuild</t>
  </si>
  <si>
    <t>Lane Rebuild - 30 Tagish Road</t>
  </si>
  <si>
    <t>Install Interface Metering for 5L655</t>
  </si>
  <si>
    <t>600 Amp Feeder from Tamarack to Evergreen</t>
  </si>
  <si>
    <t>400 Amp Regulators in Logan Substation</t>
  </si>
  <si>
    <t>400 Amp Regulators in Arkell Substation</t>
  </si>
  <si>
    <t>S.5.2 L.11</t>
  </si>
  <si>
    <t>S.5.2 L.28</t>
  </si>
  <si>
    <t>Renewables Feasibility Study</t>
  </si>
  <si>
    <t xml:space="preserve">Less: Write-off </t>
  </si>
  <si>
    <t>Marwell Lot 14 Transformer Upgrade</t>
  </si>
  <si>
    <t>Other Deferrals and Studies Write-off</t>
  </si>
  <si>
    <t>Less: Transfer to Rate Base</t>
  </si>
  <si>
    <t>Stewart Crossing - Spare Fuel Injector</t>
  </si>
  <si>
    <t>Generation Continued</t>
  </si>
  <si>
    <t>2016</t>
  </si>
  <si>
    <t>2017</t>
  </si>
  <si>
    <t>2015</t>
  </si>
  <si>
    <t>2014</t>
  </si>
  <si>
    <t>2013</t>
  </si>
  <si>
    <t>Fish Lake #2 Head Pond Spillway Replacement</t>
  </si>
  <si>
    <t>Whitehorse Asset Management</t>
  </si>
  <si>
    <t>GP&amp;E Continued</t>
  </si>
  <si>
    <t>Distribution Improvements Continued</t>
  </si>
  <si>
    <t>and licence requirements ($31) and inflation ($5).</t>
  </si>
  <si>
    <t>Costs increase from 2013 to 2014 mainly due to higher costs for Fish Lake monitoring</t>
  </si>
  <si>
    <t>Costs increase from 2015 to 2016 mainly due to the addition of an engineering technologist</t>
  </si>
  <si>
    <t>position ($40) and inflation ($13).</t>
  </si>
  <si>
    <t>Firth Breaker Replacement</t>
  </si>
  <si>
    <t>Takhini/Marwell 4L315 Upgrades</t>
  </si>
  <si>
    <t>General Clearance Upgrades/Fixes</t>
  </si>
  <si>
    <t>Watson Lake Storage Solutions</t>
  </si>
  <si>
    <t>Replace XP Operating Systems - iFix PCs</t>
  </si>
  <si>
    <t>Vault Replacements</t>
  </si>
  <si>
    <t>Costs increase from 2014 to 2015 mainly due to lower vacancy ($24) and inflation ($7).</t>
  </si>
  <si>
    <t>Costs increase in 2014 to 2015 mainly due to more scheduled top end maintenance in 2015</t>
  </si>
  <si>
    <t>than prior year ($205) and inflation ($23).</t>
  </si>
  <si>
    <t>General</t>
  </si>
  <si>
    <t>name from "Yukon Electrical Company Ltd." to "ATCO Electric Yukon".</t>
  </si>
  <si>
    <t xml:space="preserve">Costs increase from 2013 to 2014 due to changes required on communication materials and </t>
  </si>
  <si>
    <t>receivable ($44).</t>
  </si>
  <si>
    <t>Costs increased from 2013 to 2014 mainly due to the write off of an uncollectible contribution</t>
  </si>
  <si>
    <t>Costs increase from 2013 to 2014 mainly due to the full year impact of filling previously vacant</t>
  </si>
  <si>
    <t>positions ($26) and inflation ($10).</t>
  </si>
  <si>
    <t>Costs increase from 2015 to 2016 mainly due to filling previously vacant head office position</t>
  </si>
  <si>
    <t>($126) and addition of the operational accountant position ($108) as well as inflation ($55)</t>
  </si>
  <si>
    <t>and additional costs for employee association agreement negotiations ($21).</t>
  </si>
  <si>
    <t xml:space="preserve">  Administration and General Continued</t>
  </si>
  <si>
    <t>service recognition costs.</t>
  </si>
  <si>
    <t>Costs increase in 2016 mainly due to inflation as well as planned retirement and employee</t>
  </si>
  <si>
    <t>Costs fluctuate year over year from 2013 to 2015 mainly due to relocation requirements to fill</t>
  </si>
  <si>
    <t>positions that become vacant.</t>
  </si>
  <si>
    <t>Less:</t>
  </si>
  <si>
    <t>Transfers to Rate Base</t>
  </si>
  <si>
    <t>Transfers to Deferred Charges</t>
  </si>
  <si>
    <t>Watson Lake Plant Fire Alarm System - Design</t>
  </si>
  <si>
    <t>Old Crow Staff Accommodations</t>
  </si>
  <si>
    <t xml:space="preserve">Cost increase from 2015 to 2016 mainly due to increased streetlight maintenance and </t>
  </si>
  <si>
    <t>Add: Transfers from Plant Additions</t>
  </si>
  <si>
    <t>Cumulative Eligible Capital</t>
  </si>
  <si>
    <t>Louise Lake Containment Dyke Seismic Analysis</t>
  </si>
  <si>
    <t>Study Costs</t>
  </si>
  <si>
    <t>Joint Smart Grid Study</t>
  </si>
  <si>
    <r>
      <t>billing system related to changing "1</t>
    </r>
    <r>
      <rPr>
        <vertAlign val="superscript"/>
        <sz val="12"/>
        <rFont val="Arial"/>
        <family val="2"/>
      </rPr>
      <t xml:space="preserve">st </t>
    </r>
    <r>
      <rPr>
        <sz val="12"/>
        <rFont val="Arial"/>
        <family val="2"/>
      </rPr>
      <t xml:space="preserve">Street" to "Front Street"  ($28) and for changing the operating </t>
    </r>
  </si>
  <si>
    <t>4L314 Chilkoot Way Upgrade</t>
  </si>
  <si>
    <t>Customer Care &amp; Billing</t>
  </si>
  <si>
    <t>Base Retail Revenues</t>
  </si>
  <si>
    <t>Total Retail Revenue</t>
  </si>
  <si>
    <t>NET REVENUES</t>
  </si>
  <si>
    <t>Note 1 - 2016-2017 Rider F calculated based on average 2015 diesel price</t>
  </si>
  <si>
    <t>Note 2</t>
  </si>
  <si>
    <t>% Rate Increase - Net Customer Impact</t>
  </si>
  <si>
    <t>Pension Deferral</t>
  </si>
  <si>
    <t>Pension Deferral Account</t>
  </si>
  <si>
    <t>Note 2 - Net impact of higher revenue requirement and fuel price variance to be flowed through to customers.</t>
  </si>
  <si>
    <t>Fuel Variance Rider (Rider F)</t>
  </si>
  <si>
    <t>AEY Primary Retail Revenue</t>
  </si>
  <si>
    <t>Total YEC/AEY Retail Revenue Primary Rates ($000s)</t>
  </si>
  <si>
    <t>Note 1 - Effective September 1, 2014 ATCO Electric Yukon changed IT service providers.</t>
  </si>
  <si>
    <t>Note 2 - Effective January 1, 2015 ATCO Electric Yukon changed billing system support providers.</t>
  </si>
  <si>
    <t>2nd Ave Relocation</t>
  </si>
  <si>
    <t>Appendix 1</t>
  </si>
  <si>
    <t>S.3.1 L.13</t>
  </si>
  <si>
    <t>S.8.6 L.22</t>
  </si>
  <si>
    <t>Costs increase from 2013 to 2014 mainly due to additional deficiencies identified at the</t>
  </si>
  <si>
    <t>warehouse and office facilities that required maintenance.</t>
  </si>
  <si>
    <t>Appendix 11</t>
  </si>
  <si>
    <t>S.2.1 L.54</t>
  </si>
  <si>
    <t>Page 1 of 1</t>
  </si>
  <si>
    <t>S.8.8 L.11</t>
  </si>
  <si>
    <t>S.8.1 L.5, 10, 15, 20, 25, 30, 35, 40</t>
  </si>
  <si>
    <t>S.10.1 L.30</t>
  </si>
  <si>
    <t>L.56 + L.57</t>
  </si>
  <si>
    <t>L.50 / L.58</t>
  </si>
  <si>
    <t>S.4.1 L.1 - L.8</t>
  </si>
  <si>
    <t>S.4.2 L.15</t>
  </si>
  <si>
    <t>S. 4.2 L.33</t>
  </si>
  <si>
    <t>S.5.2 L.20</t>
  </si>
  <si>
    <t>S.5.2 L.34</t>
  </si>
  <si>
    <t>S.5.2 L.40</t>
  </si>
  <si>
    <t>S.5.2 L.46</t>
  </si>
  <si>
    <t>S.5.2 L.54</t>
  </si>
  <si>
    <t>S.5.2 L.63</t>
  </si>
  <si>
    <t>S.5.2 L.73</t>
  </si>
  <si>
    <t>S.5.2 L.80</t>
  </si>
  <si>
    <t>S.5.1 L.2</t>
  </si>
  <si>
    <t>S.5.1 L.4</t>
  </si>
  <si>
    <t>S.5.1 L.6</t>
  </si>
  <si>
    <t>S.5.1 L.10</t>
  </si>
  <si>
    <t>S.5.1 L.14</t>
  </si>
  <si>
    <t>S.5.1 L.17</t>
  </si>
  <si>
    <t>S.5.1 L.22</t>
  </si>
  <si>
    <t>S.5.1 L.26</t>
  </si>
  <si>
    <t>S.5.1 L.35</t>
  </si>
  <si>
    <t>S.5.1 L.38</t>
  </si>
  <si>
    <t>S.5.1 L.42</t>
  </si>
  <si>
    <t>S.5.1 L.44</t>
  </si>
  <si>
    <t>S. 7.2, 7.3 L.51</t>
  </si>
  <si>
    <t>S.8.2 L.23</t>
  </si>
  <si>
    <t>S.8.2 L.47</t>
  </si>
  <si>
    <t>S.8.2 L.71</t>
  </si>
  <si>
    <t>S.8.2 L.96</t>
  </si>
  <si>
    <t>S.8.2 L.120</t>
  </si>
  <si>
    <t>S.8.2 L.146</t>
  </si>
  <si>
    <t>S.10.1 L.7</t>
  </si>
  <si>
    <t>S.10.1 L.14</t>
  </si>
  <si>
    <t>S.8.8 L.22</t>
  </si>
  <si>
    <t>S. 8.8 L.61</t>
  </si>
  <si>
    <t>L. 27</t>
  </si>
  <si>
    <t>L. 37</t>
  </si>
  <si>
    <t>L. 45</t>
  </si>
  <si>
    <t>L. 53</t>
  </si>
  <si>
    <t>L. 31</t>
  </si>
  <si>
    <t>L. 40</t>
  </si>
  <si>
    <t>L. 48</t>
  </si>
  <si>
    <t>L. 56</t>
  </si>
  <si>
    <t>L. 81</t>
  </si>
  <si>
    <t>L. 89</t>
  </si>
  <si>
    <t>S. 8.8 L. 26</t>
  </si>
  <si>
    <t>(L.25+L.29)/2</t>
  </si>
  <si>
    <t>(L.34+L.38)/2</t>
  </si>
  <si>
    <t>(L.43+L.46)/2</t>
  </si>
  <si>
    <t>(L.51+L.54)/2</t>
  </si>
  <si>
    <t>(L.59+L.63)/2</t>
  </si>
  <si>
    <t>(L.76+L.79)/2</t>
  </si>
  <si>
    <t>(L.84+L.87)/2</t>
  </si>
  <si>
    <t>L. 78</t>
  </si>
  <si>
    <t>L. 86</t>
  </si>
  <si>
    <t>S.1.1 L.10</t>
  </si>
  <si>
    <t>S.8.11 L.36</t>
  </si>
  <si>
    <t>(L.28*L.32)/365</t>
  </si>
  <si>
    <t>S.8.8 L.36</t>
  </si>
  <si>
    <t>S. 9.1 L.35</t>
  </si>
  <si>
    <t>S.8.8 L.26</t>
  </si>
  <si>
    <t>S.8.8 L.35,L.36,L.69,L.77</t>
  </si>
  <si>
    <t>S.8.8 L.60</t>
  </si>
  <si>
    <t>Appendix 2</t>
  </si>
  <si>
    <t>Appendix 3</t>
  </si>
  <si>
    <t>Appendix 4</t>
  </si>
  <si>
    <t>Appendix 5</t>
  </si>
  <si>
    <t>Appendix 6</t>
  </si>
  <si>
    <t>Appendix 7</t>
  </si>
  <si>
    <t>Appendix 8</t>
  </si>
  <si>
    <t>Appendix 9</t>
  </si>
  <si>
    <t>Appendix 10</t>
  </si>
  <si>
    <t>Page 1 of 6</t>
  </si>
  <si>
    <t>Page 2 of 6</t>
  </si>
  <si>
    <t>Page 3 of 6</t>
  </si>
  <si>
    <t>Page 4 of 6</t>
  </si>
  <si>
    <t>Page 5 of 6</t>
  </si>
  <si>
    <t>Page 6 of 6</t>
  </si>
  <si>
    <t>S.9.2 L.219</t>
  </si>
  <si>
    <t>Attachment 9.1, pg 1</t>
  </si>
  <si>
    <t>Attachment 9.1, pg 3</t>
  </si>
  <si>
    <t>Attachment 9.1, pg 4</t>
  </si>
  <si>
    <t>Attachment 9.1, pg 7</t>
  </si>
  <si>
    <t>Attachment 9.2, pg 1</t>
  </si>
  <si>
    <t>Attachment 9.2, pg 2</t>
  </si>
  <si>
    <t>Attach. 9.1 pg 2, 9.2 pg 3</t>
  </si>
  <si>
    <t>Attach. 9.1 pg 3, 9.2 pg 4</t>
  </si>
  <si>
    <t>Attachment 9.2, pg 4</t>
  </si>
  <si>
    <t>Attachment 9.2, pg 5</t>
  </si>
  <si>
    <t>Attach. 9.1 pg 5, 9.2 pg 6</t>
  </si>
  <si>
    <t>Attach. 9.1 pg 6, 9.2 pg 7</t>
  </si>
  <si>
    <t>Attach 9.1 pg 7, 9.2 pg 8</t>
  </si>
  <si>
    <t>Attach. 9.1 pg 8, 9.2 pg 9</t>
  </si>
  <si>
    <t>Costs increase from 2014 to 2015 mainly due to completion of regular brushing program. Prior year</t>
  </si>
  <si>
    <t>costs were lower due to the availability of resources.</t>
  </si>
  <si>
    <t>Costs increase from 2014 to 2015 mainly due to increased maintenance requirements as identified</t>
  </si>
  <si>
    <t>by regular line patrols, offset by lower overhead costs in 87300.</t>
  </si>
  <si>
    <t>repair activity, based on historical averages as well as inflation.</t>
  </si>
  <si>
    <t>Costs increase from 2015 to 2016 mainly due to the forecast reflecting the historical average cost.</t>
  </si>
  <si>
    <t>Costs increase from 2013 to 2014 mainly due to higher employee service recognition costs and</t>
  </si>
  <si>
    <t>absence with pay, as well as higher employee benefits.</t>
  </si>
  <si>
    <t>S. 4.2 L.16</t>
  </si>
  <si>
    <t>S.2.1 L.34</t>
  </si>
  <si>
    <t>S.2.1 L.51</t>
  </si>
  <si>
    <t>S.5.2 L.89</t>
  </si>
  <si>
    <t>S.8.3 L.52</t>
  </si>
  <si>
    <t>S.8.3 L.25</t>
  </si>
  <si>
    <t>S.1.1 L.14</t>
  </si>
  <si>
    <t>S.7.2, 7.3 L.50</t>
  </si>
  <si>
    <t>S.7.2, 7.3 L.52</t>
  </si>
  <si>
    <t>S.8.8 L.35,44,52,69,77</t>
  </si>
  <si>
    <t>S.8.8 L.37,45,53,70,78</t>
  </si>
  <si>
    <t>Continuity of Capital Expenditures</t>
  </si>
  <si>
    <t>ATCO Electric Yukon</t>
  </si>
  <si>
    <t>Attachment 11.2</t>
  </si>
  <si>
    <t>Attachment 11.3</t>
  </si>
  <si>
    <t>Attachment 11.6</t>
  </si>
  <si>
    <t>Attachment 11.7</t>
  </si>
  <si>
    <t>Attachment 11.9</t>
  </si>
  <si>
    <t>Attachment 11.10</t>
  </si>
  <si>
    <t>Attachment 11.11</t>
  </si>
  <si>
    <t>Attachment 11.12</t>
  </si>
  <si>
    <t>Attachment 11.13</t>
  </si>
  <si>
    <t>Attachment 11.8</t>
  </si>
  <si>
    <t>Attachment 11.1</t>
  </si>
  <si>
    <t>Attach. 11.4, Appendix 8</t>
  </si>
  <si>
    <t>Attachment 11.5</t>
  </si>
  <si>
    <t>S. 8.9 L.8</t>
  </si>
  <si>
    <t>(MWh)</t>
  </si>
  <si>
    <t>Litres Consumed  ($000s)</t>
  </si>
  <si>
    <t>S.9.1 L.28</t>
  </si>
  <si>
    <t>S.9.1 L. 19</t>
  </si>
  <si>
    <t>S.9.1 L.35</t>
  </si>
  <si>
    <t>S.9.1 L.33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</si>
</sst>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#,##0.0_);\(#,##0.0\)"/>
    <numFmt numFmtId="171" formatCode="0.000%"/>
    <numFmt numFmtId="172" formatCode="#,##0\ ;\(#,##0\)"/>
    <numFmt numFmtId="173" formatCode="_(* #,##0.0000_);_(* \(#,##0.0000\);_(* &quot;-&quot;??_);_(@_)"/>
    <numFmt numFmtId="174" formatCode="_-* #,##0.000_-;\-* #,##0.000_-;_-* &quot;-&quot;??_-;_-@_-"/>
    <numFmt numFmtId="175" formatCode="_-* #,##0.0000_-;\-* #,##0.0000_-;_-* &quot;-&quot;??_-;_-@_-"/>
    <numFmt numFmtId="176" formatCode="_-* #,##0_-;\-* #,##0_-;_-* &quot;-&quot;??_-;_-@_-"/>
    <numFmt numFmtId="177" formatCode="_(* #,##0_);_(* \(#,##0\);_(* &quot;-&quot;?_);_(@_)"/>
    <numFmt numFmtId="178" formatCode="_-&quot;$&quot;* #,##0_-;\-&quot;$&quot;* #,##0_-;_-&quot;$&quot;* &quot;-&quot;??_-;_-@_-"/>
    <numFmt numFmtId="179" formatCode="#,##0.00000000000_);\(#,##0.00000000000\)"/>
    <numFmt numFmtId="180" formatCode="#,##0.0"/>
    <numFmt numFmtId="181" formatCode="_([$€-2]* #,##0.00_);_([$€-2]* \(#,##0.00\);_([$€-2]* &quot;-&quot;??_)"/>
    <numFmt numFmtId="182" formatCode="_(* #,##0.000_);_(* \(#,##0.000\);_(* &quot;-&quot;_);_(@_)"/>
    <numFmt numFmtId="183" formatCode="_-* #,##0.00_-;\-* #,##0.00_-;_-* &quot;-&quot;_-;_-@_-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MS Sans Serif"/>
      <family val="2"/>
    </font>
    <font>
      <u/>
      <sz val="12"/>
      <name val="Arial"/>
      <family val="2"/>
    </font>
    <font>
      <sz val="12"/>
      <name val="MS Sans Serif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9"/>
      <color rgb="FF0070C0"/>
      <name val="Arial"/>
      <family val="2"/>
    </font>
    <font>
      <b/>
      <u/>
      <sz val="8"/>
      <name val="Arial"/>
      <family val="2"/>
    </font>
    <font>
      <sz val="8"/>
      <color theme="3" tint="0.39997558519241921"/>
      <name val="Arial"/>
      <family val="2"/>
    </font>
    <font>
      <sz val="11"/>
      <color rgb="FF00610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8"/>
      <color theme="7" tint="-0.249977111117893"/>
      <name val="Century"/>
      <family val="1"/>
    </font>
    <font>
      <sz val="8.5"/>
      <name val="Arial"/>
      <family val="2"/>
    </font>
    <font>
      <b/>
      <sz val="8.5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vertAlign val="superscript"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7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1" fontId="23" fillId="0" borderId="0" applyNumberFormat="0" applyFill="0" applyBorder="0" applyAlignment="0" applyProtection="0"/>
    <xf numFmtId="181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1" fontId="3" fillId="0" borderId="0"/>
    <xf numFmtId="0" fontId="31" fillId="2" borderId="0" applyNumberFormat="0" applyBorder="0" applyAlignment="0" applyProtection="0"/>
    <xf numFmtId="0" fontId="3" fillId="0" borderId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37" fillId="4" borderId="0" applyNumberFormat="0" applyBorder="0" applyAlignment="0" applyProtection="0"/>
    <xf numFmtId="0" fontId="38" fillId="21" borderId="13" applyNumberFormat="0" applyAlignment="0" applyProtection="0"/>
    <xf numFmtId="0" fontId="39" fillId="22" borderId="1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3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8" borderId="13" applyNumberFormat="0" applyAlignment="0" applyProtection="0"/>
    <xf numFmtId="0" fontId="46" fillId="0" borderId="18" applyNumberFormat="0" applyFill="0" applyAlignment="0" applyProtection="0"/>
    <xf numFmtId="0" fontId="47" fillId="23" borderId="0" applyNumberFormat="0" applyBorder="0" applyAlignment="0" applyProtection="0"/>
    <xf numFmtId="0" fontId="3" fillId="0" borderId="0"/>
    <xf numFmtId="0" fontId="2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2" fillId="0" borderId="0"/>
    <xf numFmtId="0" fontId="3" fillId="24" borderId="19" applyNumberFormat="0" applyFont="0" applyAlignment="0" applyProtection="0"/>
    <xf numFmtId="0" fontId="48" fillId="21" borderId="20" applyNumberFormat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1" applyNumberFormat="0" applyFill="0" applyAlignment="0" applyProtection="0"/>
    <xf numFmtId="0" fontId="5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0" borderId="0" applyNumberFormat="0" applyFont="0" applyFill="0" applyBorder="0" applyAlignment="0"/>
    <xf numFmtId="0" fontId="1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</cellStyleXfs>
  <cellXfs count="614">
    <xf numFmtId="0" fontId="0" fillId="0" borderId="0" xfId="0"/>
    <xf numFmtId="0" fontId="4" fillId="0" borderId="0" xfId="0" applyNumberFormat="1" applyFont="1"/>
    <xf numFmtId="0" fontId="0" fillId="0" borderId="0" xfId="0" applyFill="1"/>
    <xf numFmtId="0" fontId="0" fillId="0" borderId="0" xfId="0" applyBorder="1"/>
    <xf numFmtId="168" fontId="3" fillId="0" borderId="0" xfId="1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/>
    <xf numFmtId="0" fontId="8" fillId="0" borderId="0" xfId="0" applyFont="1"/>
    <xf numFmtId="37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10" fontId="17" fillId="0" borderId="2" xfId="0" applyNumberFormat="1" applyFont="1" applyFill="1" applyBorder="1"/>
    <xf numFmtId="10" fontId="17" fillId="0" borderId="1" xfId="0" applyNumberFormat="1" applyFont="1" applyFill="1" applyBorder="1"/>
    <xf numFmtId="10" fontId="17" fillId="0" borderId="4" xfId="0" applyNumberFormat="1" applyFont="1" applyFill="1" applyBorder="1"/>
    <xf numFmtId="168" fontId="3" fillId="0" borderId="0" xfId="1" applyNumberFormat="1" applyFont="1" applyFill="1"/>
    <xf numFmtId="0" fontId="0" fillId="0" borderId="0" xfId="0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/>
    <xf numFmtId="168" fontId="12" fillId="0" borderId="0" xfId="1" applyNumberFormat="1" applyFont="1"/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166" fontId="12" fillId="0" borderId="0" xfId="1" applyFont="1" applyFill="1"/>
    <xf numFmtId="168" fontId="12" fillId="0" borderId="0" xfId="1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168" fontId="3" fillId="0" borderId="1" xfId="1" applyNumberFormat="1" applyFill="1" applyBorder="1"/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left" indent="1"/>
    </xf>
    <xf numFmtId="0" fontId="10" fillId="0" borderId="0" xfId="0" applyFont="1" applyFill="1"/>
    <xf numFmtId="168" fontId="12" fillId="0" borderId="1" xfId="1" applyNumberFormat="1" applyFont="1" applyBorder="1"/>
    <xf numFmtId="37" fontId="12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12" fillId="0" borderId="0" xfId="0" applyFont="1" applyFill="1"/>
    <xf numFmtId="0" fontId="6" fillId="0" borderId="0" xfId="0" quotePrefix="1" applyFont="1" applyAlignment="1">
      <alignment horizontal="left"/>
    </xf>
    <xf numFmtId="0" fontId="8" fillId="0" borderId="0" xfId="0" applyFont="1" applyAlignment="1">
      <alignment horizontal="centerContinuous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8" fontId="12" fillId="0" borderId="0" xfId="1" applyNumberFormat="1" applyFont="1" applyFill="1"/>
    <xf numFmtId="0" fontId="6" fillId="0" borderId="0" xfId="0" applyFont="1" applyFill="1" applyAlignment="1">
      <alignment horizontal="right"/>
    </xf>
    <xf numFmtId="0" fontId="8" fillId="0" borderId="0" xfId="0" applyFont="1" applyFill="1"/>
    <xf numFmtId="0" fontId="12" fillId="0" borderId="0" xfId="0" applyFont="1" applyFill="1" applyAlignment="1">
      <alignment horizontal="left" indent="2"/>
    </xf>
    <xf numFmtId="0" fontId="6" fillId="0" borderId="0" xfId="0" applyFont="1" applyFill="1"/>
    <xf numFmtId="0" fontId="8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168" fontId="12" fillId="0" borderId="0" xfId="1" applyNumberFormat="1" applyFont="1" applyFill="1" applyBorder="1"/>
    <xf numFmtId="10" fontId="12" fillId="0" borderId="0" xfId="0" applyNumberFormat="1" applyFont="1" applyFill="1" applyBorder="1"/>
    <xf numFmtId="172" fontId="5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Alignment="1">
      <alignment horizontal="center"/>
    </xf>
    <xf numFmtId="168" fontId="12" fillId="0" borderId="1" xfId="1" applyNumberFormat="1" applyFont="1" applyFill="1" applyBorder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indent="1"/>
    </xf>
    <xf numFmtId="168" fontId="12" fillId="0" borderId="0" xfId="0" applyNumberFormat="1" applyFont="1"/>
    <xf numFmtId="0" fontId="12" fillId="0" borderId="0" xfId="0" applyFont="1" applyAlignment="1">
      <alignment horizontal="left"/>
    </xf>
    <xf numFmtId="168" fontId="10" fillId="0" borderId="0" xfId="1" applyNumberFormat="1" applyFont="1" applyFill="1" applyBorder="1"/>
    <xf numFmtId="1" fontId="12" fillId="0" borderId="0" xfId="0" applyNumberFormat="1" applyFont="1" applyFill="1"/>
    <xf numFmtId="173" fontId="12" fillId="0" borderId="0" xfId="1" applyNumberFormat="1" applyFont="1" applyFill="1"/>
    <xf numFmtId="169" fontId="12" fillId="0" borderId="0" xfId="4" applyNumberFormat="1" applyFont="1" applyFill="1" applyBorder="1"/>
    <xf numFmtId="173" fontId="12" fillId="0" borderId="0" xfId="1" applyNumberFormat="1" applyFont="1" applyFill="1" applyBorder="1"/>
    <xf numFmtId="0" fontId="6" fillId="0" borderId="0" xfId="0" applyFont="1" applyAlignment="1"/>
    <xf numFmtId="168" fontId="0" fillId="0" borderId="0" xfId="0" applyNumberFormat="1"/>
    <xf numFmtId="0" fontId="6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indent="2"/>
    </xf>
    <xf numFmtId="164" fontId="12" fillId="0" borderId="0" xfId="0" applyNumberFormat="1" applyFont="1"/>
    <xf numFmtId="164" fontId="12" fillId="0" borderId="0" xfId="0" applyNumberFormat="1" applyFont="1" applyBorder="1"/>
    <xf numFmtId="0" fontId="12" fillId="0" borderId="0" xfId="0" applyFont="1" applyAlignment="1"/>
    <xf numFmtId="168" fontId="12" fillId="0" borderId="4" xfId="0" applyNumberFormat="1" applyFont="1" applyBorder="1"/>
    <xf numFmtId="177" fontId="12" fillId="0" borderId="0" xfId="1" applyNumberFormat="1" applyFont="1" applyFill="1" applyAlignment="1">
      <alignment horizontal="right"/>
    </xf>
    <xf numFmtId="177" fontId="12" fillId="0" borderId="1" xfId="1" applyNumberFormat="1" applyFont="1" applyFill="1" applyBorder="1" applyAlignment="1">
      <alignment horizontal="right"/>
    </xf>
    <xf numFmtId="177" fontId="12" fillId="0" borderId="0" xfId="1" applyNumberFormat="1" applyFont="1" applyFill="1" applyBorder="1" applyAlignment="1">
      <alignment horizontal="right"/>
    </xf>
    <xf numFmtId="177" fontId="12" fillId="0" borderId="7" xfId="1" applyNumberFormat="1" applyFont="1" applyFill="1" applyBorder="1" applyAlignment="1">
      <alignment horizontal="right"/>
    </xf>
    <xf numFmtId="168" fontId="12" fillId="0" borderId="1" xfId="0" applyNumberFormat="1" applyFont="1" applyBorder="1"/>
    <xf numFmtId="168" fontId="12" fillId="0" borderId="0" xfId="0" applyNumberFormat="1" applyFont="1" applyBorder="1"/>
    <xf numFmtId="164" fontId="12" fillId="0" borderId="0" xfId="2" applyNumberFormat="1" applyFont="1" applyFill="1" applyBorder="1"/>
    <xf numFmtId="168" fontId="12" fillId="0" borderId="0" xfId="0" applyNumberFormat="1" applyFont="1" applyFill="1"/>
    <xf numFmtId="168" fontId="12" fillId="0" borderId="0" xfId="0" applyNumberFormat="1" applyFont="1" applyFill="1" applyBorder="1"/>
    <xf numFmtId="168" fontId="12" fillId="0" borderId="1" xfId="0" applyNumberFormat="1" applyFont="1" applyFill="1" applyBorder="1"/>
    <xf numFmtId="165" fontId="25" fillId="0" borderId="0" xfId="0" applyNumberFormat="1" applyFont="1" applyAlignment="1">
      <alignment horizontal="left"/>
    </xf>
    <xf numFmtId="168" fontId="12" fillId="0" borderId="3" xfId="0" applyNumberFormat="1" applyFont="1" applyBorder="1"/>
    <xf numFmtId="176" fontId="12" fillId="0" borderId="0" xfId="1" applyNumberFormat="1" applyFont="1"/>
    <xf numFmtId="176" fontId="12" fillId="0" borderId="0" xfId="1" applyNumberFormat="1" applyFont="1" applyFill="1"/>
    <xf numFmtId="176" fontId="12" fillId="0" borderId="0" xfId="1" applyNumberFormat="1" applyFont="1" applyFill="1" applyBorder="1"/>
    <xf numFmtId="176" fontId="12" fillId="0" borderId="6" xfId="1" applyNumberFormat="1" applyFont="1" applyFill="1" applyBorder="1"/>
    <xf numFmtId="172" fontId="12" fillId="0" borderId="0" xfId="1" applyNumberFormat="1" applyFont="1" applyFill="1"/>
    <xf numFmtId="172" fontId="12" fillId="0" borderId="0" xfId="0" applyNumberFormat="1" applyFont="1" applyFill="1"/>
    <xf numFmtId="172" fontId="12" fillId="0" borderId="7" xfId="0" applyNumberFormat="1" applyFont="1" applyFill="1" applyBorder="1"/>
    <xf numFmtId="172" fontId="12" fillId="0" borderId="0" xfId="0" applyNumberFormat="1" applyFont="1" applyFill="1" applyBorder="1"/>
    <xf numFmtId="41" fontId="12" fillId="0" borderId="0" xfId="1" applyNumberFormat="1" applyFont="1" applyFill="1"/>
    <xf numFmtId="41" fontId="10" fillId="0" borderId="0" xfId="1" applyNumberFormat="1" applyFont="1" applyFill="1"/>
    <xf numFmtId="41" fontId="10" fillId="0" borderId="0" xfId="0" applyNumberFormat="1" applyFont="1" applyFill="1"/>
    <xf numFmtId="41" fontId="12" fillId="0" borderId="0" xfId="1" applyNumberFormat="1" applyFont="1" applyFill="1" applyBorder="1"/>
    <xf numFmtId="41" fontId="12" fillId="0" borderId="7" xfId="1" applyNumberFormat="1" applyFont="1" applyFill="1" applyBorder="1"/>
    <xf numFmtId="41" fontId="12" fillId="0" borderId="7" xfId="0" applyNumberFormat="1" applyFont="1" applyFill="1" applyBorder="1"/>
    <xf numFmtId="41" fontId="12" fillId="0" borderId="1" xfId="0" applyNumberFormat="1" applyFont="1" applyFill="1" applyBorder="1"/>
    <xf numFmtId="41" fontId="12" fillId="0" borderId="5" xfId="0" applyNumberFormat="1" applyFont="1" applyFill="1" applyBorder="1"/>
    <xf numFmtId="0" fontId="22" fillId="0" borderId="0" xfId="0" applyFont="1" applyFill="1"/>
    <xf numFmtId="41" fontId="0" fillId="0" borderId="0" xfId="0" applyNumberFormat="1"/>
    <xf numFmtId="41" fontId="0" fillId="0" borderId="0" xfId="0" applyNumberFormat="1" applyFill="1"/>
    <xf numFmtId="41" fontId="12" fillId="0" borderId="4" xfId="1" applyNumberFormat="1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77" fontId="7" fillId="0" borderId="0" xfId="0" applyNumberFormat="1" applyFont="1" applyFill="1" applyBorder="1"/>
    <xf numFmtId="0" fontId="7" fillId="0" borderId="0" xfId="0" applyFont="1" applyFill="1" applyAlignment="1">
      <alignment horizontal="left" indent="2"/>
    </xf>
    <xf numFmtId="177" fontId="7" fillId="0" borderId="1" xfId="1" quotePrefix="1" applyNumberFormat="1" applyFont="1" applyFill="1" applyBorder="1" applyAlignment="1">
      <alignment horizontal="right"/>
    </xf>
    <xf numFmtId="177" fontId="5" fillId="0" borderId="0" xfId="0" applyNumberFormat="1" applyFont="1" applyFill="1" applyBorder="1"/>
    <xf numFmtId="177" fontId="7" fillId="0" borderId="1" xfId="1" applyNumberFormat="1" applyFont="1" applyFill="1" applyBorder="1"/>
    <xf numFmtId="177" fontId="7" fillId="0" borderId="0" xfId="1" applyNumberFormat="1" applyFont="1" applyFill="1" applyBorder="1"/>
    <xf numFmtId="177" fontId="7" fillId="0" borderId="7" xfId="1" applyNumberFormat="1" applyFont="1" applyFill="1" applyBorder="1"/>
    <xf numFmtId="168" fontId="3" fillId="0" borderId="0" xfId="1" applyNumberFormat="1" applyFill="1" applyBorder="1"/>
    <xf numFmtId="41" fontId="12" fillId="0" borderId="1" xfId="1" applyNumberFormat="1" applyFont="1" applyFill="1" applyBorder="1"/>
    <xf numFmtId="176" fontId="12" fillId="0" borderId="1" xfId="1" applyNumberFormat="1" applyFont="1" applyFill="1" applyBorder="1"/>
    <xf numFmtId="0" fontId="12" fillId="0" borderId="0" xfId="0" applyFont="1" applyFill="1" applyAlignment="1">
      <alignment horizontal="left" indent="1"/>
    </xf>
    <xf numFmtId="0" fontId="27" fillId="0" borderId="0" xfId="0" applyFont="1"/>
    <xf numFmtId="0" fontId="20" fillId="0" borderId="0" xfId="0" applyFont="1" applyFill="1"/>
    <xf numFmtId="0" fontId="6" fillId="0" borderId="0" xfId="0" applyFont="1" applyFill="1" applyAlignment="1">
      <alignment horizontal="center"/>
    </xf>
    <xf numFmtId="0" fontId="21" fillId="0" borderId="0" xfId="0" applyFont="1"/>
    <xf numFmtId="172" fontId="6" fillId="0" borderId="0" xfId="0" applyNumberFormat="1" applyFont="1" applyFill="1" applyBorder="1" applyAlignment="1"/>
    <xf numFmtId="172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indent="2"/>
    </xf>
    <xf numFmtId="43" fontId="6" fillId="0" borderId="0" xfId="0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right"/>
    </xf>
    <xf numFmtId="176" fontId="12" fillId="0" borderId="3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0" borderId="0" xfId="0" applyFont="1" applyAlignment="1">
      <alignment horizontal="left" indent="6"/>
    </xf>
    <xf numFmtId="0" fontId="6" fillId="0" borderId="0" xfId="0" applyFont="1" applyBorder="1" applyAlignment="1">
      <alignment horizontal="center"/>
    </xf>
    <xf numFmtId="0" fontId="20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" fontId="10" fillId="0" borderId="0" xfId="0" applyNumberFormat="1" applyFont="1" applyFill="1"/>
    <xf numFmtId="0" fontId="6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0" fillId="0" borderId="0" xfId="0" applyFill="1"/>
    <xf numFmtId="178" fontId="12" fillId="0" borderId="0" xfId="2" applyNumberFormat="1" applyFont="1" applyFill="1"/>
    <xf numFmtId="166" fontId="12" fillId="0" borderId="1" xfId="1" applyNumberFormat="1" applyFont="1" applyFill="1" applyBorder="1"/>
    <xf numFmtId="0" fontId="6" fillId="0" borderId="0" xfId="0" applyFont="1" applyFill="1" applyAlignment="1">
      <alignment horizontal="left" indent="1"/>
    </xf>
    <xf numFmtId="9" fontId="12" fillId="0" borderId="0" xfId="4" applyFont="1" applyFill="1"/>
    <xf numFmtId="0" fontId="12" fillId="0" borderId="0" xfId="0" applyFont="1" applyAlignment="1">
      <alignment horizontal="left" indent="2"/>
    </xf>
    <xf numFmtId="10" fontId="12" fillId="0" borderId="1" xfId="4" applyNumberFormat="1" applyFont="1" applyFill="1" applyBorder="1"/>
    <xf numFmtId="167" fontId="12" fillId="0" borderId="0" xfId="1" applyNumberFormat="1" applyFont="1" applyFill="1"/>
    <xf numFmtId="167" fontId="12" fillId="0" borderId="1" xfId="1" applyNumberFormat="1" applyFont="1" applyFill="1" applyBorder="1"/>
    <xf numFmtId="167" fontId="12" fillId="0" borderId="0" xfId="0" applyNumberFormat="1" applyFont="1" applyFill="1" applyBorder="1"/>
    <xf numFmtId="167" fontId="12" fillId="0" borderId="0" xfId="0" applyNumberFormat="1" applyFont="1" applyFill="1"/>
    <xf numFmtId="0" fontId="12" fillId="0" borderId="0" xfId="0" applyFont="1" applyFill="1" applyAlignment="1"/>
    <xf numFmtId="172" fontId="12" fillId="0" borderId="1" xfId="0" applyNumberFormat="1" applyFont="1" applyFill="1" applyBorder="1"/>
    <xf numFmtId="0" fontId="12" fillId="0" borderId="0" xfId="0" applyFont="1" applyFill="1" applyAlignment="1"/>
    <xf numFmtId="167" fontId="12" fillId="0" borderId="0" xfId="1" applyNumberFormat="1" applyFont="1" applyFill="1" applyBorder="1"/>
    <xf numFmtId="170" fontId="12" fillId="0" borderId="0" xfId="0" applyNumberFormat="1" applyFont="1" applyFill="1"/>
    <xf numFmtId="37" fontId="12" fillId="0" borderId="5" xfId="0" applyNumberFormat="1" applyFont="1" applyFill="1" applyBorder="1"/>
    <xf numFmtId="166" fontId="12" fillId="0" borderId="0" xfId="1" applyNumberFormat="1" applyFont="1" applyFill="1" applyBorder="1"/>
    <xf numFmtId="0" fontId="12" fillId="0" borderId="0" xfId="0" applyFont="1" applyFill="1" applyBorder="1" applyAlignment="1">
      <alignment horizontal="left" indent="2"/>
    </xf>
    <xf numFmtId="0" fontId="12" fillId="0" borderId="0" xfId="0" applyFont="1" applyAlignment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10" fontId="12" fillId="0" borderId="0" xfId="4" applyNumberFormat="1" applyFont="1" applyFill="1" applyBorder="1"/>
    <xf numFmtId="10" fontId="12" fillId="0" borderId="0" xfId="4" applyNumberFormat="1" applyFont="1" applyFill="1"/>
    <xf numFmtId="37" fontId="12" fillId="0" borderId="0" xfId="0" applyNumberFormat="1" applyFont="1" applyFill="1"/>
    <xf numFmtId="0" fontId="16" fillId="0" borderId="0" xfId="0" applyFont="1" applyFill="1" applyAlignment="1">
      <alignment horizontal="center"/>
    </xf>
    <xf numFmtId="37" fontId="17" fillId="0" borderId="0" xfId="0" applyNumberFormat="1" applyFont="1" applyFill="1" applyBorder="1"/>
    <xf numFmtId="10" fontId="17" fillId="0" borderId="0" xfId="0" applyNumberFormat="1" applyFont="1" applyFill="1"/>
    <xf numFmtId="171" fontId="17" fillId="0" borderId="0" xfId="0" applyNumberFormat="1" applyFont="1" applyFill="1"/>
    <xf numFmtId="39" fontId="17" fillId="0" borderId="0" xfId="0" applyNumberFormat="1" applyFont="1" applyFill="1"/>
    <xf numFmtId="0" fontId="17" fillId="0" borderId="0" xfId="0" applyFont="1" applyFill="1"/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6" fillId="0" borderId="1" xfId="0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right"/>
    </xf>
    <xf numFmtId="10" fontId="17" fillId="0" borderId="0" xfId="0" applyNumberFormat="1" applyFont="1" applyFill="1" applyBorder="1"/>
    <xf numFmtId="172" fontId="12" fillId="0" borderId="5" xfId="0" applyNumberFormat="1" applyFont="1" applyFill="1" applyBorder="1"/>
    <xf numFmtId="3" fontId="0" fillId="0" borderId="0" xfId="0" applyNumberFormat="1"/>
    <xf numFmtId="3" fontId="5" fillId="0" borderId="0" xfId="0" applyNumberFormat="1" applyFont="1" applyFill="1" applyBorder="1" applyAlignment="1">
      <alignment horizontal="center"/>
    </xf>
    <xf numFmtId="3" fontId="0" fillId="0" borderId="0" xfId="0" applyNumberFormat="1" applyFill="1"/>
    <xf numFmtId="177" fontId="12" fillId="0" borderId="0" xfId="1" applyNumberFormat="1" applyFont="1" applyAlignment="1">
      <alignment horizontal="right"/>
    </xf>
    <xf numFmtId="4" fontId="12" fillId="0" borderId="0" xfId="0" applyNumberFormat="1" applyFont="1" applyFill="1"/>
    <xf numFmtId="180" fontId="12" fillId="0" borderId="0" xfId="0" applyNumberFormat="1" applyFont="1" applyFill="1"/>
    <xf numFmtId="3" fontId="12" fillId="0" borderId="0" xfId="0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180" fontId="12" fillId="0" borderId="0" xfId="0" applyNumberFormat="1" applyFont="1" applyFill="1" applyAlignment="1">
      <alignment horizontal="center"/>
    </xf>
    <xf numFmtId="0" fontId="12" fillId="0" borderId="0" xfId="0" quotePrefix="1" applyFont="1" applyAlignment="1">
      <alignment horizontal="left"/>
    </xf>
    <xf numFmtId="37" fontId="15" fillId="0" borderId="0" xfId="1" applyNumberFormat="1" applyFont="1" applyFill="1" applyBorder="1"/>
    <xf numFmtId="37" fontId="12" fillId="0" borderId="0" xfId="1" applyNumberFormat="1" applyFont="1" applyFill="1" applyBorder="1"/>
    <xf numFmtId="168" fontId="12" fillId="0" borderId="5" xfId="1" applyNumberFormat="1" applyFont="1" applyFill="1" applyBorder="1"/>
    <xf numFmtId="174" fontId="12" fillId="0" borderId="0" xfId="1" applyNumberFormat="1" applyFont="1" applyFill="1"/>
    <xf numFmtId="164" fontId="12" fillId="0" borderId="5" xfId="2" applyNumberFormat="1" applyFont="1" applyFill="1" applyBorder="1"/>
    <xf numFmtId="0" fontId="12" fillId="0" borderId="0" xfId="0" quotePrefix="1" applyFont="1" applyFill="1" applyAlignment="1">
      <alignment horizontal="center"/>
    </xf>
    <xf numFmtId="168" fontId="12" fillId="0" borderId="3" xfId="0" applyNumberFormat="1" applyFont="1" applyFill="1" applyBorder="1"/>
    <xf numFmtId="164" fontId="12" fillId="0" borderId="0" xfId="0" applyNumberFormat="1" applyFont="1" applyFill="1"/>
    <xf numFmtId="168" fontId="12" fillId="0" borderId="0" xfId="0" quotePrefix="1" applyNumberFormat="1" applyFont="1"/>
    <xf numFmtId="168" fontId="12" fillId="0" borderId="4" xfId="0" applyNumberFormat="1" applyFont="1" applyFill="1" applyBorder="1"/>
    <xf numFmtId="37" fontId="12" fillId="0" borderId="2" xfId="0" applyNumberFormat="1" applyFont="1" applyFill="1" applyBorder="1"/>
    <xf numFmtId="164" fontId="12" fillId="0" borderId="0" xfId="0" applyNumberFormat="1" applyFont="1" applyFill="1" applyBorder="1"/>
    <xf numFmtId="168" fontId="12" fillId="0" borderId="4" xfId="1" applyNumberFormat="1" applyFont="1" applyFill="1" applyBorder="1"/>
    <xf numFmtId="169" fontId="12" fillId="0" borderId="0" xfId="0" applyNumberFormat="1" applyFont="1" applyFill="1" applyBorder="1"/>
    <xf numFmtId="37" fontId="12" fillId="0" borderId="1" xfId="0" applyNumberFormat="1" applyFont="1" applyFill="1" applyBorder="1"/>
    <xf numFmtId="0" fontId="17" fillId="0" borderId="0" xfId="0" applyFont="1" applyFill="1" applyBorder="1"/>
    <xf numFmtId="168" fontId="12" fillId="0" borderId="0" xfId="0" quotePrefix="1" applyNumberFormat="1" applyFont="1" applyFill="1"/>
    <xf numFmtId="0" fontId="8" fillId="0" borderId="0" xfId="0" applyFont="1" applyFill="1"/>
    <xf numFmtId="169" fontId="12" fillId="0" borderId="2" xfId="4" applyNumberFormat="1" applyFont="1" applyFill="1" applyBorder="1"/>
    <xf numFmtId="0" fontId="21" fillId="0" borderId="0" xfId="0" applyFont="1" applyFill="1"/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/>
    <xf numFmtId="37" fontId="12" fillId="0" borderId="0" xfId="0" applyNumberFormat="1" applyFont="1" applyFill="1"/>
    <xf numFmtId="0" fontId="12" fillId="0" borderId="0" xfId="0" applyFont="1" applyFill="1" applyAlignment="1">
      <alignment horizontal="left" indent="1"/>
    </xf>
    <xf numFmtId="176" fontId="12" fillId="0" borderId="0" xfId="0" applyNumberFormat="1" applyFont="1" applyFill="1"/>
    <xf numFmtId="176" fontId="12" fillId="0" borderId="1" xfId="0" applyNumberFormat="1" applyFont="1" applyFill="1" applyBorder="1"/>
    <xf numFmtId="176" fontId="12" fillId="0" borderId="0" xfId="0" applyNumberFormat="1" applyFont="1" applyFill="1" applyAlignment="1">
      <alignment horizontal="center"/>
    </xf>
    <xf numFmtId="37" fontId="12" fillId="0" borderId="0" xfId="0" applyNumberFormat="1" applyFont="1" applyFill="1" applyBorder="1"/>
    <xf numFmtId="0" fontId="6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6" fillId="0" borderId="0" xfId="0" applyFont="1" applyFill="1" applyAlignment="1">
      <alignment horizontal="centerContinuous"/>
    </xf>
    <xf numFmtId="2" fontId="12" fillId="0" borderId="0" xfId="0" applyNumberFormat="1" applyFont="1" applyFill="1" applyBorder="1"/>
    <xf numFmtId="0" fontId="6" fillId="0" borderId="0" xfId="0" applyFont="1"/>
    <xf numFmtId="176" fontId="12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37" fontId="28" fillId="0" borderId="0" xfId="0" applyNumberFormat="1" applyFont="1" applyFill="1"/>
    <xf numFmtId="176" fontId="28" fillId="0" borderId="0" xfId="0" applyNumberFormat="1" applyFont="1" applyFill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8" fontId="12" fillId="0" borderId="0" xfId="0" applyNumberFormat="1" applyFont="1"/>
    <xf numFmtId="0" fontId="24" fillId="0" borderId="0" xfId="0" applyFont="1" applyAlignment="1">
      <alignment horizontal="left"/>
    </xf>
    <xf numFmtId="168" fontId="12" fillId="0" borderId="0" xfId="0" applyNumberFormat="1" applyFont="1" applyFill="1"/>
    <xf numFmtId="0" fontId="5" fillId="0" borderId="0" xfId="0" applyFont="1" applyBorder="1" applyAlignment="1">
      <alignment horizontal="center"/>
    </xf>
    <xf numFmtId="0" fontId="6" fillId="0" borderId="1" xfId="0" applyFont="1" applyFill="1" applyBorder="1"/>
    <xf numFmtId="41" fontId="12" fillId="0" borderId="2" xfId="1" applyNumberFormat="1" applyFont="1" applyFill="1" applyBorder="1"/>
    <xf numFmtId="0" fontId="6" fillId="0" borderId="1" xfId="0" applyFont="1" applyBorder="1"/>
    <xf numFmtId="0" fontId="12" fillId="0" borderId="0" xfId="0" applyFont="1" applyBorder="1"/>
    <xf numFmtId="0" fontId="10" fillId="0" borderId="0" xfId="0" applyFont="1" applyFill="1"/>
    <xf numFmtId="0" fontId="26" fillId="0" borderId="0" xfId="0" applyFont="1" applyFill="1" applyAlignment="1">
      <alignment horizontal="center"/>
    </xf>
    <xf numFmtId="41" fontId="12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/>
    <xf numFmtId="0" fontId="3" fillId="0" borderId="0" xfId="0" applyFont="1"/>
    <xf numFmtId="3" fontId="3" fillId="0" borderId="0" xfId="0" applyNumberFormat="1" applyFont="1" applyFill="1"/>
    <xf numFmtId="177" fontId="7" fillId="0" borderId="0" xfId="1" quotePrefix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 applyBorder="1"/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2" fillId="0" borderId="0" xfId="0" applyFont="1" applyFill="1"/>
    <xf numFmtId="0" fontId="3" fillId="0" borderId="0" xfId="0" applyFont="1" applyFill="1"/>
    <xf numFmtId="0" fontId="26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Border="1"/>
    <xf numFmtId="0" fontId="4" fillId="0" borderId="0" xfId="0" applyFont="1"/>
    <xf numFmtId="175" fontId="12" fillId="0" borderId="0" xfId="1" applyNumberFormat="1" applyFont="1" applyFill="1"/>
    <xf numFmtId="173" fontId="12" fillId="0" borderId="0" xfId="0" applyNumberFormat="1" applyFont="1" applyFill="1"/>
    <xf numFmtId="0" fontId="3" fillId="0" borderId="0" xfId="0" applyFont="1" applyFill="1" applyAlignment="1">
      <alignment horizontal="left" indent="2"/>
    </xf>
    <xf numFmtId="0" fontId="3" fillId="0" borderId="0" xfId="0" applyFont="1" applyBorder="1"/>
    <xf numFmtId="168" fontId="3" fillId="0" borderId="1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3" fontId="0" fillId="0" borderId="0" xfId="0" applyNumberFormat="1" applyFill="1" applyBorder="1"/>
    <xf numFmtId="43" fontId="12" fillId="0" borderId="0" xfId="0" applyNumberFormat="1" applyFont="1" applyFill="1"/>
    <xf numFmtId="3" fontId="30" fillId="0" borderId="0" xfId="0" applyNumberFormat="1" applyFont="1" applyFill="1" applyBorder="1"/>
    <xf numFmtId="0" fontId="6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Fill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1" fontId="12" fillId="0" borderId="0" xfId="0" applyNumberFormat="1" applyFont="1" applyFill="1" applyBorder="1"/>
    <xf numFmtId="41" fontId="12" fillId="0" borderId="3" xfId="0" applyNumberFormat="1" applyFont="1" applyFill="1" applyBorder="1"/>
    <xf numFmtId="0" fontId="3" fillId="0" borderId="0" xfId="0" applyFont="1" applyFill="1" applyAlignment="1">
      <alignment horizontal="center"/>
    </xf>
    <xf numFmtId="41" fontId="3" fillId="0" borderId="0" xfId="0" applyNumberFormat="1" applyFont="1" applyFill="1"/>
    <xf numFmtId="10" fontId="3" fillId="0" borderId="0" xfId="0" applyNumberFormat="1" applyFont="1" applyFill="1"/>
    <xf numFmtId="0" fontId="5" fillId="0" borderId="0" xfId="0" quotePrefix="1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168" fontId="12" fillId="0" borderId="7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1" fontId="3" fillId="0" borderId="1" xfId="0" applyNumberFormat="1" applyFont="1" applyFill="1" applyBorder="1"/>
    <xf numFmtId="41" fontId="3" fillId="0" borderId="2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10" xfId="0" applyFont="1" applyFill="1" applyBorder="1"/>
    <xf numFmtId="0" fontId="3" fillId="0" borderId="1" xfId="0" applyFont="1" applyFill="1" applyBorder="1"/>
    <xf numFmtId="167" fontId="3" fillId="0" borderId="0" xfId="1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left"/>
    </xf>
    <xf numFmtId="15" fontId="5" fillId="0" borderId="0" xfId="0" applyNumberFormat="1" applyFont="1" applyFill="1" applyAlignment="1">
      <alignment horizontal="center"/>
    </xf>
    <xf numFmtId="168" fontId="5" fillId="0" borderId="0" xfId="1" applyNumberFormat="1" applyFont="1" applyFill="1" applyBorder="1"/>
    <xf numFmtId="176" fontId="12" fillId="0" borderId="4" xfId="0" applyNumberFormat="1" applyFont="1" applyFill="1" applyBorder="1"/>
    <xf numFmtId="37" fontId="12" fillId="0" borderId="3" xfId="0" applyNumberFormat="1" applyFont="1" applyFill="1" applyBorder="1"/>
    <xf numFmtId="0" fontId="12" fillId="0" borderId="0" xfId="0" applyFont="1" applyFill="1" applyAlignment="1">
      <alignment horizontal="left" wrapText="1"/>
    </xf>
    <xf numFmtId="168" fontId="53" fillId="0" borderId="0" xfId="0" applyNumberFormat="1" applyFont="1" applyFill="1"/>
    <xf numFmtId="0" fontId="53" fillId="0" borderId="0" xfId="0" applyFont="1" applyFill="1"/>
    <xf numFmtId="9" fontId="53" fillId="0" borderId="0" xfId="4" applyFont="1" applyFill="1"/>
    <xf numFmtId="0" fontId="12" fillId="0" borderId="0" xfId="0" quotePrefix="1" applyFont="1" applyFill="1" applyAlignment="1">
      <alignment horizontal="left" indent="2"/>
    </xf>
    <xf numFmtId="3" fontId="54" fillId="0" borderId="0" xfId="0" applyNumberFormat="1" applyFont="1" applyFill="1"/>
    <xf numFmtId="168" fontId="12" fillId="0" borderId="12" xfId="0" applyNumberFormat="1" applyFont="1" applyFill="1" applyBorder="1"/>
    <xf numFmtId="0" fontId="12" fillId="0" borderId="0" xfId="0" quotePrefix="1" applyFont="1" applyFill="1" applyAlignment="1">
      <alignment horizontal="left"/>
    </xf>
    <xf numFmtId="0" fontId="55" fillId="0" borderId="0" xfId="0" applyFont="1" applyFill="1"/>
    <xf numFmtId="0" fontId="56" fillId="0" borderId="0" xfId="0" applyFont="1" applyFill="1"/>
    <xf numFmtId="15" fontId="56" fillId="0" borderId="0" xfId="0" applyNumberFormat="1" applyFont="1" applyFill="1" applyAlignment="1">
      <alignment horizontal="left"/>
    </xf>
    <xf numFmtId="0" fontId="56" fillId="0" borderId="0" xfId="0" applyFont="1" applyFill="1" applyAlignment="1">
      <alignment horizontal="center"/>
    </xf>
    <xf numFmtId="179" fontId="12" fillId="0" borderId="0" xfId="0" applyNumberFormat="1" applyFont="1" applyFill="1"/>
    <xf numFmtId="1" fontId="6" fillId="0" borderId="0" xfId="0" applyNumberFormat="1" applyFont="1" applyFill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12" fillId="0" borderId="0" xfId="1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168" fontId="5" fillId="0" borderId="5" xfId="1" applyNumberFormat="1" applyFont="1" applyFill="1" applyBorder="1"/>
    <xf numFmtId="0" fontId="26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26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38" fontId="4" fillId="0" borderId="0" xfId="0" applyNumberFormat="1" applyFont="1" applyFill="1"/>
    <xf numFmtId="10" fontId="4" fillId="0" borderId="0" xfId="4" applyNumberFormat="1" applyFont="1" applyFill="1"/>
    <xf numFmtId="38" fontId="4" fillId="0" borderId="1" xfId="0" applyNumberFormat="1" applyFont="1" applyFill="1" applyBorder="1"/>
    <xf numFmtId="10" fontId="4" fillId="0" borderId="1" xfId="4" applyNumberFormat="1" applyFont="1" applyFill="1" applyBorder="1"/>
    <xf numFmtId="41" fontId="4" fillId="0" borderId="1" xfId="0" applyNumberFormat="1" applyFont="1" applyFill="1" applyBorder="1"/>
    <xf numFmtId="41" fontId="4" fillId="0" borderId="0" xfId="0" applyNumberFormat="1" applyFont="1" applyFill="1" applyBorder="1"/>
    <xf numFmtId="38" fontId="4" fillId="0" borderId="5" xfId="0" applyNumberFormat="1" applyFont="1" applyFill="1" applyBorder="1"/>
    <xf numFmtId="10" fontId="4" fillId="0" borderId="5" xfId="4" applyNumberFormat="1" applyFont="1" applyFill="1" applyBorder="1"/>
    <xf numFmtId="38" fontId="4" fillId="0" borderId="0" xfId="0" applyNumberFormat="1" applyFont="1" applyFill="1" applyBorder="1"/>
    <xf numFmtId="169" fontId="4" fillId="0" borderId="5" xfId="4" applyNumberFormat="1" applyFont="1" applyFill="1" applyBorder="1"/>
    <xf numFmtId="38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0" fontId="55" fillId="0" borderId="0" xfId="0" applyNumberFormat="1" applyFont="1" applyFill="1"/>
    <xf numFmtId="0" fontId="55" fillId="0" borderId="8" xfId="0" applyFont="1" applyFill="1" applyBorder="1"/>
    <xf numFmtId="0" fontId="55" fillId="0" borderId="0" xfId="0" applyFont="1" applyFill="1" applyAlignment="1">
      <alignment horizontal="right"/>
    </xf>
    <xf numFmtId="10" fontId="55" fillId="0" borderId="0" xfId="0" applyNumberFormat="1" applyFont="1" applyFill="1" applyAlignment="1">
      <alignment horizontal="center"/>
    </xf>
    <xf numFmtId="0" fontId="56" fillId="0" borderId="8" xfId="0" applyFont="1" applyFill="1" applyBorder="1" applyAlignment="1">
      <alignment horizontal="center"/>
    </xf>
    <xf numFmtId="10" fontId="56" fillId="0" borderId="0" xfId="0" applyNumberFormat="1" applyFont="1" applyFill="1" applyAlignment="1">
      <alignment horizontal="center"/>
    </xf>
    <xf numFmtId="0" fontId="26" fillId="0" borderId="0" xfId="0" applyFont="1"/>
    <xf numFmtId="0" fontId="57" fillId="0" borderId="0" xfId="0" applyFont="1" applyFill="1" applyAlignment="1">
      <alignment horizontal="right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Continuous"/>
    </xf>
    <xf numFmtId="0" fontId="22" fillId="0" borderId="0" xfId="0" applyFont="1" applyFill="1" applyBorder="1"/>
    <xf numFmtId="0" fontId="22" fillId="0" borderId="0" xfId="0" applyFont="1" applyFill="1" applyAlignment="1">
      <alignment horizontal="center"/>
    </xf>
    <xf numFmtId="0" fontId="57" fillId="0" borderId="0" xfId="0" applyFont="1" applyFill="1"/>
    <xf numFmtId="0" fontId="12" fillId="0" borderId="0" xfId="0" applyFont="1" applyFill="1" applyBorder="1" applyAlignment="1">
      <alignment horizontal="centerContinuous"/>
    </xf>
    <xf numFmtId="15" fontId="57" fillId="0" borderId="0" xfId="0" applyNumberFormat="1" applyFont="1" applyFill="1" applyAlignment="1">
      <alignment horizontal="left"/>
    </xf>
    <xf numFmtId="15" fontId="57" fillId="0" borderId="10" xfId="0" applyNumberFormat="1" applyFont="1" applyFill="1" applyBorder="1" applyAlignment="1">
      <alignment horizontal="left"/>
    </xf>
    <xf numFmtId="0" fontId="57" fillId="0" borderId="0" xfId="0" applyFont="1" applyFill="1" applyBorder="1" applyAlignment="1">
      <alignment horizontal="center"/>
    </xf>
    <xf numFmtId="0" fontId="57" fillId="0" borderId="10" xfId="0" applyFont="1" applyFill="1" applyBorder="1" applyAlignment="1">
      <alignment horizontal="center"/>
    </xf>
    <xf numFmtId="15" fontId="57" fillId="0" borderId="0" xfId="0" applyNumberFormat="1" applyFont="1" applyFill="1" applyBorder="1" applyAlignment="1">
      <alignment horizontal="center"/>
    </xf>
    <xf numFmtId="15" fontId="57" fillId="0" borderId="0" xfId="0" applyNumberFormat="1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1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right"/>
    </xf>
    <xf numFmtId="41" fontId="22" fillId="0" borderId="0" xfId="1" applyNumberFormat="1" applyFont="1" applyFill="1" applyBorder="1"/>
    <xf numFmtId="41" fontId="22" fillId="0" borderId="0" xfId="1" applyNumberFormat="1" applyFont="1" applyFill="1" applyBorder="1" applyAlignment="1">
      <alignment horizontal="right"/>
    </xf>
    <xf numFmtId="41" fontId="22" fillId="0" borderId="0" xfId="0" applyNumberFormat="1" applyFont="1" applyFill="1"/>
    <xf numFmtId="37" fontId="22" fillId="0" borderId="0" xfId="0" applyNumberFormat="1" applyFont="1" applyFill="1"/>
    <xf numFmtId="0" fontId="22" fillId="0" borderId="0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41" fontId="22" fillId="0" borderId="1" xfId="0" applyNumberFormat="1" applyFont="1" applyFill="1" applyBorder="1"/>
    <xf numFmtId="167" fontId="22" fillId="0" borderId="0" xfId="1" applyNumberFormat="1" applyFont="1" applyFill="1" applyBorder="1" applyAlignment="1">
      <alignment horizontal="center"/>
    </xf>
    <xf numFmtId="41" fontId="22" fillId="0" borderId="2" xfId="1" applyNumberFormat="1" applyFont="1" applyFill="1" applyBorder="1" applyAlignment="1">
      <alignment horizontal="right"/>
    </xf>
    <xf numFmtId="168" fontId="22" fillId="0" borderId="1" xfId="1" applyNumberFormat="1" applyFont="1" applyFill="1" applyBorder="1" applyAlignment="1">
      <alignment horizontal="right"/>
    </xf>
    <xf numFmtId="0" fontId="22" fillId="0" borderId="0" xfId="0" applyFont="1" applyFill="1" applyBorder="1" applyAlignment="1"/>
    <xf numFmtId="0" fontId="22" fillId="0" borderId="10" xfId="0" applyFont="1" applyFill="1" applyBorder="1"/>
    <xf numFmtId="41" fontId="22" fillId="0" borderId="0" xfId="1" applyNumberFormat="1" applyFont="1" applyFill="1"/>
    <xf numFmtId="0" fontId="22" fillId="0" borderId="1" xfId="0" applyFont="1" applyFill="1" applyBorder="1"/>
    <xf numFmtId="0" fontId="22" fillId="0" borderId="11" xfId="0" applyFont="1" applyFill="1" applyBorder="1"/>
    <xf numFmtId="168" fontId="22" fillId="0" borderId="22" xfId="1" applyNumberFormat="1" applyFont="1" applyFill="1" applyBorder="1" applyAlignment="1">
      <alignment horizontal="right"/>
    </xf>
    <xf numFmtId="41" fontId="22" fillId="0" borderId="0" xfId="0" applyNumberFormat="1" applyFont="1" applyFill="1" applyBorder="1"/>
    <xf numFmtId="41" fontId="22" fillId="0" borderId="5" xfId="1" applyNumberFormat="1" applyFont="1" applyFill="1" applyBorder="1" applyAlignment="1">
      <alignment horizontal="right"/>
    </xf>
    <xf numFmtId="0" fontId="22" fillId="0" borderId="0" xfId="0" applyFont="1" applyFill="1" applyAlignment="1">
      <alignment horizontal="right"/>
    </xf>
    <xf numFmtId="10" fontId="22" fillId="0" borderId="0" xfId="4" applyNumberFormat="1" applyFont="1" applyFill="1" applyBorder="1" applyAlignment="1">
      <alignment horizontal="center"/>
    </xf>
    <xf numFmtId="2" fontId="22" fillId="0" borderId="0" xfId="0" applyNumberFormat="1" applyFont="1" applyFill="1" applyAlignment="1">
      <alignment horizontal="center"/>
    </xf>
    <xf numFmtId="15" fontId="5" fillId="0" borderId="8" xfId="0" applyNumberFormat="1" applyFont="1" applyFill="1" applyBorder="1" applyAlignment="1">
      <alignment horizontal="center"/>
    </xf>
    <xf numFmtId="10" fontId="5" fillId="0" borderId="0" xfId="0" applyNumberFormat="1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9" fontId="3" fillId="0" borderId="0" xfId="4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4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right"/>
    </xf>
    <xf numFmtId="9" fontId="3" fillId="0" borderId="0" xfId="0" applyNumberFormat="1" applyFont="1" applyFill="1"/>
    <xf numFmtId="1" fontId="3" fillId="0" borderId="8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/>
    <xf numFmtId="1" fontId="3" fillId="0" borderId="9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4" fontId="3" fillId="0" borderId="0" xfId="0" applyNumberFormat="1" applyFont="1" applyFill="1" applyBorder="1"/>
    <xf numFmtId="10" fontId="23" fillId="0" borderId="0" xfId="0" applyNumberFormat="1" applyFont="1" applyFill="1"/>
    <xf numFmtId="168" fontId="3" fillId="0" borderId="5" xfId="1" applyNumberFormat="1" applyFont="1" applyFill="1" applyBorder="1" applyAlignment="1">
      <alignment horizontal="right"/>
    </xf>
    <xf numFmtId="43" fontId="12" fillId="0" borderId="0" xfId="1" applyNumberFormat="1" applyFont="1" applyFill="1" applyBorder="1"/>
    <xf numFmtId="43" fontId="12" fillId="0" borderId="1" xfId="1" applyNumberFormat="1" applyFont="1" applyFill="1" applyBorder="1"/>
    <xf numFmtId="43" fontId="12" fillId="0" borderId="0" xfId="0" applyNumberFormat="1" applyFont="1" applyFill="1" applyBorder="1"/>
    <xf numFmtId="43" fontId="12" fillId="0" borderId="0" xfId="1" applyNumberFormat="1" applyFont="1" applyFill="1"/>
    <xf numFmtId="41" fontId="4" fillId="0" borderId="0" xfId="0" applyNumberFormat="1" applyFont="1" applyFill="1"/>
    <xf numFmtId="41" fontId="17" fillId="0" borderId="0" xfId="0" applyNumberFormat="1" applyFont="1" applyFill="1"/>
    <xf numFmtId="41" fontId="17" fillId="0" borderId="1" xfId="0" applyNumberFormat="1" applyFont="1" applyFill="1" applyBorder="1"/>
    <xf numFmtId="41" fontId="17" fillId="0" borderId="3" xfId="0" applyNumberFormat="1" applyFont="1" applyFill="1" applyBorder="1"/>
    <xf numFmtId="41" fontId="17" fillId="0" borderId="0" xfId="0" applyNumberFormat="1" applyFont="1" applyFill="1" applyBorder="1"/>
    <xf numFmtId="43" fontId="17" fillId="0" borderId="0" xfId="0" applyNumberFormat="1" applyFont="1" applyFill="1" applyBorder="1"/>
    <xf numFmtId="43" fontId="17" fillId="0" borderId="0" xfId="0" applyNumberFormat="1" applyFont="1" applyFill="1"/>
    <xf numFmtId="41" fontId="13" fillId="0" borderId="0" xfId="1" applyNumberFormat="1" applyFont="1" applyFill="1" applyBorder="1"/>
    <xf numFmtId="166" fontId="12" fillId="0" borderId="0" xfId="1" applyNumberFormat="1" applyFont="1" applyFill="1"/>
    <xf numFmtId="169" fontId="12" fillId="0" borderId="0" xfId="0" applyNumberFormat="1" applyFont="1" applyFill="1"/>
    <xf numFmtId="41" fontId="12" fillId="0" borderId="4" xfId="0" applyNumberFormat="1" applyFont="1" applyFill="1" applyBorder="1"/>
    <xf numFmtId="41" fontId="12" fillId="0" borderId="0" xfId="4" applyNumberFormat="1" applyFont="1" applyFill="1"/>
    <xf numFmtId="169" fontId="12" fillId="0" borderId="4" xfId="4" applyNumberFormat="1" applyFont="1" applyFill="1" applyBorder="1"/>
    <xf numFmtId="168" fontId="12" fillId="0" borderId="0" xfId="1" applyNumberFormat="1" applyFont="1" applyFill="1" applyAlignment="1">
      <alignment horizontal="right"/>
    </xf>
    <xf numFmtId="41" fontId="3" fillId="0" borderId="0" xfId="1" applyNumberFormat="1" applyFont="1" applyFill="1"/>
    <xf numFmtId="41" fontId="3" fillId="0" borderId="5" xfId="1" applyNumberFormat="1" applyFont="1" applyFill="1" applyBorder="1" applyAlignment="1">
      <alignment horizontal="right"/>
    </xf>
    <xf numFmtId="10" fontId="22" fillId="0" borderId="2" xfId="4" applyNumberFormat="1" applyFont="1" applyFill="1" applyBorder="1" applyAlignment="1">
      <alignment horizontal="center"/>
    </xf>
    <xf numFmtId="10" fontId="22" fillId="0" borderId="0" xfId="4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6" fillId="0" borderId="0" xfId="0" applyFont="1" applyFill="1" applyAlignment="1">
      <alignment horizontal="left" indent="2"/>
    </xf>
    <xf numFmtId="165" fontId="25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 indent="6"/>
    </xf>
    <xf numFmtId="0" fontId="6" fillId="0" borderId="0" xfId="0" applyFont="1" applyFill="1" applyAlignment="1" applyProtection="1">
      <alignment horizontal="centerContinuous"/>
      <protection locked="0"/>
    </xf>
    <xf numFmtId="0" fontId="19" fillId="0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1" fontId="4" fillId="0" borderId="5" xfId="0" applyNumberFormat="1" applyFont="1" applyFill="1" applyBorder="1"/>
    <xf numFmtId="41" fontId="58" fillId="0" borderId="0" xfId="0" applyNumberFormat="1" applyFont="1" applyFill="1"/>
    <xf numFmtId="0" fontId="16" fillId="0" borderId="0" xfId="0" applyFont="1" applyFill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15" fontId="16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quotePrefix="1" applyFont="1" applyFill="1" applyAlignment="1">
      <alignment horizontal="center"/>
    </xf>
    <xf numFmtId="10" fontId="17" fillId="0" borderId="1" xfId="4" applyNumberFormat="1" applyFont="1" applyFill="1" applyBorder="1"/>
    <xf numFmtId="41" fontId="17" fillId="0" borderId="0" xfId="1" applyNumberFormat="1" applyFont="1" applyFill="1" applyBorder="1"/>
    <xf numFmtId="0" fontId="26" fillId="0" borderId="0" xfId="0" applyFont="1" applyBorder="1"/>
    <xf numFmtId="177" fontId="26" fillId="0" borderId="0" xfId="1" applyNumberFormat="1" applyFont="1" applyAlignment="1">
      <alignment horizontal="right"/>
    </xf>
    <xf numFmtId="177" fontId="26" fillId="0" borderId="0" xfId="1" applyNumberFormat="1" applyFont="1" applyFill="1" applyAlignment="1">
      <alignment horizontal="right"/>
    </xf>
    <xf numFmtId="177" fontId="4" fillId="0" borderId="0" xfId="1" applyNumberFormat="1" applyFont="1" applyAlignment="1">
      <alignment horizontal="right"/>
    </xf>
    <xf numFmtId="177" fontId="4" fillId="0" borderId="0" xfId="1" applyNumberFormat="1" applyFont="1" applyFill="1" applyAlignment="1">
      <alignment horizontal="right"/>
    </xf>
    <xf numFmtId="168" fontId="4" fillId="0" borderId="0" xfId="0" applyNumberFormat="1" applyFont="1" applyFill="1"/>
    <xf numFmtId="177" fontId="4" fillId="0" borderId="0" xfId="0" applyNumberFormat="1" applyFont="1" applyFill="1"/>
    <xf numFmtId="166" fontId="4" fillId="0" borderId="0" xfId="1" applyNumberFormat="1" applyFont="1" applyFill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9" fontId="12" fillId="0" borderId="4" xfId="0" applyNumberFormat="1" applyFont="1" applyFill="1" applyBorder="1"/>
    <xf numFmtId="175" fontId="12" fillId="0" borderId="0" xfId="1" applyNumberFormat="1" applyFont="1" applyFill="1" applyBorder="1"/>
    <xf numFmtId="168" fontId="17" fillId="0" borderId="0" xfId="0" applyNumberFormat="1" applyFont="1" applyFill="1"/>
    <xf numFmtId="168" fontId="17" fillId="0" borderId="1" xfId="0" applyNumberFormat="1" applyFont="1" applyFill="1" applyBorder="1"/>
    <xf numFmtId="168" fontId="17" fillId="0" borderId="0" xfId="0" applyNumberFormat="1" applyFont="1" applyFill="1" applyBorder="1"/>
    <xf numFmtId="168" fontId="17" fillId="0" borderId="3" xfId="0" applyNumberFormat="1" applyFont="1" applyFill="1" applyBorder="1"/>
    <xf numFmtId="41" fontId="10" fillId="0" borderId="0" xfId="63" applyNumberFormat="1" applyFont="1" applyFill="1"/>
    <xf numFmtId="41" fontId="12" fillId="0" borderId="0" xfId="84" applyNumberFormat="1" applyFont="1" applyFill="1"/>
    <xf numFmtId="41" fontId="12" fillId="0" borderId="12" xfId="84" applyNumberFormat="1" applyFont="1" applyFill="1" applyBorder="1"/>
    <xf numFmtId="41" fontId="10" fillId="0" borderId="0" xfId="84" applyNumberFormat="1" applyFont="1" applyFill="1"/>
    <xf numFmtId="0" fontId="6" fillId="0" borderId="0" xfId="0" applyFont="1" applyFill="1" applyBorder="1" applyAlignment="1"/>
    <xf numFmtId="0" fontId="6" fillId="0" borderId="0" xfId="0" quotePrefix="1" applyFont="1" applyFill="1" applyAlignment="1">
      <alignment horizontal="left"/>
    </xf>
    <xf numFmtId="0" fontId="59" fillId="0" borderId="0" xfId="0" applyFont="1" applyFill="1" applyBorder="1"/>
    <xf numFmtId="43" fontId="22" fillId="0" borderId="0" xfId="0" applyNumberFormat="1" applyFont="1" applyFill="1" applyBorder="1"/>
    <xf numFmtId="168" fontId="59" fillId="0" borderId="0" xfId="0" applyNumberFormat="1" applyFont="1" applyFill="1" applyBorder="1"/>
    <xf numFmtId="0" fontId="60" fillId="0" borderId="0" xfId="0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/>
    </xf>
    <xf numFmtId="0" fontId="61" fillId="0" borderId="1" xfId="0" applyFont="1" applyFill="1" applyBorder="1"/>
    <xf numFmtId="0" fontId="61" fillId="0" borderId="0" xfId="0" applyFont="1" applyFill="1" applyBorder="1"/>
    <xf numFmtId="0" fontId="61" fillId="0" borderId="0" xfId="47" applyNumberFormat="1" applyFont="1" applyFill="1" applyBorder="1" applyAlignment="1">
      <alignment horizontal="center"/>
    </xf>
    <xf numFmtId="0" fontId="59" fillId="0" borderId="0" xfId="0" applyFont="1" applyFill="1" applyBorder="1" applyAlignment="1">
      <alignment horizontal="left" indent="2"/>
    </xf>
    <xf numFmtId="168" fontId="59" fillId="0" borderId="0" xfId="47" applyNumberFormat="1" applyFont="1" applyFill="1" applyBorder="1"/>
    <xf numFmtId="168" fontId="61" fillId="0" borderId="0" xfId="47" applyNumberFormat="1" applyFont="1" applyFill="1" applyBorder="1"/>
    <xf numFmtId="168" fontId="61" fillId="0" borderId="4" xfId="47" applyNumberFormat="1" applyFont="1" applyFill="1" applyBorder="1"/>
    <xf numFmtId="168" fontId="62" fillId="0" borderId="0" xfId="47" applyNumberFormat="1" applyFont="1" applyFill="1" applyBorder="1"/>
    <xf numFmtId="41" fontId="22" fillId="0" borderId="2" xfId="1" applyNumberFormat="1" applyFont="1" applyFill="1" applyBorder="1"/>
    <xf numFmtId="41" fontId="22" fillId="0" borderId="2" xfId="0" applyNumberFormat="1" applyFont="1" applyFill="1" applyBorder="1"/>
    <xf numFmtId="41" fontId="3" fillId="0" borderId="2" xfId="1" applyNumberFormat="1" applyFont="1" applyFill="1" applyBorder="1"/>
    <xf numFmtId="9" fontId="59" fillId="0" borderId="0" xfId="4" applyNumberFormat="1" applyFont="1" applyFill="1" applyBorder="1"/>
    <xf numFmtId="41" fontId="17" fillId="0" borderId="2" xfId="0" applyNumberFormat="1" applyFont="1" applyFill="1" applyBorder="1"/>
    <xf numFmtId="0" fontId="61" fillId="0" borderId="12" xfId="47" quotePrefix="1" applyNumberFormat="1" applyFont="1" applyFill="1" applyBorder="1" applyAlignment="1">
      <alignment horizontal="center"/>
    </xf>
    <xf numFmtId="0" fontId="61" fillId="0" borderId="1" xfId="47" quotePrefix="1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177" fontId="4" fillId="0" borderId="0" xfId="1" applyNumberFormat="1" applyFont="1" applyFill="1" applyBorder="1" applyAlignment="1">
      <alignment horizontal="right"/>
    </xf>
    <xf numFmtId="41" fontId="12" fillId="0" borderId="2" xfId="0" applyNumberFormat="1" applyFont="1" applyFill="1" applyBorder="1"/>
    <xf numFmtId="0" fontId="6" fillId="0" borderId="0" xfId="0" applyFont="1" applyFill="1" applyAlignment="1">
      <alignment horizontal="center"/>
    </xf>
    <xf numFmtId="4" fontId="6" fillId="0" borderId="0" xfId="0" applyNumberFormat="1" applyFont="1" applyFill="1"/>
    <xf numFmtId="37" fontId="4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183" fontId="12" fillId="0" borderId="5" xfId="2" applyNumberFormat="1" applyFont="1" applyFill="1" applyBorder="1"/>
    <xf numFmtId="41" fontId="12" fillId="0" borderId="12" xfId="1" applyNumberFormat="1" applyFont="1" applyFill="1" applyBorder="1"/>
    <xf numFmtId="169" fontId="12" fillId="0" borderId="1" xfId="4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2" fillId="0" borderId="0" xfId="0" applyNumberFormat="1" applyFont="1" applyFill="1" applyAlignment="1">
      <alignment horizontal="center"/>
    </xf>
    <xf numFmtId="181" fontId="6" fillId="0" borderId="0" xfId="10" applyFont="1" applyFill="1" applyAlignment="1">
      <alignment horizontal="right"/>
    </xf>
    <xf numFmtId="0" fontId="10" fillId="0" borderId="0" xfId="0" applyNumberFormat="1" applyFont="1" applyFill="1"/>
    <xf numFmtId="0" fontId="8" fillId="0" borderId="0" xfId="0" applyFont="1" applyFill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176" fontId="13" fillId="0" borderId="0" xfId="1" applyNumberFormat="1" applyFont="1" applyFill="1" applyBorder="1"/>
    <xf numFmtId="2" fontId="20" fillId="0" borderId="0" xfId="0" applyNumberFormat="1" applyFont="1" applyFill="1"/>
    <xf numFmtId="179" fontId="6" fillId="0" borderId="0" xfId="0" applyNumberFormat="1" applyFont="1" applyFill="1"/>
    <xf numFmtId="179" fontId="24" fillId="0" borderId="0" xfId="0" applyNumberFormat="1" applyFont="1" applyFill="1"/>
    <xf numFmtId="182" fontId="12" fillId="0" borderId="0" xfId="0" applyNumberFormat="1" applyFont="1" applyFill="1"/>
    <xf numFmtId="179" fontId="12" fillId="0" borderId="0" xfId="0" applyNumberFormat="1" applyFont="1" applyFill="1" applyAlignment="1"/>
    <xf numFmtId="179" fontId="12" fillId="0" borderId="0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3" fillId="0" borderId="1" xfId="0" applyFont="1" applyFill="1" applyBorder="1" applyAlignment="1">
      <alignment horizontal="center"/>
    </xf>
  </cellXfs>
  <cellStyles count="87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1" builtinId="3"/>
    <cellStyle name="Comma 10" xfId="83"/>
    <cellStyle name="Comma 2" xfId="8"/>
    <cellStyle name="Comma 2 2" xfId="42"/>
    <cellStyle name="Comma 2 3" xfId="43"/>
    <cellStyle name="Comma 2 4" xfId="41"/>
    <cellStyle name="Comma 2 5" xfId="84"/>
    <cellStyle name="Comma 3" xfId="44"/>
    <cellStyle name="Comma 4" xfId="45"/>
    <cellStyle name="Comma 5" xfId="46"/>
    <cellStyle name="Comma 6" xfId="47"/>
    <cellStyle name="Comma 7" xfId="48"/>
    <cellStyle name="Comma 8" xfId="49"/>
    <cellStyle name="Comma 9" xfId="40"/>
    <cellStyle name="Currency" xfId="2" builtinId="4"/>
    <cellStyle name="Currency 2" xfId="51"/>
    <cellStyle name="Currency 3" xfId="52"/>
    <cellStyle name="Currency 4" xfId="53"/>
    <cellStyle name="Currency 5" xfId="50"/>
    <cellStyle name="Euro" xfId="3"/>
    <cellStyle name="Explanatory Text 2" xfId="54"/>
    <cellStyle name="Good" xfId="11" builtinId="26" customBuiltin="1"/>
    <cellStyle name="Good 2" xfId="55"/>
    <cellStyle name="Heading 1 2" xfId="56"/>
    <cellStyle name="Heading 2 2" xfId="57"/>
    <cellStyle name="Heading 3 2" xfId="58"/>
    <cellStyle name="Heading 4 2" xfId="59"/>
    <cellStyle name="Input 2" xfId="60"/>
    <cellStyle name="Linked Cell 2" xfId="61"/>
    <cellStyle name="Neutral 2" xfId="62"/>
    <cellStyle name="Normal" xfId="0" builtinId="0" customBuiltin="1"/>
    <cellStyle name="Normal 2" xfId="7"/>
    <cellStyle name="Normal 2 2" xfId="64"/>
    <cellStyle name="Normal 2 2 2" xfId="85"/>
    <cellStyle name="Normal 2 3" xfId="63"/>
    <cellStyle name="Normal 3" xfId="10"/>
    <cellStyle name="Normal 3 2" xfId="66"/>
    <cellStyle name="Normal 3 3" xfId="65"/>
    <cellStyle name="Normal 4" xfId="67"/>
    <cellStyle name="Normal 4 2" xfId="68"/>
    <cellStyle name="Normal 5" xfId="69"/>
    <cellStyle name="Normal 5 2" xfId="86"/>
    <cellStyle name="Normal 6" xfId="70"/>
    <cellStyle name="Normal 7" xfId="12"/>
    <cellStyle name="Normal 8" xfId="82"/>
    <cellStyle name="Note 2" xfId="71"/>
    <cellStyle name="Output 2" xfId="72"/>
    <cellStyle name="Percent" xfId="4" builtinId="5"/>
    <cellStyle name="Percent 2" xfId="9"/>
    <cellStyle name="Percent 2 2" xfId="74"/>
    <cellStyle name="Percent 2 3" xfId="73"/>
    <cellStyle name="Percent 3" xfId="75"/>
    <cellStyle name="Percent(2)" xfId="5"/>
    <cellStyle name="Red" xfId="6"/>
    <cellStyle name="Red 2" xfId="76"/>
    <cellStyle name="Title 2" xfId="77"/>
    <cellStyle name="Total 2" xfId="78"/>
    <cellStyle name="Warning Text 2" xfId="79"/>
    <cellStyle name="waslotus" xfId="80"/>
    <cellStyle name="wk1_xls" xfId="8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CFFFC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6%20GTA\2005-05-09%20File%20to%20the%20Board\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7%20GTA\Application\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hl\Local%20Settings\Temporary%20Internet%20Files\OLKBA\YECL%20Interim%20Revenue%20Shortfall%20Surplus%20Rider%2008-09%20GRA%20Refiling%20v3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rd4\Local%20Settings\Temporary%20Internet%20Files\OLK1E81\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  <sheetName val="Pi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S26"/>
  <sheetViews>
    <sheetView tabSelected="1" view="pageBreakPreview" zoomScale="85" zoomScaleNormal="85" zoomScaleSheetLayoutView="85" workbookViewId="0">
      <selection activeCell="K2" sqref="K2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8.85546875" style="292" customWidth="1"/>
    <col min="4" max="4" width="2.28515625" style="292" customWidth="1"/>
    <col min="5" max="5" width="26" style="292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550</v>
      </c>
    </row>
    <row r="2" spans="1:19" ht="15.75" x14ac:dyDescent="0.25">
      <c r="A2" s="261" t="s">
        <v>555</v>
      </c>
      <c r="B2" s="261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30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261" t="s">
        <v>18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</row>
    <row r="5" spans="1:19" ht="15.75" x14ac:dyDescent="0.25">
      <c r="A5" s="261"/>
      <c r="B5" s="245"/>
      <c r="C5" s="245"/>
      <c r="D5" s="245"/>
      <c r="E5" s="245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82" t="s">
        <v>4</v>
      </c>
      <c r="I6" s="582"/>
      <c r="J6" s="582" t="s">
        <v>11</v>
      </c>
      <c r="K6" s="582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  <c r="S6" s="240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240"/>
      <c r="G7" s="315">
        <v>2013</v>
      </c>
      <c r="H7" s="315">
        <v>2013</v>
      </c>
      <c r="I7" s="389"/>
      <c r="J7" s="315">
        <v>2014</v>
      </c>
      <c r="K7" s="315">
        <v>2014</v>
      </c>
      <c r="L7" s="320"/>
      <c r="M7" s="315">
        <v>2015</v>
      </c>
      <c r="N7" s="315">
        <v>2015</v>
      </c>
      <c r="O7" s="389"/>
      <c r="P7" s="315">
        <v>2016</v>
      </c>
      <c r="Q7" s="389"/>
      <c r="R7" s="315">
        <v>2017</v>
      </c>
      <c r="S7" s="240"/>
    </row>
    <row r="8" spans="1:19" x14ac:dyDescent="0.2">
      <c r="S8" s="281"/>
    </row>
    <row r="9" spans="1:19" ht="15.75" x14ac:dyDescent="0.25">
      <c r="A9" s="317">
        <v>1</v>
      </c>
      <c r="C9" s="251" t="s">
        <v>181</v>
      </c>
      <c r="E9" s="83"/>
      <c r="F9" s="252"/>
      <c r="S9" s="281"/>
    </row>
    <row r="10" spans="1:19" x14ac:dyDescent="0.2">
      <c r="A10" s="317">
        <f t="shared" ref="A10:A24" si="0">A9+1</f>
        <v>2</v>
      </c>
      <c r="C10" s="253" t="s">
        <v>189</v>
      </c>
      <c r="E10" s="83" t="s">
        <v>887</v>
      </c>
      <c r="F10" s="252"/>
      <c r="G10" s="254">
        <f>+S2.1!G74</f>
        <v>56309.562000000005</v>
      </c>
      <c r="H10" s="254">
        <f>S2.1!H74</f>
        <v>49811.56</v>
      </c>
      <c r="I10" s="254"/>
      <c r="J10" s="254">
        <f>+S2.1!J74</f>
        <v>57687.000000000007</v>
      </c>
      <c r="K10" s="254">
        <f>+S2.1!K74</f>
        <v>53472.67</v>
      </c>
      <c r="L10" s="254"/>
      <c r="M10" s="254">
        <f>+S2.1!M74</f>
        <v>57475.979320000006</v>
      </c>
      <c r="N10" s="254">
        <f>+S2.1!N74</f>
        <v>55183.199999999997</v>
      </c>
      <c r="O10" s="280"/>
      <c r="P10" s="280">
        <f>P24-P11</f>
        <v>52328.351369389165</v>
      </c>
      <c r="Q10" s="280"/>
      <c r="R10" s="280">
        <f>R24-R11</f>
        <v>55047.366854786487</v>
      </c>
      <c r="S10" s="221"/>
    </row>
    <row r="11" spans="1:19" x14ac:dyDescent="0.2">
      <c r="A11" s="317">
        <f t="shared" si="0"/>
        <v>3</v>
      </c>
      <c r="C11" s="253" t="s">
        <v>420</v>
      </c>
      <c r="E11" s="83" t="s">
        <v>417</v>
      </c>
      <c r="F11" s="252"/>
      <c r="G11" s="255">
        <f>+S2.2!G14</f>
        <v>1350.825</v>
      </c>
      <c r="H11" s="255">
        <f>+S2.2!H14</f>
        <v>1277.4755400000001</v>
      </c>
      <c r="I11" s="254"/>
      <c r="J11" s="255">
        <f>S2.2!J14</f>
        <v>1314.85</v>
      </c>
      <c r="K11" s="255">
        <f>S2.2!K14</f>
        <v>1249.6899852000001</v>
      </c>
      <c r="L11" s="264"/>
      <c r="M11" s="255">
        <f>+S2.2!M14</f>
        <v>1271.39211</v>
      </c>
      <c r="N11" s="115">
        <f>+S2.2!N14</f>
        <v>1274.6837849040003</v>
      </c>
      <c r="O11" s="280"/>
      <c r="P11" s="115">
        <f>+S2.2!P14</f>
        <v>1299.3627364199999</v>
      </c>
      <c r="Q11" s="280"/>
      <c r="R11" s="115">
        <f>+S2.2!R14</f>
        <v>1327.94871662124</v>
      </c>
      <c r="S11" s="220"/>
    </row>
    <row r="12" spans="1:19" ht="15.75" x14ac:dyDescent="0.25">
      <c r="A12" s="317">
        <f t="shared" si="0"/>
        <v>4</v>
      </c>
      <c r="C12" s="251" t="s">
        <v>186</v>
      </c>
      <c r="E12" s="83"/>
      <c r="F12" s="194"/>
      <c r="G12" s="102">
        <f>SUM(G10:G11)</f>
        <v>57660.387000000002</v>
      </c>
      <c r="H12" s="102">
        <f>SUM(H10:H11)</f>
        <v>51089.035539999997</v>
      </c>
      <c r="I12" s="254"/>
      <c r="J12" s="102">
        <f>SUM(J10:J11)</f>
        <v>59001.850000000006</v>
      </c>
      <c r="K12" s="102">
        <f>SUM(K10:K11)</f>
        <v>54722.359985199997</v>
      </c>
      <c r="L12" s="102"/>
      <c r="M12" s="102">
        <f>SUM(M10:M11)</f>
        <v>58747.371430000007</v>
      </c>
      <c r="N12" s="109">
        <f>SUM(N10:N11)</f>
        <v>56457.883784903999</v>
      </c>
      <c r="O12" s="280"/>
      <c r="P12" s="109">
        <f>SUM(P10:P11)</f>
        <v>53627.714105809166</v>
      </c>
      <c r="Q12" s="280"/>
      <c r="R12" s="109">
        <f>SUM(R10:R11)</f>
        <v>56375.315571407729</v>
      </c>
      <c r="S12" s="221"/>
    </row>
    <row r="13" spans="1:19" x14ac:dyDescent="0.2">
      <c r="A13" s="317">
        <f t="shared" si="0"/>
        <v>5</v>
      </c>
      <c r="E13" s="265"/>
      <c r="F13" s="266"/>
      <c r="G13" s="267"/>
      <c r="H13" s="267"/>
      <c r="I13" s="267"/>
      <c r="J13" s="267"/>
      <c r="K13" s="267"/>
      <c r="L13" s="254"/>
      <c r="M13" s="267"/>
      <c r="N13" s="502"/>
      <c r="O13" s="280"/>
      <c r="P13" s="502"/>
      <c r="Q13" s="280"/>
      <c r="R13" s="502"/>
      <c r="S13" s="221"/>
    </row>
    <row r="14" spans="1:19" ht="15.75" x14ac:dyDescent="0.25">
      <c r="A14" s="317">
        <f t="shared" si="0"/>
        <v>6</v>
      </c>
      <c r="C14" s="251" t="s">
        <v>187</v>
      </c>
      <c r="E14" s="83"/>
      <c r="F14" s="252"/>
      <c r="G14" s="254"/>
      <c r="H14" s="254"/>
      <c r="I14" s="254"/>
      <c r="J14" s="254"/>
      <c r="K14" s="254"/>
      <c r="L14" s="254"/>
      <c r="M14" s="254"/>
      <c r="N14" s="280"/>
      <c r="O14" s="280"/>
      <c r="P14" s="280"/>
      <c r="Q14" s="280"/>
      <c r="R14" s="280"/>
      <c r="S14" s="221"/>
    </row>
    <row r="15" spans="1:19" x14ac:dyDescent="0.2">
      <c r="A15" s="317">
        <f t="shared" si="0"/>
        <v>7</v>
      </c>
      <c r="C15" s="253" t="s">
        <v>421</v>
      </c>
      <c r="E15" s="83" t="s">
        <v>419</v>
      </c>
      <c r="F15" s="252"/>
      <c r="G15" s="102">
        <f>+S3.1!G26</f>
        <v>31270.34446</v>
      </c>
      <c r="H15" s="102">
        <f>+S3.1!H26</f>
        <v>24857.873488240668</v>
      </c>
      <c r="I15" s="102"/>
      <c r="J15" s="102">
        <f>+S3.1!J26</f>
        <v>31176.66632</v>
      </c>
      <c r="K15" s="102">
        <f>+S3.1!K26</f>
        <v>26066.066994949357</v>
      </c>
      <c r="L15" s="102"/>
      <c r="M15" s="102">
        <f>+S3.1!M26</f>
        <v>30372.8021204</v>
      </c>
      <c r="N15" s="102">
        <f>+S3.1!N26</f>
        <v>26633.64227260906</v>
      </c>
      <c r="O15" s="109"/>
      <c r="P15" s="109">
        <f>+S3.1!P26</f>
        <v>24755.609072638894</v>
      </c>
      <c r="Q15" s="109"/>
      <c r="R15" s="109">
        <f>+S3.1!R26</f>
        <v>25249.520521268041</v>
      </c>
      <c r="S15" s="221"/>
    </row>
    <row r="16" spans="1:19" x14ac:dyDescent="0.2">
      <c r="A16" s="317">
        <f t="shared" si="0"/>
        <v>8</v>
      </c>
      <c r="C16" s="253" t="s">
        <v>492</v>
      </c>
      <c r="E16" s="83" t="s">
        <v>393</v>
      </c>
      <c r="F16" s="252"/>
      <c r="G16" s="102">
        <f>+S4.1!G19</f>
        <v>6707.91</v>
      </c>
      <c r="H16" s="102">
        <f>+S4.1!H19</f>
        <v>6610.9961069884821</v>
      </c>
      <c r="I16" s="102"/>
      <c r="J16" s="102">
        <f>+S4.1!J19</f>
        <v>6760</v>
      </c>
      <c r="K16" s="102">
        <f>S4.1!K19</f>
        <v>6700.5623420348602</v>
      </c>
      <c r="L16" s="102"/>
      <c r="M16" s="102">
        <f>+S4.1!M19</f>
        <v>6621</v>
      </c>
      <c r="N16" s="109">
        <f>+S4.1!N19</f>
        <v>6703.6940606104627</v>
      </c>
      <c r="O16" s="280"/>
      <c r="P16" s="109">
        <f>+S4.1!P19</f>
        <v>5225.0175830104836</v>
      </c>
      <c r="Q16" s="280"/>
      <c r="R16" s="109">
        <f>+S4.1!R19</f>
        <v>5267.6775811613197</v>
      </c>
      <c r="S16" s="221"/>
    </row>
    <row r="17" spans="1:19" x14ac:dyDescent="0.2">
      <c r="A17" s="317">
        <f t="shared" si="0"/>
        <v>9</v>
      </c>
      <c r="C17" s="253" t="s">
        <v>422</v>
      </c>
      <c r="E17" s="83" t="s">
        <v>364</v>
      </c>
      <c r="F17" s="252"/>
      <c r="G17" s="102">
        <f>+'S5.1 '!G57</f>
        <v>11717.904240000002</v>
      </c>
      <c r="H17" s="102">
        <f>+'S5.1 '!H57</f>
        <v>11604.296718754196</v>
      </c>
      <c r="I17" s="102"/>
      <c r="J17" s="102">
        <f>+'S5.1 '!J57</f>
        <v>11697.75274</v>
      </c>
      <c r="K17" s="102">
        <f>+'S5.1 '!K57</f>
        <v>11882.143152692197</v>
      </c>
      <c r="L17" s="102"/>
      <c r="M17" s="102">
        <f>+'S5.1 '!M57</f>
        <v>11616.160360000002</v>
      </c>
      <c r="N17" s="102">
        <f>+'S5.1 '!N57</f>
        <v>11944.303537895001</v>
      </c>
      <c r="O17" s="109"/>
      <c r="P17" s="102">
        <f>+'S5.1 '!P57</f>
        <v>11947.924019782222</v>
      </c>
      <c r="Q17" s="109"/>
      <c r="R17" s="102">
        <f>+'S5.1 '!R57</f>
        <v>12134.372661023186</v>
      </c>
      <c r="S17" s="221"/>
    </row>
    <row r="18" spans="1:19" x14ac:dyDescent="0.2">
      <c r="A18" s="317">
        <f t="shared" si="0"/>
        <v>10</v>
      </c>
      <c r="C18" s="253" t="s">
        <v>238</v>
      </c>
      <c r="E18" s="256" t="s">
        <v>426</v>
      </c>
      <c r="F18" s="252"/>
      <c r="G18" s="102">
        <v>273</v>
      </c>
      <c r="H18" s="102">
        <v>257.19099999999997</v>
      </c>
      <c r="I18" s="102"/>
      <c r="J18" s="102">
        <v>251</v>
      </c>
      <c r="K18" s="102">
        <v>264.90672999999998</v>
      </c>
      <c r="L18" s="102"/>
      <c r="M18" s="102">
        <v>256.06900000000002</v>
      </c>
      <c r="N18" s="109">
        <v>272.85393189999996</v>
      </c>
      <c r="O18" s="109"/>
      <c r="P18" s="109">
        <v>261.702518</v>
      </c>
      <c r="Q18" s="109"/>
      <c r="R18" s="109">
        <v>267.45997339600001</v>
      </c>
      <c r="S18" s="221"/>
    </row>
    <row r="19" spans="1:19" x14ac:dyDescent="0.2">
      <c r="A19" s="317">
        <f t="shared" si="0"/>
        <v>11</v>
      </c>
      <c r="C19" s="253" t="s">
        <v>15</v>
      </c>
      <c r="E19" s="83" t="s">
        <v>300</v>
      </c>
      <c r="F19" s="252"/>
      <c r="G19" s="102">
        <f>+S7.1!G13</f>
        <v>4381.9739999999993</v>
      </c>
      <c r="H19" s="102">
        <f>+S7.1!H13</f>
        <v>4520.1229999999996</v>
      </c>
      <c r="I19" s="102"/>
      <c r="J19" s="102">
        <f>+S7.1!J13</f>
        <v>4895</v>
      </c>
      <c r="K19" s="102">
        <f>+S7.1!K13</f>
        <v>5252.1229999999996</v>
      </c>
      <c r="L19" s="102"/>
      <c r="M19" s="102">
        <f>+S7.1!M13</f>
        <v>5412</v>
      </c>
      <c r="N19" s="109">
        <f>+S7.1!N13</f>
        <v>5778.1229999999996</v>
      </c>
      <c r="O19" s="109"/>
      <c r="P19" s="109">
        <f>+S7.1!P13</f>
        <v>5791.7673333333332</v>
      </c>
      <c r="Q19" s="109"/>
      <c r="R19" s="109">
        <f>+S7.1!R13</f>
        <v>6283.0002199999999</v>
      </c>
      <c r="S19" s="221"/>
    </row>
    <row r="20" spans="1:19" x14ac:dyDescent="0.2">
      <c r="A20" s="317">
        <f t="shared" si="0"/>
        <v>12</v>
      </c>
      <c r="C20" s="253" t="s">
        <v>423</v>
      </c>
      <c r="E20" s="83" t="s">
        <v>427</v>
      </c>
      <c r="F20" s="252"/>
      <c r="G20" s="57">
        <f>-S8.12!G22</f>
        <v>-1545</v>
      </c>
      <c r="H20" s="57">
        <f>-S8.12!H22</f>
        <v>-1443.8472317999999</v>
      </c>
      <c r="I20" s="57"/>
      <c r="J20" s="57">
        <f>-S8.12!J22</f>
        <v>-1459</v>
      </c>
      <c r="K20" s="57">
        <f>-S8.12!K22</f>
        <v>-1557.3059278000001</v>
      </c>
      <c r="L20" s="57"/>
      <c r="M20" s="57">
        <f>-S8.12!M22</f>
        <v>-1460.4279799999999</v>
      </c>
      <c r="N20" s="109">
        <f>-S8.12!N22</f>
        <v>-1749.2004482</v>
      </c>
      <c r="O20" s="109"/>
      <c r="P20" s="109">
        <f>-S8.12!P22</f>
        <v>-1504.4573962946663</v>
      </c>
      <c r="Q20" s="109"/>
      <c r="R20" s="109">
        <f>-S8.12!R22</f>
        <v>-1570.3684804996662</v>
      </c>
      <c r="S20" s="221"/>
    </row>
    <row r="21" spans="1:19" x14ac:dyDescent="0.2">
      <c r="A21" s="317">
        <f t="shared" si="0"/>
        <v>13</v>
      </c>
      <c r="C21" s="253" t="s">
        <v>424</v>
      </c>
      <c r="E21" s="83" t="s">
        <v>889</v>
      </c>
      <c r="F21" s="252"/>
      <c r="G21" s="102">
        <f>-'S8.8 '!G19</f>
        <v>18</v>
      </c>
      <c r="H21" s="102">
        <f>-'S8.8 '!H19</f>
        <v>18</v>
      </c>
      <c r="I21" s="102"/>
      <c r="J21" s="102">
        <f>-'S8.8 '!J19</f>
        <v>18</v>
      </c>
      <c r="K21" s="102">
        <f>-'S8.8 '!K19</f>
        <v>18</v>
      </c>
      <c r="L21" s="102"/>
      <c r="M21" s="102">
        <f>-'S8.8 '!M19</f>
        <v>17</v>
      </c>
      <c r="N21" s="109">
        <f>-'S8.8 '!N19</f>
        <v>17</v>
      </c>
      <c r="O21" s="109"/>
      <c r="P21" s="109">
        <f>-'S8.8 '!P19</f>
        <v>632</v>
      </c>
      <c r="Q21" s="109"/>
      <c r="R21" s="109">
        <f>-'S8.8 '!R19</f>
        <v>832.45999999999992</v>
      </c>
      <c r="S21" s="221"/>
    </row>
    <row r="22" spans="1:19" ht="30" x14ac:dyDescent="0.2">
      <c r="A22" s="317">
        <f t="shared" si="0"/>
        <v>14</v>
      </c>
      <c r="C22" s="253" t="s">
        <v>83</v>
      </c>
      <c r="E22" s="346" t="s">
        <v>890</v>
      </c>
      <c r="F22" s="252"/>
      <c r="G22" s="102">
        <f>+S8.1!O19</f>
        <v>5550</v>
      </c>
      <c r="H22" s="102">
        <f>+S8.1!O29</f>
        <v>5080</v>
      </c>
      <c r="I22" s="102"/>
      <c r="J22" s="102">
        <f>+S8.1!O39</f>
        <v>5782.1</v>
      </c>
      <c r="K22" s="102">
        <f>+S8.1!O49</f>
        <v>5936</v>
      </c>
      <c r="L22" s="102"/>
      <c r="M22" s="102">
        <f>+S8.1!O69</f>
        <v>5838</v>
      </c>
      <c r="N22" s="109">
        <f>+S8.1!O79</f>
        <v>6545</v>
      </c>
      <c r="O22" s="109"/>
      <c r="P22" s="109">
        <f>+S8.1!O89</f>
        <v>6945.1509753389</v>
      </c>
      <c r="Q22" s="109"/>
      <c r="R22" s="109">
        <f>+S8.1!O99</f>
        <v>7400.1930950588503</v>
      </c>
      <c r="S22" s="221"/>
    </row>
    <row r="23" spans="1:19" x14ac:dyDescent="0.2">
      <c r="A23" s="317">
        <f t="shared" si="0"/>
        <v>15</v>
      </c>
      <c r="C23" s="253" t="s">
        <v>425</v>
      </c>
      <c r="E23" s="83" t="s">
        <v>891</v>
      </c>
      <c r="F23" s="252"/>
      <c r="G23" s="57">
        <f>+S10.1!G38</f>
        <v>-714</v>
      </c>
      <c r="H23" s="57">
        <f>+S10.1!H38</f>
        <v>-416</v>
      </c>
      <c r="I23" s="102"/>
      <c r="J23" s="57">
        <f>+S10.1!J38</f>
        <v>-120</v>
      </c>
      <c r="K23" s="102">
        <f>+S10.1!K38</f>
        <v>160</v>
      </c>
      <c r="L23" s="57"/>
      <c r="M23" s="57">
        <f>+S10.1!M38</f>
        <v>74</v>
      </c>
      <c r="N23" s="109">
        <f>+S10.1!N38</f>
        <v>313</v>
      </c>
      <c r="O23" s="109"/>
      <c r="P23" s="109">
        <f>+S10.1!P38</f>
        <v>-427</v>
      </c>
      <c r="Q23" s="109"/>
      <c r="R23" s="109">
        <f>+S10.1!R38</f>
        <v>511</v>
      </c>
      <c r="S23" s="221"/>
    </row>
    <row r="24" spans="1:19" ht="16.5" thickBot="1" x14ac:dyDescent="0.3">
      <c r="A24" s="317">
        <f t="shared" si="0"/>
        <v>16</v>
      </c>
      <c r="C24" s="251" t="s">
        <v>188</v>
      </c>
      <c r="E24" s="83"/>
      <c r="F24" s="257"/>
      <c r="G24" s="363">
        <f>SUM(G15:G23)</f>
        <v>57660.132700000002</v>
      </c>
      <c r="H24" s="363">
        <f>SUM(H15:H23)</f>
        <v>51088.633082183347</v>
      </c>
      <c r="I24" s="254"/>
      <c r="J24" s="363">
        <f>SUM(J15:J23)</f>
        <v>59001.519059999999</v>
      </c>
      <c r="K24" s="363">
        <f>SUM(K15:K23)</f>
        <v>54722.496291876414</v>
      </c>
      <c r="L24" s="264"/>
      <c r="M24" s="363">
        <f>SUM(M15:M23)</f>
        <v>58746.6035004</v>
      </c>
      <c r="N24" s="501">
        <f>SUM(N15:N23)</f>
        <v>56458.416354814522</v>
      </c>
      <c r="O24" s="280"/>
      <c r="P24" s="501">
        <f>SUM(P15:P23)</f>
        <v>53627.714105809166</v>
      </c>
      <c r="Q24" s="280"/>
      <c r="R24" s="501">
        <f>SUM(R15:R23)</f>
        <v>56375.315571407729</v>
      </c>
      <c r="S24" s="221"/>
    </row>
    <row r="25" spans="1:19" ht="15.75" thickTop="1" x14ac:dyDescent="0.2"/>
    <row r="26" spans="1:19" x14ac:dyDescent="0.2">
      <c r="P26" s="280"/>
      <c r="R26" s="280"/>
    </row>
  </sheetData>
  <customSheetViews>
    <customSheetView guid="{275E5119-9E8C-43ED-ACD2-DF40CF10B219}" scale="85" fitToPage="1" topLeftCell="B1">
      <pane xSplit="3" ySplit="8" topLeftCell="F9" activePane="bottomRight" state="frozen"/>
      <selection pane="bottomRight" activeCell="M28" sqref="M28"/>
      <pageMargins left="0.54" right="0.47" top="0.38" bottom="0.56999999999999995" header="0.25" footer="0.5"/>
      <pageSetup scale="54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 topLeftCell="B1">
      <pane xSplit="3" ySplit="8" topLeftCell="F9" activePane="bottomRight" state="frozen"/>
      <selection pane="bottomRight" activeCell="M23" sqref="M23"/>
      <pageMargins left="0.54" right="0.47" top="0.38" bottom="0.56999999999999995" header="0.25" footer="0.5"/>
      <pageSetup scale="52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4" orientation="landscape" r:id="rId3"/>
  <headerFooter alignWithMargins="0">
    <oddHeader xml:space="preserve">&amp;RUndertaking 17 - Page 527, Lines 15-17, Attachment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2"/>
  <sheetViews>
    <sheetView view="pageBreakPreview" zoomScale="85" zoomScaleNormal="70" zoomScaleSheetLayoutView="85" workbookViewId="0">
      <selection activeCell="O61" sqref="O61"/>
    </sheetView>
  </sheetViews>
  <sheetFormatPr defaultColWidth="7.5703125" defaultRowHeight="12.75" x14ac:dyDescent="0.2"/>
  <cols>
    <col min="1" max="1" width="6.140625" style="237" bestFit="1" customWidth="1"/>
    <col min="2" max="2" width="2.28515625" style="237" customWidth="1"/>
    <col min="3" max="3" width="49.140625" style="237" customWidth="1"/>
    <col min="4" max="4" width="22.140625" style="237" customWidth="1"/>
    <col min="5" max="5" width="45.7109375" style="237" bestFit="1" customWidth="1"/>
    <col min="6" max="6" width="2.28515625" style="237" customWidth="1"/>
    <col min="7" max="7" width="8" style="594" bestFit="1" customWidth="1"/>
    <col min="8" max="8" width="2.28515625" style="594" customWidth="1"/>
    <col min="9" max="10" width="12.7109375" style="237" customWidth="1"/>
    <col min="11" max="11" width="2.28515625" style="237" customWidth="1"/>
    <col min="12" max="13" width="12.7109375" style="237" customWidth="1"/>
    <col min="14" max="14" width="2.28515625" style="237" customWidth="1"/>
    <col min="15" max="16" width="12.7109375" style="237" customWidth="1"/>
    <col min="17" max="17" width="2.28515625" style="237" customWidth="1"/>
    <col min="18" max="18" width="12.7109375" style="237" customWidth="1"/>
    <col min="19" max="19" width="2.28515625" style="237" customWidth="1"/>
    <col min="20" max="20" width="12.7109375" style="237" customWidth="1"/>
    <col min="21" max="21" width="2.28515625" style="237" customWidth="1"/>
    <col min="22" max="16384" width="7.5703125" style="237"/>
  </cols>
  <sheetData>
    <row r="1" spans="1:2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592" t="s">
        <v>571</v>
      </c>
    </row>
    <row r="2" spans="1:2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592" t="s">
        <v>888</v>
      </c>
    </row>
    <row r="3" spans="1:21" ht="15.75" x14ac:dyDescent="0.25">
      <c r="A3" s="261" t="s">
        <v>520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</row>
    <row r="4" spans="1:21" s="278" customFormat="1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</row>
    <row r="5" spans="1:21" s="278" customFormat="1" ht="15.75" x14ac:dyDescent="0.25">
      <c r="A5" s="261"/>
      <c r="B5" s="261"/>
      <c r="C5" s="261"/>
      <c r="D5" s="261"/>
      <c r="E5" s="261"/>
      <c r="F5" s="261"/>
      <c r="G5" s="261"/>
      <c r="H5" s="261"/>
    </row>
    <row r="6" spans="1:21" s="278" customFormat="1" ht="15.75" x14ac:dyDescent="0.25">
      <c r="A6" s="582" t="s">
        <v>19</v>
      </c>
      <c r="B6" s="582"/>
      <c r="C6" s="582"/>
      <c r="D6" s="582"/>
      <c r="E6" s="582"/>
      <c r="F6" s="582"/>
      <c r="G6" s="582" t="s">
        <v>20</v>
      </c>
      <c r="H6" s="582"/>
      <c r="I6" s="582" t="s">
        <v>11</v>
      </c>
      <c r="J6" s="582" t="s">
        <v>4</v>
      </c>
      <c r="K6" s="582"/>
      <c r="L6" s="582" t="s">
        <v>11</v>
      </c>
      <c r="M6" s="582" t="s">
        <v>4</v>
      </c>
      <c r="N6" s="582"/>
      <c r="O6" s="582" t="s">
        <v>11</v>
      </c>
      <c r="P6" s="582" t="s">
        <v>4</v>
      </c>
      <c r="Q6" s="557"/>
      <c r="R6" s="605" t="s">
        <v>293</v>
      </c>
      <c r="S6" s="605"/>
      <c r="T6" s="605"/>
    </row>
    <row r="7" spans="1:21" s="278" customFormat="1" ht="15.75" x14ac:dyDescent="0.25">
      <c r="A7" s="589" t="s">
        <v>21</v>
      </c>
      <c r="B7" s="582"/>
      <c r="C7" s="589" t="s">
        <v>199</v>
      </c>
      <c r="D7" s="258" t="s">
        <v>190</v>
      </c>
      <c r="E7" s="258" t="s">
        <v>191</v>
      </c>
      <c r="F7" s="259"/>
      <c r="G7" s="589" t="s">
        <v>22</v>
      </c>
      <c r="H7" s="582"/>
      <c r="I7" s="315">
        <v>2013</v>
      </c>
      <c r="J7" s="315">
        <v>2013</v>
      </c>
      <c r="K7" s="315"/>
      <c r="L7" s="315">
        <v>2014</v>
      </c>
      <c r="M7" s="315">
        <v>2014</v>
      </c>
      <c r="N7" s="315"/>
      <c r="O7" s="315">
        <v>2015</v>
      </c>
      <c r="P7" s="315">
        <v>2015</v>
      </c>
      <c r="Q7" s="315"/>
      <c r="R7" s="315">
        <v>2016</v>
      </c>
      <c r="S7" s="315"/>
      <c r="T7" s="315">
        <v>2017</v>
      </c>
      <c r="U7" s="593"/>
    </row>
    <row r="8" spans="1:21" s="278" customFormat="1" ht="15" x14ac:dyDescent="0.2">
      <c r="A8" s="292"/>
      <c r="B8" s="292"/>
      <c r="C8" s="292"/>
      <c r="D8" s="83"/>
      <c r="E8" s="292"/>
      <c r="F8" s="292"/>
      <c r="G8" s="83"/>
      <c r="H8" s="83"/>
    </row>
    <row r="9" spans="1:21" s="278" customFormat="1" ht="15" x14ac:dyDescent="0.2">
      <c r="A9" s="83">
        <v>1</v>
      </c>
      <c r="B9" s="292"/>
      <c r="C9" s="151" t="s">
        <v>201</v>
      </c>
      <c r="D9" s="260"/>
      <c r="E9" s="292"/>
      <c r="F9" s="292"/>
      <c r="G9" s="83"/>
      <c r="H9" s="83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1" s="278" customFormat="1" ht="15" x14ac:dyDescent="0.2">
      <c r="A10" s="83">
        <f t="shared" ref="A10:A28" si="0">A9+1</f>
        <v>2</v>
      </c>
      <c r="B10" s="292"/>
      <c r="C10" s="166" t="s">
        <v>375</v>
      </c>
      <c r="D10" s="260" t="s">
        <v>192</v>
      </c>
      <c r="E10" s="292" t="s">
        <v>195</v>
      </c>
      <c r="F10" s="292"/>
      <c r="G10" s="83"/>
      <c r="H10" s="83"/>
      <c r="I10" s="109">
        <v>33.030550000000005</v>
      </c>
      <c r="J10" s="109">
        <v>48.689629199999999</v>
      </c>
      <c r="K10" s="109"/>
      <c r="L10" s="109">
        <v>51.522379999999998</v>
      </c>
      <c r="M10" s="109">
        <v>50.393766221999989</v>
      </c>
      <c r="N10" s="109"/>
      <c r="O10" s="109">
        <v>46.702570000000009</v>
      </c>
      <c r="P10" s="109">
        <v>52.157548039769985</v>
      </c>
      <c r="Q10" s="109"/>
      <c r="R10" s="109">
        <v>48.103647100000011</v>
      </c>
      <c r="S10" s="109"/>
      <c r="T10" s="109">
        <v>49.546756513000005</v>
      </c>
    </row>
    <row r="11" spans="1:21" s="278" customFormat="1" ht="15" x14ac:dyDescent="0.2">
      <c r="A11" s="83">
        <f t="shared" si="0"/>
        <v>3</v>
      </c>
      <c r="B11" s="292"/>
      <c r="C11" s="166" t="s">
        <v>71</v>
      </c>
      <c r="D11" s="260" t="s">
        <v>192</v>
      </c>
      <c r="E11" s="292" t="s">
        <v>408</v>
      </c>
      <c r="F11" s="292"/>
      <c r="G11" s="83"/>
      <c r="H11" s="83"/>
      <c r="I11" s="109">
        <v>57.147999999999996</v>
      </c>
      <c r="J11" s="109">
        <v>61.726777799999994</v>
      </c>
      <c r="K11" s="109"/>
      <c r="L11" s="109">
        <v>61.728000000000002</v>
      </c>
      <c r="M11" s="109">
        <v>63.887215022999989</v>
      </c>
      <c r="N11" s="109"/>
      <c r="O11" s="109">
        <v>57.526000000000003</v>
      </c>
      <c r="P11" s="109">
        <v>66.123267548804989</v>
      </c>
      <c r="Q11" s="109"/>
      <c r="R11" s="109">
        <v>59.251779999999997</v>
      </c>
      <c r="S11" s="109"/>
      <c r="T11" s="109">
        <v>61.029333400000006</v>
      </c>
    </row>
    <row r="12" spans="1:21" s="278" customFormat="1" ht="15" x14ac:dyDescent="0.2">
      <c r="A12" s="83">
        <f t="shared" si="0"/>
        <v>4</v>
      </c>
      <c r="B12" s="292"/>
      <c r="C12" s="166" t="s">
        <v>77</v>
      </c>
      <c r="D12" s="260" t="s">
        <v>193</v>
      </c>
      <c r="E12" s="292" t="s">
        <v>10</v>
      </c>
      <c r="F12" s="292"/>
      <c r="G12" s="83"/>
      <c r="H12" s="83"/>
      <c r="I12" s="109">
        <v>19.276499999999999</v>
      </c>
      <c r="J12" s="109">
        <v>25.493106067536615</v>
      </c>
      <c r="K12" s="109"/>
      <c r="L12" s="109">
        <v>23.436599999999999</v>
      </c>
      <c r="M12" s="109">
        <v>26.002968188887348</v>
      </c>
      <c r="N12" s="109"/>
      <c r="O12" s="109">
        <v>23.062480000000001</v>
      </c>
      <c r="P12" s="109">
        <v>26.523027552665098</v>
      </c>
      <c r="Q12" s="109"/>
      <c r="R12" s="109">
        <v>23.7543544</v>
      </c>
      <c r="S12" s="109"/>
      <c r="T12" s="109">
        <v>24.466985032</v>
      </c>
    </row>
    <row r="13" spans="1:21" s="278" customFormat="1" ht="15" x14ac:dyDescent="0.2">
      <c r="A13" s="83">
        <f t="shared" si="0"/>
        <v>5</v>
      </c>
      <c r="B13" s="292"/>
      <c r="C13" s="166" t="s">
        <v>80</v>
      </c>
      <c r="D13" s="260" t="s">
        <v>193</v>
      </c>
      <c r="E13" s="292" t="s">
        <v>194</v>
      </c>
      <c r="F13" s="292"/>
      <c r="G13" s="83"/>
      <c r="H13" s="83"/>
      <c r="I13" s="109">
        <v>7.8102600000000004</v>
      </c>
      <c r="J13" s="109">
        <v>7.5307360267200014</v>
      </c>
      <c r="K13" s="109"/>
      <c r="L13" s="109">
        <v>7.7110799999999999</v>
      </c>
      <c r="M13" s="109">
        <v>7.6813507472544016</v>
      </c>
      <c r="N13" s="109"/>
      <c r="O13" s="109">
        <v>5.52311</v>
      </c>
      <c r="P13" s="109">
        <v>7.8349777621994896</v>
      </c>
      <c r="Q13" s="109"/>
      <c r="R13" s="109">
        <v>5.6888033</v>
      </c>
      <c r="S13" s="109"/>
      <c r="T13" s="109">
        <v>5.8594673990000006</v>
      </c>
    </row>
    <row r="14" spans="1:21" s="278" customFormat="1" ht="15" x14ac:dyDescent="0.2">
      <c r="A14" s="83">
        <f t="shared" si="0"/>
        <v>6</v>
      </c>
      <c r="B14" s="292"/>
      <c r="C14" s="166" t="s">
        <v>448</v>
      </c>
      <c r="D14" s="260" t="s">
        <v>193</v>
      </c>
      <c r="E14" s="292" t="s">
        <v>449</v>
      </c>
      <c r="F14" s="292"/>
      <c r="G14" s="83"/>
      <c r="H14" s="83"/>
      <c r="I14" s="109">
        <v>0</v>
      </c>
      <c r="J14" s="109">
        <v>0</v>
      </c>
      <c r="K14" s="109"/>
      <c r="L14" s="109">
        <v>0</v>
      </c>
      <c r="M14" s="109">
        <v>0</v>
      </c>
      <c r="N14" s="109"/>
      <c r="O14" s="109">
        <v>0</v>
      </c>
      <c r="P14" s="109">
        <v>0</v>
      </c>
      <c r="Q14" s="109"/>
      <c r="R14" s="109">
        <v>0</v>
      </c>
      <c r="S14" s="109"/>
      <c r="T14" s="109">
        <v>0</v>
      </c>
    </row>
    <row r="15" spans="1:21" s="278" customFormat="1" ht="15" x14ac:dyDescent="0.2">
      <c r="A15" s="83">
        <f t="shared" si="0"/>
        <v>7</v>
      </c>
      <c r="B15" s="292"/>
      <c r="C15" s="166" t="s">
        <v>80</v>
      </c>
      <c r="D15" s="365" t="s">
        <v>303</v>
      </c>
      <c r="E15" s="292" t="s">
        <v>197</v>
      </c>
      <c r="F15" s="292"/>
      <c r="G15" s="83" t="s">
        <v>396</v>
      </c>
      <c r="H15" s="83"/>
      <c r="I15" s="109">
        <v>394.73885000000001</v>
      </c>
      <c r="J15" s="109">
        <v>462.45992857825001</v>
      </c>
      <c r="K15" s="109"/>
      <c r="L15" s="109">
        <v>245.73833999999997</v>
      </c>
      <c r="M15" s="109">
        <v>477.76694787848874</v>
      </c>
      <c r="N15" s="109"/>
      <c r="O15" s="109">
        <v>0</v>
      </c>
      <c r="P15" s="109">
        <v>493.60971285423585</v>
      </c>
      <c r="Q15" s="109"/>
      <c r="R15" s="109">
        <v>0</v>
      </c>
      <c r="S15" s="109"/>
      <c r="T15" s="109">
        <v>0</v>
      </c>
    </row>
    <row r="16" spans="1:21" s="278" customFormat="1" ht="15" x14ac:dyDescent="0.2">
      <c r="A16" s="83">
        <f t="shared" si="0"/>
        <v>8</v>
      </c>
      <c r="B16" s="292"/>
      <c r="C16" s="166" t="s">
        <v>78</v>
      </c>
      <c r="D16" s="260" t="s">
        <v>521</v>
      </c>
      <c r="E16" s="292" t="s">
        <v>198</v>
      </c>
      <c r="F16" s="292"/>
      <c r="G16" s="83" t="s">
        <v>870</v>
      </c>
      <c r="H16" s="83"/>
      <c r="I16" s="109">
        <v>538.49532999999997</v>
      </c>
      <c r="J16" s="109">
        <v>545.62471779999998</v>
      </c>
      <c r="K16" s="109"/>
      <c r="L16" s="109">
        <v>583.39922999999999</v>
      </c>
      <c r="M16" s="109">
        <v>556.53721215600001</v>
      </c>
      <c r="N16" s="109"/>
      <c r="O16" s="109">
        <v>0</v>
      </c>
      <c r="P16" s="109">
        <v>575.37766393087691</v>
      </c>
      <c r="Q16" s="109"/>
      <c r="R16" s="109">
        <v>0</v>
      </c>
      <c r="S16" s="109"/>
      <c r="T16" s="109">
        <v>0</v>
      </c>
    </row>
    <row r="17" spans="1:21" s="278" customFormat="1" ht="15" x14ac:dyDescent="0.2">
      <c r="A17" s="83">
        <f t="shared" si="0"/>
        <v>9</v>
      </c>
      <c r="B17" s="292"/>
      <c r="C17" s="166" t="s">
        <v>78</v>
      </c>
      <c r="D17" s="260" t="s">
        <v>192</v>
      </c>
      <c r="E17" s="292" t="s">
        <v>865</v>
      </c>
      <c r="F17" s="292"/>
      <c r="G17" s="83"/>
      <c r="H17" s="83"/>
      <c r="I17" s="109">
        <v>0</v>
      </c>
      <c r="J17" s="109">
        <v>0</v>
      </c>
      <c r="K17" s="109"/>
      <c r="L17" s="109">
        <v>0</v>
      </c>
      <c r="M17" s="109">
        <v>0</v>
      </c>
      <c r="N17" s="109"/>
      <c r="O17" s="109">
        <v>71.844239999999999</v>
      </c>
      <c r="P17" s="109">
        <v>0</v>
      </c>
      <c r="Q17" s="109"/>
      <c r="R17" s="109">
        <v>73.999567200000001</v>
      </c>
      <c r="S17" s="109"/>
      <c r="T17" s="109">
        <v>76.219554216000006</v>
      </c>
    </row>
    <row r="18" spans="1:21" s="278" customFormat="1" ht="15" x14ac:dyDescent="0.2">
      <c r="A18" s="83">
        <f t="shared" si="0"/>
        <v>10</v>
      </c>
      <c r="B18" s="292"/>
      <c r="C18" s="166"/>
      <c r="D18" s="260"/>
      <c r="E18" s="292"/>
      <c r="F18" s="292"/>
      <c r="G18" s="83"/>
      <c r="H18" s="83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spans="1:21" s="278" customFormat="1" ht="15" x14ac:dyDescent="0.2">
      <c r="A19" s="83">
        <f t="shared" si="0"/>
        <v>11</v>
      </c>
      <c r="B19" s="292"/>
      <c r="C19" s="151" t="s">
        <v>202</v>
      </c>
      <c r="D19" s="260"/>
      <c r="E19" s="292"/>
      <c r="F19" s="292"/>
      <c r="G19" s="83"/>
      <c r="H19" s="83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1" s="278" customFormat="1" ht="15" x14ac:dyDescent="0.2">
      <c r="A20" s="83">
        <f t="shared" si="0"/>
        <v>12</v>
      </c>
      <c r="B20" s="292"/>
      <c r="C20" s="166" t="s">
        <v>80</v>
      </c>
      <c r="D20" s="260" t="s">
        <v>192</v>
      </c>
      <c r="E20" s="292" t="s">
        <v>515</v>
      </c>
      <c r="I20" s="109">
        <v>113.59075000000004</v>
      </c>
      <c r="J20" s="109">
        <v>136.517707</v>
      </c>
      <c r="K20" s="109"/>
      <c r="L20" s="109">
        <v>125.48812</v>
      </c>
      <c r="M20" s="109">
        <v>141.295826745</v>
      </c>
      <c r="N20" s="109"/>
      <c r="O20" s="109">
        <v>141.59879999999998</v>
      </c>
      <c r="P20" s="109">
        <v>146.24118068107498</v>
      </c>
      <c r="Q20" s="109"/>
      <c r="R20" s="109">
        <v>145.84676400000001</v>
      </c>
      <c r="S20" s="109"/>
      <c r="T20" s="109">
        <v>150.22216691999998</v>
      </c>
    </row>
    <row r="21" spans="1:21" s="278" customFormat="1" ht="15" x14ac:dyDescent="0.2">
      <c r="A21" s="83">
        <f t="shared" si="0"/>
        <v>13</v>
      </c>
      <c r="B21" s="292"/>
      <c r="C21" s="166" t="s">
        <v>80</v>
      </c>
      <c r="D21" s="260" t="s">
        <v>192</v>
      </c>
      <c r="E21" s="292" t="s">
        <v>511</v>
      </c>
      <c r="I21" s="109">
        <v>105.4085</v>
      </c>
      <c r="J21" s="109">
        <v>40</v>
      </c>
      <c r="K21" s="109"/>
      <c r="L21" s="109">
        <v>11.55049</v>
      </c>
      <c r="M21" s="109">
        <v>117.4</v>
      </c>
      <c r="N21" s="109"/>
      <c r="O21" s="109">
        <v>4.2011700000000003</v>
      </c>
      <c r="P21" s="109">
        <v>41.616</v>
      </c>
      <c r="Q21" s="109"/>
      <c r="R21" s="109">
        <v>40.3272051</v>
      </c>
      <c r="S21" s="109"/>
      <c r="T21" s="109">
        <v>40.457021253000001</v>
      </c>
    </row>
    <row r="22" spans="1:21" s="278" customFormat="1" ht="15" x14ac:dyDescent="0.2">
      <c r="A22" s="83">
        <f t="shared" si="0"/>
        <v>14</v>
      </c>
      <c r="B22" s="292"/>
      <c r="C22" s="166" t="s">
        <v>80</v>
      </c>
      <c r="D22" s="260" t="s">
        <v>192</v>
      </c>
      <c r="E22" s="292" t="s">
        <v>509</v>
      </c>
      <c r="I22" s="109">
        <v>588.41716000000008</v>
      </c>
      <c r="J22" s="109">
        <v>614.43505000000005</v>
      </c>
      <c r="K22" s="109"/>
      <c r="L22" s="109">
        <v>483.23484000000002</v>
      </c>
      <c r="M22" s="109">
        <v>635.94027674999995</v>
      </c>
      <c r="N22" s="109"/>
      <c r="O22" s="109">
        <v>498.53949000000006</v>
      </c>
      <c r="P22" s="109">
        <v>502.1981864362499</v>
      </c>
      <c r="Q22" s="109"/>
      <c r="R22" s="109">
        <v>561</v>
      </c>
      <c r="S22" s="109"/>
      <c r="T22" s="109">
        <v>577.83000000000004</v>
      </c>
    </row>
    <row r="23" spans="1:21" s="278" customFormat="1" ht="15" x14ac:dyDescent="0.2">
      <c r="A23" s="83">
        <f t="shared" si="0"/>
        <v>15</v>
      </c>
      <c r="B23" s="292"/>
      <c r="C23" s="166" t="s">
        <v>80</v>
      </c>
      <c r="D23" s="260" t="s">
        <v>192</v>
      </c>
      <c r="E23" s="292" t="s">
        <v>516</v>
      </c>
      <c r="I23" s="112">
        <v>45.0075</v>
      </c>
      <c r="J23" s="112">
        <v>45.743993000000003</v>
      </c>
      <c r="K23" s="112"/>
      <c r="L23" s="112">
        <v>125.50228999999999</v>
      </c>
      <c r="M23" s="112">
        <v>47.030032755000001</v>
      </c>
      <c r="N23" s="112"/>
      <c r="O23" s="112">
        <v>112.00222054626697</v>
      </c>
      <c r="P23" s="112">
        <v>48.361083901424998</v>
      </c>
      <c r="Q23" s="112"/>
      <c r="R23" s="112">
        <v>115.36228716265497</v>
      </c>
      <c r="S23" s="112"/>
      <c r="T23" s="112">
        <v>118.82315577753462</v>
      </c>
      <c r="U23" s="111" t="s">
        <v>13</v>
      </c>
    </row>
    <row r="24" spans="1:21" s="278" customFormat="1" ht="15.75" x14ac:dyDescent="0.25">
      <c r="A24" s="83">
        <f t="shared" si="0"/>
        <v>16</v>
      </c>
      <c r="B24" s="292"/>
      <c r="C24" s="166"/>
      <c r="D24" s="260"/>
      <c r="E24" s="156" t="s">
        <v>196</v>
      </c>
      <c r="F24" s="251"/>
      <c r="G24" s="157" t="s">
        <v>13</v>
      </c>
      <c r="H24" s="69"/>
      <c r="I24" s="275">
        <f>SUM(I20:I23)</f>
        <v>852.42391000000021</v>
      </c>
      <c r="J24" s="275">
        <f>SUM(J20:J23)</f>
        <v>836.69675000000007</v>
      </c>
      <c r="K24" s="275"/>
      <c r="L24" s="275">
        <f>SUM(L20:L23)</f>
        <v>745.77574000000004</v>
      </c>
      <c r="M24" s="275">
        <f>SUM(M20:M23)</f>
        <v>941.66613624999991</v>
      </c>
      <c r="N24" s="275"/>
      <c r="O24" s="275">
        <f>SUM(O20:O23)</f>
        <v>756.34168054626696</v>
      </c>
      <c r="P24" s="275">
        <f>SUM(P20:P23)</f>
        <v>738.41645101874985</v>
      </c>
      <c r="Q24" s="275"/>
      <c r="R24" s="275">
        <f>SUM(R20:R23)</f>
        <v>862.536256262655</v>
      </c>
      <c r="S24" s="275"/>
      <c r="T24" s="275">
        <f>SUM(T20:T23)</f>
        <v>887.33234395053455</v>
      </c>
    </row>
    <row r="25" spans="1:21" s="278" customFormat="1" ht="15" customHeight="1" x14ac:dyDescent="0.25">
      <c r="A25" s="83">
        <f t="shared" si="0"/>
        <v>17</v>
      </c>
      <c r="B25" s="292"/>
      <c r="C25" s="166"/>
      <c r="D25" s="260"/>
      <c r="E25" s="156"/>
      <c r="F25" s="251"/>
      <c r="G25" s="582"/>
      <c r="H25" s="69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</row>
    <row r="26" spans="1:21" s="278" customFormat="1" ht="15" customHeight="1" x14ac:dyDescent="0.2">
      <c r="A26" s="83">
        <f t="shared" si="0"/>
        <v>18</v>
      </c>
      <c r="B26" s="292"/>
      <c r="C26" s="166" t="s">
        <v>80</v>
      </c>
      <c r="D26" s="260" t="s">
        <v>192</v>
      </c>
      <c r="E26" s="292" t="s">
        <v>275</v>
      </c>
      <c r="F26" s="166"/>
      <c r="G26" s="83"/>
      <c r="H26" s="69"/>
      <c r="I26" s="112">
        <v>1.9161000000000001</v>
      </c>
      <c r="J26" s="112">
        <v>3.1658579999999996</v>
      </c>
      <c r="K26" s="112"/>
      <c r="L26" s="112">
        <v>3</v>
      </c>
      <c r="M26" s="112">
        <v>3.276663029999999</v>
      </c>
      <c r="N26" s="112"/>
      <c r="O26" s="112">
        <v>3</v>
      </c>
      <c r="P26" s="112">
        <v>3.3913462360499991</v>
      </c>
      <c r="Q26" s="112"/>
      <c r="R26" s="112">
        <v>3.09</v>
      </c>
      <c r="S26" s="112"/>
      <c r="T26" s="112">
        <v>3.1827000000000001</v>
      </c>
    </row>
    <row r="27" spans="1:21" s="278" customFormat="1" ht="15" customHeight="1" x14ac:dyDescent="0.2">
      <c r="A27" s="83">
        <f t="shared" si="0"/>
        <v>19</v>
      </c>
      <c r="B27" s="292"/>
      <c r="C27" s="166"/>
      <c r="D27" s="83"/>
      <c r="E27" s="292"/>
      <c r="F27" s="166"/>
      <c r="G27" s="83"/>
      <c r="H27" s="69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</row>
    <row r="28" spans="1:21" s="278" customFormat="1" ht="15" customHeight="1" thickBot="1" x14ac:dyDescent="0.25">
      <c r="A28" s="83">
        <f t="shared" si="0"/>
        <v>20</v>
      </c>
      <c r="B28" s="292"/>
      <c r="C28" s="292" t="s">
        <v>203</v>
      </c>
      <c r="D28" s="166"/>
      <c r="E28" s="166"/>
      <c r="F28" s="166"/>
      <c r="G28" s="83"/>
      <c r="H28" s="69"/>
      <c r="I28" s="120">
        <f t="shared" ref="I28:M28" si="1">+I24+I16+I15+I13+I12+I11+I10+I26+I14+I17</f>
        <v>1904.8394999999998</v>
      </c>
      <c r="J28" s="120">
        <f t="shared" si="1"/>
        <v>1991.3875034725068</v>
      </c>
      <c r="K28" s="120"/>
      <c r="L28" s="120">
        <f t="shared" si="1"/>
        <v>1722.3113699999999</v>
      </c>
      <c r="M28" s="120">
        <f t="shared" si="1"/>
        <v>2127.21225949563</v>
      </c>
      <c r="N28" s="120"/>
      <c r="O28" s="120">
        <f>+O24+O16+O15+O13+O12+O11+O10+O26+O14+O17</f>
        <v>964.00008054626699</v>
      </c>
      <c r="P28" s="120">
        <f t="shared" ref="P28:T28" si="2">+P24+P16+P15+P13+P12+P11+P10+P26+P14+P17</f>
        <v>1963.4339949433522</v>
      </c>
      <c r="Q28" s="120"/>
      <c r="R28" s="120">
        <f t="shared" si="2"/>
        <v>1076.4244082626551</v>
      </c>
      <c r="S28" s="120"/>
      <c r="T28" s="120">
        <f t="shared" si="2"/>
        <v>1107.6371405105347</v>
      </c>
      <c r="U28" s="111" t="s">
        <v>13</v>
      </c>
    </row>
    <row r="29" spans="1:21" s="278" customFormat="1" ht="15" customHeight="1" thickTop="1" x14ac:dyDescent="0.2">
      <c r="A29" s="83"/>
      <c r="B29" s="292"/>
      <c r="C29" s="292"/>
      <c r="D29" s="166"/>
      <c r="E29" s="166"/>
      <c r="F29" s="166"/>
      <c r="G29" s="83"/>
      <c r="H29" s="69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1" s="278" customFormat="1" ht="15" customHeight="1" x14ac:dyDescent="0.2">
      <c r="A30" s="83"/>
      <c r="B30" s="292"/>
      <c r="C30" s="292"/>
      <c r="D30" s="166"/>
      <c r="E30" s="166"/>
      <c r="F30" s="166"/>
      <c r="G30" s="83"/>
      <c r="H30" s="69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1" s="278" customFormat="1" ht="15" customHeight="1" x14ac:dyDescent="0.2">
      <c r="A31" s="83"/>
      <c r="B31" s="292"/>
      <c r="C31" s="281" t="s">
        <v>878</v>
      </c>
      <c r="D31" s="166"/>
      <c r="E31" s="166"/>
      <c r="F31" s="166"/>
      <c r="G31" s="83"/>
      <c r="H31" s="83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1" s="278" customFormat="1" ht="15" customHeight="1" x14ac:dyDescent="0.2">
      <c r="A32" s="83"/>
      <c r="B32" s="292"/>
      <c r="C32" s="281" t="s">
        <v>879</v>
      </c>
      <c r="D32" s="166"/>
      <c r="E32" s="166"/>
      <c r="F32" s="166"/>
      <c r="G32" s="83"/>
      <c r="H32" s="83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</sheetData>
  <mergeCells count="1">
    <mergeCell ref="R6:T6"/>
  </mergeCells>
  <printOptions horizontalCentered="1"/>
  <pageMargins left="0.5" right="0.5" top="0.75" bottom="0.75" header="0.25" footer="0.5"/>
  <pageSetup scale="51" orientation="landscape" r:id="rId1"/>
  <headerFooter alignWithMargins="0">
    <oddHeader xml:space="preserve">&amp;RUndertaking 17 - Page 527, Lines 15-17, Attachment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pageSetUpPr fitToPage="1"/>
  </sheetPr>
  <dimension ref="A1:S14"/>
  <sheetViews>
    <sheetView view="pageBreakPreview" zoomScale="85" zoomScaleNormal="100" zoomScaleSheetLayoutView="85" workbookViewId="0">
      <selection activeCell="R11" sqref="R11"/>
    </sheetView>
  </sheetViews>
  <sheetFormatPr defaultRowHeight="12.75" x14ac:dyDescent="0.2"/>
  <cols>
    <col min="1" max="1" width="6.140625" style="293" bestFit="1" customWidth="1"/>
    <col min="2" max="2" width="2.28515625" style="293" customWidth="1"/>
    <col min="3" max="3" width="37.5703125" style="293" bestFit="1" customWidth="1"/>
    <col min="4" max="4" width="2.28515625" style="293" customWidth="1"/>
    <col min="5" max="5" width="20.42578125" style="293" bestFit="1" customWidth="1"/>
    <col min="6" max="6" width="2.28515625" style="293" customWidth="1"/>
    <col min="7" max="8" width="12.7109375" style="293" customWidth="1"/>
    <col min="9" max="9" width="2.28515625" style="293" customWidth="1"/>
    <col min="10" max="11" width="12.7109375" style="293" customWidth="1"/>
    <col min="12" max="12" width="2.28515625" style="293" customWidth="1"/>
    <col min="13" max="14" width="12.7109375" style="293" customWidth="1"/>
    <col min="15" max="15" width="2.28515625" style="293" customWidth="1"/>
    <col min="16" max="16" width="12.7109375" style="293" customWidth="1"/>
    <col min="17" max="17" width="2.28515625" style="293" customWidth="1"/>
    <col min="18" max="18" width="12.7109375" style="293" customWidth="1"/>
    <col min="19" max="19" width="2.28515625" style="293" customWidth="1"/>
    <col min="20" max="16384" width="9.140625" style="293"/>
  </cols>
  <sheetData>
    <row r="1" spans="1:19" s="326" customFormat="1" ht="15.75" x14ac:dyDescent="0.25">
      <c r="A1" s="29" t="s">
        <v>1006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48" t="s">
        <v>554</v>
      </c>
    </row>
    <row r="2" spans="1:19" s="292" customFormat="1" ht="15.75" x14ac:dyDescent="0.25">
      <c r="A2" s="29" t="s">
        <v>555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48" t="s">
        <v>888</v>
      </c>
    </row>
    <row r="3" spans="1:19" s="292" customFormat="1" ht="15.75" x14ac:dyDescent="0.25">
      <c r="A3" s="29" t="s">
        <v>299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9" s="292" customFormat="1" ht="15.75" x14ac:dyDescent="0.25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58"/>
    </row>
    <row r="5" spans="1:19" s="292" customFormat="1" ht="15.75" x14ac:dyDescent="0.25">
      <c r="N5" s="333"/>
      <c r="P5" s="333"/>
      <c r="R5" s="333"/>
    </row>
    <row r="6" spans="1:19" s="292" customFormat="1" ht="15.75" x14ac:dyDescent="0.25">
      <c r="A6" s="333" t="s">
        <v>19</v>
      </c>
      <c r="B6" s="333"/>
      <c r="C6" s="333"/>
      <c r="D6" s="333"/>
      <c r="E6" s="333" t="s">
        <v>20</v>
      </c>
      <c r="F6" s="326"/>
      <c r="G6" s="333" t="s">
        <v>11</v>
      </c>
      <c r="H6" s="333" t="s">
        <v>4</v>
      </c>
      <c r="I6" s="326"/>
      <c r="J6" s="539" t="s">
        <v>11</v>
      </c>
      <c r="K6" s="539" t="s">
        <v>4</v>
      </c>
      <c r="L6" s="333"/>
      <c r="M6" s="539" t="s">
        <v>11</v>
      </c>
      <c r="N6" s="539" t="s">
        <v>4</v>
      </c>
      <c r="O6" s="542"/>
      <c r="P6" s="607" t="s">
        <v>293</v>
      </c>
      <c r="Q6" s="607"/>
      <c r="R6" s="607"/>
    </row>
    <row r="7" spans="1:19" s="292" customFormat="1" ht="15.75" x14ac:dyDescent="0.25">
      <c r="A7" s="332" t="s">
        <v>21</v>
      </c>
      <c r="B7" s="333"/>
      <c r="C7" s="332" t="s">
        <v>149</v>
      </c>
      <c r="D7" s="333"/>
      <c r="E7" s="332" t="s">
        <v>22</v>
      </c>
      <c r="F7" s="326"/>
      <c r="G7" s="332">
        <v>2013</v>
      </c>
      <c r="H7" s="332">
        <v>2013</v>
      </c>
      <c r="I7" s="326"/>
      <c r="J7" s="332">
        <v>2014</v>
      </c>
      <c r="K7" s="332">
        <v>2014</v>
      </c>
      <c r="L7" s="240"/>
      <c r="M7" s="332">
        <v>2015</v>
      </c>
      <c r="N7" s="332">
        <v>2015</v>
      </c>
      <c r="O7" s="240"/>
      <c r="P7" s="332">
        <v>2016</v>
      </c>
      <c r="Q7" s="240"/>
      <c r="R7" s="332">
        <v>2017</v>
      </c>
    </row>
    <row r="8" spans="1:19" s="292" customFormat="1" ht="15.75" customHeight="1" x14ac:dyDescent="0.2"/>
    <row r="9" spans="1:19" s="292" customFormat="1" ht="15.75" customHeight="1" x14ac:dyDescent="0.2">
      <c r="A9" s="83">
        <v>1</v>
      </c>
      <c r="C9" s="292" t="s">
        <v>295</v>
      </c>
      <c r="E9" s="327" t="s">
        <v>917</v>
      </c>
      <c r="F9" s="280"/>
      <c r="G9" s="280">
        <v>4877.3309999999992</v>
      </c>
      <c r="H9" s="280">
        <v>4997</v>
      </c>
      <c r="I9" s="280"/>
      <c r="J9" s="280">
        <v>5367.4640000000009</v>
      </c>
      <c r="K9" s="280">
        <v>5736</v>
      </c>
      <c r="L9" s="280"/>
      <c r="M9" s="280">
        <v>5914.8770000000004</v>
      </c>
      <c r="N9" s="280">
        <v>6267</v>
      </c>
      <c r="O9" s="280"/>
      <c r="P9" s="280">
        <f>S7.2!J59</f>
        <v>6282</v>
      </c>
      <c r="Q9" s="280"/>
      <c r="R9" s="280">
        <f>S7.3!J59</f>
        <v>6775</v>
      </c>
    </row>
    <row r="10" spans="1:19" s="292" customFormat="1" ht="15.75" customHeight="1" x14ac:dyDescent="0.2">
      <c r="A10" s="83">
        <v>2</v>
      </c>
      <c r="C10" s="292" t="s">
        <v>296</v>
      </c>
      <c r="E10" s="327" t="s">
        <v>596</v>
      </c>
      <c r="F10" s="280"/>
      <c r="G10" s="280">
        <f>+S7.4!J59</f>
        <v>-401.87700000000001</v>
      </c>
      <c r="H10" s="280">
        <f>+S7.4!K59</f>
        <v>-401.87700000000001</v>
      </c>
      <c r="I10" s="280"/>
      <c r="J10" s="280">
        <f>+S7.4!M59</f>
        <v>-401.87700000000001</v>
      </c>
      <c r="K10" s="280">
        <f>+S7.4!N59</f>
        <v>-401.87700000000001</v>
      </c>
      <c r="L10" s="280"/>
      <c r="M10" s="280">
        <f>+S7.4!P59</f>
        <v>-401.87700000000001</v>
      </c>
      <c r="N10" s="280">
        <f>+S7.4!Q59</f>
        <v>-401.87700000000001</v>
      </c>
      <c r="O10" s="280"/>
      <c r="P10" s="280">
        <f>+S7.4!S59</f>
        <v>-401.87700000000001</v>
      </c>
      <c r="Q10" s="280"/>
      <c r="R10" s="280">
        <f>+S7.4!S59</f>
        <v>-401.87700000000001</v>
      </c>
    </row>
    <row r="11" spans="1:19" s="292" customFormat="1" ht="15.75" customHeight="1" x14ac:dyDescent="0.2">
      <c r="A11" s="83">
        <v>3</v>
      </c>
      <c r="C11" s="292" t="s">
        <v>297</v>
      </c>
      <c r="E11" s="327" t="s">
        <v>478</v>
      </c>
      <c r="F11" s="280"/>
      <c r="G11" s="115">
        <v>-93.48</v>
      </c>
      <c r="H11" s="115">
        <v>-75</v>
      </c>
      <c r="I11" s="280"/>
      <c r="J11" s="115">
        <v>-70.587000000000003</v>
      </c>
      <c r="K11" s="115">
        <v>-82</v>
      </c>
      <c r="L11" s="334"/>
      <c r="M11" s="115">
        <v>-101</v>
      </c>
      <c r="N11" s="115">
        <v>-87</v>
      </c>
      <c r="O11" s="334"/>
      <c r="P11" s="115">
        <v>-88.355666666666664</v>
      </c>
      <c r="Q11" s="334"/>
      <c r="R11" s="115">
        <v>-90.122780000000006</v>
      </c>
    </row>
    <row r="12" spans="1:19" s="292" customFormat="1" ht="6" customHeight="1" x14ac:dyDescent="0.2">
      <c r="A12" s="83" t="s">
        <v>13</v>
      </c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</row>
    <row r="13" spans="1:19" s="292" customFormat="1" ht="15.75" customHeight="1" thickBot="1" x14ac:dyDescent="0.25">
      <c r="A13" s="83">
        <v>4</v>
      </c>
      <c r="C13" s="292" t="s">
        <v>298</v>
      </c>
      <c r="E13" s="83" t="s">
        <v>283</v>
      </c>
      <c r="F13" s="280"/>
      <c r="G13" s="335">
        <f>SUM(G9:G11)</f>
        <v>4381.9739999999993</v>
      </c>
      <c r="H13" s="335">
        <f>SUM(H9:H11)</f>
        <v>4520.1229999999996</v>
      </c>
      <c r="I13" s="280"/>
      <c r="J13" s="335">
        <f>SUM(J9:J11)</f>
        <v>4895</v>
      </c>
      <c r="K13" s="335">
        <f>SUM(K9:K11)</f>
        <v>5252.1229999999996</v>
      </c>
      <c r="L13" s="334"/>
      <c r="M13" s="335">
        <f>SUM(M9:M11)</f>
        <v>5412</v>
      </c>
      <c r="N13" s="335">
        <f>SUM(N9:N11)</f>
        <v>5778.1229999999996</v>
      </c>
      <c r="O13" s="334"/>
      <c r="P13" s="335">
        <f>SUM(P9:P11)</f>
        <v>5791.7673333333332</v>
      </c>
      <c r="Q13" s="334"/>
      <c r="R13" s="335">
        <f>SUM(R9:R11)</f>
        <v>6283.0002199999999</v>
      </c>
    </row>
    <row r="14" spans="1:19" ht="13.5" thickTop="1" x14ac:dyDescent="0.2"/>
  </sheetData>
  <customSheetViews>
    <customSheetView guid="{275E5119-9E8C-43ED-ACD2-DF40CF10B219}" scale="70">
      <selection activeCell="M10" sqref="M10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70" showPageBreaks="1" showRuler="0">
      <selection activeCell="M10" sqref="M10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P6:R6"/>
  </mergeCells>
  <phoneticPr fontId="10" type="noConversion"/>
  <printOptions horizontalCentered="1"/>
  <pageMargins left="0.5" right="0.5" top="0.75" bottom="0.75" header="0.25" footer="0.5"/>
  <pageSetup scale="70" orientation="landscape" r:id="rId3"/>
  <headerFooter alignWithMargins="0">
    <oddHeader xml:space="preserve">&amp;RUndertaking 17 - Page 527, Lines 15-17, Attachment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61"/>
  <sheetViews>
    <sheetView view="pageBreakPreview" zoomScale="85" zoomScaleNormal="70" zoomScaleSheetLayoutView="85" workbookViewId="0">
      <selection activeCell="E58" sqref="E58"/>
    </sheetView>
  </sheetViews>
  <sheetFormatPr defaultRowHeight="14.25" x14ac:dyDescent="0.2"/>
  <cols>
    <col min="1" max="1" width="5.42578125" style="117" bestFit="1" customWidth="1"/>
    <col min="2" max="2" width="9" style="117" customWidth="1"/>
    <col min="3" max="3" width="44.42578125" style="117" bestFit="1" customWidth="1"/>
    <col min="4" max="4" width="10.85546875" style="117" customWidth="1"/>
    <col min="5" max="5" width="15.7109375" style="418" customWidth="1"/>
    <col min="6" max="10" width="15.7109375" style="117" customWidth="1"/>
    <col min="11" max="11" width="2.85546875" style="117" customWidth="1"/>
    <col min="12" max="16384" width="9.140625" style="117"/>
  </cols>
  <sheetData>
    <row r="1" spans="1:1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45"/>
      <c r="J1" s="245"/>
      <c r="K1" s="58" t="s">
        <v>570</v>
      </c>
    </row>
    <row r="2" spans="1:1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45"/>
      <c r="J2" s="245"/>
      <c r="K2" s="58" t="s">
        <v>888</v>
      </c>
    </row>
    <row r="3" spans="1:11" ht="15.75" x14ac:dyDescent="0.25">
      <c r="A3" s="261" t="s">
        <v>591</v>
      </c>
      <c r="B3" s="261"/>
      <c r="C3" s="261"/>
      <c r="D3" s="261"/>
      <c r="E3" s="261"/>
      <c r="F3" s="261"/>
      <c r="G3" s="261"/>
      <c r="H3" s="261"/>
      <c r="I3" s="245"/>
      <c r="J3" s="245"/>
      <c r="K3" s="292"/>
    </row>
    <row r="4" spans="1:11" ht="15.75" x14ac:dyDescent="0.25">
      <c r="A4" s="261" t="s">
        <v>18</v>
      </c>
      <c r="B4" s="261"/>
      <c r="C4" s="245"/>
      <c r="D4" s="245"/>
      <c r="E4" s="421"/>
      <c r="F4" s="245"/>
      <c r="G4" s="245"/>
      <c r="H4" s="245"/>
      <c r="I4" s="261"/>
      <c r="J4" s="245"/>
      <c r="K4" s="292"/>
    </row>
    <row r="5" spans="1:11" x14ac:dyDescent="0.2">
      <c r="F5" s="419"/>
      <c r="J5" s="419"/>
    </row>
    <row r="6" spans="1:11" s="420" customFormat="1" ht="15" x14ac:dyDescent="0.25">
      <c r="C6" s="422"/>
      <c r="D6" s="423"/>
      <c r="E6" s="424">
        <v>2016</v>
      </c>
      <c r="F6" s="416"/>
      <c r="G6" s="416" t="s">
        <v>15</v>
      </c>
      <c r="H6" s="416" t="s">
        <v>94</v>
      </c>
      <c r="I6" s="416" t="s">
        <v>287</v>
      </c>
      <c r="J6" s="416">
        <v>2016</v>
      </c>
      <c r="K6" s="117"/>
    </row>
    <row r="7" spans="1:11" s="420" customFormat="1" ht="15" x14ac:dyDescent="0.25">
      <c r="A7" s="416" t="s">
        <v>19</v>
      </c>
      <c r="B7" s="416" t="s">
        <v>13</v>
      </c>
      <c r="C7" s="416"/>
      <c r="D7" s="425" t="s">
        <v>84</v>
      </c>
      <c r="E7" s="426" t="s">
        <v>284</v>
      </c>
      <c r="F7" s="427" t="s">
        <v>15</v>
      </c>
      <c r="G7" s="416" t="s">
        <v>286</v>
      </c>
      <c r="H7" s="416" t="s">
        <v>291</v>
      </c>
      <c r="I7" s="416" t="s">
        <v>288</v>
      </c>
      <c r="J7" s="416" t="s">
        <v>289</v>
      </c>
      <c r="K7" s="117"/>
    </row>
    <row r="8" spans="1:11" s="420" customFormat="1" ht="15" x14ac:dyDescent="0.25">
      <c r="A8" s="428" t="s">
        <v>21</v>
      </c>
      <c r="B8" s="428" t="s">
        <v>96</v>
      </c>
      <c r="C8" s="428" t="s">
        <v>149</v>
      </c>
      <c r="D8" s="429" t="s">
        <v>22</v>
      </c>
      <c r="E8" s="428" t="s">
        <v>285</v>
      </c>
      <c r="F8" s="428" t="s">
        <v>24</v>
      </c>
      <c r="G8" s="428" t="s">
        <v>26</v>
      </c>
      <c r="H8" s="428" t="s">
        <v>136</v>
      </c>
      <c r="I8" s="428" t="s">
        <v>136</v>
      </c>
      <c r="J8" s="428" t="s">
        <v>15</v>
      </c>
      <c r="K8" s="117"/>
    </row>
    <row r="9" spans="1:11" ht="15" x14ac:dyDescent="0.25">
      <c r="A9" s="430"/>
      <c r="B9" s="430"/>
      <c r="C9" s="430"/>
      <c r="D9" s="425"/>
      <c r="E9" s="430"/>
      <c r="F9" s="430"/>
      <c r="G9" s="430"/>
      <c r="H9" s="418"/>
    </row>
    <row r="10" spans="1:11" ht="15" x14ac:dyDescent="0.25">
      <c r="A10" s="419">
        <v>1</v>
      </c>
      <c r="B10" s="419"/>
      <c r="C10" s="420" t="s">
        <v>320</v>
      </c>
      <c r="D10" s="425"/>
      <c r="E10" s="430"/>
      <c r="F10" s="430"/>
      <c r="G10" s="418"/>
      <c r="H10" s="418"/>
    </row>
    <row r="11" spans="1:11" ht="15" x14ac:dyDescent="0.25">
      <c r="A11" s="419">
        <f>A10+1</f>
        <v>2</v>
      </c>
      <c r="B11" s="419" t="s">
        <v>352</v>
      </c>
      <c r="C11" s="436" t="s">
        <v>321</v>
      </c>
      <c r="D11" s="425"/>
      <c r="E11" s="431">
        <v>1906.7753224356734</v>
      </c>
      <c r="F11" s="451">
        <v>2.9474019725050035E-2</v>
      </c>
      <c r="G11" s="432">
        <f>ROUND(E11*F11,0)</f>
        <v>56</v>
      </c>
      <c r="H11" s="433">
        <v>594.5792775671149</v>
      </c>
      <c r="I11" s="434">
        <f>ROUND(H11*F11/2,0)</f>
        <v>9</v>
      </c>
      <c r="J11" s="434">
        <f>I11+G11</f>
        <v>65</v>
      </c>
    </row>
    <row r="12" spans="1:11" ht="15" x14ac:dyDescent="0.25">
      <c r="A12" s="419">
        <f t="shared" ref="A12:A61" si="0">A11+1</f>
        <v>3</v>
      </c>
      <c r="B12" s="419" t="s">
        <v>353</v>
      </c>
      <c r="C12" s="436" t="s">
        <v>322</v>
      </c>
      <c r="D12" s="425"/>
      <c r="E12" s="431">
        <v>2203.1761722750325</v>
      </c>
      <c r="F12" s="451">
        <v>2.4213037983581941E-2</v>
      </c>
      <c r="G12" s="432">
        <f>ROUND(E12*F12,0)</f>
        <v>53</v>
      </c>
      <c r="H12" s="433">
        <v>735.28411549776877</v>
      </c>
      <c r="I12" s="434">
        <f>ROUND(H12*F12/2,0)</f>
        <v>9</v>
      </c>
      <c r="J12" s="434">
        <f>I12+G12</f>
        <v>62</v>
      </c>
    </row>
    <row r="13" spans="1:11" ht="15" x14ac:dyDescent="0.25">
      <c r="A13" s="419">
        <f t="shared" si="0"/>
        <v>4</v>
      </c>
      <c r="B13" s="419" t="s">
        <v>354</v>
      </c>
      <c r="C13" s="436" t="s">
        <v>323</v>
      </c>
      <c r="D13" s="425"/>
      <c r="E13" s="431">
        <v>5153.2033594771274</v>
      </c>
      <c r="F13" s="451">
        <v>2.4821152944467184E-2</v>
      </c>
      <c r="G13" s="432">
        <f>ROUND(E13*F13,0)</f>
        <v>128</v>
      </c>
      <c r="H13" s="433">
        <v>1604.8993027708964</v>
      </c>
      <c r="I13" s="434">
        <f>ROUND(H13*F13/2,0)</f>
        <v>20</v>
      </c>
      <c r="J13" s="434">
        <f>I13+G13</f>
        <v>148</v>
      </c>
    </row>
    <row r="14" spans="1:11" ht="15" x14ac:dyDescent="0.25">
      <c r="A14" s="419">
        <f t="shared" si="0"/>
        <v>5</v>
      </c>
      <c r="B14" s="419" t="s">
        <v>355</v>
      </c>
      <c r="C14" s="436" t="s">
        <v>324</v>
      </c>
      <c r="D14" s="425"/>
      <c r="E14" s="431">
        <v>0</v>
      </c>
      <c r="F14" s="451">
        <v>2.2947658497148759E-2</v>
      </c>
      <c r="G14" s="432">
        <f>ROUND(E14*F14,0)</f>
        <v>0</v>
      </c>
      <c r="H14" s="433">
        <v>0</v>
      </c>
      <c r="I14" s="434">
        <f>ROUND(H14*F14/2,0)</f>
        <v>0</v>
      </c>
      <c r="J14" s="434">
        <f>I14+G14</f>
        <v>0</v>
      </c>
    </row>
    <row r="15" spans="1:11" ht="15" x14ac:dyDescent="0.25">
      <c r="A15" s="419">
        <f t="shared" si="0"/>
        <v>6</v>
      </c>
      <c r="B15" s="419" t="s">
        <v>356</v>
      </c>
      <c r="C15" s="437" t="s">
        <v>325</v>
      </c>
      <c r="D15" s="429"/>
      <c r="E15" s="431">
        <v>27.43613442424564</v>
      </c>
      <c r="F15" s="451">
        <v>4.2763136637004477E-2</v>
      </c>
      <c r="G15" s="432">
        <f>ROUND(E15*F15,0)</f>
        <v>1</v>
      </c>
      <c r="H15" s="433">
        <v>8.5552591295152745</v>
      </c>
      <c r="I15" s="434">
        <f>ROUND(H15*F15/2,0)</f>
        <v>0</v>
      </c>
      <c r="J15" s="438">
        <f>I15+G15</f>
        <v>1</v>
      </c>
    </row>
    <row r="16" spans="1:11" ht="15" x14ac:dyDescent="0.25">
      <c r="A16" s="419">
        <f t="shared" si="0"/>
        <v>7</v>
      </c>
      <c r="B16" s="439"/>
      <c r="C16" s="117" t="s">
        <v>343</v>
      </c>
      <c r="D16" s="425"/>
      <c r="E16" s="447">
        <f>SUM(E11:E15)</f>
        <v>9290.5909886120789</v>
      </c>
      <c r="F16" s="507"/>
      <c r="G16" s="440">
        <f>SUM(G11:G15)</f>
        <v>238</v>
      </c>
      <c r="H16" s="440">
        <f>SUM(H11:H15)</f>
        <v>2943.3179549652955</v>
      </c>
      <c r="I16" s="440">
        <f>SUM(I11:I15)</f>
        <v>38</v>
      </c>
      <c r="J16" s="433">
        <f>SUM(J11:J15)</f>
        <v>276</v>
      </c>
    </row>
    <row r="17" spans="1:10" ht="15" x14ac:dyDescent="0.25">
      <c r="A17" s="419">
        <f t="shared" si="0"/>
        <v>8</v>
      </c>
      <c r="B17" s="439"/>
      <c r="C17" s="436"/>
      <c r="D17" s="425"/>
      <c r="E17" s="431"/>
      <c r="F17" s="451"/>
      <c r="G17" s="432"/>
      <c r="H17" s="433"/>
      <c r="I17" s="434"/>
      <c r="J17" s="434"/>
    </row>
    <row r="18" spans="1:10" ht="15" x14ac:dyDescent="0.25">
      <c r="A18" s="419">
        <f t="shared" si="0"/>
        <v>9</v>
      </c>
      <c r="B18" s="439"/>
      <c r="C18" s="420" t="s">
        <v>326</v>
      </c>
      <c r="D18" s="425"/>
      <c r="E18" s="431"/>
      <c r="F18" s="451"/>
      <c r="G18" s="432"/>
      <c r="H18" s="433"/>
      <c r="I18" s="434"/>
      <c r="J18" s="434"/>
    </row>
    <row r="19" spans="1:10" ht="15" x14ac:dyDescent="0.25">
      <c r="A19" s="419">
        <f t="shared" si="0"/>
        <v>10</v>
      </c>
      <c r="B19" s="419" t="s">
        <v>218</v>
      </c>
      <c r="C19" s="436" t="s">
        <v>540</v>
      </c>
      <c r="D19" s="425"/>
      <c r="E19" s="431">
        <v>5677.0702625715703</v>
      </c>
      <c r="F19" s="451">
        <v>2.8993049289670694E-2</v>
      </c>
      <c r="G19" s="432">
        <f>ROUND(E19*F19,0)</f>
        <v>165</v>
      </c>
      <c r="H19" s="433">
        <v>744.72788260793311</v>
      </c>
      <c r="I19" s="434">
        <f>ROUND(H19*F19/2,0)</f>
        <v>11</v>
      </c>
      <c r="J19" s="434">
        <f>I19+G19</f>
        <v>176</v>
      </c>
    </row>
    <row r="20" spans="1:10" ht="15" x14ac:dyDescent="0.25">
      <c r="A20" s="419">
        <f t="shared" si="0"/>
        <v>11</v>
      </c>
      <c r="B20" s="419" t="s">
        <v>219</v>
      </c>
      <c r="C20" s="436" t="s">
        <v>538</v>
      </c>
      <c r="D20" s="425"/>
      <c r="E20" s="431">
        <v>3149.4218075708563</v>
      </c>
      <c r="F20" s="451">
        <v>2.9591961457603136E-2</v>
      </c>
      <c r="G20" s="432">
        <f>ROUND(E20*F20,0)</f>
        <v>93</v>
      </c>
      <c r="H20" s="433">
        <v>408.39628246952105</v>
      </c>
      <c r="I20" s="434">
        <f>ROUND(H20*F20/2,0)</f>
        <v>6</v>
      </c>
      <c r="J20" s="434">
        <f>I20+G20</f>
        <v>99</v>
      </c>
    </row>
    <row r="21" spans="1:10" ht="15" x14ac:dyDescent="0.25">
      <c r="A21" s="419">
        <f t="shared" si="0"/>
        <v>12</v>
      </c>
      <c r="B21" s="419" t="s">
        <v>220</v>
      </c>
      <c r="C21" s="436" t="s">
        <v>221</v>
      </c>
      <c r="D21" s="425"/>
      <c r="E21" s="431">
        <v>11557.3921237053</v>
      </c>
      <c r="F21" s="451">
        <v>3.9043693643634587E-2</v>
      </c>
      <c r="G21" s="432">
        <f>ROUND(E21*F21,0)</f>
        <v>451</v>
      </c>
      <c r="H21" s="433">
        <v>661.05484181374504</v>
      </c>
      <c r="I21" s="434">
        <f>ROUND(H21*F21/2,0)</f>
        <v>13</v>
      </c>
      <c r="J21" s="434">
        <f>I21+G21</f>
        <v>464</v>
      </c>
    </row>
    <row r="22" spans="1:10" ht="15" x14ac:dyDescent="0.25">
      <c r="A22" s="419">
        <f t="shared" si="0"/>
        <v>13</v>
      </c>
      <c r="B22" s="419" t="s">
        <v>222</v>
      </c>
      <c r="C22" s="436" t="s">
        <v>225</v>
      </c>
      <c r="D22" s="425"/>
      <c r="E22" s="431">
        <v>4367.1795725624152</v>
      </c>
      <c r="F22" s="451">
        <v>3.0898623252224179E-2</v>
      </c>
      <c r="G22" s="432">
        <f>ROUND(E22*F22,0)</f>
        <v>135</v>
      </c>
      <c r="H22" s="433">
        <v>530.72346341978994</v>
      </c>
      <c r="I22" s="434">
        <f>ROUND(H22*F22/2,0)</f>
        <v>8</v>
      </c>
      <c r="J22" s="434">
        <f>I22+G22</f>
        <v>143</v>
      </c>
    </row>
    <row r="23" spans="1:10" ht="15" x14ac:dyDescent="0.25">
      <c r="A23" s="419">
        <f t="shared" si="0"/>
        <v>14</v>
      </c>
      <c r="B23" s="419" t="s">
        <v>223</v>
      </c>
      <c r="C23" s="437" t="s">
        <v>224</v>
      </c>
      <c r="D23" s="429"/>
      <c r="E23" s="431">
        <v>1337.5208657611879</v>
      </c>
      <c r="F23" s="451">
        <v>2.7747037818210172E-2</v>
      </c>
      <c r="G23" s="432">
        <f>ROUND(E23*F23,0)</f>
        <v>37</v>
      </c>
      <c r="H23" s="433">
        <v>172.61569736675756</v>
      </c>
      <c r="I23" s="434">
        <f>ROUND(H23*F23/2,0)</f>
        <v>2</v>
      </c>
      <c r="J23" s="434">
        <f>I23+G23</f>
        <v>39</v>
      </c>
    </row>
    <row r="24" spans="1:10" ht="15" x14ac:dyDescent="0.25">
      <c r="A24" s="419">
        <f t="shared" si="0"/>
        <v>15</v>
      </c>
      <c r="B24" s="439"/>
      <c r="C24" s="436" t="s">
        <v>344</v>
      </c>
      <c r="D24" s="425"/>
      <c r="E24" s="447">
        <f>SUM(E19:E23)</f>
        <v>26088.584632171329</v>
      </c>
      <c r="F24" s="507"/>
      <c r="G24" s="440">
        <f>SUM(G19:G23)</f>
        <v>881</v>
      </c>
      <c r="H24" s="440">
        <f>SUM(H19:H23)</f>
        <v>2517.5181676777465</v>
      </c>
      <c r="I24" s="440">
        <f>SUM(I19:I23)</f>
        <v>40</v>
      </c>
      <c r="J24" s="440">
        <f>SUM(J19:J23)</f>
        <v>921</v>
      </c>
    </row>
    <row r="25" spans="1:10" ht="15" x14ac:dyDescent="0.25">
      <c r="A25" s="419">
        <f t="shared" si="0"/>
        <v>16</v>
      </c>
      <c r="B25" s="439"/>
      <c r="C25" s="430"/>
      <c r="D25" s="425"/>
      <c r="E25" s="431"/>
      <c r="F25" s="451"/>
      <c r="G25" s="432"/>
      <c r="H25" s="433"/>
      <c r="I25" s="434"/>
      <c r="J25" s="434"/>
    </row>
    <row r="26" spans="1:10" ht="15" x14ac:dyDescent="0.25">
      <c r="A26" s="419">
        <f t="shared" si="0"/>
        <v>17</v>
      </c>
      <c r="B26" s="439"/>
      <c r="C26" s="420" t="s">
        <v>329</v>
      </c>
      <c r="D26" s="425"/>
      <c r="E26" s="431"/>
      <c r="F26" s="451"/>
      <c r="G26" s="432"/>
      <c r="H26" s="433"/>
      <c r="I26" s="434"/>
      <c r="J26" s="434"/>
    </row>
    <row r="27" spans="1:10" ht="15" x14ac:dyDescent="0.25">
      <c r="A27" s="419">
        <f t="shared" si="0"/>
        <v>18</v>
      </c>
      <c r="B27" s="419" t="s">
        <v>226</v>
      </c>
      <c r="C27" s="437" t="s">
        <v>116</v>
      </c>
      <c r="D27" s="429"/>
      <c r="E27" s="431">
        <v>1148.7323202349719</v>
      </c>
      <c r="F27" s="451">
        <v>2.0415028411912974E-2</v>
      </c>
      <c r="G27" s="432">
        <f>ROUND(E27*F27,0)</f>
        <v>23</v>
      </c>
      <c r="H27" s="433">
        <v>0</v>
      </c>
      <c r="I27" s="434">
        <f>ROUND(H27*F27/2,0)</f>
        <v>0</v>
      </c>
      <c r="J27" s="438">
        <f>I27+G27</f>
        <v>23</v>
      </c>
    </row>
    <row r="28" spans="1:10" ht="15" x14ac:dyDescent="0.25">
      <c r="A28" s="419">
        <f t="shared" si="0"/>
        <v>19</v>
      </c>
      <c r="B28" s="419" t="s">
        <v>13</v>
      </c>
      <c r="C28" s="442" t="s">
        <v>234</v>
      </c>
      <c r="D28" s="425"/>
      <c r="E28" s="447">
        <f>SUM(E27:E27)</f>
        <v>1148.7323202349719</v>
      </c>
      <c r="F28" s="507"/>
      <c r="G28" s="440">
        <f>SUM(G27:G27)</f>
        <v>23</v>
      </c>
      <c r="H28" s="440">
        <f>SUM(H27:H27)</f>
        <v>0</v>
      </c>
      <c r="I28" s="440">
        <f>SUM(I27:I27)</f>
        <v>0</v>
      </c>
      <c r="J28" s="433">
        <f>SUM(J27:J27)</f>
        <v>23</v>
      </c>
    </row>
    <row r="29" spans="1:10" ht="15" x14ac:dyDescent="0.25">
      <c r="A29" s="419">
        <f t="shared" si="0"/>
        <v>20</v>
      </c>
      <c r="B29" s="419"/>
      <c r="C29" s="430"/>
      <c r="D29" s="425"/>
      <c r="E29" s="431"/>
      <c r="F29" s="451"/>
      <c r="G29" s="432"/>
      <c r="H29" s="433"/>
      <c r="I29" s="434"/>
      <c r="J29" s="434"/>
    </row>
    <row r="30" spans="1:10" ht="15" x14ac:dyDescent="0.25">
      <c r="A30" s="419">
        <f t="shared" si="0"/>
        <v>21</v>
      </c>
      <c r="B30" s="419"/>
      <c r="C30" s="420" t="s">
        <v>101</v>
      </c>
      <c r="D30" s="443"/>
      <c r="E30" s="431" t="s">
        <v>13</v>
      </c>
      <c r="F30" s="508"/>
      <c r="G30" s="444"/>
      <c r="H30" s="433" t="s">
        <v>13</v>
      </c>
      <c r="I30" s="434"/>
      <c r="J30" s="434"/>
    </row>
    <row r="31" spans="1:10" x14ac:dyDescent="0.2">
      <c r="A31" s="419">
        <f t="shared" si="0"/>
        <v>22</v>
      </c>
      <c r="B31" s="419" t="s">
        <v>102</v>
      </c>
      <c r="C31" s="117" t="s">
        <v>103</v>
      </c>
      <c r="D31" s="443"/>
      <c r="E31" s="431">
        <v>1578.81843</v>
      </c>
      <c r="F31" s="451">
        <v>1.4993085683703351E-2</v>
      </c>
      <c r="G31" s="432">
        <f t="shared" ref="G31:G42" si="1">ROUND(E31*F31,0)</f>
        <v>24</v>
      </c>
      <c r="H31" s="433">
        <v>0</v>
      </c>
      <c r="I31" s="434">
        <f t="shared" ref="I31:I42" si="2">ROUND(H31*F31/2,0)</f>
        <v>0</v>
      </c>
      <c r="J31" s="434">
        <f t="shared" ref="J31:J42" si="3">I31+G31</f>
        <v>24</v>
      </c>
    </row>
    <row r="32" spans="1:10" x14ac:dyDescent="0.2">
      <c r="A32" s="419">
        <f t="shared" si="0"/>
        <v>23</v>
      </c>
      <c r="B32" s="419" t="s">
        <v>104</v>
      </c>
      <c r="C32" s="117" t="s">
        <v>105</v>
      </c>
      <c r="D32" s="443"/>
      <c r="E32" s="431">
        <v>41563.055921882937</v>
      </c>
      <c r="F32" s="451">
        <v>2.3920907769631385E-2</v>
      </c>
      <c r="G32" s="432">
        <f t="shared" si="1"/>
        <v>994</v>
      </c>
      <c r="H32" s="433">
        <v>2102.7683815406403</v>
      </c>
      <c r="I32" s="434">
        <f t="shared" si="2"/>
        <v>25</v>
      </c>
      <c r="J32" s="434">
        <f t="shared" si="3"/>
        <v>1019</v>
      </c>
    </row>
    <row r="33" spans="1:10" x14ac:dyDescent="0.2">
      <c r="A33" s="419">
        <f t="shared" si="0"/>
        <v>24</v>
      </c>
      <c r="B33" s="419" t="s">
        <v>106</v>
      </c>
      <c r="C33" s="117" t="s">
        <v>107</v>
      </c>
      <c r="D33" s="443"/>
      <c r="E33" s="431">
        <v>25675.557840294485</v>
      </c>
      <c r="F33" s="451">
        <v>2.3056444492332923E-2</v>
      </c>
      <c r="G33" s="432">
        <f t="shared" si="1"/>
        <v>592</v>
      </c>
      <c r="H33" s="433">
        <v>1465.0466500235366</v>
      </c>
      <c r="I33" s="434">
        <f t="shared" si="2"/>
        <v>17</v>
      </c>
      <c r="J33" s="434">
        <f t="shared" si="3"/>
        <v>609</v>
      </c>
    </row>
    <row r="34" spans="1:10" x14ac:dyDescent="0.2">
      <c r="A34" s="419">
        <f t="shared" si="0"/>
        <v>25</v>
      </c>
      <c r="B34" s="419" t="s">
        <v>108</v>
      </c>
      <c r="C34" s="117" t="s">
        <v>109</v>
      </c>
      <c r="D34" s="443"/>
      <c r="E34" s="431">
        <v>2758.3357405365232</v>
      </c>
      <c r="F34" s="451">
        <v>2.3058585708058896E-2</v>
      </c>
      <c r="G34" s="432">
        <f t="shared" si="1"/>
        <v>64</v>
      </c>
      <c r="H34" s="433">
        <v>193.91470935184677</v>
      </c>
      <c r="I34" s="434">
        <f t="shared" si="2"/>
        <v>2</v>
      </c>
      <c r="J34" s="434">
        <f t="shared" si="3"/>
        <v>66</v>
      </c>
    </row>
    <row r="35" spans="1:10" x14ac:dyDescent="0.2">
      <c r="A35" s="419">
        <f t="shared" si="0"/>
        <v>26</v>
      </c>
      <c r="B35" s="419" t="s">
        <v>110</v>
      </c>
      <c r="C35" s="117" t="s">
        <v>111</v>
      </c>
      <c r="D35" s="443"/>
      <c r="E35" s="431">
        <v>25677.826106693989</v>
      </c>
      <c r="F35" s="451">
        <v>2.3819133713298909E-2</v>
      </c>
      <c r="G35" s="432">
        <f t="shared" si="1"/>
        <v>612</v>
      </c>
      <c r="H35" s="433">
        <v>1595.8849437497477</v>
      </c>
      <c r="I35" s="434">
        <f t="shared" si="2"/>
        <v>19</v>
      </c>
      <c r="J35" s="434">
        <f t="shared" si="3"/>
        <v>631</v>
      </c>
    </row>
    <row r="36" spans="1:10" x14ac:dyDescent="0.2">
      <c r="A36" s="419">
        <f t="shared" si="0"/>
        <v>27</v>
      </c>
      <c r="B36" s="419" t="s">
        <v>112</v>
      </c>
      <c r="C36" s="117" t="s">
        <v>113</v>
      </c>
      <c r="D36" s="443"/>
      <c r="E36" s="431">
        <v>3277.0895355695916</v>
      </c>
      <c r="F36" s="451">
        <v>2.5880432285351314E-2</v>
      </c>
      <c r="G36" s="432">
        <f t="shared" si="1"/>
        <v>85</v>
      </c>
      <c r="H36" s="433">
        <v>201.55945405445448</v>
      </c>
      <c r="I36" s="434">
        <f t="shared" si="2"/>
        <v>3</v>
      </c>
      <c r="J36" s="434">
        <f t="shared" si="3"/>
        <v>88</v>
      </c>
    </row>
    <row r="37" spans="1:10" x14ac:dyDescent="0.2">
      <c r="A37" s="419">
        <f t="shared" si="0"/>
        <v>28</v>
      </c>
      <c r="B37" s="419" t="s">
        <v>114</v>
      </c>
      <c r="C37" s="117" t="s">
        <v>91</v>
      </c>
      <c r="D37" s="443"/>
      <c r="E37" s="431">
        <v>2738.7113684425653</v>
      </c>
      <c r="F37" s="451">
        <v>7.303241241088522E-2</v>
      </c>
      <c r="G37" s="432">
        <f t="shared" si="1"/>
        <v>200</v>
      </c>
      <c r="H37" s="433">
        <v>102.50435</v>
      </c>
      <c r="I37" s="434">
        <f t="shared" si="2"/>
        <v>4</v>
      </c>
      <c r="J37" s="434">
        <f t="shared" si="3"/>
        <v>204</v>
      </c>
    </row>
    <row r="38" spans="1:10" x14ac:dyDescent="0.2">
      <c r="A38" s="419">
        <f t="shared" si="0"/>
        <v>29</v>
      </c>
      <c r="B38" s="419" t="s">
        <v>350</v>
      </c>
      <c r="C38" s="117" t="s">
        <v>351</v>
      </c>
      <c r="D38" s="443"/>
      <c r="E38" s="431">
        <v>100.67790661029214</v>
      </c>
      <c r="F38" s="451">
        <v>7.0644571951271051E-2</v>
      </c>
      <c r="G38" s="432">
        <f t="shared" si="1"/>
        <v>7</v>
      </c>
      <c r="H38" s="433">
        <v>0</v>
      </c>
      <c r="I38" s="434">
        <f t="shared" si="2"/>
        <v>0</v>
      </c>
      <c r="J38" s="434">
        <f t="shared" si="3"/>
        <v>7</v>
      </c>
    </row>
    <row r="39" spans="1:10" x14ac:dyDescent="0.2">
      <c r="A39" s="419">
        <f t="shared" si="0"/>
        <v>30</v>
      </c>
      <c r="B39" s="419" t="s">
        <v>115</v>
      </c>
      <c r="C39" s="117" t="s">
        <v>228</v>
      </c>
      <c r="D39" s="443"/>
      <c r="E39" s="431">
        <v>4904.3705952219989</v>
      </c>
      <c r="F39" s="451">
        <v>2.5316954028454512E-2</v>
      </c>
      <c r="G39" s="432">
        <f t="shared" si="1"/>
        <v>124</v>
      </c>
      <c r="H39" s="433">
        <v>305.96765014983436</v>
      </c>
      <c r="I39" s="434">
        <f t="shared" si="2"/>
        <v>4</v>
      </c>
      <c r="J39" s="434">
        <f t="shared" si="3"/>
        <v>128</v>
      </c>
    </row>
    <row r="40" spans="1:10" x14ac:dyDescent="0.2">
      <c r="A40" s="419">
        <f t="shared" si="0"/>
        <v>31</v>
      </c>
      <c r="B40" s="419" t="s">
        <v>117</v>
      </c>
      <c r="C40" s="117" t="s">
        <v>118</v>
      </c>
      <c r="D40" s="443"/>
      <c r="E40" s="431">
        <v>10451.713228502313</v>
      </c>
      <c r="F40" s="451">
        <v>3.3592150421195018E-2</v>
      </c>
      <c r="G40" s="432">
        <f>ROUND(E40*F40,0)</f>
        <v>351</v>
      </c>
      <c r="H40" s="433">
        <v>575.22775200000001</v>
      </c>
      <c r="I40" s="434">
        <f t="shared" si="2"/>
        <v>10</v>
      </c>
      <c r="J40" s="434">
        <f t="shared" si="3"/>
        <v>361</v>
      </c>
    </row>
    <row r="41" spans="1:10" x14ac:dyDescent="0.2">
      <c r="A41" s="419">
        <f t="shared" si="0"/>
        <v>32</v>
      </c>
      <c r="B41" s="419" t="s">
        <v>229</v>
      </c>
      <c r="C41" s="117" t="s">
        <v>230</v>
      </c>
      <c r="D41" s="443"/>
      <c r="E41" s="431">
        <v>286.39437428764654</v>
      </c>
      <c r="F41" s="451">
        <v>2.8152730289724301E-2</v>
      </c>
      <c r="G41" s="432">
        <f t="shared" si="1"/>
        <v>8</v>
      </c>
      <c r="H41" s="433">
        <v>0</v>
      </c>
      <c r="I41" s="434">
        <f t="shared" si="2"/>
        <v>0</v>
      </c>
      <c r="J41" s="434">
        <f t="shared" si="3"/>
        <v>8</v>
      </c>
    </row>
    <row r="42" spans="1:10" x14ac:dyDescent="0.2">
      <c r="A42" s="419">
        <f t="shared" si="0"/>
        <v>33</v>
      </c>
      <c r="B42" s="419" t="s">
        <v>119</v>
      </c>
      <c r="C42" s="445" t="s">
        <v>227</v>
      </c>
      <c r="D42" s="446"/>
      <c r="E42" s="431">
        <v>30814.898450000001</v>
      </c>
      <c r="F42" s="451">
        <v>2.390581202775309E-2</v>
      </c>
      <c r="G42" s="432">
        <f t="shared" si="1"/>
        <v>737</v>
      </c>
      <c r="H42" s="433">
        <v>252.75797399999999</v>
      </c>
      <c r="I42" s="434">
        <f t="shared" si="2"/>
        <v>3</v>
      </c>
      <c r="J42" s="438">
        <f t="shared" si="3"/>
        <v>740</v>
      </c>
    </row>
    <row r="43" spans="1:10" x14ac:dyDescent="0.2">
      <c r="A43" s="419">
        <f t="shared" si="0"/>
        <v>34</v>
      </c>
      <c r="B43" s="419"/>
      <c r="C43" s="117" t="s">
        <v>120</v>
      </c>
      <c r="D43" s="443"/>
      <c r="E43" s="447">
        <f>SUM(E31:E42)</f>
        <v>149827.44949804235</v>
      </c>
      <c r="F43" s="507"/>
      <c r="G43" s="440">
        <f>SUM(G31:G42)</f>
        <v>3798</v>
      </c>
      <c r="H43" s="440">
        <f>SUM(H31:H42)</f>
        <v>6795.6318648700599</v>
      </c>
      <c r="I43" s="440">
        <f>SUM(I31:I42)</f>
        <v>87</v>
      </c>
      <c r="J43" s="433">
        <f>SUM(J31:J42)</f>
        <v>3885</v>
      </c>
    </row>
    <row r="44" spans="1:10" x14ac:dyDescent="0.2">
      <c r="A44" s="419">
        <f t="shared" si="0"/>
        <v>35</v>
      </c>
      <c r="B44" s="419"/>
      <c r="D44" s="443"/>
      <c r="E44" s="431"/>
      <c r="F44" s="508"/>
      <c r="G44" s="444"/>
      <c r="H44" s="433"/>
      <c r="I44" s="434"/>
      <c r="J44" s="434"/>
    </row>
    <row r="45" spans="1:10" ht="15" x14ac:dyDescent="0.25">
      <c r="A45" s="419">
        <f t="shared" si="0"/>
        <v>36</v>
      </c>
      <c r="B45" s="419"/>
      <c r="C45" s="420" t="s">
        <v>121</v>
      </c>
      <c r="D45" s="443"/>
      <c r="E45" s="431"/>
      <c r="F45" s="508"/>
      <c r="G45" s="444"/>
      <c r="H45" s="433"/>
      <c r="I45" s="434"/>
      <c r="J45" s="434"/>
    </row>
    <row r="46" spans="1:10" x14ac:dyDescent="0.2">
      <c r="A46" s="419">
        <f t="shared" si="0"/>
        <v>37</v>
      </c>
      <c r="B46" s="419" t="s">
        <v>122</v>
      </c>
      <c r="C46" s="117" t="s">
        <v>123</v>
      </c>
      <c r="D46" s="443"/>
      <c r="E46" s="431">
        <v>5063.1583012071496</v>
      </c>
      <c r="F46" s="451">
        <v>2.6398697088307707E-2</v>
      </c>
      <c r="G46" s="432">
        <f t="shared" ref="G46:G56" si="4">ROUND(E46*F46,0)</f>
        <v>134</v>
      </c>
      <c r="H46" s="433">
        <v>94.15</v>
      </c>
      <c r="I46" s="434">
        <f t="shared" ref="I46:I56" si="5">ROUND(H46*F46/2,0)</f>
        <v>1</v>
      </c>
      <c r="J46" s="434">
        <f t="shared" ref="J46:J56" si="6">I46+G46</f>
        <v>135</v>
      </c>
    </row>
    <row r="47" spans="1:10" x14ac:dyDescent="0.2">
      <c r="A47" s="419">
        <f t="shared" si="0"/>
        <v>38</v>
      </c>
      <c r="B47" s="419" t="s">
        <v>124</v>
      </c>
      <c r="C47" s="117" t="s">
        <v>125</v>
      </c>
      <c r="D47" s="443"/>
      <c r="E47" s="431">
        <v>236.87146741159117</v>
      </c>
      <c r="F47" s="451">
        <v>5.7876847192934663E-2</v>
      </c>
      <c r="G47" s="432">
        <f t="shared" si="4"/>
        <v>14</v>
      </c>
      <c r="H47" s="433">
        <v>10.68586</v>
      </c>
      <c r="I47" s="434">
        <f t="shared" si="5"/>
        <v>0</v>
      </c>
      <c r="J47" s="434">
        <f t="shared" si="6"/>
        <v>14</v>
      </c>
    </row>
    <row r="48" spans="1:10" x14ac:dyDescent="0.2">
      <c r="A48" s="419">
        <f t="shared" si="0"/>
        <v>39</v>
      </c>
      <c r="B48" s="452" t="s">
        <v>409</v>
      </c>
      <c r="C48" s="117" t="s">
        <v>301</v>
      </c>
      <c r="D48" s="443"/>
      <c r="E48" s="431">
        <v>138.74449185858759</v>
      </c>
      <c r="F48" s="451">
        <v>0.13582757624439187</v>
      </c>
      <c r="G48" s="432">
        <f t="shared" si="4"/>
        <v>19</v>
      </c>
      <c r="H48" s="433">
        <v>7.5808019999999994</v>
      </c>
      <c r="I48" s="434">
        <f t="shared" si="5"/>
        <v>1</v>
      </c>
      <c r="J48" s="434">
        <f t="shared" si="6"/>
        <v>20</v>
      </c>
    </row>
    <row r="49" spans="1:11" x14ac:dyDescent="0.2">
      <c r="A49" s="419">
        <f t="shared" si="0"/>
        <v>40</v>
      </c>
      <c r="B49" s="419" t="s">
        <v>231</v>
      </c>
      <c r="C49" s="117" t="s">
        <v>232</v>
      </c>
      <c r="D49" s="443"/>
      <c r="E49" s="431">
        <v>4344.1870400000007</v>
      </c>
      <c r="F49" s="451">
        <v>9.7354929457877284E-2</v>
      </c>
      <c r="G49" s="432">
        <f t="shared" si="4"/>
        <v>423</v>
      </c>
      <c r="H49" s="433">
        <v>93.452895498519894</v>
      </c>
      <c r="I49" s="434">
        <f t="shared" si="5"/>
        <v>5</v>
      </c>
      <c r="J49" s="434">
        <f t="shared" si="6"/>
        <v>428</v>
      </c>
    </row>
    <row r="50" spans="1:11" x14ac:dyDescent="0.2">
      <c r="A50" s="419">
        <f t="shared" si="0"/>
        <v>41</v>
      </c>
      <c r="B50" s="419" t="s">
        <v>126</v>
      </c>
      <c r="C50" s="117" t="s">
        <v>127</v>
      </c>
      <c r="D50" s="443"/>
      <c r="E50" s="431">
        <v>1147.1749</v>
      </c>
      <c r="F50" s="451">
        <v>6.1513078781622578E-2</v>
      </c>
      <c r="G50" s="432">
        <f t="shared" si="4"/>
        <v>71</v>
      </c>
      <c r="H50" s="433">
        <v>138.23445000000001</v>
      </c>
      <c r="I50" s="434">
        <f t="shared" si="5"/>
        <v>4</v>
      </c>
      <c r="J50" s="434">
        <f t="shared" si="6"/>
        <v>75</v>
      </c>
    </row>
    <row r="51" spans="1:11" x14ac:dyDescent="0.2">
      <c r="A51" s="419">
        <f t="shared" si="0"/>
        <v>42</v>
      </c>
      <c r="B51" s="419" t="s">
        <v>129</v>
      </c>
      <c r="C51" s="117" t="s">
        <v>233</v>
      </c>
      <c r="D51" s="443"/>
      <c r="E51" s="431">
        <v>1207.08395</v>
      </c>
      <c r="F51" s="451">
        <v>4.5948552294146572E-2</v>
      </c>
      <c r="G51" s="432">
        <f t="shared" si="4"/>
        <v>55</v>
      </c>
      <c r="H51" s="433">
        <v>117</v>
      </c>
      <c r="I51" s="434">
        <f t="shared" si="5"/>
        <v>3</v>
      </c>
      <c r="J51" s="434">
        <f t="shared" si="6"/>
        <v>58</v>
      </c>
    </row>
    <row r="52" spans="1:11" x14ac:dyDescent="0.2">
      <c r="A52" s="419">
        <f t="shared" si="0"/>
        <v>43</v>
      </c>
      <c r="B52" s="419" t="s">
        <v>327</v>
      </c>
      <c r="C52" s="117" t="s">
        <v>328</v>
      </c>
      <c r="D52" s="443"/>
      <c r="E52" s="431">
        <v>360.53684999999996</v>
      </c>
      <c r="F52" s="451">
        <v>2.6648510408852803E-2</v>
      </c>
      <c r="G52" s="432">
        <f t="shared" si="4"/>
        <v>10</v>
      </c>
      <c r="H52" s="433">
        <v>0</v>
      </c>
      <c r="I52" s="434">
        <f t="shared" si="5"/>
        <v>0</v>
      </c>
      <c r="J52" s="434">
        <f t="shared" si="6"/>
        <v>10</v>
      </c>
    </row>
    <row r="53" spans="1:11" x14ac:dyDescent="0.2">
      <c r="A53" s="419">
        <f t="shared" si="0"/>
        <v>44</v>
      </c>
      <c r="B53" s="419" t="s">
        <v>240</v>
      </c>
      <c r="C53" s="418" t="s">
        <v>239</v>
      </c>
      <c r="D53" s="443"/>
      <c r="E53" s="431">
        <v>1.4930000000000001</v>
      </c>
      <c r="F53" s="451">
        <v>0</v>
      </c>
      <c r="G53" s="432">
        <f t="shared" si="4"/>
        <v>0</v>
      </c>
      <c r="H53" s="433">
        <v>0</v>
      </c>
      <c r="I53" s="434">
        <f t="shared" si="5"/>
        <v>0</v>
      </c>
      <c r="J53" s="434">
        <f t="shared" si="6"/>
        <v>0</v>
      </c>
    </row>
    <row r="54" spans="1:11" x14ac:dyDescent="0.2">
      <c r="A54" s="419">
        <f t="shared" si="0"/>
        <v>45</v>
      </c>
      <c r="B54" s="591" t="s">
        <v>451</v>
      </c>
      <c r="C54" s="418" t="s">
        <v>510</v>
      </c>
      <c r="D54" s="443"/>
      <c r="E54" s="431">
        <v>2549.6008500000003</v>
      </c>
      <c r="F54" s="451">
        <v>0.04</v>
      </c>
      <c r="G54" s="432">
        <f t="shared" si="4"/>
        <v>102</v>
      </c>
      <c r="H54" s="433">
        <v>0</v>
      </c>
      <c r="I54" s="434">
        <f t="shared" si="5"/>
        <v>0</v>
      </c>
      <c r="J54" s="434">
        <f t="shared" si="6"/>
        <v>102</v>
      </c>
    </row>
    <row r="55" spans="1:11" x14ac:dyDescent="0.2">
      <c r="A55" s="419">
        <f t="shared" si="0"/>
        <v>46</v>
      </c>
      <c r="B55" s="591" t="s">
        <v>452</v>
      </c>
      <c r="C55" s="418" t="s">
        <v>454</v>
      </c>
      <c r="D55" s="443"/>
      <c r="E55" s="431">
        <v>389</v>
      </c>
      <c r="F55" s="451">
        <v>0.2</v>
      </c>
      <c r="G55" s="432">
        <f t="shared" si="4"/>
        <v>78</v>
      </c>
      <c r="H55" s="433">
        <v>534</v>
      </c>
      <c r="I55" s="434">
        <v>0</v>
      </c>
      <c r="J55" s="434">
        <f t="shared" si="6"/>
        <v>78</v>
      </c>
    </row>
    <row r="56" spans="1:11" x14ac:dyDescent="0.2">
      <c r="A56" s="419">
        <f t="shared" si="0"/>
        <v>47</v>
      </c>
      <c r="B56" s="591" t="s">
        <v>453</v>
      </c>
      <c r="C56" s="445" t="s">
        <v>405</v>
      </c>
      <c r="D56" s="446"/>
      <c r="E56" s="431">
        <v>2571.0146604619717</v>
      </c>
      <c r="F56" s="451">
        <v>0.1</v>
      </c>
      <c r="G56" s="432">
        <f t="shared" si="4"/>
        <v>257</v>
      </c>
      <c r="H56" s="433">
        <v>0</v>
      </c>
      <c r="I56" s="434">
        <f t="shared" si="5"/>
        <v>0</v>
      </c>
      <c r="J56" s="438">
        <f t="shared" si="6"/>
        <v>257</v>
      </c>
    </row>
    <row r="57" spans="1:11" x14ac:dyDescent="0.2">
      <c r="A57" s="419">
        <f t="shared" si="0"/>
        <v>48</v>
      </c>
      <c r="B57" s="591"/>
      <c r="C57" s="436" t="s">
        <v>130</v>
      </c>
      <c r="D57" s="418"/>
      <c r="E57" s="447">
        <f>SUM(E46:E56)</f>
        <v>18008.865510939304</v>
      </c>
      <c r="F57" s="507"/>
      <c r="G57" s="572">
        <f>SUM(G46:G56)</f>
        <v>1163</v>
      </c>
      <c r="H57" s="440">
        <f>SUM(H46:H56)</f>
        <v>995.10400749851988</v>
      </c>
      <c r="I57" s="573">
        <f>SUM(I46:I56)</f>
        <v>14</v>
      </c>
      <c r="J57" s="448">
        <f>SUM(J46:J56)</f>
        <v>1177</v>
      </c>
    </row>
    <row r="58" spans="1:11" ht="15" x14ac:dyDescent="0.25">
      <c r="A58" s="419">
        <f t="shared" si="0"/>
        <v>49</v>
      </c>
      <c r="B58" s="591"/>
      <c r="C58" s="436"/>
      <c r="D58" s="424"/>
      <c r="E58" s="431"/>
      <c r="F58" s="451"/>
      <c r="G58" s="432"/>
      <c r="H58" s="433"/>
      <c r="I58" s="448"/>
      <c r="J58" s="448"/>
      <c r="K58" s="418"/>
    </row>
    <row r="59" spans="1:11" ht="15" thickBot="1" x14ac:dyDescent="0.25">
      <c r="A59" s="419">
        <f t="shared" si="0"/>
        <v>50</v>
      </c>
      <c r="B59" s="591"/>
      <c r="C59" s="418" t="s">
        <v>131</v>
      </c>
      <c r="E59" s="431">
        <f>E57+E43+E28+E24+E16</f>
        <v>204364.22295000002</v>
      </c>
      <c r="F59" s="451" t="s">
        <v>13</v>
      </c>
      <c r="G59" s="449">
        <f>G43+G57+G24+G16+G28</f>
        <v>6103</v>
      </c>
      <c r="H59" s="449">
        <f>H43+H57+H24+H16+H28</f>
        <v>13251.571995011622</v>
      </c>
      <c r="I59" s="449">
        <f>I43+I57+I24+I16+I28</f>
        <v>179</v>
      </c>
      <c r="J59" s="449">
        <f>J43+J57+J24+J16+J28</f>
        <v>6282</v>
      </c>
      <c r="K59" s="418"/>
    </row>
    <row r="60" spans="1:11" x14ac:dyDescent="0.2">
      <c r="A60" s="419">
        <f t="shared" si="0"/>
        <v>51</v>
      </c>
      <c r="B60" s="591"/>
      <c r="C60" s="418" t="s">
        <v>376</v>
      </c>
      <c r="E60" s="441">
        <v>384.53505000000007</v>
      </c>
      <c r="F60" s="451"/>
      <c r="G60" s="433"/>
      <c r="H60" s="450"/>
      <c r="I60" s="433"/>
      <c r="J60" s="433"/>
    </row>
    <row r="61" spans="1:11" x14ac:dyDescent="0.2">
      <c r="A61" s="419">
        <f t="shared" si="0"/>
        <v>52</v>
      </c>
      <c r="B61" s="419"/>
      <c r="C61" s="418" t="s">
        <v>132</v>
      </c>
      <c r="D61" s="418" t="s">
        <v>450</v>
      </c>
      <c r="E61" s="431">
        <f>+E60+E59</f>
        <v>204748.75800000003</v>
      </c>
      <c r="F61" s="419"/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" right="0.5" top="0.75" bottom="0.5" header="0.25" footer="0.5"/>
  <pageSetup scale="59" orientation="landscape" r:id="rId3"/>
  <headerFooter alignWithMargins="0">
    <oddHeader xml:space="preserve">&amp;RUndertaking 17 - Page 527, Lines 15-17, Attachment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61"/>
  <sheetViews>
    <sheetView view="pageBreakPreview" zoomScale="85" zoomScaleNormal="70" zoomScaleSheetLayoutView="85" workbookViewId="0">
      <selection activeCell="N4" sqref="N4:O4"/>
    </sheetView>
  </sheetViews>
  <sheetFormatPr defaultRowHeight="14.25" x14ac:dyDescent="0.2"/>
  <cols>
    <col min="1" max="1" width="6" style="117" bestFit="1" customWidth="1"/>
    <col min="2" max="2" width="9" style="117" customWidth="1"/>
    <col min="3" max="3" width="44.42578125" style="117" bestFit="1" customWidth="1"/>
    <col min="4" max="4" width="10.85546875" style="117" customWidth="1"/>
    <col min="5" max="5" width="15.7109375" style="418" customWidth="1"/>
    <col min="6" max="10" width="15.7109375" style="117" customWidth="1"/>
    <col min="11" max="11" width="2.85546875" style="117" customWidth="1"/>
    <col min="12" max="16384" width="9.140625" style="117"/>
  </cols>
  <sheetData>
    <row r="1" spans="1:13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45"/>
      <c r="J1" s="245"/>
      <c r="K1" s="58" t="s">
        <v>569</v>
      </c>
    </row>
    <row r="2" spans="1:13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45"/>
      <c r="J2" s="245"/>
      <c r="K2" s="58" t="s">
        <v>888</v>
      </c>
    </row>
    <row r="3" spans="1:13" ht="15.75" x14ac:dyDescent="0.25">
      <c r="A3" s="261" t="s">
        <v>592</v>
      </c>
      <c r="B3" s="261"/>
      <c r="C3" s="261"/>
      <c r="D3" s="261"/>
      <c r="E3" s="261"/>
      <c r="F3" s="261"/>
      <c r="G3" s="261"/>
      <c r="H3" s="261"/>
      <c r="I3" s="245"/>
      <c r="J3" s="245"/>
      <c r="K3" s="292"/>
    </row>
    <row r="4" spans="1:13" ht="15.75" x14ac:dyDescent="0.25">
      <c r="A4" s="261" t="s">
        <v>18</v>
      </c>
      <c r="B4" s="261"/>
      <c r="C4" s="245"/>
      <c r="D4" s="245"/>
      <c r="E4" s="421"/>
      <c r="F4" s="245"/>
      <c r="G4" s="245"/>
      <c r="H4" s="245"/>
      <c r="I4" s="261"/>
      <c r="J4" s="245"/>
      <c r="K4" s="292"/>
    </row>
    <row r="5" spans="1:13" x14ac:dyDescent="0.2">
      <c r="F5" s="419"/>
      <c r="J5" s="419"/>
    </row>
    <row r="6" spans="1:13" ht="15" x14ac:dyDescent="0.25">
      <c r="A6" s="420"/>
      <c r="B6" s="420"/>
      <c r="C6" s="422"/>
      <c r="D6" s="423"/>
      <c r="E6" s="424">
        <v>2017</v>
      </c>
      <c r="F6" s="416"/>
      <c r="G6" s="416" t="s">
        <v>15</v>
      </c>
      <c r="H6" s="416" t="s">
        <v>94</v>
      </c>
      <c r="I6" s="416" t="s">
        <v>287</v>
      </c>
      <c r="J6" s="416">
        <v>2017</v>
      </c>
    </row>
    <row r="7" spans="1:13" ht="15" x14ac:dyDescent="0.25">
      <c r="A7" s="416" t="s">
        <v>19</v>
      </c>
      <c r="B7" s="416" t="s">
        <v>13</v>
      </c>
      <c r="C7" s="416"/>
      <c r="D7" s="425" t="s">
        <v>84</v>
      </c>
      <c r="E7" s="426" t="s">
        <v>284</v>
      </c>
      <c r="F7" s="427" t="s">
        <v>15</v>
      </c>
      <c r="G7" s="416" t="s">
        <v>286</v>
      </c>
      <c r="H7" s="416" t="s">
        <v>291</v>
      </c>
      <c r="I7" s="416" t="s">
        <v>288</v>
      </c>
      <c r="J7" s="416" t="s">
        <v>289</v>
      </c>
    </row>
    <row r="8" spans="1:13" ht="15" x14ac:dyDescent="0.25">
      <c r="A8" s="428" t="s">
        <v>21</v>
      </c>
      <c r="B8" s="428" t="s">
        <v>96</v>
      </c>
      <c r="C8" s="428" t="s">
        <v>149</v>
      </c>
      <c r="D8" s="429" t="s">
        <v>22</v>
      </c>
      <c r="E8" s="428" t="s">
        <v>285</v>
      </c>
      <c r="F8" s="428" t="s">
        <v>24</v>
      </c>
      <c r="G8" s="428" t="s">
        <v>26</v>
      </c>
      <c r="H8" s="428" t="s">
        <v>136</v>
      </c>
      <c r="I8" s="428" t="s">
        <v>136</v>
      </c>
      <c r="J8" s="428" t="s">
        <v>290</v>
      </c>
    </row>
    <row r="9" spans="1:13" ht="15" x14ac:dyDescent="0.25">
      <c r="A9" s="430"/>
      <c r="B9" s="430"/>
      <c r="C9" s="430"/>
      <c r="D9" s="425"/>
      <c r="E9" s="430"/>
      <c r="F9" s="430"/>
      <c r="G9" s="430"/>
      <c r="H9" s="418"/>
    </row>
    <row r="10" spans="1:13" ht="15" x14ac:dyDescent="0.25">
      <c r="A10" s="419">
        <v>1</v>
      </c>
      <c r="B10" s="419"/>
      <c r="C10" s="420" t="s">
        <v>320</v>
      </c>
      <c r="D10" s="425"/>
      <c r="E10" s="430"/>
      <c r="F10" s="430"/>
      <c r="G10" s="418"/>
      <c r="H10" s="418"/>
    </row>
    <row r="11" spans="1:13" ht="15" x14ac:dyDescent="0.25">
      <c r="A11" s="430">
        <f>A10+1</f>
        <v>2</v>
      </c>
      <c r="B11" s="419" t="s">
        <v>352</v>
      </c>
      <c r="C11" s="436" t="s">
        <v>321</v>
      </c>
      <c r="D11" s="425"/>
      <c r="E11" s="431">
        <v>2501.3546000027882</v>
      </c>
      <c r="F11" s="451">
        <v>2.9474019725050035E-2</v>
      </c>
      <c r="G11" s="432">
        <f>ROUND(E11*F11,0)</f>
        <v>74</v>
      </c>
      <c r="H11" s="433">
        <v>204.06673766128407</v>
      </c>
      <c r="I11" s="434">
        <f>ROUND(H11*F11/2,0)</f>
        <v>3</v>
      </c>
      <c r="J11" s="434">
        <f>I11+G11</f>
        <v>77</v>
      </c>
      <c r="M11" s="435"/>
    </row>
    <row r="12" spans="1:13" ht="15" x14ac:dyDescent="0.25">
      <c r="A12" s="430">
        <f t="shared" ref="A12:A61" si="0">A11+1</f>
        <v>3</v>
      </c>
      <c r="B12" s="419" t="s">
        <v>353</v>
      </c>
      <c r="C12" s="436" t="s">
        <v>322</v>
      </c>
      <c r="D12" s="425"/>
      <c r="E12" s="431">
        <v>2938.4602877728012</v>
      </c>
      <c r="F12" s="451">
        <v>2.4213037983581941E-2</v>
      </c>
      <c r="G12" s="432">
        <f t="shared" ref="G12:G15" si="1">ROUND(E12*F12,0)</f>
        <v>71</v>
      </c>
      <c r="H12" s="433">
        <v>246.00344432990468</v>
      </c>
      <c r="I12" s="434">
        <f t="shared" ref="I12:I15" si="2">ROUND(H12*F12/2,0)</f>
        <v>3</v>
      </c>
      <c r="J12" s="434">
        <f>I12+G12</f>
        <v>74</v>
      </c>
    </row>
    <row r="13" spans="1:13" ht="15" x14ac:dyDescent="0.25">
      <c r="A13" s="430">
        <f t="shared" si="0"/>
        <v>4</v>
      </c>
      <c r="B13" s="419" t="s">
        <v>354</v>
      </c>
      <c r="C13" s="436" t="s">
        <v>323</v>
      </c>
      <c r="D13" s="425"/>
      <c r="E13" s="431">
        <v>6758.102662248024</v>
      </c>
      <c r="F13" s="451">
        <v>2.4821152944467184E-2</v>
      </c>
      <c r="G13" s="432">
        <f t="shared" si="1"/>
        <v>168</v>
      </c>
      <c r="H13" s="433">
        <v>602.94430558852457</v>
      </c>
      <c r="I13" s="434">
        <f t="shared" si="2"/>
        <v>7</v>
      </c>
      <c r="J13" s="434">
        <f>I13+G13</f>
        <v>175</v>
      </c>
    </row>
    <row r="14" spans="1:13" ht="15" x14ac:dyDescent="0.25">
      <c r="A14" s="430">
        <f t="shared" si="0"/>
        <v>5</v>
      </c>
      <c r="B14" s="419" t="s">
        <v>355</v>
      </c>
      <c r="C14" s="436" t="s">
        <v>324</v>
      </c>
      <c r="D14" s="425"/>
      <c r="E14" s="431">
        <v>0</v>
      </c>
      <c r="F14" s="451">
        <v>2.2947658497148759E-2</v>
      </c>
      <c r="G14" s="432">
        <f t="shared" si="1"/>
        <v>0</v>
      </c>
      <c r="H14" s="433">
        <v>0</v>
      </c>
      <c r="I14" s="434">
        <f t="shared" si="2"/>
        <v>0</v>
      </c>
      <c r="J14" s="434">
        <f>I14+G14</f>
        <v>0</v>
      </c>
    </row>
    <row r="15" spans="1:13" ht="15" x14ac:dyDescent="0.25">
      <c r="A15" s="430">
        <f t="shared" si="0"/>
        <v>6</v>
      </c>
      <c r="B15" s="419" t="s">
        <v>356</v>
      </c>
      <c r="C15" s="437" t="s">
        <v>325</v>
      </c>
      <c r="D15" s="429"/>
      <c r="E15" s="431">
        <v>35.991393553760915</v>
      </c>
      <c r="F15" s="451">
        <v>4.2763136637004477E-2</v>
      </c>
      <c r="G15" s="432">
        <f t="shared" si="1"/>
        <v>2</v>
      </c>
      <c r="H15" s="433">
        <v>2.9362675193637768</v>
      </c>
      <c r="I15" s="434">
        <f t="shared" si="2"/>
        <v>0</v>
      </c>
      <c r="J15" s="438">
        <f>I15+G15</f>
        <v>2</v>
      </c>
    </row>
    <row r="16" spans="1:13" ht="15" x14ac:dyDescent="0.25">
      <c r="A16" s="430">
        <f t="shared" si="0"/>
        <v>7</v>
      </c>
      <c r="B16" s="439"/>
      <c r="C16" s="117" t="s">
        <v>343</v>
      </c>
      <c r="D16" s="425"/>
      <c r="E16" s="447">
        <f>SUM(E11:E15)</f>
        <v>12233.908943577373</v>
      </c>
      <c r="F16" s="507"/>
      <c r="G16" s="440">
        <f>SUM(G11:G15)</f>
        <v>315</v>
      </c>
      <c r="H16" s="440">
        <f>SUM(H11:H15)</f>
        <v>1055.950755099077</v>
      </c>
      <c r="I16" s="440">
        <f>SUM(I11:I15)</f>
        <v>13</v>
      </c>
      <c r="J16" s="433">
        <f>SUM(J11:J15)</f>
        <v>328</v>
      </c>
    </row>
    <row r="17" spans="1:10" ht="15" x14ac:dyDescent="0.25">
      <c r="A17" s="430">
        <f t="shared" si="0"/>
        <v>8</v>
      </c>
      <c r="B17" s="439"/>
      <c r="C17" s="436"/>
      <c r="D17" s="425"/>
      <c r="E17" s="431"/>
      <c r="F17" s="451"/>
      <c r="G17" s="432"/>
      <c r="H17" s="433"/>
      <c r="I17" s="434"/>
      <c r="J17" s="434"/>
    </row>
    <row r="18" spans="1:10" ht="15" x14ac:dyDescent="0.25">
      <c r="A18" s="430">
        <f t="shared" si="0"/>
        <v>9</v>
      </c>
      <c r="B18" s="439"/>
      <c r="C18" s="420" t="s">
        <v>326</v>
      </c>
      <c r="D18" s="425"/>
      <c r="E18" s="431"/>
      <c r="F18" s="451"/>
      <c r="G18" s="432"/>
      <c r="H18" s="433"/>
      <c r="I18" s="434"/>
      <c r="J18" s="434"/>
    </row>
    <row r="19" spans="1:10" ht="15" x14ac:dyDescent="0.25">
      <c r="A19" s="430">
        <f t="shared" si="0"/>
        <v>10</v>
      </c>
      <c r="B19" s="419" t="s">
        <v>218</v>
      </c>
      <c r="C19" s="436" t="s">
        <v>540</v>
      </c>
      <c r="D19" s="425"/>
      <c r="E19" s="431">
        <v>6421.7981451795031</v>
      </c>
      <c r="F19" s="451">
        <v>2.8993049289670694E-2</v>
      </c>
      <c r="G19" s="432">
        <f t="shared" ref="G19:G23" si="3">ROUND(E19*F19,0)</f>
        <v>186</v>
      </c>
      <c r="H19" s="433">
        <v>896.10967786628873</v>
      </c>
      <c r="I19" s="434">
        <f t="shared" ref="I19:I23" si="4">ROUND(H19*F19/2,0)</f>
        <v>13</v>
      </c>
      <c r="J19" s="434">
        <f>I19+G19</f>
        <v>199</v>
      </c>
    </row>
    <row r="20" spans="1:10" ht="15" x14ac:dyDescent="0.25">
      <c r="A20" s="430">
        <f t="shared" si="0"/>
        <v>11</v>
      </c>
      <c r="B20" s="419" t="s">
        <v>219</v>
      </c>
      <c r="C20" s="436" t="s">
        <v>538</v>
      </c>
      <c r="D20" s="425"/>
      <c r="E20" s="431">
        <v>3557.8180900403772</v>
      </c>
      <c r="F20" s="451">
        <v>2.9591961457603136E-2</v>
      </c>
      <c r="G20" s="432">
        <f t="shared" si="3"/>
        <v>105</v>
      </c>
      <c r="H20" s="433">
        <v>492.37712209364236</v>
      </c>
      <c r="I20" s="434">
        <f t="shared" si="4"/>
        <v>7</v>
      </c>
      <c r="J20" s="434">
        <f>I20+G20</f>
        <v>112</v>
      </c>
    </row>
    <row r="21" spans="1:10" ht="15" x14ac:dyDescent="0.25">
      <c r="A21" s="430">
        <f t="shared" si="0"/>
        <v>12</v>
      </c>
      <c r="B21" s="419" t="s">
        <v>220</v>
      </c>
      <c r="C21" s="436" t="s">
        <v>221</v>
      </c>
      <c r="D21" s="425"/>
      <c r="E21" s="431">
        <v>12218.446965519044</v>
      </c>
      <c r="F21" s="451">
        <v>3.9043693643634587E-2</v>
      </c>
      <c r="G21" s="432">
        <f t="shared" si="3"/>
        <v>477</v>
      </c>
      <c r="H21" s="433">
        <v>1522.6437408392167</v>
      </c>
      <c r="I21" s="434">
        <f t="shared" si="4"/>
        <v>30</v>
      </c>
      <c r="J21" s="434">
        <f>I21+G21</f>
        <v>507</v>
      </c>
    </row>
    <row r="22" spans="1:10" ht="15" x14ac:dyDescent="0.25">
      <c r="A22" s="430">
        <f t="shared" si="0"/>
        <v>13</v>
      </c>
      <c r="B22" s="419" t="s">
        <v>222</v>
      </c>
      <c r="C22" s="436" t="s">
        <v>225</v>
      </c>
      <c r="D22" s="425"/>
      <c r="E22" s="431">
        <v>4897.9030359822054</v>
      </c>
      <c r="F22" s="451">
        <v>3.0898623252224179E-2</v>
      </c>
      <c r="G22" s="432">
        <f t="shared" si="3"/>
        <v>151</v>
      </c>
      <c r="H22" s="433">
        <v>647.17639659357258</v>
      </c>
      <c r="I22" s="434">
        <f t="shared" si="4"/>
        <v>10</v>
      </c>
      <c r="J22" s="434">
        <f>I22+G22</f>
        <v>161</v>
      </c>
    </row>
    <row r="23" spans="1:10" ht="15" x14ac:dyDescent="0.25">
      <c r="A23" s="430">
        <f t="shared" si="0"/>
        <v>14</v>
      </c>
      <c r="B23" s="419" t="s">
        <v>223</v>
      </c>
      <c r="C23" s="437" t="s">
        <v>224</v>
      </c>
      <c r="D23" s="429"/>
      <c r="E23" s="431">
        <v>1510.1365631279455</v>
      </c>
      <c r="F23" s="451">
        <v>2.7747037818210172E-2</v>
      </c>
      <c r="G23" s="432">
        <f t="shared" si="3"/>
        <v>42</v>
      </c>
      <c r="H23" s="433">
        <v>208.2813313099108</v>
      </c>
      <c r="I23" s="434">
        <f t="shared" si="4"/>
        <v>3</v>
      </c>
      <c r="J23" s="434">
        <f>I23+G23</f>
        <v>45</v>
      </c>
    </row>
    <row r="24" spans="1:10" ht="15" x14ac:dyDescent="0.25">
      <c r="A24" s="430">
        <f t="shared" si="0"/>
        <v>15</v>
      </c>
      <c r="B24" s="439"/>
      <c r="C24" s="436" t="s">
        <v>344</v>
      </c>
      <c r="D24" s="425"/>
      <c r="E24" s="447">
        <f>SUM(E19:E23)</f>
        <v>28606.102799849075</v>
      </c>
      <c r="F24" s="507"/>
      <c r="G24" s="440">
        <f>SUM(G19:G23)</f>
        <v>961</v>
      </c>
      <c r="H24" s="440">
        <f>SUM(H19:H23)</f>
        <v>3766.588268702631</v>
      </c>
      <c r="I24" s="440">
        <f>SUM(I19:I23)</f>
        <v>63</v>
      </c>
      <c r="J24" s="440">
        <f>SUM(J19:J23)</f>
        <v>1024</v>
      </c>
    </row>
    <row r="25" spans="1:10" ht="15" x14ac:dyDescent="0.25">
      <c r="A25" s="430">
        <f t="shared" si="0"/>
        <v>16</v>
      </c>
      <c r="B25" s="439"/>
      <c r="C25" s="430"/>
      <c r="D25" s="425"/>
      <c r="E25" s="431"/>
      <c r="F25" s="451"/>
      <c r="G25" s="432"/>
      <c r="H25" s="433"/>
      <c r="I25" s="434"/>
      <c r="J25" s="434"/>
    </row>
    <row r="26" spans="1:10" ht="15" x14ac:dyDescent="0.25">
      <c r="A26" s="430">
        <f t="shared" si="0"/>
        <v>17</v>
      </c>
      <c r="B26" s="439"/>
      <c r="C26" s="420" t="s">
        <v>329</v>
      </c>
      <c r="D26" s="425"/>
      <c r="E26" s="431"/>
      <c r="F26" s="451"/>
      <c r="G26" s="432"/>
      <c r="H26" s="433"/>
      <c r="I26" s="434"/>
      <c r="J26" s="434"/>
    </row>
    <row r="27" spans="1:10" ht="15" x14ac:dyDescent="0.25">
      <c r="A27" s="430">
        <f t="shared" si="0"/>
        <v>18</v>
      </c>
      <c r="B27" s="419" t="s">
        <v>226</v>
      </c>
      <c r="C27" s="437" t="s">
        <v>116</v>
      </c>
      <c r="D27" s="429"/>
      <c r="E27" s="431">
        <v>1148.7323202349719</v>
      </c>
      <c r="F27" s="451">
        <v>2.0415028411912974E-2</v>
      </c>
      <c r="G27" s="432">
        <f t="shared" ref="G27" si="5">ROUND(E27*F27,0)</f>
        <v>23</v>
      </c>
      <c r="H27" s="433">
        <v>0</v>
      </c>
      <c r="I27" s="434">
        <f t="shared" ref="I27" si="6">ROUND(H27*F27/2,0)</f>
        <v>0</v>
      </c>
      <c r="J27" s="438">
        <f>I27+G27</f>
        <v>23</v>
      </c>
    </row>
    <row r="28" spans="1:10" ht="15" x14ac:dyDescent="0.25">
      <c r="A28" s="430">
        <f t="shared" si="0"/>
        <v>19</v>
      </c>
      <c r="B28" s="419" t="s">
        <v>13</v>
      </c>
      <c r="C28" s="442" t="s">
        <v>234</v>
      </c>
      <c r="D28" s="425"/>
      <c r="E28" s="447">
        <f>SUM(E27:E27)</f>
        <v>1148.7323202349719</v>
      </c>
      <c r="F28" s="507"/>
      <c r="G28" s="440">
        <f>SUM(G27:G27)</f>
        <v>23</v>
      </c>
      <c r="H28" s="440">
        <f>SUM(H27:H27)</f>
        <v>0</v>
      </c>
      <c r="I28" s="440">
        <f>SUM(I27:I27)</f>
        <v>0</v>
      </c>
      <c r="J28" s="433">
        <f>SUM(J27:J27)</f>
        <v>23</v>
      </c>
    </row>
    <row r="29" spans="1:10" ht="15" x14ac:dyDescent="0.25">
      <c r="A29" s="430">
        <f t="shared" si="0"/>
        <v>20</v>
      </c>
      <c r="B29" s="419" t="s">
        <v>13</v>
      </c>
      <c r="C29" s="430"/>
      <c r="D29" s="425"/>
      <c r="E29" s="431"/>
      <c r="F29" s="451"/>
      <c r="G29" s="432"/>
      <c r="H29" s="433"/>
      <c r="I29" s="434"/>
      <c r="J29" s="434"/>
    </row>
    <row r="30" spans="1:10" ht="15" x14ac:dyDescent="0.25">
      <c r="A30" s="430">
        <f t="shared" si="0"/>
        <v>21</v>
      </c>
      <c r="B30" s="419"/>
      <c r="C30" s="420" t="s">
        <v>101</v>
      </c>
      <c r="D30" s="443"/>
      <c r="E30" s="431" t="s">
        <v>13</v>
      </c>
      <c r="F30" s="508"/>
      <c r="G30" s="444"/>
      <c r="H30" s="433" t="s">
        <v>13</v>
      </c>
      <c r="I30" s="434"/>
      <c r="J30" s="434"/>
    </row>
    <row r="31" spans="1:10" x14ac:dyDescent="0.2">
      <c r="A31" s="430">
        <f t="shared" si="0"/>
        <v>22</v>
      </c>
      <c r="B31" s="419" t="s">
        <v>102</v>
      </c>
      <c r="C31" s="117" t="s">
        <v>103</v>
      </c>
      <c r="D31" s="443"/>
      <c r="E31" s="431">
        <v>1578.81843</v>
      </c>
      <c r="F31" s="451">
        <v>1.4993085683703351E-2</v>
      </c>
      <c r="G31" s="432">
        <f t="shared" ref="G31:G42" si="7">ROUND(E31*F31,0)</f>
        <v>24</v>
      </c>
      <c r="H31" s="433">
        <v>0</v>
      </c>
      <c r="I31" s="434">
        <f t="shared" ref="I31:I42" si="8">ROUND(H31*F31/2,0)</f>
        <v>0</v>
      </c>
      <c r="J31" s="434">
        <f t="shared" ref="J31:J42" si="9">I31+G31</f>
        <v>24</v>
      </c>
    </row>
    <row r="32" spans="1:10" x14ac:dyDescent="0.2">
      <c r="A32" s="430">
        <f t="shared" si="0"/>
        <v>23</v>
      </c>
      <c r="B32" s="419" t="s">
        <v>104</v>
      </c>
      <c r="C32" s="117" t="s">
        <v>105</v>
      </c>
      <c r="D32" s="443"/>
      <c r="E32" s="431">
        <v>43665.824303423578</v>
      </c>
      <c r="F32" s="451">
        <v>2.3920907769631385E-2</v>
      </c>
      <c r="G32" s="432">
        <f t="shared" si="7"/>
        <v>1045</v>
      </c>
      <c r="H32" s="433">
        <v>2940.2124159020045</v>
      </c>
      <c r="I32" s="434">
        <f t="shared" si="8"/>
        <v>35</v>
      </c>
      <c r="J32" s="434">
        <f t="shared" si="9"/>
        <v>1080</v>
      </c>
    </row>
    <row r="33" spans="1:10" x14ac:dyDescent="0.2">
      <c r="A33" s="430">
        <f t="shared" si="0"/>
        <v>24</v>
      </c>
      <c r="B33" s="419" t="s">
        <v>106</v>
      </c>
      <c r="C33" s="117" t="s">
        <v>107</v>
      </c>
      <c r="D33" s="443"/>
      <c r="E33" s="431">
        <v>27140.604490318023</v>
      </c>
      <c r="F33" s="451">
        <v>2.3056444492332923E-2</v>
      </c>
      <c r="G33" s="432">
        <f t="shared" si="7"/>
        <v>626</v>
      </c>
      <c r="H33" s="433">
        <v>1726.0042558018802</v>
      </c>
      <c r="I33" s="434">
        <f t="shared" si="8"/>
        <v>20</v>
      </c>
      <c r="J33" s="434">
        <f t="shared" si="9"/>
        <v>646</v>
      </c>
    </row>
    <row r="34" spans="1:10" x14ac:dyDescent="0.2">
      <c r="A34" s="430">
        <f t="shared" si="0"/>
        <v>25</v>
      </c>
      <c r="B34" s="419" t="s">
        <v>108</v>
      </c>
      <c r="C34" s="117" t="s">
        <v>109</v>
      </c>
      <c r="D34" s="443"/>
      <c r="E34" s="431">
        <v>2952.25044988837</v>
      </c>
      <c r="F34" s="451">
        <v>2.3058585708058896E-2</v>
      </c>
      <c r="G34" s="432">
        <f t="shared" si="7"/>
        <v>68</v>
      </c>
      <c r="H34" s="433">
        <v>208.98328906169343</v>
      </c>
      <c r="I34" s="434">
        <f t="shared" si="8"/>
        <v>2</v>
      </c>
      <c r="J34" s="434">
        <f t="shared" si="9"/>
        <v>70</v>
      </c>
    </row>
    <row r="35" spans="1:10" x14ac:dyDescent="0.2">
      <c r="A35" s="430">
        <f t="shared" si="0"/>
        <v>26</v>
      </c>
      <c r="B35" s="419" t="s">
        <v>110</v>
      </c>
      <c r="C35" s="117" t="s">
        <v>111</v>
      </c>
      <c r="D35" s="443"/>
      <c r="E35" s="431">
        <v>27273.711050443737</v>
      </c>
      <c r="F35" s="451">
        <v>2.3819133713298909E-2</v>
      </c>
      <c r="G35" s="432">
        <f t="shared" si="7"/>
        <v>650</v>
      </c>
      <c r="H35" s="433">
        <v>1856.8656034135245</v>
      </c>
      <c r="I35" s="434">
        <f t="shared" si="8"/>
        <v>22</v>
      </c>
      <c r="J35" s="434">
        <f t="shared" si="9"/>
        <v>672</v>
      </c>
    </row>
    <row r="36" spans="1:10" x14ac:dyDescent="0.2">
      <c r="A36" s="430">
        <f t="shared" si="0"/>
        <v>27</v>
      </c>
      <c r="B36" s="419" t="s">
        <v>112</v>
      </c>
      <c r="C36" s="117" t="s">
        <v>113</v>
      </c>
      <c r="D36" s="443"/>
      <c r="E36" s="431">
        <v>3478.648989624046</v>
      </c>
      <c r="F36" s="451">
        <v>2.5880432285351314E-2</v>
      </c>
      <c r="G36" s="432">
        <f t="shared" si="7"/>
        <v>90</v>
      </c>
      <c r="H36" s="433">
        <v>234.86667349026382</v>
      </c>
      <c r="I36" s="434">
        <f t="shared" si="8"/>
        <v>3</v>
      </c>
      <c r="J36" s="434">
        <f t="shared" si="9"/>
        <v>93</v>
      </c>
    </row>
    <row r="37" spans="1:10" x14ac:dyDescent="0.2">
      <c r="A37" s="430">
        <f t="shared" si="0"/>
        <v>28</v>
      </c>
      <c r="B37" s="419" t="s">
        <v>114</v>
      </c>
      <c r="C37" s="117" t="s">
        <v>91</v>
      </c>
      <c r="D37" s="443"/>
      <c r="E37" s="431">
        <v>2841.2157184425655</v>
      </c>
      <c r="F37" s="451">
        <v>7.303241241088522E-2</v>
      </c>
      <c r="G37" s="432">
        <f t="shared" si="7"/>
        <v>208</v>
      </c>
      <c r="H37" s="433">
        <v>106.90435000000001</v>
      </c>
      <c r="I37" s="434">
        <f t="shared" si="8"/>
        <v>4</v>
      </c>
      <c r="J37" s="434">
        <f t="shared" si="9"/>
        <v>212</v>
      </c>
    </row>
    <row r="38" spans="1:10" x14ac:dyDescent="0.2">
      <c r="A38" s="430">
        <f t="shared" si="0"/>
        <v>29</v>
      </c>
      <c r="B38" s="419" t="s">
        <v>350</v>
      </c>
      <c r="C38" s="117" t="s">
        <v>351</v>
      </c>
      <c r="D38" s="443"/>
      <c r="E38" s="431">
        <v>100.67790661029214</v>
      </c>
      <c r="F38" s="451">
        <v>7.0644571951271051E-2</v>
      </c>
      <c r="G38" s="432">
        <f t="shared" si="7"/>
        <v>7</v>
      </c>
      <c r="H38" s="433">
        <v>0</v>
      </c>
      <c r="I38" s="434">
        <f t="shared" si="8"/>
        <v>0</v>
      </c>
      <c r="J38" s="434">
        <f t="shared" si="9"/>
        <v>7</v>
      </c>
    </row>
    <row r="39" spans="1:10" x14ac:dyDescent="0.2">
      <c r="A39" s="430">
        <f t="shared" si="0"/>
        <v>30</v>
      </c>
      <c r="B39" s="419" t="s">
        <v>115</v>
      </c>
      <c r="C39" s="117" t="s">
        <v>228</v>
      </c>
      <c r="D39" s="443"/>
      <c r="E39" s="431">
        <v>5210.3382453718332</v>
      </c>
      <c r="F39" s="451">
        <v>2.5316954028454512E-2</v>
      </c>
      <c r="G39" s="432">
        <f t="shared" si="7"/>
        <v>132</v>
      </c>
      <c r="H39" s="433">
        <v>355.8139988188517</v>
      </c>
      <c r="I39" s="434">
        <f t="shared" si="8"/>
        <v>5</v>
      </c>
      <c r="J39" s="434">
        <f t="shared" si="9"/>
        <v>137</v>
      </c>
    </row>
    <row r="40" spans="1:10" x14ac:dyDescent="0.2">
      <c r="A40" s="430">
        <f t="shared" si="0"/>
        <v>31</v>
      </c>
      <c r="B40" s="419" t="s">
        <v>117</v>
      </c>
      <c r="C40" s="117" t="s">
        <v>118</v>
      </c>
      <c r="D40" s="443"/>
      <c r="E40" s="431">
        <v>11026.940980502313</v>
      </c>
      <c r="F40" s="451">
        <v>3.3592150421195018E-2</v>
      </c>
      <c r="G40" s="432">
        <f t="shared" si="7"/>
        <v>370</v>
      </c>
      <c r="H40" s="433">
        <v>1122.092752</v>
      </c>
      <c r="I40" s="434">
        <f t="shared" si="8"/>
        <v>19</v>
      </c>
      <c r="J40" s="434">
        <f t="shared" si="9"/>
        <v>389</v>
      </c>
    </row>
    <row r="41" spans="1:10" x14ac:dyDescent="0.2">
      <c r="A41" s="430">
        <f t="shared" si="0"/>
        <v>32</v>
      </c>
      <c r="B41" s="419" t="s">
        <v>229</v>
      </c>
      <c r="C41" s="117" t="s">
        <v>230</v>
      </c>
      <c r="D41" s="443"/>
      <c r="E41" s="431">
        <v>286.39437428764654</v>
      </c>
      <c r="F41" s="451">
        <v>2.8152730289724301E-2</v>
      </c>
      <c r="G41" s="432">
        <f t="shared" si="7"/>
        <v>8</v>
      </c>
      <c r="H41" s="433">
        <v>0</v>
      </c>
      <c r="I41" s="434">
        <f t="shared" si="8"/>
        <v>0</v>
      </c>
      <c r="J41" s="434">
        <f t="shared" si="9"/>
        <v>8</v>
      </c>
    </row>
    <row r="42" spans="1:10" x14ac:dyDescent="0.2">
      <c r="A42" s="430">
        <f t="shared" si="0"/>
        <v>33</v>
      </c>
      <c r="B42" s="419" t="s">
        <v>119</v>
      </c>
      <c r="C42" s="445" t="s">
        <v>227</v>
      </c>
      <c r="D42" s="446"/>
      <c r="E42" s="431">
        <v>31067.656424000001</v>
      </c>
      <c r="F42" s="451">
        <v>2.390581202775309E-2</v>
      </c>
      <c r="G42" s="432">
        <f t="shared" si="7"/>
        <v>743</v>
      </c>
      <c r="H42" s="433">
        <v>-23.262025999999992</v>
      </c>
      <c r="I42" s="434">
        <f t="shared" si="8"/>
        <v>0</v>
      </c>
      <c r="J42" s="438">
        <f t="shared" si="9"/>
        <v>743</v>
      </c>
    </row>
    <row r="43" spans="1:10" x14ac:dyDescent="0.2">
      <c r="A43" s="430">
        <f t="shared" si="0"/>
        <v>34</v>
      </c>
      <c r="B43" s="419"/>
      <c r="C43" s="117" t="s">
        <v>120</v>
      </c>
      <c r="D43" s="443"/>
      <c r="E43" s="447">
        <f>SUM(E31:E42)</f>
        <v>156623.08136291243</v>
      </c>
      <c r="F43" s="507"/>
      <c r="G43" s="440">
        <f>SUM(G31:G42)</f>
        <v>3971</v>
      </c>
      <c r="H43" s="440">
        <f>SUM(H31:H42)</f>
        <v>8528.4813124882166</v>
      </c>
      <c r="I43" s="440">
        <f>SUM(I31:I42)</f>
        <v>110</v>
      </c>
      <c r="J43" s="433">
        <f>SUM(J31:J42)</f>
        <v>4081</v>
      </c>
    </row>
    <row r="44" spans="1:10" x14ac:dyDescent="0.2">
      <c r="A44" s="430">
        <f t="shared" si="0"/>
        <v>35</v>
      </c>
      <c r="B44" s="419"/>
      <c r="D44" s="443"/>
      <c r="E44" s="431"/>
      <c r="F44" s="508"/>
      <c r="G44" s="444"/>
      <c r="H44" s="433"/>
      <c r="I44" s="434"/>
      <c r="J44" s="434"/>
    </row>
    <row r="45" spans="1:10" ht="15" x14ac:dyDescent="0.25">
      <c r="A45" s="430">
        <f t="shared" si="0"/>
        <v>36</v>
      </c>
      <c r="B45" s="419"/>
      <c r="C45" s="420" t="s">
        <v>121</v>
      </c>
      <c r="D45" s="443"/>
      <c r="E45" s="431"/>
      <c r="F45" s="508"/>
      <c r="G45" s="444"/>
      <c r="H45" s="433"/>
      <c r="I45" s="434"/>
      <c r="J45" s="434"/>
    </row>
    <row r="46" spans="1:10" x14ac:dyDescent="0.2">
      <c r="A46" s="430">
        <f t="shared" si="0"/>
        <v>37</v>
      </c>
      <c r="B46" s="419" t="s">
        <v>122</v>
      </c>
      <c r="C46" s="117" t="s">
        <v>123</v>
      </c>
      <c r="D46" s="443"/>
      <c r="E46" s="431">
        <v>5157.3083012071493</v>
      </c>
      <c r="F46" s="451">
        <v>2.6398697088307707E-2</v>
      </c>
      <c r="G46" s="432">
        <f t="shared" ref="G46:G56" si="10">ROUND(E46*F46,0)</f>
        <v>136</v>
      </c>
      <c r="H46" s="433">
        <v>301.49</v>
      </c>
      <c r="I46" s="434">
        <f t="shared" ref="I46:I56" si="11">ROUND(H46*F46/2,0)</f>
        <v>4</v>
      </c>
      <c r="J46" s="434">
        <f t="shared" ref="J46:J56" si="12">I46+G46</f>
        <v>140</v>
      </c>
    </row>
    <row r="47" spans="1:10" x14ac:dyDescent="0.2">
      <c r="A47" s="430">
        <f t="shared" si="0"/>
        <v>38</v>
      </c>
      <c r="B47" s="419" t="s">
        <v>124</v>
      </c>
      <c r="C47" s="117" t="s">
        <v>125</v>
      </c>
      <c r="D47" s="443"/>
      <c r="E47" s="431">
        <v>247.55732741159116</v>
      </c>
      <c r="F47" s="451">
        <v>5.7876847192934663E-2</v>
      </c>
      <c r="G47" s="432">
        <f t="shared" si="10"/>
        <v>14</v>
      </c>
      <c r="H47" s="433">
        <v>11.125860000000001</v>
      </c>
      <c r="I47" s="434">
        <f t="shared" si="11"/>
        <v>0</v>
      </c>
      <c r="J47" s="434">
        <f t="shared" si="12"/>
        <v>14</v>
      </c>
    </row>
    <row r="48" spans="1:10" x14ac:dyDescent="0.2">
      <c r="A48" s="430">
        <f t="shared" si="0"/>
        <v>39</v>
      </c>
      <c r="B48" s="452">
        <v>483.2</v>
      </c>
      <c r="C48" s="117" t="s">
        <v>301</v>
      </c>
      <c r="D48" s="443"/>
      <c r="E48" s="431">
        <v>146.3252938585876</v>
      </c>
      <c r="F48" s="451">
        <v>0.13582757624439187</v>
      </c>
      <c r="G48" s="432">
        <f t="shared" si="10"/>
        <v>20</v>
      </c>
      <c r="H48" s="433">
        <v>41.487202000000003</v>
      </c>
      <c r="I48" s="434">
        <f t="shared" si="11"/>
        <v>3</v>
      </c>
      <c r="J48" s="434">
        <f t="shared" si="12"/>
        <v>23</v>
      </c>
    </row>
    <row r="49" spans="1:11" x14ac:dyDescent="0.2">
      <c r="A49" s="430">
        <f t="shared" si="0"/>
        <v>40</v>
      </c>
      <c r="B49" s="419" t="s">
        <v>231</v>
      </c>
      <c r="C49" s="117" t="s">
        <v>232</v>
      </c>
      <c r="D49" s="443"/>
      <c r="E49" s="431">
        <v>4437.6399354985206</v>
      </c>
      <c r="F49" s="451">
        <v>9.7354929457877284E-2</v>
      </c>
      <c r="G49" s="432">
        <f t="shared" si="10"/>
        <v>432</v>
      </c>
      <c r="H49" s="433">
        <v>144.77293390019813</v>
      </c>
      <c r="I49" s="434">
        <f t="shared" si="11"/>
        <v>7</v>
      </c>
      <c r="J49" s="434">
        <f t="shared" si="12"/>
        <v>439</v>
      </c>
    </row>
    <row r="50" spans="1:11" x14ac:dyDescent="0.2">
      <c r="A50" s="430">
        <f t="shared" si="0"/>
        <v>41</v>
      </c>
      <c r="B50" s="419" t="s">
        <v>126</v>
      </c>
      <c r="C50" s="117" t="s">
        <v>127</v>
      </c>
      <c r="D50" s="443"/>
      <c r="E50" s="431">
        <v>1285.4093499999999</v>
      </c>
      <c r="F50" s="451">
        <v>6.1513078781622578E-2</v>
      </c>
      <c r="G50" s="432">
        <f t="shared" si="10"/>
        <v>79</v>
      </c>
      <c r="H50" s="433">
        <v>154.80395000000001</v>
      </c>
      <c r="I50" s="434">
        <f t="shared" si="11"/>
        <v>5</v>
      </c>
      <c r="J50" s="434">
        <f t="shared" si="12"/>
        <v>84</v>
      </c>
    </row>
    <row r="51" spans="1:11" x14ac:dyDescent="0.2">
      <c r="A51" s="430">
        <f t="shared" si="0"/>
        <v>42</v>
      </c>
      <c r="B51" s="419" t="s">
        <v>129</v>
      </c>
      <c r="C51" s="117" t="s">
        <v>233</v>
      </c>
      <c r="D51" s="443"/>
      <c r="E51" s="431">
        <v>1324.08395</v>
      </c>
      <c r="F51" s="451">
        <v>4.5948552294146572E-2</v>
      </c>
      <c r="G51" s="432">
        <f t="shared" si="10"/>
        <v>61</v>
      </c>
      <c r="H51" s="433">
        <v>161.476</v>
      </c>
      <c r="I51" s="434">
        <f t="shared" si="11"/>
        <v>4</v>
      </c>
      <c r="J51" s="434">
        <f t="shared" si="12"/>
        <v>65</v>
      </c>
    </row>
    <row r="52" spans="1:11" x14ac:dyDescent="0.2">
      <c r="A52" s="430">
        <f t="shared" si="0"/>
        <v>43</v>
      </c>
      <c r="B52" s="419" t="s">
        <v>327</v>
      </c>
      <c r="C52" s="117" t="s">
        <v>328</v>
      </c>
      <c r="D52" s="443"/>
      <c r="E52" s="431">
        <v>360.53684999999996</v>
      </c>
      <c r="F52" s="451">
        <v>2.6648510408852803E-2</v>
      </c>
      <c r="G52" s="432">
        <f t="shared" si="10"/>
        <v>10</v>
      </c>
      <c r="H52" s="433">
        <v>0</v>
      </c>
      <c r="I52" s="434">
        <f t="shared" si="11"/>
        <v>0</v>
      </c>
      <c r="J52" s="434">
        <f t="shared" si="12"/>
        <v>10</v>
      </c>
    </row>
    <row r="53" spans="1:11" x14ac:dyDescent="0.2">
      <c r="A53" s="430">
        <f t="shared" si="0"/>
        <v>44</v>
      </c>
      <c r="B53" s="419" t="s">
        <v>455</v>
      </c>
      <c r="C53" s="418" t="s">
        <v>239</v>
      </c>
      <c r="D53" s="443"/>
      <c r="E53" s="431">
        <v>1.4930000000000001</v>
      </c>
      <c r="F53" s="451">
        <v>0</v>
      </c>
      <c r="G53" s="432">
        <f t="shared" si="10"/>
        <v>0</v>
      </c>
      <c r="H53" s="433">
        <v>0</v>
      </c>
      <c r="I53" s="434">
        <f t="shared" si="11"/>
        <v>0</v>
      </c>
      <c r="J53" s="434">
        <f t="shared" si="12"/>
        <v>0</v>
      </c>
    </row>
    <row r="54" spans="1:11" x14ac:dyDescent="0.2">
      <c r="A54" s="430">
        <f t="shared" si="0"/>
        <v>45</v>
      </c>
      <c r="B54" s="591" t="s">
        <v>451</v>
      </c>
      <c r="C54" s="418" t="s">
        <v>510</v>
      </c>
      <c r="D54" s="443"/>
      <c r="E54" s="431">
        <v>2549.6008500000003</v>
      </c>
      <c r="F54" s="451">
        <v>0.04</v>
      </c>
      <c r="G54" s="432">
        <f t="shared" si="10"/>
        <v>102</v>
      </c>
      <c r="H54" s="433">
        <v>0</v>
      </c>
      <c r="I54" s="434">
        <f t="shared" si="11"/>
        <v>0</v>
      </c>
      <c r="J54" s="434">
        <f>I54+G54</f>
        <v>102</v>
      </c>
    </row>
    <row r="55" spans="1:11" x14ac:dyDescent="0.2">
      <c r="A55" s="430">
        <f t="shared" si="0"/>
        <v>46</v>
      </c>
      <c r="B55" s="591" t="s">
        <v>452</v>
      </c>
      <c r="C55" s="418" t="s">
        <v>454</v>
      </c>
      <c r="D55" s="443"/>
      <c r="E55" s="431">
        <v>923</v>
      </c>
      <c r="F55" s="451">
        <v>0.2</v>
      </c>
      <c r="G55" s="432">
        <f t="shared" si="10"/>
        <v>185</v>
      </c>
      <c r="H55" s="433">
        <v>0</v>
      </c>
      <c r="I55" s="434">
        <f t="shared" si="11"/>
        <v>0</v>
      </c>
      <c r="J55" s="434">
        <f>I55+G55</f>
        <v>185</v>
      </c>
    </row>
    <row r="56" spans="1:11" x14ac:dyDescent="0.2">
      <c r="A56" s="430">
        <f t="shared" si="0"/>
        <v>47</v>
      </c>
      <c r="B56" s="591" t="s">
        <v>453</v>
      </c>
      <c r="C56" s="445" t="s">
        <v>405</v>
      </c>
      <c r="D56" s="446"/>
      <c r="E56" s="431">
        <v>2571.0146604619717</v>
      </c>
      <c r="F56" s="451">
        <v>0.1</v>
      </c>
      <c r="G56" s="432">
        <f t="shared" si="10"/>
        <v>257</v>
      </c>
      <c r="H56" s="433">
        <v>0</v>
      </c>
      <c r="I56" s="434">
        <f t="shared" si="11"/>
        <v>0</v>
      </c>
      <c r="J56" s="438">
        <f t="shared" si="12"/>
        <v>257</v>
      </c>
    </row>
    <row r="57" spans="1:11" x14ac:dyDescent="0.2">
      <c r="A57" s="430">
        <f t="shared" si="0"/>
        <v>48</v>
      </c>
      <c r="B57" s="591"/>
      <c r="C57" s="436" t="s">
        <v>130</v>
      </c>
      <c r="D57" s="418"/>
      <c r="E57" s="447">
        <f>SUM(E46:E56)</f>
        <v>19003.969518437822</v>
      </c>
      <c r="F57" s="507"/>
      <c r="G57" s="572">
        <f>SUM(G46:G56)</f>
        <v>1296</v>
      </c>
      <c r="H57" s="440">
        <f>SUM(H46:H56)</f>
        <v>815.15594590019816</v>
      </c>
      <c r="I57" s="573">
        <f>SUM(I46:I56)</f>
        <v>23</v>
      </c>
      <c r="J57" s="448">
        <f>SUM(J46:J56)</f>
        <v>1319</v>
      </c>
    </row>
    <row r="58" spans="1:11" ht="15" x14ac:dyDescent="0.25">
      <c r="A58" s="430">
        <f t="shared" si="0"/>
        <v>49</v>
      </c>
      <c r="B58" s="591"/>
      <c r="C58" s="436"/>
      <c r="D58" s="424"/>
      <c r="E58" s="431"/>
      <c r="F58" s="451"/>
      <c r="G58" s="432"/>
      <c r="H58" s="433"/>
      <c r="I58" s="448"/>
      <c r="J58" s="448"/>
      <c r="K58" s="418"/>
    </row>
    <row r="59" spans="1:11" ht="15" thickBot="1" x14ac:dyDescent="0.25">
      <c r="A59" s="430">
        <f t="shared" si="0"/>
        <v>50</v>
      </c>
      <c r="B59" s="591"/>
      <c r="C59" s="418" t="s">
        <v>131</v>
      </c>
      <c r="E59" s="431">
        <f>E57+E43+E28+E24+E16</f>
        <v>217615.79494501167</v>
      </c>
      <c r="F59" s="451"/>
      <c r="G59" s="449">
        <f>G43+G57+G28+G24+G16</f>
        <v>6566</v>
      </c>
      <c r="H59" s="449">
        <f>H43+H57+H28+H24+H16</f>
        <v>14166.176282190123</v>
      </c>
      <c r="I59" s="449">
        <f>I43+I57+I28+I24+I16</f>
        <v>209</v>
      </c>
      <c r="J59" s="449">
        <f>J43+J57+J28+J24+J16</f>
        <v>6775</v>
      </c>
      <c r="K59" s="418"/>
    </row>
    <row r="60" spans="1:11" x14ac:dyDescent="0.2">
      <c r="A60" s="430">
        <f t="shared" si="0"/>
        <v>51</v>
      </c>
      <c r="B60" s="591"/>
      <c r="C60" s="418" t="s">
        <v>377</v>
      </c>
      <c r="E60" s="441">
        <v>384.53505000000007</v>
      </c>
      <c r="F60" s="451"/>
      <c r="G60" s="433"/>
      <c r="H60" s="450"/>
      <c r="I60" s="433"/>
      <c r="J60" s="433"/>
    </row>
    <row r="61" spans="1:11" x14ac:dyDescent="0.2">
      <c r="A61" s="430">
        <f t="shared" si="0"/>
        <v>52</v>
      </c>
      <c r="B61" s="419"/>
      <c r="C61" s="418" t="s">
        <v>132</v>
      </c>
      <c r="D61" s="418" t="s">
        <v>450</v>
      </c>
      <c r="E61" s="431">
        <f>E59+E60</f>
        <v>218000.32999501168</v>
      </c>
      <c r="F61" s="419"/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" right="0.5" top="0.75" bottom="0.5" header="0.25" footer="0.5"/>
  <pageSetup scale="59" orientation="landscape" r:id="rId3"/>
  <headerFooter alignWithMargins="0">
    <oddHeader xml:space="preserve">&amp;RUndertaking 17 - Page 527, Lines 15-17, Attachment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V59"/>
  <sheetViews>
    <sheetView view="pageBreakPreview" zoomScaleNormal="100" zoomScaleSheetLayoutView="100" workbookViewId="0">
      <selection activeCell="O2" sqref="O2:P2"/>
    </sheetView>
  </sheetViews>
  <sheetFormatPr defaultRowHeight="11.25" x14ac:dyDescent="0.2"/>
  <cols>
    <col min="1" max="1" width="5" style="373" bestFit="1" customWidth="1"/>
    <col min="2" max="2" width="6.5703125" style="373" bestFit="1" customWidth="1"/>
    <col min="3" max="3" width="43.7109375" style="373" bestFit="1" customWidth="1"/>
    <col min="4" max="4" width="9.7109375" style="373" bestFit="1" customWidth="1"/>
    <col min="5" max="5" width="8.28515625" style="373" customWidth="1"/>
    <col min="6" max="6" width="6.7109375" style="373" customWidth="1"/>
    <col min="7" max="7" width="9.28515625" style="373" bestFit="1" customWidth="1"/>
    <col min="8" max="8" width="9.140625" style="408"/>
    <col min="9" max="9" width="2.28515625" style="373" customWidth="1"/>
    <col min="10" max="11" width="9.7109375" style="373" customWidth="1"/>
    <col min="12" max="12" width="2.28515625" style="373" customWidth="1"/>
    <col min="13" max="14" width="9.7109375" style="373" customWidth="1"/>
    <col min="15" max="15" width="2.28515625" style="373" customWidth="1"/>
    <col min="16" max="17" width="9.7109375" style="373" customWidth="1"/>
    <col min="18" max="18" width="2.28515625" style="373" customWidth="1"/>
    <col min="19" max="19" width="9.7109375" style="373" customWidth="1"/>
    <col min="20" max="20" width="2.28515625" style="373" customWidth="1"/>
    <col min="21" max="21" width="9.7109375" style="373" customWidth="1"/>
    <col min="22" max="22" width="2.28515625" style="373" customWidth="1"/>
    <col min="23" max="16384" width="9.140625" style="373"/>
  </cols>
  <sheetData>
    <row r="1" spans="1:22" s="117" customFormat="1" ht="15" x14ac:dyDescent="0.25">
      <c r="A1" s="417" t="s">
        <v>1006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5" t="s">
        <v>568</v>
      </c>
    </row>
    <row r="2" spans="1:22" s="117" customFormat="1" ht="15" x14ac:dyDescent="0.25">
      <c r="A2" s="417" t="s">
        <v>555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5" t="s">
        <v>888</v>
      </c>
    </row>
    <row r="3" spans="1:22" s="117" customFormat="1" ht="15" x14ac:dyDescent="0.25">
      <c r="A3" s="417" t="s">
        <v>292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</row>
    <row r="4" spans="1:22" s="117" customFormat="1" ht="15" x14ac:dyDescent="0.25">
      <c r="A4" s="417" t="s">
        <v>18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</row>
    <row r="5" spans="1:22" x14ac:dyDescent="0.2">
      <c r="E5" s="409"/>
      <c r="F5" s="410" t="s">
        <v>13</v>
      </c>
      <c r="H5" s="411" t="s">
        <v>13</v>
      </c>
    </row>
    <row r="6" spans="1:22" x14ac:dyDescent="0.2">
      <c r="A6" s="374"/>
      <c r="B6" s="374"/>
      <c r="C6" s="375"/>
      <c r="D6" s="375"/>
      <c r="E6" s="412"/>
      <c r="F6" s="376" t="s">
        <v>13</v>
      </c>
      <c r="G6" s="376"/>
      <c r="H6" s="413" t="s">
        <v>13</v>
      </c>
      <c r="I6" s="374"/>
      <c r="J6" s="374"/>
      <c r="K6" s="374"/>
      <c r="L6" s="374"/>
      <c r="M6" s="374"/>
      <c r="N6" s="374"/>
      <c r="O6" s="374"/>
      <c r="P6" s="294"/>
      <c r="Q6" s="294"/>
      <c r="R6" s="294"/>
      <c r="S6" s="294"/>
      <c r="T6" s="294"/>
      <c r="U6" s="294"/>
      <c r="V6" s="296"/>
    </row>
    <row r="7" spans="1:22" ht="12.75" x14ac:dyDescent="0.2">
      <c r="A7" s="385" t="s">
        <v>19</v>
      </c>
      <c r="B7" s="385" t="s">
        <v>13</v>
      </c>
      <c r="C7" s="385"/>
      <c r="D7" s="385" t="s">
        <v>84</v>
      </c>
      <c r="E7" s="453" t="s">
        <v>93</v>
      </c>
      <c r="F7" s="361" t="s">
        <v>13</v>
      </c>
      <c r="G7" s="361" t="s">
        <v>94</v>
      </c>
      <c r="H7" s="454" t="s">
        <v>95</v>
      </c>
      <c r="I7" s="287"/>
      <c r="J7" s="385" t="s">
        <v>11</v>
      </c>
      <c r="K7" s="385" t="s">
        <v>4</v>
      </c>
      <c r="L7" s="287"/>
      <c r="M7" s="385" t="s">
        <v>11</v>
      </c>
      <c r="N7" s="385" t="s">
        <v>4</v>
      </c>
      <c r="O7" s="287"/>
      <c r="P7" s="385" t="s">
        <v>11</v>
      </c>
      <c r="Q7" s="385" t="s">
        <v>4</v>
      </c>
      <c r="R7" s="590"/>
      <c r="S7" s="609" t="s">
        <v>293</v>
      </c>
      <c r="T7" s="609"/>
      <c r="U7" s="609"/>
      <c r="V7" s="293"/>
    </row>
    <row r="8" spans="1:22" ht="12.75" x14ac:dyDescent="0.2">
      <c r="A8" s="541" t="s">
        <v>21</v>
      </c>
      <c r="B8" s="541" t="s">
        <v>96</v>
      </c>
      <c r="C8" s="541" t="s">
        <v>149</v>
      </c>
      <c r="D8" s="541" t="s">
        <v>22</v>
      </c>
      <c r="E8" s="455" t="s">
        <v>97</v>
      </c>
      <c r="F8" s="541" t="s">
        <v>98</v>
      </c>
      <c r="G8" s="541" t="s">
        <v>99</v>
      </c>
      <c r="H8" s="456" t="s">
        <v>100</v>
      </c>
      <c r="I8" s="135"/>
      <c r="J8" s="541">
        <v>2013</v>
      </c>
      <c r="K8" s="541">
        <v>2013</v>
      </c>
      <c r="L8" s="135"/>
      <c r="M8" s="541">
        <v>2014</v>
      </c>
      <c r="N8" s="541">
        <v>2014</v>
      </c>
      <c r="O8" s="287"/>
      <c r="P8" s="541">
        <v>2015</v>
      </c>
      <c r="Q8" s="541">
        <v>2015</v>
      </c>
      <c r="R8" s="385"/>
      <c r="S8" s="541">
        <v>2016</v>
      </c>
      <c r="T8" s="385"/>
      <c r="U8" s="541">
        <v>2017</v>
      </c>
      <c r="V8" s="293"/>
    </row>
    <row r="9" spans="1:22" ht="12.75" x14ac:dyDescent="0.2">
      <c r="A9" s="348"/>
      <c r="B9" s="348"/>
      <c r="C9" s="348"/>
      <c r="D9" s="287"/>
      <c r="E9" s="457"/>
      <c r="F9" s="348"/>
      <c r="G9" s="348"/>
      <c r="H9" s="458"/>
      <c r="I9" s="293"/>
      <c r="J9" s="293"/>
      <c r="K9" s="293"/>
      <c r="L9" s="293"/>
      <c r="M9" s="293"/>
      <c r="N9" s="293"/>
      <c r="O9" s="328"/>
      <c r="P9" s="293"/>
      <c r="Q9" s="293"/>
      <c r="R9" s="293"/>
      <c r="S9" s="293"/>
      <c r="T9" s="293"/>
      <c r="U9" s="293"/>
      <c r="V9" s="293"/>
    </row>
    <row r="10" spans="1:22" ht="12.75" x14ac:dyDescent="0.2">
      <c r="A10" s="336">
        <v>1</v>
      </c>
      <c r="B10" s="293"/>
      <c r="C10" s="123" t="s">
        <v>320</v>
      </c>
      <c r="D10" s="349"/>
      <c r="E10" s="293"/>
      <c r="F10" s="293"/>
      <c r="G10" s="293"/>
      <c r="H10" s="338"/>
      <c r="I10" s="287"/>
      <c r="J10" s="287"/>
      <c r="K10" s="287"/>
      <c r="L10" s="287"/>
      <c r="M10" s="287"/>
      <c r="N10" s="287"/>
      <c r="O10" s="287"/>
      <c r="P10" s="293"/>
      <c r="Q10" s="293"/>
      <c r="R10" s="293"/>
      <c r="S10" s="293"/>
      <c r="T10" s="293"/>
      <c r="U10" s="293"/>
      <c r="V10" s="293"/>
    </row>
    <row r="11" spans="1:22" ht="12.75" x14ac:dyDescent="0.2">
      <c r="A11" s="348">
        <f>A10+1</f>
        <v>2</v>
      </c>
      <c r="B11" s="293" t="s">
        <v>352</v>
      </c>
      <c r="C11" s="352" t="s">
        <v>321</v>
      </c>
      <c r="D11" s="287"/>
      <c r="E11" s="457" t="s">
        <v>360</v>
      </c>
      <c r="F11" s="348">
        <v>72</v>
      </c>
      <c r="G11" s="459">
        <v>-0.1</v>
      </c>
      <c r="H11" s="460">
        <v>3.3599999999999998E-2</v>
      </c>
      <c r="I11" s="328"/>
      <c r="J11" s="337">
        <v>-1.673</v>
      </c>
      <c r="K11" s="337">
        <v>-1.673</v>
      </c>
      <c r="L11" s="328"/>
      <c r="M11" s="337">
        <v>-1.673</v>
      </c>
      <c r="N11" s="337">
        <f>+K11</f>
        <v>-1.673</v>
      </c>
      <c r="O11" s="328"/>
      <c r="P11" s="337">
        <v>-1.673</v>
      </c>
      <c r="Q11" s="337">
        <f>+N11</f>
        <v>-1.673</v>
      </c>
      <c r="R11" s="337"/>
      <c r="S11" s="337">
        <v>-1.673</v>
      </c>
      <c r="T11" s="337"/>
      <c r="U11" s="337">
        <v>-1.673</v>
      </c>
      <c r="V11" s="293"/>
    </row>
    <row r="12" spans="1:22" ht="12.75" x14ac:dyDescent="0.2">
      <c r="A12" s="348">
        <f t="shared" ref="A12:A59" si="0">A11+1</f>
        <v>3</v>
      </c>
      <c r="B12" s="293" t="s">
        <v>353</v>
      </c>
      <c r="C12" s="352" t="s">
        <v>322</v>
      </c>
      <c r="D12" s="287"/>
      <c r="E12" s="457" t="s">
        <v>357</v>
      </c>
      <c r="F12" s="348">
        <v>103</v>
      </c>
      <c r="G12" s="459">
        <v>-0.1</v>
      </c>
      <c r="H12" s="460">
        <v>3.3599999999999998E-2</v>
      </c>
      <c r="I12" s="328"/>
      <c r="J12" s="337">
        <v>-8.548</v>
      </c>
      <c r="K12" s="337">
        <v>-8.548</v>
      </c>
      <c r="L12" s="328"/>
      <c r="M12" s="337">
        <v>-8.548</v>
      </c>
      <c r="N12" s="337">
        <f t="shared" ref="N12:N15" si="1">+K12</f>
        <v>-8.548</v>
      </c>
      <c r="O12" s="328"/>
      <c r="P12" s="337">
        <v>-8.548</v>
      </c>
      <c r="Q12" s="337">
        <f t="shared" ref="Q12:Q15" si="2">+N12</f>
        <v>-8.548</v>
      </c>
      <c r="R12" s="337"/>
      <c r="S12" s="337">
        <v>-8.548</v>
      </c>
      <c r="T12" s="337"/>
      <c r="U12" s="337">
        <v>-8.548</v>
      </c>
      <c r="V12" s="293"/>
    </row>
    <row r="13" spans="1:22" ht="12.75" x14ac:dyDescent="0.2">
      <c r="A13" s="348">
        <f t="shared" si="0"/>
        <v>4</v>
      </c>
      <c r="B13" s="293" t="s">
        <v>354</v>
      </c>
      <c r="C13" s="352" t="s">
        <v>323</v>
      </c>
      <c r="D13" s="287"/>
      <c r="E13" s="457" t="s">
        <v>357</v>
      </c>
      <c r="F13" s="348">
        <v>85</v>
      </c>
      <c r="G13" s="459">
        <v>-0.1</v>
      </c>
      <c r="H13" s="460">
        <v>3.3599999999999998E-2</v>
      </c>
      <c r="I13" s="293"/>
      <c r="J13" s="337">
        <v>-4.0229999999999997</v>
      </c>
      <c r="K13" s="337">
        <v>-4.0229999999999997</v>
      </c>
      <c r="L13" s="328"/>
      <c r="M13" s="337">
        <v>-4.0229999999999997</v>
      </c>
      <c r="N13" s="337">
        <f t="shared" si="1"/>
        <v>-4.0229999999999997</v>
      </c>
      <c r="O13" s="293"/>
      <c r="P13" s="337">
        <v>-4.0229999999999997</v>
      </c>
      <c r="Q13" s="337">
        <f t="shared" si="2"/>
        <v>-4.0229999999999997</v>
      </c>
      <c r="R13" s="337"/>
      <c r="S13" s="337">
        <v>-4.0229999999999997</v>
      </c>
      <c r="T13" s="337"/>
      <c r="U13" s="337">
        <v>-4.0229999999999997</v>
      </c>
      <c r="V13" s="293"/>
    </row>
    <row r="14" spans="1:22" ht="12.75" x14ac:dyDescent="0.2">
      <c r="A14" s="348">
        <f t="shared" si="0"/>
        <v>5</v>
      </c>
      <c r="B14" s="293" t="s">
        <v>355</v>
      </c>
      <c r="C14" s="352" t="s">
        <v>324</v>
      </c>
      <c r="D14" s="287"/>
      <c r="E14" s="457" t="s">
        <v>357</v>
      </c>
      <c r="F14" s="348">
        <v>45</v>
      </c>
      <c r="G14" s="459">
        <v>-0.1</v>
      </c>
      <c r="H14" s="460">
        <v>3.3599999999999998E-2</v>
      </c>
      <c r="I14" s="293"/>
      <c r="J14" s="337">
        <v>-1.5880000000000001</v>
      </c>
      <c r="K14" s="337">
        <v>-1.5880000000000001</v>
      </c>
      <c r="L14" s="293"/>
      <c r="M14" s="337">
        <v>-1.5880000000000001</v>
      </c>
      <c r="N14" s="337">
        <f t="shared" si="1"/>
        <v>-1.5880000000000001</v>
      </c>
      <c r="O14" s="293"/>
      <c r="P14" s="337">
        <v>-1.5880000000000001</v>
      </c>
      <c r="Q14" s="337">
        <f t="shared" si="2"/>
        <v>-1.5880000000000001</v>
      </c>
      <c r="R14" s="337"/>
      <c r="S14" s="337">
        <v>-1.5880000000000001</v>
      </c>
      <c r="T14" s="337"/>
      <c r="U14" s="337">
        <v>-1.5880000000000001</v>
      </c>
      <c r="V14" s="293"/>
    </row>
    <row r="15" spans="1:22" ht="12.75" x14ac:dyDescent="0.2">
      <c r="A15" s="348">
        <f t="shared" si="0"/>
        <v>6</v>
      </c>
      <c r="B15" s="293" t="s">
        <v>356</v>
      </c>
      <c r="C15" s="353" t="s">
        <v>325</v>
      </c>
      <c r="D15" s="541"/>
      <c r="E15" s="461" t="s">
        <v>360</v>
      </c>
      <c r="F15" s="462">
        <v>30</v>
      </c>
      <c r="G15" s="463">
        <v>-0.1</v>
      </c>
      <c r="H15" s="464">
        <v>3.3599999999999998E-2</v>
      </c>
      <c r="I15" s="293"/>
      <c r="J15" s="337">
        <v>-0.749</v>
      </c>
      <c r="K15" s="337">
        <v>-0.749</v>
      </c>
      <c r="L15" s="293"/>
      <c r="M15" s="337">
        <v>-0.749</v>
      </c>
      <c r="N15" s="337">
        <f t="shared" si="1"/>
        <v>-0.749</v>
      </c>
      <c r="O15" s="293"/>
      <c r="P15" s="337">
        <v>-0.749</v>
      </c>
      <c r="Q15" s="337">
        <f t="shared" si="2"/>
        <v>-0.749</v>
      </c>
      <c r="R15" s="337"/>
      <c r="S15" s="337">
        <v>-0.749</v>
      </c>
      <c r="T15" s="337"/>
      <c r="U15" s="337">
        <v>-0.749</v>
      </c>
      <c r="V15" s="293"/>
    </row>
    <row r="16" spans="1:22" ht="12.75" x14ac:dyDescent="0.2">
      <c r="A16" s="348">
        <f t="shared" si="0"/>
        <v>7</v>
      </c>
      <c r="B16" s="359"/>
      <c r="C16" s="293" t="s">
        <v>343</v>
      </c>
      <c r="D16" s="287"/>
      <c r="E16" s="457"/>
      <c r="F16" s="348"/>
      <c r="G16" s="348"/>
      <c r="H16" s="458"/>
      <c r="I16" s="293"/>
      <c r="J16" s="355">
        <f>SUM(J11:J15)</f>
        <v>-16.581</v>
      </c>
      <c r="K16" s="355">
        <f>SUM(K11:K15)</f>
        <v>-16.581</v>
      </c>
      <c r="L16" s="293"/>
      <c r="M16" s="355">
        <f>SUM(M11:M15)</f>
        <v>-16.581</v>
      </c>
      <c r="N16" s="355">
        <f>SUM(N11:N15)</f>
        <v>-16.581</v>
      </c>
      <c r="O16" s="293"/>
      <c r="P16" s="355">
        <f>SUM(P11:P15)</f>
        <v>-16.581</v>
      </c>
      <c r="Q16" s="355">
        <f>SUM(Q11:Q15)</f>
        <v>-16.581</v>
      </c>
      <c r="R16" s="337"/>
      <c r="S16" s="355">
        <f>SUM(S11:S15)</f>
        <v>-16.581</v>
      </c>
      <c r="T16" s="337"/>
      <c r="U16" s="355">
        <f>SUM(U11:U15)</f>
        <v>-16.581</v>
      </c>
      <c r="V16" s="293"/>
    </row>
    <row r="17" spans="1:22" ht="12.75" x14ac:dyDescent="0.2">
      <c r="A17" s="348">
        <f t="shared" si="0"/>
        <v>8</v>
      </c>
      <c r="B17" s="359"/>
      <c r="C17" s="352"/>
      <c r="D17" s="287"/>
      <c r="E17" s="457"/>
      <c r="F17" s="348"/>
      <c r="G17" s="348"/>
      <c r="H17" s="458"/>
      <c r="I17" s="293"/>
      <c r="J17" s="337"/>
      <c r="K17" s="337"/>
      <c r="L17" s="293"/>
      <c r="M17" s="337"/>
      <c r="N17" s="337"/>
      <c r="O17" s="293"/>
      <c r="P17" s="337"/>
      <c r="Q17" s="337"/>
      <c r="R17" s="337"/>
      <c r="S17" s="337"/>
      <c r="T17" s="337"/>
      <c r="U17" s="337"/>
      <c r="V17" s="293"/>
    </row>
    <row r="18" spans="1:22" ht="12.75" x14ac:dyDescent="0.2">
      <c r="A18" s="348">
        <f t="shared" si="0"/>
        <v>9</v>
      </c>
      <c r="B18" s="359"/>
      <c r="C18" s="123" t="s">
        <v>326</v>
      </c>
      <c r="D18" s="287"/>
      <c r="E18" s="457"/>
      <c r="F18" s="348"/>
      <c r="G18" s="348"/>
      <c r="H18" s="458"/>
      <c r="I18" s="293"/>
      <c r="J18" s="337"/>
      <c r="K18" s="337"/>
      <c r="L18" s="293"/>
      <c r="M18" s="337"/>
      <c r="N18" s="337"/>
      <c r="O18" s="293"/>
      <c r="P18" s="337"/>
      <c r="Q18" s="337"/>
      <c r="R18" s="337"/>
      <c r="S18" s="337"/>
      <c r="T18" s="337"/>
      <c r="U18" s="337"/>
      <c r="V18" s="293"/>
    </row>
    <row r="19" spans="1:22" ht="12.75" x14ac:dyDescent="0.2">
      <c r="A19" s="348">
        <f t="shared" si="0"/>
        <v>10</v>
      </c>
      <c r="B19" s="293" t="s">
        <v>218</v>
      </c>
      <c r="C19" s="352" t="s">
        <v>540</v>
      </c>
      <c r="D19" s="287"/>
      <c r="E19" s="457" t="s">
        <v>359</v>
      </c>
      <c r="F19" s="348">
        <v>40</v>
      </c>
      <c r="G19" s="459">
        <v>-0.1</v>
      </c>
      <c r="H19" s="460">
        <v>2.7400000000000001E-2</v>
      </c>
      <c r="I19" s="293"/>
      <c r="J19" s="337">
        <v>-5.8470000000000004</v>
      </c>
      <c r="K19" s="337">
        <v>-5.8470000000000004</v>
      </c>
      <c r="L19" s="293"/>
      <c r="M19" s="337">
        <v>-5.8470000000000004</v>
      </c>
      <c r="N19" s="337">
        <f t="shared" ref="N19:N23" si="3">+K19</f>
        <v>-5.8470000000000004</v>
      </c>
      <c r="O19" s="293"/>
      <c r="P19" s="337">
        <v>-5.8470000000000004</v>
      </c>
      <c r="Q19" s="337">
        <f t="shared" ref="Q19:Q23" si="4">+N19</f>
        <v>-5.8470000000000004</v>
      </c>
      <c r="R19" s="337"/>
      <c r="S19" s="337">
        <v>-5.8470000000000004</v>
      </c>
      <c r="T19" s="337"/>
      <c r="U19" s="337">
        <v>-5.8470000000000004</v>
      </c>
      <c r="V19" s="293"/>
    </row>
    <row r="20" spans="1:22" ht="12.75" x14ac:dyDescent="0.2">
      <c r="A20" s="348">
        <f t="shared" si="0"/>
        <v>11</v>
      </c>
      <c r="B20" s="293" t="s">
        <v>219</v>
      </c>
      <c r="C20" s="352" t="s">
        <v>538</v>
      </c>
      <c r="D20" s="287"/>
      <c r="E20" s="457" t="s">
        <v>358</v>
      </c>
      <c r="F20" s="348">
        <v>35</v>
      </c>
      <c r="G20" s="459">
        <v>-0.2</v>
      </c>
      <c r="H20" s="460">
        <v>0.03</v>
      </c>
      <c r="I20" s="293"/>
      <c r="J20" s="337">
        <v>-8.2110000000000003</v>
      </c>
      <c r="K20" s="337">
        <v>-8.2110000000000003</v>
      </c>
      <c r="L20" s="293"/>
      <c r="M20" s="337">
        <v>-8.2110000000000003</v>
      </c>
      <c r="N20" s="337">
        <f t="shared" si="3"/>
        <v>-8.2110000000000003</v>
      </c>
      <c r="O20" s="293"/>
      <c r="P20" s="337">
        <v>-8.2110000000000003</v>
      </c>
      <c r="Q20" s="337">
        <f t="shared" si="4"/>
        <v>-8.2110000000000003</v>
      </c>
      <c r="R20" s="337"/>
      <c r="S20" s="337">
        <v>-8.2110000000000003</v>
      </c>
      <c r="T20" s="337"/>
      <c r="U20" s="337">
        <v>-8.2110000000000003</v>
      </c>
      <c r="V20" s="293"/>
    </row>
    <row r="21" spans="1:22" ht="12.75" x14ac:dyDescent="0.2">
      <c r="A21" s="348">
        <f t="shared" si="0"/>
        <v>12</v>
      </c>
      <c r="B21" s="293" t="s">
        <v>220</v>
      </c>
      <c r="C21" s="352" t="s">
        <v>221</v>
      </c>
      <c r="D21" s="287"/>
      <c r="E21" s="457" t="s">
        <v>359</v>
      </c>
      <c r="F21" s="348">
        <v>26</v>
      </c>
      <c r="G21" s="459">
        <v>-0.1</v>
      </c>
      <c r="H21" s="460">
        <v>3.6900000000000002E-2</v>
      </c>
      <c r="I21" s="293"/>
      <c r="J21" s="337">
        <v>16.145</v>
      </c>
      <c r="K21" s="337">
        <v>16.145</v>
      </c>
      <c r="L21" s="293"/>
      <c r="M21" s="337">
        <v>16.145</v>
      </c>
      <c r="N21" s="337">
        <f t="shared" si="3"/>
        <v>16.145</v>
      </c>
      <c r="O21" s="293"/>
      <c r="P21" s="337">
        <v>16.145</v>
      </c>
      <c r="Q21" s="337">
        <f t="shared" si="4"/>
        <v>16.145</v>
      </c>
      <c r="R21" s="337"/>
      <c r="S21" s="337">
        <v>16.145</v>
      </c>
      <c r="T21" s="337"/>
      <c r="U21" s="337">
        <v>16.145</v>
      </c>
      <c r="V21" s="293"/>
    </row>
    <row r="22" spans="1:22" ht="12.75" x14ac:dyDescent="0.2">
      <c r="A22" s="348">
        <f t="shared" si="0"/>
        <v>13</v>
      </c>
      <c r="B22" s="293" t="s">
        <v>222</v>
      </c>
      <c r="C22" s="352" t="s">
        <v>225</v>
      </c>
      <c r="D22" s="287"/>
      <c r="E22" s="457" t="s">
        <v>357</v>
      </c>
      <c r="F22" s="348">
        <v>35</v>
      </c>
      <c r="G22" s="459">
        <v>0</v>
      </c>
      <c r="H22" s="460">
        <v>0.03</v>
      </c>
      <c r="I22" s="293"/>
      <c r="J22" s="337">
        <v>-10.055999999999999</v>
      </c>
      <c r="K22" s="337">
        <v>-10.055999999999999</v>
      </c>
      <c r="L22" s="293"/>
      <c r="M22" s="337">
        <v>-10.055999999999999</v>
      </c>
      <c r="N22" s="337">
        <f t="shared" si="3"/>
        <v>-10.055999999999999</v>
      </c>
      <c r="O22" s="293"/>
      <c r="P22" s="337">
        <v>-10.055999999999999</v>
      </c>
      <c r="Q22" s="337">
        <f t="shared" si="4"/>
        <v>-10.055999999999999</v>
      </c>
      <c r="R22" s="337"/>
      <c r="S22" s="337">
        <v>-10.055999999999999</v>
      </c>
      <c r="T22" s="337"/>
      <c r="U22" s="337">
        <v>-10.055999999999999</v>
      </c>
      <c r="V22" s="293"/>
    </row>
    <row r="23" spans="1:22" ht="12.75" x14ac:dyDescent="0.2">
      <c r="A23" s="348">
        <f t="shared" si="0"/>
        <v>14</v>
      </c>
      <c r="B23" s="293" t="s">
        <v>223</v>
      </c>
      <c r="C23" s="353" t="s">
        <v>224</v>
      </c>
      <c r="D23" s="541"/>
      <c r="E23" s="461" t="s">
        <v>357</v>
      </c>
      <c r="F23" s="462">
        <v>40</v>
      </c>
      <c r="G23" s="463">
        <v>0</v>
      </c>
      <c r="H23" s="464">
        <v>3.15E-2</v>
      </c>
      <c r="I23" s="293"/>
      <c r="J23" s="354">
        <v>-2.4820000000000002</v>
      </c>
      <c r="K23" s="354">
        <v>-2.4820000000000002</v>
      </c>
      <c r="L23" s="293"/>
      <c r="M23" s="354">
        <v>-2.4820000000000002</v>
      </c>
      <c r="N23" s="354">
        <f t="shared" si="3"/>
        <v>-2.4820000000000002</v>
      </c>
      <c r="O23" s="293"/>
      <c r="P23" s="337">
        <v>-2.4820000000000002</v>
      </c>
      <c r="Q23" s="337">
        <f t="shared" si="4"/>
        <v>-2.4820000000000002</v>
      </c>
      <c r="R23" s="337"/>
      <c r="S23" s="337">
        <v>-2.4820000000000002</v>
      </c>
      <c r="T23" s="337"/>
      <c r="U23" s="337">
        <v>-2.4820000000000002</v>
      </c>
      <c r="V23" s="293"/>
    </row>
    <row r="24" spans="1:22" ht="12.75" x14ac:dyDescent="0.2">
      <c r="A24" s="348">
        <f t="shared" si="0"/>
        <v>15</v>
      </c>
      <c r="B24" s="359"/>
      <c r="C24" s="352" t="s">
        <v>344</v>
      </c>
      <c r="D24" s="287"/>
      <c r="E24" s="457"/>
      <c r="F24" s="348"/>
      <c r="G24" s="348"/>
      <c r="H24" s="465"/>
      <c r="I24" s="293"/>
      <c r="J24" s="466">
        <f>SUM(J19:J23)</f>
        <v>-10.451000000000001</v>
      </c>
      <c r="K24" s="466">
        <f>SUM(K19:K23)</f>
        <v>-10.451000000000001</v>
      </c>
      <c r="L24" s="293"/>
      <c r="M24" s="466">
        <f>SUM(M19:M23)</f>
        <v>-10.451000000000001</v>
      </c>
      <c r="N24" s="466">
        <f>SUM(N19:N23)</f>
        <v>-10.451000000000001</v>
      </c>
      <c r="O24" s="293"/>
      <c r="P24" s="355">
        <f>SUM(P19:P23)</f>
        <v>-10.451000000000001</v>
      </c>
      <c r="Q24" s="355">
        <f>SUM(Q19:Q23)</f>
        <v>-10.451000000000001</v>
      </c>
      <c r="R24" s="337"/>
      <c r="S24" s="355">
        <f>SUM(S19:S23)</f>
        <v>-10.451000000000001</v>
      </c>
      <c r="T24" s="337"/>
      <c r="U24" s="355">
        <f>SUM(U19:U23)</f>
        <v>-10.451000000000001</v>
      </c>
      <c r="V24" s="293"/>
    </row>
    <row r="25" spans="1:22" ht="12.75" x14ac:dyDescent="0.2">
      <c r="A25" s="348">
        <f t="shared" si="0"/>
        <v>16</v>
      </c>
      <c r="B25" s="359"/>
      <c r="C25" s="348"/>
      <c r="D25" s="287"/>
      <c r="E25" s="457"/>
      <c r="F25" s="348"/>
      <c r="G25" s="348"/>
      <c r="H25" s="458"/>
      <c r="I25" s="293"/>
      <c r="J25" s="337"/>
      <c r="K25" s="337"/>
      <c r="L25" s="293"/>
      <c r="M25" s="337"/>
      <c r="N25" s="337"/>
      <c r="O25" s="293"/>
      <c r="P25" s="337"/>
      <c r="Q25" s="337"/>
      <c r="R25" s="337"/>
      <c r="S25" s="337"/>
      <c r="T25" s="337"/>
      <c r="U25" s="337"/>
      <c r="V25" s="293"/>
    </row>
    <row r="26" spans="1:22" ht="12.75" x14ac:dyDescent="0.2">
      <c r="A26" s="348">
        <f t="shared" si="0"/>
        <v>17</v>
      </c>
      <c r="B26" s="359"/>
      <c r="C26" s="123" t="s">
        <v>329</v>
      </c>
      <c r="D26" s="287"/>
      <c r="E26" s="457"/>
      <c r="F26" s="348"/>
      <c r="G26" s="348"/>
      <c r="H26" s="458"/>
      <c r="I26" s="293"/>
      <c r="J26" s="337"/>
      <c r="K26" s="337"/>
      <c r="L26" s="293"/>
      <c r="M26" s="337"/>
      <c r="N26" s="337"/>
      <c r="O26" s="293"/>
      <c r="P26" s="337"/>
      <c r="Q26" s="337"/>
      <c r="R26" s="337"/>
      <c r="S26" s="337"/>
      <c r="T26" s="337"/>
      <c r="U26" s="337"/>
      <c r="V26" s="293"/>
    </row>
    <row r="27" spans="1:22" ht="12.75" x14ac:dyDescent="0.2">
      <c r="A27" s="348">
        <f t="shared" si="0"/>
        <v>18</v>
      </c>
      <c r="B27" s="293" t="s">
        <v>226</v>
      </c>
      <c r="C27" s="353" t="s">
        <v>116</v>
      </c>
      <c r="D27" s="541"/>
      <c r="E27" s="461" t="s">
        <v>358</v>
      </c>
      <c r="F27" s="462">
        <v>50</v>
      </c>
      <c r="G27" s="463">
        <v>-0.1</v>
      </c>
      <c r="H27" s="464">
        <v>2.5499999999999998E-2</v>
      </c>
      <c r="I27" s="293"/>
      <c r="J27" s="354">
        <v>-6.5590000000000002</v>
      </c>
      <c r="K27" s="354">
        <v>-6.5590000000000002</v>
      </c>
      <c r="L27" s="293"/>
      <c r="M27" s="354">
        <v>-6.5590000000000002</v>
      </c>
      <c r="N27" s="354">
        <f>+K27</f>
        <v>-6.5590000000000002</v>
      </c>
      <c r="O27" s="293"/>
      <c r="P27" s="354">
        <v>-6.5590000000000002</v>
      </c>
      <c r="Q27" s="354">
        <f>+N27</f>
        <v>-6.5590000000000002</v>
      </c>
      <c r="R27" s="337"/>
      <c r="S27" s="337">
        <v>-6.5590000000000002</v>
      </c>
      <c r="T27" s="337"/>
      <c r="U27" s="337">
        <v>-6.5590000000000002</v>
      </c>
      <c r="V27" s="293"/>
    </row>
    <row r="28" spans="1:22" ht="12.75" x14ac:dyDescent="0.2">
      <c r="A28" s="348">
        <f t="shared" si="0"/>
        <v>19</v>
      </c>
      <c r="B28" s="293" t="s">
        <v>13</v>
      </c>
      <c r="C28" s="356" t="s">
        <v>234</v>
      </c>
      <c r="D28" s="287"/>
      <c r="E28" s="457"/>
      <c r="F28" s="348"/>
      <c r="G28" s="348"/>
      <c r="H28" s="458"/>
      <c r="I28" s="293"/>
      <c r="J28" s="350">
        <f>SUM(J27:J27)</f>
        <v>-6.5590000000000002</v>
      </c>
      <c r="K28" s="350">
        <f>SUM(K27:K27)</f>
        <v>-6.5590000000000002</v>
      </c>
      <c r="L28" s="293"/>
      <c r="M28" s="350">
        <f>SUM(M27:M27)</f>
        <v>-6.5590000000000002</v>
      </c>
      <c r="N28" s="350">
        <f>SUM(N27:N27)</f>
        <v>-6.5590000000000002</v>
      </c>
      <c r="O28" s="293"/>
      <c r="P28" s="351">
        <f>SUM(P27:P27)</f>
        <v>-6.5590000000000002</v>
      </c>
      <c r="Q28" s="351">
        <f>SUM(Q27:Q27)</f>
        <v>-6.5590000000000002</v>
      </c>
      <c r="R28" s="337"/>
      <c r="S28" s="355">
        <f>SUM(S27:S27)</f>
        <v>-6.5590000000000002</v>
      </c>
      <c r="T28" s="337"/>
      <c r="U28" s="355">
        <f>SUM(U27:U27)</f>
        <v>-6.5590000000000002</v>
      </c>
      <c r="V28" s="293"/>
    </row>
    <row r="29" spans="1:22" ht="12.75" x14ac:dyDescent="0.2">
      <c r="A29" s="348">
        <f t="shared" si="0"/>
        <v>20</v>
      </c>
      <c r="B29" s="293" t="s">
        <v>13</v>
      </c>
      <c r="C29" s="348"/>
      <c r="D29" s="287"/>
      <c r="E29" s="457"/>
      <c r="F29" s="348"/>
      <c r="G29" s="348"/>
      <c r="H29" s="458"/>
      <c r="I29" s="293"/>
      <c r="J29" s="337"/>
      <c r="K29" s="337"/>
      <c r="L29" s="293"/>
      <c r="M29" s="337"/>
      <c r="N29" s="337"/>
      <c r="O29" s="293"/>
      <c r="P29" s="337"/>
      <c r="Q29" s="337"/>
      <c r="R29" s="337"/>
      <c r="S29" s="337"/>
      <c r="T29" s="337"/>
      <c r="U29" s="337"/>
      <c r="V29" s="293"/>
    </row>
    <row r="30" spans="1:22" ht="12.75" x14ac:dyDescent="0.2">
      <c r="A30" s="348">
        <f t="shared" si="0"/>
        <v>21</v>
      </c>
      <c r="B30" s="293"/>
      <c r="C30" s="123" t="s">
        <v>101</v>
      </c>
      <c r="D30" s="293"/>
      <c r="E30" s="467"/>
      <c r="F30" s="468"/>
      <c r="G30" s="469"/>
      <c r="H30" s="338"/>
      <c r="I30" s="293"/>
      <c r="J30" s="337"/>
      <c r="K30" s="337"/>
      <c r="L30" s="293"/>
      <c r="M30" s="337"/>
      <c r="N30" s="337"/>
      <c r="O30" s="293"/>
      <c r="P30" s="337"/>
      <c r="Q30" s="337"/>
      <c r="R30" s="337"/>
      <c r="S30" s="337"/>
      <c r="T30" s="337"/>
      <c r="U30" s="337"/>
      <c r="V30" s="293"/>
    </row>
    <row r="31" spans="1:22" ht="12.75" x14ac:dyDescent="0.2">
      <c r="A31" s="348">
        <f t="shared" si="0"/>
        <v>22</v>
      </c>
      <c r="B31" s="293" t="s">
        <v>102</v>
      </c>
      <c r="C31" s="293" t="s">
        <v>103</v>
      </c>
      <c r="D31" s="293"/>
      <c r="E31" s="457" t="s">
        <v>357</v>
      </c>
      <c r="F31" s="470">
        <v>75</v>
      </c>
      <c r="G31" s="471">
        <v>0</v>
      </c>
      <c r="H31" s="472">
        <v>1.52E-2</v>
      </c>
      <c r="I31" s="293"/>
      <c r="J31" s="337">
        <v>2E-3</v>
      </c>
      <c r="K31" s="337">
        <v>2E-3</v>
      </c>
      <c r="L31" s="293"/>
      <c r="M31" s="337">
        <v>2E-3</v>
      </c>
      <c r="N31" s="337">
        <f t="shared" ref="N31:N42" si="5">+K31</f>
        <v>2E-3</v>
      </c>
      <c r="O31" s="293"/>
      <c r="P31" s="337">
        <v>2E-3</v>
      </c>
      <c r="Q31" s="337">
        <f t="shared" ref="Q31:Q42" si="6">+N31</f>
        <v>2E-3</v>
      </c>
      <c r="R31" s="337"/>
      <c r="S31" s="337">
        <v>2E-3</v>
      </c>
      <c r="T31" s="337"/>
      <c r="U31" s="337">
        <v>2E-3</v>
      </c>
      <c r="V31" s="293"/>
    </row>
    <row r="32" spans="1:22" ht="12.75" x14ac:dyDescent="0.2">
      <c r="A32" s="348">
        <f t="shared" si="0"/>
        <v>23</v>
      </c>
      <c r="B32" s="293" t="s">
        <v>104</v>
      </c>
      <c r="C32" s="293" t="s">
        <v>105</v>
      </c>
      <c r="D32" s="293"/>
      <c r="E32" s="457" t="s">
        <v>357</v>
      </c>
      <c r="F32" s="470">
        <v>45</v>
      </c>
      <c r="G32" s="473">
        <v>-0.75</v>
      </c>
      <c r="H32" s="338">
        <v>2.6700000000000002E-2</v>
      </c>
      <c r="I32" s="293"/>
      <c r="J32" s="337">
        <v>-75.293999999999997</v>
      </c>
      <c r="K32" s="337">
        <v>-75.293999999999997</v>
      </c>
      <c r="L32" s="293"/>
      <c r="M32" s="337">
        <v>-75.293999999999997</v>
      </c>
      <c r="N32" s="337">
        <f t="shared" si="5"/>
        <v>-75.293999999999997</v>
      </c>
      <c r="O32" s="293"/>
      <c r="P32" s="337">
        <v>-75.293999999999997</v>
      </c>
      <c r="Q32" s="337">
        <f t="shared" si="6"/>
        <v>-75.293999999999997</v>
      </c>
      <c r="R32" s="337"/>
      <c r="S32" s="337">
        <v>-75.293999999999997</v>
      </c>
      <c r="T32" s="337"/>
      <c r="U32" s="337">
        <v>-75.293999999999997</v>
      </c>
      <c r="V32" s="293"/>
    </row>
    <row r="33" spans="1:22" ht="12.75" x14ac:dyDescent="0.2">
      <c r="A33" s="348">
        <f t="shared" si="0"/>
        <v>24</v>
      </c>
      <c r="B33" s="293" t="s">
        <v>106</v>
      </c>
      <c r="C33" s="293" t="s">
        <v>107</v>
      </c>
      <c r="D33" s="293"/>
      <c r="E33" s="457" t="s">
        <v>358</v>
      </c>
      <c r="F33" s="470">
        <v>45</v>
      </c>
      <c r="G33" s="473">
        <v>-0.8</v>
      </c>
      <c r="H33" s="338">
        <v>2.69E-2</v>
      </c>
      <c r="I33" s="293"/>
      <c r="J33" s="337">
        <v>-37.284999999999997</v>
      </c>
      <c r="K33" s="337">
        <v>-37.284999999999997</v>
      </c>
      <c r="L33" s="293"/>
      <c r="M33" s="337">
        <v>-37.284999999999997</v>
      </c>
      <c r="N33" s="337">
        <f t="shared" si="5"/>
        <v>-37.284999999999997</v>
      </c>
      <c r="O33" s="293"/>
      <c r="P33" s="337">
        <v>-37.284999999999997</v>
      </c>
      <c r="Q33" s="337">
        <f t="shared" si="6"/>
        <v>-37.284999999999997</v>
      </c>
      <c r="R33" s="337"/>
      <c r="S33" s="337">
        <v>-37.284999999999997</v>
      </c>
      <c r="T33" s="337"/>
      <c r="U33" s="337">
        <v>-37.284999999999997</v>
      </c>
      <c r="V33" s="293"/>
    </row>
    <row r="34" spans="1:22" ht="12.75" x14ac:dyDescent="0.2">
      <c r="A34" s="348">
        <f t="shared" si="0"/>
        <v>25</v>
      </c>
      <c r="B34" s="293" t="s">
        <v>108</v>
      </c>
      <c r="C34" s="293" t="s">
        <v>109</v>
      </c>
      <c r="D34" s="293"/>
      <c r="E34" s="457" t="s">
        <v>357</v>
      </c>
      <c r="F34" s="470">
        <v>45</v>
      </c>
      <c r="G34" s="471">
        <v>-0.1</v>
      </c>
      <c r="H34" s="338">
        <v>2.6200000000000001E-2</v>
      </c>
      <c r="I34" s="293"/>
      <c r="J34" s="337">
        <v>-7.44</v>
      </c>
      <c r="K34" s="337">
        <v>-7.44</v>
      </c>
      <c r="L34" s="293"/>
      <c r="M34" s="337">
        <v>-7.44</v>
      </c>
      <c r="N34" s="337">
        <f t="shared" si="5"/>
        <v>-7.44</v>
      </c>
      <c r="O34" s="293"/>
      <c r="P34" s="337">
        <v>-7.44</v>
      </c>
      <c r="Q34" s="337">
        <f t="shared" si="6"/>
        <v>-7.44</v>
      </c>
      <c r="R34" s="337"/>
      <c r="S34" s="337">
        <v>-7.44</v>
      </c>
      <c r="T34" s="337"/>
      <c r="U34" s="337">
        <v>-7.44</v>
      </c>
      <c r="V34" s="293"/>
    </row>
    <row r="35" spans="1:22" ht="12.75" x14ac:dyDescent="0.2">
      <c r="A35" s="348">
        <f t="shared" si="0"/>
        <v>26</v>
      </c>
      <c r="B35" s="293" t="s">
        <v>110</v>
      </c>
      <c r="C35" s="293" t="s">
        <v>111</v>
      </c>
      <c r="D35" s="293"/>
      <c r="E35" s="457" t="s">
        <v>357</v>
      </c>
      <c r="F35" s="470">
        <v>45</v>
      </c>
      <c r="G35" s="471">
        <v>-0.5</v>
      </c>
      <c r="H35" s="338">
        <v>2.1100000000000001E-2</v>
      </c>
      <c r="I35" s="293"/>
      <c r="J35" s="337">
        <v>14.303000000000001</v>
      </c>
      <c r="K35" s="337">
        <v>14.303000000000001</v>
      </c>
      <c r="L35" s="293"/>
      <c r="M35" s="337">
        <v>14.303000000000001</v>
      </c>
      <c r="N35" s="337">
        <f t="shared" si="5"/>
        <v>14.303000000000001</v>
      </c>
      <c r="O35" s="293"/>
      <c r="P35" s="337">
        <v>14.303000000000001</v>
      </c>
      <c r="Q35" s="337">
        <f t="shared" si="6"/>
        <v>14.303000000000001</v>
      </c>
      <c r="R35" s="337"/>
      <c r="S35" s="337">
        <v>14.303000000000001</v>
      </c>
      <c r="T35" s="337"/>
      <c r="U35" s="337">
        <v>14.303000000000001</v>
      </c>
      <c r="V35" s="293"/>
    </row>
    <row r="36" spans="1:22" ht="12.75" x14ac:dyDescent="0.2">
      <c r="A36" s="348">
        <f t="shared" si="0"/>
        <v>27</v>
      </c>
      <c r="B36" s="293" t="s">
        <v>112</v>
      </c>
      <c r="C36" s="293" t="s">
        <v>113</v>
      </c>
      <c r="D36" s="293"/>
      <c r="E36" s="457" t="s">
        <v>358</v>
      </c>
      <c r="F36" s="470">
        <v>40</v>
      </c>
      <c r="G36" s="471">
        <v>-0.1</v>
      </c>
      <c r="H36" s="338">
        <v>2.63E-2</v>
      </c>
      <c r="I36" s="293"/>
      <c r="J36" s="337">
        <v>-4.3959999999999999</v>
      </c>
      <c r="K36" s="337">
        <v>-4.3959999999999999</v>
      </c>
      <c r="L36" s="293"/>
      <c r="M36" s="337">
        <v>-4.3959999999999999</v>
      </c>
      <c r="N36" s="337">
        <f t="shared" si="5"/>
        <v>-4.3959999999999999</v>
      </c>
      <c r="O36" s="293"/>
      <c r="P36" s="337">
        <v>-4.3959999999999999</v>
      </c>
      <c r="Q36" s="337">
        <f t="shared" si="6"/>
        <v>-4.3959999999999999</v>
      </c>
      <c r="R36" s="337"/>
      <c r="S36" s="337">
        <v>-4.3959999999999999</v>
      </c>
      <c r="T36" s="337"/>
      <c r="U36" s="337">
        <v>-4.3959999999999999</v>
      </c>
      <c r="V36" s="293"/>
    </row>
    <row r="37" spans="1:22" ht="12.75" x14ac:dyDescent="0.2">
      <c r="A37" s="348">
        <f t="shared" si="0"/>
        <v>28</v>
      </c>
      <c r="B37" s="293" t="s">
        <v>114</v>
      </c>
      <c r="C37" s="293" t="s">
        <v>91</v>
      </c>
      <c r="D37" s="293"/>
      <c r="E37" s="474" t="s">
        <v>536</v>
      </c>
      <c r="F37" s="470">
        <v>15</v>
      </c>
      <c r="G37" s="471">
        <v>0</v>
      </c>
      <c r="H37" s="338">
        <v>4.0599999999999997E-2</v>
      </c>
      <c r="I37" s="293"/>
      <c r="J37" s="337">
        <v>60.46</v>
      </c>
      <c r="K37" s="337">
        <v>60.46</v>
      </c>
      <c r="L37" s="293"/>
      <c r="M37" s="337">
        <v>60.46</v>
      </c>
      <c r="N37" s="337">
        <f t="shared" si="5"/>
        <v>60.46</v>
      </c>
      <c r="O37" s="293"/>
      <c r="P37" s="337">
        <v>60.46</v>
      </c>
      <c r="Q37" s="337">
        <f t="shared" si="6"/>
        <v>60.46</v>
      </c>
      <c r="R37" s="337"/>
      <c r="S37" s="337">
        <v>60.46</v>
      </c>
      <c r="T37" s="337"/>
      <c r="U37" s="337">
        <v>60.46</v>
      </c>
      <c r="V37" s="293"/>
    </row>
    <row r="38" spans="1:22" ht="12.75" x14ac:dyDescent="0.2">
      <c r="A38" s="348">
        <f t="shared" si="0"/>
        <v>29</v>
      </c>
      <c r="B38" s="293" t="s">
        <v>350</v>
      </c>
      <c r="C38" s="293" t="s">
        <v>351</v>
      </c>
      <c r="D38" s="293"/>
      <c r="E38" s="474" t="s">
        <v>359</v>
      </c>
      <c r="F38" s="470">
        <v>15</v>
      </c>
      <c r="G38" s="471">
        <v>0</v>
      </c>
      <c r="H38" s="338">
        <v>4.5400000000000003E-2</v>
      </c>
      <c r="I38" s="293"/>
      <c r="J38" s="337">
        <v>1.159</v>
      </c>
      <c r="K38" s="337">
        <v>1.159</v>
      </c>
      <c r="L38" s="293"/>
      <c r="M38" s="337">
        <v>1.159</v>
      </c>
      <c r="N38" s="337">
        <f t="shared" si="5"/>
        <v>1.159</v>
      </c>
      <c r="O38" s="293"/>
      <c r="P38" s="337">
        <v>1.159</v>
      </c>
      <c r="Q38" s="337">
        <f t="shared" si="6"/>
        <v>1.159</v>
      </c>
      <c r="R38" s="337"/>
      <c r="S38" s="337">
        <v>1.159</v>
      </c>
      <c r="T38" s="337"/>
      <c r="U38" s="337">
        <v>1.159</v>
      </c>
      <c r="V38" s="293"/>
    </row>
    <row r="39" spans="1:22" ht="12.75" x14ac:dyDescent="0.2">
      <c r="A39" s="348">
        <f t="shared" si="0"/>
        <v>30</v>
      </c>
      <c r="B39" s="293" t="s">
        <v>115</v>
      </c>
      <c r="C39" s="293" t="s">
        <v>228</v>
      </c>
      <c r="D39" s="293"/>
      <c r="E39" s="474" t="s">
        <v>358</v>
      </c>
      <c r="F39" s="470">
        <v>40</v>
      </c>
      <c r="G39" s="471">
        <v>-0.1</v>
      </c>
      <c r="H39" s="338">
        <v>2.92E-2</v>
      </c>
      <c r="I39" s="293"/>
      <c r="J39" s="337">
        <v>-16.053000000000001</v>
      </c>
      <c r="K39" s="337">
        <v>-16.053000000000001</v>
      </c>
      <c r="L39" s="293"/>
      <c r="M39" s="337">
        <v>-16.053000000000001</v>
      </c>
      <c r="N39" s="337">
        <f t="shared" si="5"/>
        <v>-16.053000000000001</v>
      </c>
      <c r="O39" s="293"/>
      <c r="P39" s="337">
        <v>-16.053000000000001</v>
      </c>
      <c r="Q39" s="337">
        <f t="shared" si="6"/>
        <v>-16.053000000000001</v>
      </c>
      <c r="R39" s="337"/>
      <c r="S39" s="337">
        <v>-16.053000000000001</v>
      </c>
      <c r="T39" s="337"/>
      <c r="U39" s="337">
        <v>-16.053000000000001</v>
      </c>
      <c r="V39" s="293"/>
    </row>
    <row r="40" spans="1:22" ht="12.75" x14ac:dyDescent="0.2">
      <c r="A40" s="348">
        <f t="shared" si="0"/>
        <v>31</v>
      </c>
      <c r="B40" s="293" t="s">
        <v>117</v>
      </c>
      <c r="C40" s="293" t="s">
        <v>118</v>
      </c>
      <c r="D40" s="293"/>
      <c r="E40" s="474" t="s">
        <v>357</v>
      </c>
      <c r="F40" s="470">
        <v>30</v>
      </c>
      <c r="G40" s="471">
        <v>-0.1</v>
      </c>
      <c r="H40" s="338">
        <v>4.1300000000000003E-2</v>
      </c>
      <c r="I40" s="293"/>
      <c r="J40" s="337">
        <v>-64.391999999999996</v>
      </c>
      <c r="K40" s="337">
        <v>-64.391999999999996</v>
      </c>
      <c r="L40" s="293"/>
      <c r="M40" s="337">
        <v>-64.391999999999996</v>
      </c>
      <c r="N40" s="337">
        <f t="shared" si="5"/>
        <v>-64.391999999999996</v>
      </c>
      <c r="O40" s="293"/>
      <c r="P40" s="337">
        <v>-64.391999999999996</v>
      </c>
      <c r="Q40" s="337">
        <f t="shared" si="6"/>
        <v>-64.391999999999996</v>
      </c>
      <c r="R40" s="337"/>
      <c r="S40" s="337">
        <v>-64.391999999999996</v>
      </c>
      <c r="T40" s="337"/>
      <c r="U40" s="337">
        <v>-64.391999999999996</v>
      </c>
      <c r="V40" s="293"/>
    </row>
    <row r="41" spans="1:22" ht="12.75" x14ac:dyDescent="0.2">
      <c r="A41" s="348">
        <f t="shared" si="0"/>
        <v>32</v>
      </c>
      <c r="B41" s="293" t="s">
        <v>229</v>
      </c>
      <c r="C41" s="293" t="s">
        <v>230</v>
      </c>
      <c r="D41" s="293"/>
      <c r="E41" s="474" t="s">
        <v>360</v>
      </c>
      <c r="F41" s="470">
        <v>23</v>
      </c>
      <c r="G41" s="471">
        <v>0</v>
      </c>
      <c r="H41" s="338">
        <v>3.3700000000000001E-2</v>
      </c>
      <c r="I41" s="293"/>
      <c r="J41" s="337">
        <v>-18.03</v>
      </c>
      <c r="K41" s="337">
        <v>-18.03</v>
      </c>
      <c r="L41" s="293"/>
      <c r="M41" s="337">
        <v>-18.03</v>
      </c>
      <c r="N41" s="337">
        <f t="shared" si="5"/>
        <v>-18.03</v>
      </c>
      <c r="O41" s="293"/>
      <c r="P41" s="337">
        <v>-18.03</v>
      </c>
      <c r="Q41" s="337">
        <f t="shared" si="6"/>
        <v>-18.03</v>
      </c>
      <c r="R41" s="337"/>
      <c r="S41" s="337">
        <v>-18.03</v>
      </c>
      <c r="T41" s="337"/>
      <c r="U41" s="337">
        <v>-18.03</v>
      </c>
      <c r="V41" s="293"/>
    </row>
    <row r="42" spans="1:22" ht="12.75" x14ac:dyDescent="0.2">
      <c r="A42" s="348">
        <f t="shared" si="0"/>
        <v>33</v>
      </c>
      <c r="B42" s="293" t="s">
        <v>119</v>
      </c>
      <c r="C42" s="328" t="s">
        <v>227</v>
      </c>
      <c r="D42" s="357"/>
      <c r="E42" s="475" t="s">
        <v>357</v>
      </c>
      <c r="F42" s="475">
        <v>45</v>
      </c>
      <c r="G42" s="476">
        <v>-0.1</v>
      </c>
      <c r="H42" s="477">
        <v>3.04E-2</v>
      </c>
      <c r="I42" s="293"/>
      <c r="J42" s="354">
        <v>-83.795000000000002</v>
      </c>
      <c r="K42" s="354">
        <v>-83.795000000000002</v>
      </c>
      <c r="L42" s="293"/>
      <c r="M42" s="354">
        <v>-83.795000000000002</v>
      </c>
      <c r="N42" s="354">
        <f t="shared" si="5"/>
        <v>-83.795000000000002</v>
      </c>
      <c r="O42" s="293"/>
      <c r="P42" s="354">
        <v>-83.795000000000002</v>
      </c>
      <c r="Q42" s="354">
        <f t="shared" si="6"/>
        <v>-83.795000000000002</v>
      </c>
      <c r="R42" s="337"/>
      <c r="S42" s="337">
        <v>-83.795000000000002</v>
      </c>
      <c r="T42" s="337"/>
      <c r="U42" s="337">
        <v>-83.795000000000002</v>
      </c>
      <c r="V42" s="293"/>
    </row>
    <row r="43" spans="1:22" ht="12.75" x14ac:dyDescent="0.2">
      <c r="A43" s="348">
        <f t="shared" si="0"/>
        <v>34</v>
      </c>
      <c r="B43" s="293"/>
      <c r="C43" s="293" t="s">
        <v>120</v>
      </c>
      <c r="D43" s="293"/>
      <c r="E43" s="474"/>
      <c r="F43" s="470"/>
      <c r="G43" s="471"/>
      <c r="H43" s="338"/>
      <c r="I43" s="293"/>
      <c r="J43" s="350">
        <f>SUM(J31:J42)</f>
        <v>-230.76099999999997</v>
      </c>
      <c r="K43" s="350">
        <f>SUM(K31:K42)</f>
        <v>-230.76099999999997</v>
      </c>
      <c r="L43" s="293"/>
      <c r="M43" s="350">
        <f>SUM(M31:M42)</f>
        <v>-230.76099999999997</v>
      </c>
      <c r="N43" s="350">
        <f>SUM(N31:N42)</f>
        <v>-230.76099999999997</v>
      </c>
      <c r="O43" s="293"/>
      <c r="P43" s="351">
        <f>SUM(P31:P42)</f>
        <v>-230.76099999999997</v>
      </c>
      <c r="Q43" s="351">
        <f>SUM(Q31:Q42)</f>
        <v>-230.76099999999997</v>
      </c>
      <c r="R43" s="337"/>
      <c r="S43" s="355">
        <f>SUM(S31:S42)</f>
        <v>-230.76099999999997</v>
      </c>
      <c r="T43" s="337"/>
      <c r="U43" s="355">
        <f>SUM(U31:U42)</f>
        <v>-230.76099999999997</v>
      </c>
      <c r="V43" s="293"/>
    </row>
    <row r="44" spans="1:22" ht="12.75" x14ac:dyDescent="0.2">
      <c r="A44" s="348">
        <f t="shared" si="0"/>
        <v>35</v>
      </c>
      <c r="B44" s="293"/>
      <c r="C44" s="293"/>
      <c r="D44" s="293"/>
      <c r="E44" s="474"/>
      <c r="F44" s="470"/>
      <c r="G44" s="471"/>
      <c r="H44" s="338"/>
      <c r="I44" s="293"/>
      <c r="J44" s="337"/>
      <c r="K44" s="337"/>
      <c r="L44" s="293"/>
      <c r="M44" s="337"/>
      <c r="N44" s="337"/>
      <c r="O44" s="293"/>
      <c r="P44" s="337"/>
      <c r="Q44" s="337"/>
      <c r="R44" s="337"/>
      <c r="S44" s="337"/>
      <c r="T44" s="337"/>
      <c r="U44" s="337"/>
      <c r="V44" s="293"/>
    </row>
    <row r="45" spans="1:22" ht="12.75" x14ac:dyDescent="0.2">
      <c r="A45" s="348">
        <f t="shared" si="0"/>
        <v>36</v>
      </c>
      <c r="B45" s="293"/>
      <c r="C45" s="123" t="s">
        <v>121</v>
      </c>
      <c r="D45" s="293"/>
      <c r="E45" s="474"/>
      <c r="F45" s="470"/>
      <c r="G45" s="471"/>
      <c r="H45" s="338"/>
      <c r="I45" s="293"/>
      <c r="J45" s="337"/>
      <c r="K45" s="337"/>
      <c r="L45" s="293"/>
      <c r="M45" s="337"/>
      <c r="N45" s="337"/>
      <c r="O45" s="293"/>
      <c r="P45" s="337"/>
      <c r="Q45" s="337"/>
      <c r="R45" s="337"/>
      <c r="S45" s="337"/>
      <c r="T45" s="337"/>
      <c r="U45" s="337"/>
      <c r="V45" s="293"/>
    </row>
    <row r="46" spans="1:22" ht="12.75" x14ac:dyDescent="0.2">
      <c r="A46" s="348">
        <f t="shared" si="0"/>
        <v>37</v>
      </c>
      <c r="B46" s="293" t="s">
        <v>122</v>
      </c>
      <c r="C46" s="293" t="s">
        <v>123</v>
      </c>
      <c r="D46" s="293"/>
      <c r="E46" s="474" t="s">
        <v>537</v>
      </c>
      <c r="F46" s="470">
        <v>40</v>
      </c>
      <c r="G46" s="471">
        <v>0</v>
      </c>
      <c r="H46" s="338">
        <v>3.1899999999999998E-2</v>
      </c>
      <c r="I46" s="293"/>
      <c r="J46" s="337">
        <v>-15.319000000000001</v>
      </c>
      <c r="K46" s="337">
        <v>-15.319000000000001</v>
      </c>
      <c r="L46" s="293"/>
      <c r="M46" s="337">
        <v>-15.319000000000001</v>
      </c>
      <c r="N46" s="337">
        <f t="shared" ref="N46:N54" si="7">+K46</f>
        <v>-15.319000000000001</v>
      </c>
      <c r="O46" s="293"/>
      <c r="P46" s="337">
        <v>-15.319000000000001</v>
      </c>
      <c r="Q46" s="337">
        <f t="shared" ref="Q46:Q53" si="8">+N46</f>
        <v>-15.319000000000001</v>
      </c>
      <c r="R46" s="337"/>
      <c r="S46" s="337">
        <v>-15.319000000000001</v>
      </c>
      <c r="T46" s="337"/>
      <c r="U46" s="337">
        <v>-15.319000000000001</v>
      </c>
      <c r="V46" s="293"/>
    </row>
    <row r="47" spans="1:22" ht="12.75" x14ac:dyDescent="0.2">
      <c r="A47" s="348">
        <f t="shared" si="0"/>
        <v>38</v>
      </c>
      <c r="B47" s="293" t="s">
        <v>124</v>
      </c>
      <c r="C47" s="293" t="s">
        <v>125</v>
      </c>
      <c r="D47" s="293"/>
      <c r="E47" s="474" t="s">
        <v>361</v>
      </c>
      <c r="F47" s="470">
        <v>15</v>
      </c>
      <c r="G47" s="471">
        <v>0</v>
      </c>
      <c r="H47" s="338">
        <v>4.4900000000000002E-2</v>
      </c>
      <c r="I47" s="293"/>
      <c r="J47" s="337">
        <v>8.1340000000000003</v>
      </c>
      <c r="K47" s="337">
        <v>8.1340000000000003</v>
      </c>
      <c r="L47" s="293"/>
      <c r="M47" s="337">
        <v>8.1340000000000003</v>
      </c>
      <c r="N47" s="337">
        <f t="shared" si="7"/>
        <v>8.1340000000000003</v>
      </c>
      <c r="O47" s="293"/>
      <c r="P47" s="337">
        <v>8.1340000000000003</v>
      </c>
      <c r="Q47" s="337">
        <f t="shared" si="8"/>
        <v>8.1340000000000003</v>
      </c>
      <c r="R47" s="337"/>
      <c r="S47" s="337">
        <v>8.1340000000000003</v>
      </c>
      <c r="T47" s="337"/>
      <c r="U47" s="337">
        <v>8.1340000000000003</v>
      </c>
      <c r="V47" s="293"/>
    </row>
    <row r="48" spans="1:22" ht="12.75" x14ac:dyDescent="0.2">
      <c r="A48" s="348">
        <f t="shared" si="0"/>
        <v>39</v>
      </c>
      <c r="B48" s="360">
        <v>483.2</v>
      </c>
      <c r="C48" s="293" t="s">
        <v>235</v>
      </c>
      <c r="D48" s="293"/>
      <c r="E48" s="474" t="s">
        <v>361</v>
      </c>
      <c r="F48" s="470">
        <v>5</v>
      </c>
      <c r="G48" s="471">
        <v>0</v>
      </c>
      <c r="H48" s="338">
        <v>0.2</v>
      </c>
      <c r="I48" s="293"/>
      <c r="J48" s="337">
        <v>6.4</v>
      </c>
      <c r="K48" s="337">
        <v>6.4</v>
      </c>
      <c r="L48" s="293"/>
      <c r="M48" s="337">
        <v>6.4</v>
      </c>
      <c r="N48" s="337">
        <f t="shared" si="7"/>
        <v>6.4</v>
      </c>
      <c r="O48" s="293"/>
      <c r="P48" s="337">
        <v>6.4</v>
      </c>
      <c r="Q48" s="337">
        <f t="shared" si="8"/>
        <v>6.4</v>
      </c>
      <c r="R48" s="337"/>
      <c r="S48" s="337">
        <v>6.4</v>
      </c>
      <c r="T48" s="337"/>
      <c r="U48" s="337">
        <v>6.4</v>
      </c>
      <c r="V48" s="293"/>
    </row>
    <row r="49" spans="1:22" ht="12.75" x14ac:dyDescent="0.2">
      <c r="A49" s="348">
        <f t="shared" si="0"/>
        <v>40</v>
      </c>
      <c r="B49" s="293" t="s">
        <v>231</v>
      </c>
      <c r="C49" s="293" t="s">
        <v>232</v>
      </c>
      <c r="D49" s="293"/>
      <c r="E49" s="474" t="s">
        <v>536</v>
      </c>
      <c r="F49" s="470">
        <v>12</v>
      </c>
      <c r="G49" s="471">
        <v>0.25</v>
      </c>
      <c r="H49" s="338">
        <v>0.1082</v>
      </c>
      <c r="I49" s="293"/>
      <c r="J49" s="337">
        <v>-72.873999999999995</v>
      </c>
      <c r="K49" s="337">
        <v>-72.873999999999995</v>
      </c>
      <c r="L49" s="293"/>
      <c r="M49" s="337">
        <v>-72.873999999999995</v>
      </c>
      <c r="N49" s="337">
        <f t="shared" si="7"/>
        <v>-72.873999999999995</v>
      </c>
      <c r="O49" s="293"/>
      <c r="P49" s="337">
        <v>-72.873999999999995</v>
      </c>
      <c r="Q49" s="337">
        <f t="shared" si="8"/>
        <v>-72.873999999999995</v>
      </c>
      <c r="R49" s="337"/>
      <c r="S49" s="337">
        <v>-72.873999999999995</v>
      </c>
      <c r="T49" s="337"/>
      <c r="U49" s="337">
        <v>-72.873999999999995</v>
      </c>
      <c r="V49" s="293"/>
    </row>
    <row r="50" spans="1:22" ht="12.75" x14ac:dyDescent="0.2">
      <c r="A50" s="348">
        <f t="shared" si="0"/>
        <v>41</v>
      </c>
      <c r="B50" s="293" t="s">
        <v>126</v>
      </c>
      <c r="C50" s="293" t="s">
        <v>127</v>
      </c>
      <c r="D50" s="293"/>
      <c r="E50" s="474" t="s">
        <v>361</v>
      </c>
      <c r="F50" s="470">
        <v>15</v>
      </c>
      <c r="G50" s="471">
        <v>0</v>
      </c>
      <c r="H50" s="338">
        <v>6.54E-2</v>
      </c>
      <c r="I50" s="293"/>
      <c r="J50" s="337">
        <v>3.964</v>
      </c>
      <c r="K50" s="337">
        <v>3.964</v>
      </c>
      <c r="L50" s="293"/>
      <c r="M50" s="337">
        <v>3.964</v>
      </c>
      <c r="N50" s="337">
        <f t="shared" si="7"/>
        <v>3.964</v>
      </c>
      <c r="O50" s="293"/>
      <c r="P50" s="337">
        <v>3.964</v>
      </c>
      <c r="Q50" s="337">
        <f t="shared" si="8"/>
        <v>3.964</v>
      </c>
      <c r="R50" s="337"/>
      <c r="S50" s="337">
        <v>3.964</v>
      </c>
      <c r="T50" s="337"/>
      <c r="U50" s="337">
        <v>3.964</v>
      </c>
      <c r="V50" s="293"/>
    </row>
    <row r="51" spans="1:22" ht="12.75" x14ac:dyDescent="0.2">
      <c r="A51" s="348">
        <f t="shared" si="0"/>
        <v>42</v>
      </c>
      <c r="B51" s="293" t="s">
        <v>129</v>
      </c>
      <c r="C51" s="293" t="s">
        <v>233</v>
      </c>
      <c r="D51" s="293"/>
      <c r="E51" s="474" t="s">
        <v>361</v>
      </c>
      <c r="F51" s="470">
        <v>15</v>
      </c>
      <c r="G51" s="471">
        <v>0</v>
      </c>
      <c r="H51" s="338">
        <v>5.79E-2</v>
      </c>
      <c r="I51" s="293"/>
      <c r="J51" s="337">
        <v>3.964</v>
      </c>
      <c r="K51" s="337">
        <v>3.964</v>
      </c>
      <c r="L51" s="293"/>
      <c r="M51" s="337">
        <v>3.964</v>
      </c>
      <c r="N51" s="337">
        <f t="shared" si="7"/>
        <v>3.964</v>
      </c>
      <c r="O51" s="293"/>
      <c r="P51" s="337">
        <v>3.964</v>
      </c>
      <c r="Q51" s="337">
        <f t="shared" si="8"/>
        <v>3.964</v>
      </c>
      <c r="R51" s="337"/>
      <c r="S51" s="337">
        <v>3.964</v>
      </c>
      <c r="T51" s="337"/>
      <c r="U51" s="337">
        <v>3.964</v>
      </c>
      <c r="V51" s="293"/>
    </row>
    <row r="52" spans="1:22" ht="12.75" x14ac:dyDescent="0.2">
      <c r="A52" s="348">
        <f t="shared" si="0"/>
        <v>43</v>
      </c>
      <c r="B52" s="293" t="s">
        <v>327</v>
      </c>
      <c r="C52" s="293" t="s">
        <v>328</v>
      </c>
      <c r="D52" s="293"/>
      <c r="E52" s="474" t="s">
        <v>357</v>
      </c>
      <c r="F52" s="470">
        <v>40</v>
      </c>
      <c r="G52" s="471">
        <v>0.1</v>
      </c>
      <c r="H52" s="338">
        <v>2.47E-2</v>
      </c>
      <c r="I52" s="293"/>
      <c r="J52" s="337">
        <v>-71.793999999999997</v>
      </c>
      <c r="K52" s="337">
        <v>-71.793999999999997</v>
      </c>
      <c r="L52" s="293"/>
      <c r="M52" s="337">
        <v>-71.793999999999997</v>
      </c>
      <c r="N52" s="337">
        <f t="shared" si="7"/>
        <v>-71.793999999999997</v>
      </c>
      <c r="O52" s="293"/>
      <c r="P52" s="337">
        <v>-71.793999999999997</v>
      </c>
      <c r="Q52" s="337">
        <f t="shared" si="8"/>
        <v>-71.793999999999997</v>
      </c>
      <c r="R52" s="337"/>
      <c r="S52" s="337">
        <v>-71.793999999999997</v>
      </c>
      <c r="T52" s="337"/>
      <c r="U52" s="337">
        <v>-71.793999999999997</v>
      </c>
      <c r="V52" s="293"/>
    </row>
    <row r="53" spans="1:22" ht="12.75" x14ac:dyDescent="0.2">
      <c r="A53" s="348">
        <f t="shared" si="0"/>
        <v>44</v>
      </c>
      <c r="B53" s="293" t="s">
        <v>455</v>
      </c>
      <c r="C53" s="293" t="s">
        <v>239</v>
      </c>
      <c r="D53" s="328"/>
      <c r="E53" s="474"/>
      <c r="F53" s="478"/>
      <c r="G53" s="479"/>
      <c r="H53" s="480">
        <v>0</v>
      </c>
      <c r="I53" s="293"/>
      <c r="J53" s="337">
        <v>0</v>
      </c>
      <c r="K53" s="337">
        <v>0</v>
      </c>
      <c r="L53" s="293"/>
      <c r="M53" s="337">
        <v>0</v>
      </c>
      <c r="N53" s="337">
        <f t="shared" si="7"/>
        <v>0</v>
      </c>
      <c r="O53" s="293"/>
      <c r="P53" s="337">
        <v>0</v>
      </c>
      <c r="Q53" s="337">
        <f t="shared" si="8"/>
        <v>0</v>
      </c>
      <c r="R53" s="337"/>
      <c r="S53" s="337">
        <v>0</v>
      </c>
      <c r="T53" s="337"/>
      <c r="U53" s="337">
        <v>0</v>
      </c>
      <c r="V53" s="293"/>
    </row>
    <row r="54" spans="1:22" ht="12.75" x14ac:dyDescent="0.2">
      <c r="A54" s="348">
        <f t="shared" si="0"/>
        <v>45</v>
      </c>
      <c r="B54" s="293" t="s">
        <v>451</v>
      </c>
      <c r="C54" s="293" t="s">
        <v>510</v>
      </c>
      <c r="D54" s="328"/>
      <c r="E54" s="474"/>
      <c r="F54" s="478"/>
      <c r="G54" s="479"/>
      <c r="H54" s="480">
        <v>0.1</v>
      </c>
      <c r="I54" s="293"/>
      <c r="J54" s="337">
        <v>0</v>
      </c>
      <c r="K54" s="337">
        <v>0</v>
      </c>
      <c r="L54" s="293"/>
      <c r="M54" s="337">
        <v>0</v>
      </c>
      <c r="N54" s="337">
        <f t="shared" si="7"/>
        <v>0</v>
      </c>
      <c r="O54" s="293"/>
      <c r="P54" s="337"/>
      <c r="Q54" s="337"/>
      <c r="R54" s="337"/>
      <c r="S54" s="337">
        <v>0</v>
      </c>
      <c r="T54" s="337"/>
      <c r="U54" s="337">
        <v>0</v>
      </c>
      <c r="V54" s="293"/>
    </row>
    <row r="55" spans="1:22" ht="12.75" x14ac:dyDescent="0.2">
      <c r="A55" s="348">
        <f t="shared" si="0"/>
        <v>46</v>
      </c>
      <c r="B55" s="293" t="s">
        <v>452</v>
      </c>
      <c r="C55" s="293" t="s">
        <v>454</v>
      </c>
      <c r="D55" s="328"/>
      <c r="E55" s="474"/>
      <c r="F55" s="478"/>
      <c r="G55" s="479"/>
      <c r="H55" s="480"/>
      <c r="I55" s="293"/>
      <c r="J55" s="337">
        <v>0</v>
      </c>
      <c r="K55" s="337">
        <v>0</v>
      </c>
      <c r="L55" s="293"/>
      <c r="M55" s="337">
        <v>0</v>
      </c>
      <c r="N55" s="337"/>
      <c r="O55" s="293"/>
      <c r="P55" s="337"/>
      <c r="Q55" s="337"/>
      <c r="R55" s="337"/>
      <c r="S55" s="337">
        <v>0</v>
      </c>
      <c r="T55" s="337"/>
      <c r="U55" s="337">
        <v>0</v>
      </c>
      <c r="V55" s="293"/>
    </row>
    <row r="56" spans="1:22" ht="12.75" x14ac:dyDescent="0.2">
      <c r="A56" s="348">
        <f t="shared" si="0"/>
        <v>47</v>
      </c>
      <c r="B56" s="293" t="s">
        <v>453</v>
      </c>
      <c r="C56" s="293" t="s">
        <v>405</v>
      </c>
      <c r="D56" s="358"/>
      <c r="E56" s="481" t="s">
        <v>128</v>
      </c>
      <c r="F56" s="475">
        <v>10</v>
      </c>
      <c r="G56" s="476">
        <v>0</v>
      </c>
      <c r="H56" s="477">
        <v>0.1</v>
      </c>
      <c r="I56" s="293"/>
      <c r="J56" s="354">
        <v>0</v>
      </c>
      <c r="K56" s="354">
        <v>0</v>
      </c>
      <c r="L56" s="293"/>
      <c r="M56" s="354">
        <v>0</v>
      </c>
      <c r="N56" s="354">
        <f>+K56</f>
        <v>0</v>
      </c>
      <c r="O56" s="293"/>
      <c r="P56" s="354">
        <v>0</v>
      </c>
      <c r="Q56" s="354">
        <f>+N56</f>
        <v>0</v>
      </c>
      <c r="R56" s="337"/>
      <c r="S56" s="337">
        <v>0</v>
      </c>
      <c r="T56" s="337"/>
      <c r="U56" s="337">
        <v>0</v>
      </c>
      <c r="V56" s="293"/>
    </row>
    <row r="57" spans="1:22" ht="12.75" x14ac:dyDescent="0.2">
      <c r="A57" s="348">
        <f t="shared" si="0"/>
        <v>48</v>
      </c>
      <c r="B57" s="293"/>
      <c r="C57" s="293" t="s">
        <v>130</v>
      </c>
      <c r="D57" s="293"/>
      <c r="E57" s="482"/>
      <c r="F57" s="483"/>
      <c r="G57" s="473"/>
      <c r="H57" s="338"/>
      <c r="I57" s="293"/>
      <c r="J57" s="19">
        <f>SUM(J46:J56)</f>
        <v>-137.52499999999998</v>
      </c>
      <c r="K57" s="19">
        <f>SUM(K46:K56)</f>
        <v>-137.52499999999998</v>
      </c>
      <c r="L57" s="293"/>
      <c r="M57" s="19">
        <f>SUM(M46:M56)</f>
        <v>-137.52499999999998</v>
      </c>
      <c r="N57" s="19">
        <f>SUM(N46:N56)</f>
        <v>-137.52499999999998</v>
      </c>
      <c r="O57" s="293"/>
      <c r="P57" s="505">
        <f>SUM(P46:P56)</f>
        <v>-137.52499999999998</v>
      </c>
      <c r="Q57" s="505">
        <f>SUM(Q46:Q56)</f>
        <v>-137.52499999999998</v>
      </c>
      <c r="R57" s="337"/>
      <c r="S57" s="574">
        <f>SUM(S46:S56)</f>
        <v>-137.52499999999998</v>
      </c>
      <c r="T57" s="337"/>
      <c r="U57" s="574">
        <f>SUM(U46:U56)</f>
        <v>-137.52499999999998</v>
      </c>
      <c r="V57" s="293"/>
    </row>
    <row r="58" spans="1:22" ht="12.75" x14ac:dyDescent="0.2">
      <c r="A58" s="348">
        <f t="shared" si="0"/>
        <v>49</v>
      </c>
      <c r="B58" s="293"/>
      <c r="C58" s="293"/>
      <c r="D58" s="293"/>
      <c r="E58" s="484"/>
      <c r="F58" s="469"/>
      <c r="G58" s="473"/>
      <c r="H58" s="485"/>
      <c r="I58" s="293"/>
      <c r="J58" s="337"/>
      <c r="K58" s="337"/>
      <c r="L58" s="293"/>
      <c r="M58" s="337"/>
      <c r="N58" s="337"/>
      <c r="O58" s="293"/>
      <c r="P58" s="337"/>
      <c r="Q58" s="337"/>
      <c r="R58" s="337"/>
      <c r="S58" s="337"/>
      <c r="T58" s="337"/>
      <c r="U58" s="337"/>
      <c r="V58" s="293"/>
    </row>
    <row r="59" spans="1:22" ht="13.5" thickBot="1" x14ac:dyDescent="0.25">
      <c r="A59" s="348">
        <f t="shared" si="0"/>
        <v>50</v>
      </c>
      <c r="B59" s="293"/>
      <c r="C59" s="293" t="s">
        <v>294</v>
      </c>
      <c r="D59" s="293" t="s">
        <v>490</v>
      </c>
      <c r="E59" s="484"/>
      <c r="F59" s="469"/>
      <c r="G59" s="469"/>
      <c r="H59" s="485"/>
      <c r="I59" s="293"/>
      <c r="J59" s="486">
        <f>J43+J57+J28+J24+J16</f>
        <v>-401.87700000000001</v>
      </c>
      <c r="K59" s="486">
        <f>K43+K57+K28+K24+K16</f>
        <v>-401.87700000000001</v>
      </c>
      <c r="L59" s="293"/>
      <c r="M59" s="486">
        <f>M43+M57+M28+M24+M16</f>
        <v>-401.87700000000001</v>
      </c>
      <c r="N59" s="486">
        <f>N43+N57+N28+N24+N16</f>
        <v>-401.87700000000001</v>
      </c>
      <c r="O59" s="293"/>
      <c r="P59" s="506">
        <f>P43+P57+P28+P24+P16</f>
        <v>-401.87700000000001</v>
      </c>
      <c r="Q59" s="506">
        <f>Q43+Q57+Q28+Q24+Q16</f>
        <v>-401.87700000000001</v>
      </c>
      <c r="R59" s="337"/>
      <c r="S59" s="506">
        <f>S43+S57+S28+S24+S16</f>
        <v>-401.87700000000001</v>
      </c>
      <c r="T59" s="337"/>
      <c r="U59" s="506">
        <f>U43+U57+U28+U24+U16</f>
        <v>-401.87700000000001</v>
      </c>
      <c r="V59" s="293"/>
    </row>
  </sheetData>
  <customSheetViews>
    <customSheetView guid="{275E5119-9E8C-43ED-ACD2-DF40CF10B219}" scale="85">
      <selection activeCell="R6" sqref="R6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R6" sqref="R6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S7:U7"/>
  </mergeCells>
  <phoneticPr fontId="10" type="noConversion"/>
  <printOptions horizontalCentered="1"/>
  <pageMargins left="0.5" right="0.5" top="0.75" bottom="0.75" header="0.25" footer="0.5"/>
  <pageSetup scale="60" orientation="landscape" r:id="rId3"/>
  <headerFooter alignWithMargins="0">
    <oddHeader>&amp;RUndertaking 17 - Page 527, Lines 15-17, Attachment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R100"/>
  <sheetViews>
    <sheetView view="pageBreakPreview" zoomScaleNormal="85" zoomScaleSheetLayoutView="100" workbookViewId="0">
      <pane ySplit="8" topLeftCell="A69" activePane="bottomLeft" state="frozen"/>
      <selection activeCell="O61" sqref="O61"/>
      <selection pane="bottomLeft" activeCell="R83" sqref="R83:T104"/>
    </sheetView>
  </sheetViews>
  <sheetFormatPr defaultRowHeight="12.75" x14ac:dyDescent="0.2"/>
  <cols>
    <col min="1" max="1" width="4.42578125" style="293" bestFit="1" customWidth="1"/>
    <col min="2" max="2" width="2.7109375" style="293" customWidth="1"/>
    <col min="3" max="3" width="23.140625" style="293" customWidth="1"/>
    <col min="4" max="4" width="2.7109375" style="293" customWidth="1"/>
    <col min="5" max="5" width="12.85546875" style="293" customWidth="1"/>
    <col min="6" max="6" width="2.7109375" style="293" customWidth="1"/>
    <col min="7" max="7" width="12.7109375" style="293" customWidth="1"/>
    <col min="8" max="8" width="2.7109375" style="293" customWidth="1"/>
    <col min="9" max="9" width="12.7109375" style="293" customWidth="1"/>
    <col min="10" max="10" width="2.7109375" style="293" customWidth="1"/>
    <col min="11" max="11" width="12.7109375" style="293" customWidth="1"/>
    <col min="12" max="12" width="2.7109375" style="293" customWidth="1"/>
    <col min="13" max="13" width="12.7109375" style="293" customWidth="1"/>
    <col min="14" max="14" width="2.7109375" style="293" customWidth="1"/>
    <col min="15" max="15" width="12.7109375" style="293" customWidth="1"/>
    <col min="16" max="16" width="2.7109375" style="293" customWidth="1"/>
    <col min="17" max="16384" width="9.140625" style="293"/>
  </cols>
  <sheetData>
    <row r="1" spans="1:16" x14ac:dyDescent="0.2">
      <c r="A1" s="340" t="s">
        <v>1006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31"/>
      <c r="P1" s="121" t="s">
        <v>567</v>
      </c>
    </row>
    <row r="2" spans="1:16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121" t="s">
        <v>888</v>
      </c>
    </row>
    <row r="3" spans="1:16" x14ac:dyDescent="0.2">
      <c r="A3" s="340" t="s">
        <v>83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170"/>
    </row>
    <row r="4" spans="1:16" x14ac:dyDescent="0.2">
      <c r="A4" s="340" t="s">
        <v>18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170"/>
    </row>
    <row r="5" spans="1:16" x14ac:dyDescent="0.2">
      <c r="A5" s="391"/>
      <c r="B5" s="392"/>
      <c r="C5" s="392"/>
      <c r="D5" s="392"/>
      <c r="E5" s="392"/>
      <c r="F5" s="392"/>
      <c r="G5" s="392"/>
      <c r="H5" s="392"/>
      <c r="I5" s="392"/>
      <c r="J5" s="392"/>
      <c r="K5" s="331"/>
      <c r="L5" s="331"/>
      <c r="M5" s="331"/>
      <c r="N5" s="331"/>
      <c r="O5" s="331"/>
    </row>
    <row r="6" spans="1:16" s="296" customFormat="1" ht="11.25" x14ac:dyDescent="0.2">
      <c r="A6" s="279"/>
      <c r="B6" s="279"/>
      <c r="C6" s="279"/>
      <c r="D6" s="279"/>
      <c r="E6" s="279"/>
      <c r="F6" s="279"/>
      <c r="H6" s="279"/>
      <c r="I6" s="279"/>
      <c r="J6" s="279"/>
      <c r="K6" s="279" t="s">
        <v>23</v>
      </c>
      <c r="M6" s="279" t="s">
        <v>23</v>
      </c>
      <c r="O6" s="279"/>
      <c r="P6" s="279"/>
    </row>
    <row r="7" spans="1:16" s="296" customFormat="1" ht="11.25" x14ac:dyDescent="0.2">
      <c r="A7" s="279" t="s">
        <v>19</v>
      </c>
      <c r="B7" s="279"/>
      <c r="C7" s="279"/>
      <c r="D7" s="279"/>
      <c r="E7" s="279" t="s">
        <v>20</v>
      </c>
      <c r="F7" s="279"/>
      <c r="G7" s="279" t="s">
        <v>23</v>
      </c>
      <c r="H7" s="279"/>
      <c r="I7" s="279"/>
      <c r="J7" s="279"/>
      <c r="K7" s="279" t="s">
        <v>24</v>
      </c>
      <c r="M7" s="279" t="s">
        <v>25</v>
      </c>
      <c r="O7" s="279"/>
      <c r="P7" s="279"/>
    </row>
    <row r="8" spans="1:16" s="296" customFormat="1" ht="11.25" x14ac:dyDescent="0.2">
      <c r="A8" s="386" t="s">
        <v>21</v>
      </c>
      <c r="B8" s="279"/>
      <c r="C8" s="386" t="s">
        <v>149</v>
      </c>
      <c r="D8" s="279"/>
      <c r="E8" s="386" t="s">
        <v>22</v>
      </c>
      <c r="F8" s="393"/>
      <c r="G8" s="386" t="s">
        <v>26</v>
      </c>
      <c r="H8" s="279"/>
      <c r="I8" s="386" t="s">
        <v>27</v>
      </c>
      <c r="J8" s="279"/>
      <c r="K8" s="386" t="s">
        <v>28</v>
      </c>
      <c r="M8" s="386" t="s">
        <v>24</v>
      </c>
      <c r="O8" s="386" t="s">
        <v>29</v>
      </c>
      <c r="P8" s="393"/>
    </row>
    <row r="9" spans="1:16" s="296" customFormat="1" ht="11.25" x14ac:dyDescent="0.2">
      <c r="E9" s="244"/>
      <c r="F9" s="244"/>
    </row>
    <row r="10" spans="1:16" x14ac:dyDescent="0.2">
      <c r="E10" s="244"/>
      <c r="F10" s="244"/>
    </row>
    <row r="11" spans="1:16" x14ac:dyDescent="0.2">
      <c r="A11" s="406">
        <v>1</v>
      </c>
      <c r="B11" s="296"/>
      <c r="C11" s="394" t="s">
        <v>579</v>
      </c>
      <c r="D11" s="296"/>
      <c r="E11" s="244"/>
      <c r="F11" s="244"/>
      <c r="G11" s="296"/>
      <c r="H11" s="296"/>
      <c r="I11" s="296"/>
      <c r="J11" s="296"/>
      <c r="K11" s="296"/>
      <c r="L11" s="296"/>
      <c r="M11" s="296"/>
      <c r="N11" s="296"/>
      <c r="O11" s="395"/>
      <c r="P11" s="395"/>
    </row>
    <row r="12" spans="1:16" ht="6" customHeight="1" x14ac:dyDescent="0.2">
      <c r="A12" s="406"/>
      <c r="B12" s="296"/>
      <c r="C12" s="296"/>
      <c r="D12" s="296"/>
      <c r="E12" s="244"/>
      <c r="F12" s="244"/>
      <c r="G12" s="296"/>
      <c r="H12" s="296"/>
      <c r="I12" s="296"/>
      <c r="J12" s="296"/>
      <c r="K12" s="296"/>
      <c r="L12" s="296"/>
      <c r="M12" s="296"/>
      <c r="N12" s="296"/>
      <c r="O12" s="395"/>
      <c r="P12" s="395"/>
    </row>
    <row r="13" spans="1:16" x14ac:dyDescent="0.2">
      <c r="A13" s="406">
        <f>A11+1</f>
        <v>2</v>
      </c>
      <c r="B13" s="296"/>
      <c r="C13" s="296" t="s">
        <v>488</v>
      </c>
      <c r="D13" s="296"/>
      <c r="E13" s="244" t="s">
        <v>918</v>
      </c>
      <c r="F13" s="244"/>
      <c r="G13" s="395">
        <f>'S8.2 &amp; 8.3'!L31</f>
        <v>43650</v>
      </c>
      <c r="H13" s="296"/>
      <c r="I13" s="396">
        <f>G13/G19</f>
        <v>0.59398260916896861</v>
      </c>
      <c r="J13" s="296"/>
      <c r="K13" s="395">
        <f>K19*I13</f>
        <v>41936.360172547524</v>
      </c>
      <c r="L13" s="296"/>
      <c r="M13" s="396">
        <f>'S8.2 &amp; 8.3'!N31</f>
        <v>5.9058671248568159E-2</v>
      </c>
      <c r="N13" s="296"/>
      <c r="O13" s="395">
        <f>ROUND(K13*M13,0)</f>
        <v>2477</v>
      </c>
      <c r="P13" s="395"/>
    </row>
    <row r="14" spans="1:16" ht="6" customHeight="1" x14ac:dyDescent="0.2">
      <c r="A14" s="406"/>
      <c r="B14" s="296"/>
      <c r="C14" s="296"/>
      <c r="D14" s="296"/>
      <c r="E14" s="244"/>
      <c r="F14" s="244"/>
      <c r="G14" s="395"/>
      <c r="H14" s="296"/>
      <c r="I14" s="396"/>
      <c r="J14" s="296"/>
      <c r="K14" s="395"/>
      <c r="L14" s="296"/>
      <c r="M14" s="396"/>
      <c r="N14" s="296"/>
      <c r="O14" s="395"/>
      <c r="P14" s="395"/>
    </row>
    <row r="15" spans="1:16" x14ac:dyDescent="0.2">
      <c r="A15" s="406">
        <f>A13+1</f>
        <v>3</v>
      </c>
      <c r="B15" s="296"/>
      <c r="C15" s="296" t="s">
        <v>489</v>
      </c>
      <c r="D15" s="296"/>
      <c r="E15" s="244"/>
      <c r="F15" s="244"/>
      <c r="G15" s="395">
        <v>29672</v>
      </c>
      <c r="H15" s="296"/>
      <c r="I15" s="396">
        <f>G15/G$19</f>
        <v>0.40377209574482564</v>
      </c>
      <c r="J15" s="296"/>
      <c r="K15" s="395">
        <f>K19*I15</f>
        <v>28507.117503776179</v>
      </c>
      <c r="L15" s="296"/>
      <c r="M15" s="396">
        <f>O15/K15</f>
        <v>0.10779764034693921</v>
      </c>
      <c r="N15" s="296"/>
      <c r="O15" s="395">
        <f>O19-O13-O17</f>
        <v>3073</v>
      </c>
      <c r="P15" s="395"/>
    </row>
    <row r="16" spans="1:16" ht="6" customHeight="1" x14ac:dyDescent="0.2">
      <c r="A16" s="406"/>
      <c r="B16" s="296"/>
      <c r="C16" s="296"/>
      <c r="D16" s="296"/>
      <c r="E16" s="244"/>
      <c r="F16" s="244"/>
      <c r="G16" s="395"/>
      <c r="H16" s="296"/>
      <c r="I16" s="396"/>
      <c r="J16" s="296"/>
      <c r="K16" s="395"/>
      <c r="L16" s="296"/>
      <c r="M16" s="396"/>
      <c r="N16" s="296"/>
      <c r="O16" s="395"/>
      <c r="P16" s="395"/>
    </row>
    <row r="17" spans="1:16" x14ac:dyDescent="0.2">
      <c r="A17" s="406">
        <f>A15+1</f>
        <v>4</v>
      </c>
      <c r="B17" s="296"/>
      <c r="C17" s="296" t="s">
        <v>66</v>
      </c>
      <c r="D17" s="296"/>
      <c r="E17" s="244" t="s">
        <v>394</v>
      </c>
      <c r="F17" s="244"/>
      <c r="G17" s="397">
        <f>+'S8.4 '!G17</f>
        <v>165</v>
      </c>
      <c r="H17" s="296"/>
      <c r="I17" s="398">
        <f>G17/G$19</f>
        <v>2.2452950862057236E-3</v>
      </c>
      <c r="J17" s="296"/>
      <c r="K17" s="397">
        <f>K19*I17</f>
        <v>158.52232367629651</v>
      </c>
      <c r="L17" s="296"/>
      <c r="M17" s="398">
        <v>0</v>
      </c>
      <c r="N17" s="296"/>
      <c r="O17" s="399">
        <f>ROUND(K17*M17,0)</f>
        <v>0</v>
      </c>
      <c r="P17" s="400"/>
    </row>
    <row r="18" spans="1:16" ht="6" customHeight="1" x14ac:dyDescent="0.2">
      <c r="A18" s="406"/>
      <c r="B18" s="296"/>
      <c r="C18" s="296"/>
      <c r="D18" s="296"/>
      <c r="E18" s="244"/>
      <c r="F18" s="244"/>
      <c r="G18" s="395"/>
      <c r="H18" s="296"/>
      <c r="I18" s="296"/>
      <c r="J18" s="296"/>
      <c r="K18" s="395"/>
      <c r="L18" s="296"/>
      <c r="M18" s="396"/>
      <c r="N18" s="296"/>
      <c r="O18" s="395"/>
      <c r="P18" s="395"/>
    </row>
    <row r="19" spans="1:16" ht="13.5" thickBot="1" x14ac:dyDescent="0.25">
      <c r="A19" s="406">
        <f>A17+1</f>
        <v>5</v>
      </c>
      <c r="B19" s="296"/>
      <c r="C19" s="296" t="s">
        <v>12</v>
      </c>
      <c r="D19" s="296"/>
      <c r="E19" s="244" t="s">
        <v>241</v>
      </c>
      <c r="F19" s="244"/>
      <c r="G19" s="401">
        <f>SUM(G13:G17)</f>
        <v>73487</v>
      </c>
      <c r="H19" s="296"/>
      <c r="I19" s="404">
        <f>SUM(I13:I17)</f>
        <v>1</v>
      </c>
      <c r="J19" s="296"/>
      <c r="K19" s="401">
        <f>S8.5!G36</f>
        <v>70602</v>
      </c>
      <c r="L19" s="296"/>
      <c r="M19" s="402">
        <f>O19/K19</f>
        <v>7.8609671114132751E-2</v>
      </c>
      <c r="N19" s="296"/>
      <c r="O19" s="401">
        <v>5550</v>
      </c>
      <c r="P19" s="403"/>
    </row>
    <row r="20" spans="1:16" x14ac:dyDescent="0.2">
      <c r="A20" s="407"/>
      <c r="E20" s="244" t="s">
        <v>1000</v>
      </c>
      <c r="F20" s="244"/>
    </row>
    <row r="21" spans="1:16" x14ac:dyDescent="0.2">
      <c r="A21" s="406">
        <f>A19+1</f>
        <v>6</v>
      </c>
      <c r="B21" s="296"/>
      <c r="C21" s="394" t="s">
        <v>580</v>
      </c>
      <c r="D21" s="296"/>
      <c r="E21" s="244"/>
      <c r="F21" s="244"/>
      <c r="G21" s="296"/>
      <c r="H21" s="296"/>
      <c r="I21" s="296"/>
      <c r="J21" s="296"/>
      <c r="K21" s="296"/>
      <c r="L21" s="296"/>
      <c r="M21" s="296"/>
      <c r="N21" s="296"/>
      <c r="O21" s="395"/>
      <c r="P21" s="395"/>
    </row>
    <row r="22" spans="1:16" ht="6" customHeight="1" x14ac:dyDescent="0.2">
      <c r="A22" s="406"/>
      <c r="B22" s="296"/>
      <c r="C22" s="296"/>
      <c r="D22" s="296"/>
      <c r="E22" s="244"/>
      <c r="F22" s="244"/>
      <c r="G22" s="296"/>
      <c r="H22" s="296"/>
      <c r="I22" s="296"/>
      <c r="J22" s="296"/>
      <c r="K22" s="296"/>
      <c r="L22" s="296"/>
      <c r="M22" s="296"/>
      <c r="N22" s="296"/>
      <c r="O22" s="395"/>
      <c r="P22" s="395"/>
    </row>
    <row r="23" spans="1:16" x14ac:dyDescent="0.2">
      <c r="A23" s="406">
        <f>A21+1</f>
        <v>7</v>
      </c>
      <c r="B23" s="296"/>
      <c r="C23" s="296" t="s">
        <v>488</v>
      </c>
      <c r="D23" s="296"/>
      <c r="E23" s="244" t="s">
        <v>919</v>
      </c>
      <c r="F23" s="244"/>
      <c r="G23" s="395">
        <f>'S8.2 &amp; 8.3'!L55</f>
        <v>43500</v>
      </c>
      <c r="H23" s="296"/>
      <c r="I23" s="396">
        <f>G23/G29</f>
        <v>0.59886971944903988</v>
      </c>
      <c r="J23" s="296"/>
      <c r="K23" s="395">
        <f>K29*I23</f>
        <v>43260.626782555228</v>
      </c>
      <c r="L23" s="296"/>
      <c r="M23" s="396">
        <f>'S8.2 &amp; 8.3'!N55</f>
        <v>5.9098149425287343E-2</v>
      </c>
      <c r="N23" s="296"/>
      <c r="O23" s="395">
        <f>ROUND(K23*M23,0)</f>
        <v>2557</v>
      </c>
      <c r="P23" s="395"/>
    </row>
    <row r="24" spans="1:16" ht="6" customHeight="1" x14ac:dyDescent="0.2">
      <c r="A24" s="406"/>
      <c r="B24" s="296"/>
      <c r="C24" s="296"/>
      <c r="D24" s="296"/>
      <c r="E24" s="244"/>
      <c r="F24" s="244"/>
      <c r="G24" s="395"/>
      <c r="H24" s="296"/>
      <c r="I24" s="396"/>
      <c r="J24" s="296"/>
      <c r="K24" s="395"/>
      <c r="L24" s="296"/>
      <c r="M24" s="396"/>
      <c r="N24" s="296"/>
      <c r="O24" s="395"/>
      <c r="P24" s="395"/>
    </row>
    <row r="25" spans="1:16" x14ac:dyDescent="0.2">
      <c r="A25" s="406">
        <f>A23+1</f>
        <v>8</v>
      </c>
      <c r="B25" s="296"/>
      <c r="C25" s="296" t="s">
        <v>489</v>
      </c>
      <c r="D25" s="296"/>
      <c r="E25" s="244"/>
      <c r="F25" s="244"/>
      <c r="G25" s="395">
        <v>29000</v>
      </c>
      <c r="H25" s="296"/>
      <c r="I25" s="396">
        <f>G25/G29</f>
        <v>0.39924647963269327</v>
      </c>
      <c r="J25" s="296"/>
      <c r="K25" s="395">
        <f>K29*I25</f>
        <v>28840.41785503682</v>
      </c>
      <c r="L25" s="296"/>
      <c r="M25" s="396">
        <f>O25/K25</f>
        <v>8.7481395473587839E-2</v>
      </c>
      <c r="N25" s="296"/>
      <c r="O25" s="395">
        <f>O29-O23-O27</f>
        <v>2523</v>
      </c>
      <c r="P25" s="395"/>
    </row>
    <row r="26" spans="1:16" ht="6" customHeight="1" x14ac:dyDescent="0.2">
      <c r="A26" s="406"/>
      <c r="B26" s="296"/>
      <c r="C26" s="296"/>
      <c r="D26" s="296"/>
      <c r="E26" s="244"/>
      <c r="F26" s="244"/>
      <c r="G26" s="395"/>
      <c r="H26" s="296"/>
      <c r="I26" s="396"/>
      <c r="J26" s="296"/>
      <c r="K26" s="395"/>
      <c r="L26" s="296"/>
      <c r="M26" s="396"/>
      <c r="N26" s="296"/>
      <c r="O26" s="395"/>
      <c r="P26" s="395"/>
    </row>
    <row r="27" spans="1:16" x14ac:dyDescent="0.2">
      <c r="A27" s="406">
        <f>A25+1</f>
        <v>9</v>
      </c>
      <c r="B27" s="296"/>
      <c r="C27" s="296" t="s">
        <v>66</v>
      </c>
      <c r="D27" s="296"/>
      <c r="E27" s="244" t="s">
        <v>394</v>
      </c>
      <c r="F27" s="244"/>
      <c r="G27" s="397">
        <f>'S8.4 '!H17</f>
        <v>136.83333333333326</v>
      </c>
      <c r="H27" s="296"/>
      <c r="I27" s="398">
        <f>G27/G29</f>
        <v>1.8838009182669023E-3</v>
      </c>
      <c r="J27" s="296"/>
      <c r="K27" s="397">
        <f>K29*I27</f>
        <v>136.08036240796102</v>
      </c>
      <c r="L27" s="296"/>
      <c r="M27" s="398">
        <v>0</v>
      </c>
      <c r="N27" s="296"/>
      <c r="O27" s="399">
        <f>ROUND(K27*M27,0)</f>
        <v>0</v>
      </c>
      <c r="P27" s="400"/>
    </row>
    <row r="28" spans="1:16" ht="6" customHeight="1" x14ac:dyDescent="0.2">
      <c r="A28" s="406"/>
      <c r="B28" s="296"/>
      <c r="C28" s="296"/>
      <c r="D28" s="296"/>
      <c r="E28" s="244"/>
      <c r="F28" s="244"/>
      <c r="G28" s="395"/>
      <c r="H28" s="296"/>
      <c r="I28" s="296"/>
      <c r="J28" s="296"/>
      <c r="K28" s="395"/>
      <c r="L28" s="296"/>
      <c r="M28" s="396"/>
      <c r="N28" s="296"/>
      <c r="O28" s="395"/>
      <c r="P28" s="395"/>
    </row>
    <row r="29" spans="1:16" ht="13.5" thickBot="1" x14ac:dyDescent="0.25">
      <c r="A29" s="406">
        <f>A27+1</f>
        <v>10</v>
      </c>
      <c r="B29" s="296"/>
      <c r="C29" s="296" t="s">
        <v>12</v>
      </c>
      <c r="D29" s="296"/>
      <c r="E29" s="244" t="s">
        <v>241</v>
      </c>
      <c r="F29" s="244"/>
      <c r="G29" s="401">
        <f>SUM(G23:G27)</f>
        <v>72636.833333333328</v>
      </c>
      <c r="H29" s="296"/>
      <c r="I29" s="404">
        <f>SUM(I23:I27)</f>
        <v>1</v>
      </c>
      <c r="J29" s="296"/>
      <c r="K29" s="401">
        <f>S8.5!H36</f>
        <v>72237.125</v>
      </c>
      <c r="L29" s="296"/>
      <c r="M29" s="402">
        <f>O29/K29</f>
        <v>7.0323950461760487E-2</v>
      </c>
      <c r="N29" s="296"/>
      <c r="O29" s="401">
        <v>5080</v>
      </c>
      <c r="P29" s="403"/>
    </row>
    <row r="30" spans="1:16" x14ac:dyDescent="0.2">
      <c r="A30" s="407"/>
      <c r="E30" s="244" t="s">
        <v>1000</v>
      </c>
      <c r="F30" s="244"/>
    </row>
    <row r="31" spans="1:16" x14ac:dyDescent="0.2">
      <c r="A31" s="406">
        <f>A29+1</f>
        <v>11</v>
      </c>
      <c r="B31" s="296"/>
      <c r="C31" s="394" t="s">
        <v>581</v>
      </c>
      <c r="D31" s="296"/>
      <c r="E31" s="244"/>
      <c r="F31" s="244"/>
      <c r="G31" s="296"/>
      <c r="H31" s="296"/>
      <c r="I31" s="296"/>
      <c r="J31" s="296"/>
      <c r="K31" s="296"/>
      <c r="L31" s="296"/>
      <c r="M31" s="296"/>
      <c r="N31" s="296"/>
      <c r="O31" s="395"/>
      <c r="P31" s="395"/>
    </row>
    <row r="32" spans="1:16" ht="6" customHeight="1" x14ac:dyDescent="0.2">
      <c r="A32" s="406"/>
      <c r="B32" s="296"/>
      <c r="C32" s="296"/>
      <c r="D32" s="296"/>
      <c r="E32" s="244"/>
      <c r="F32" s="244"/>
      <c r="G32" s="296"/>
      <c r="H32" s="296"/>
      <c r="I32" s="296"/>
      <c r="J32" s="296"/>
      <c r="K32" s="296"/>
      <c r="L32" s="296"/>
      <c r="M32" s="296"/>
      <c r="N32" s="296"/>
      <c r="O32" s="395"/>
      <c r="P32" s="395"/>
    </row>
    <row r="33" spans="1:16" x14ac:dyDescent="0.2">
      <c r="A33" s="406">
        <f>A31+1</f>
        <v>12</v>
      </c>
      <c r="B33" s="296"/>
      <c r="C33" s="296" t="s">
        <v>488</v>
      </c>
      <c r="D33" s="296"/>
      <c r="E33" s="244" t="s">
        <v>920</v>
      </c>
      <c r="F33" s="244"/>
      <c r="G33" s="395">
        <f>'S8.2 &amp; 8.3'!L86</f>
        <v>52050</v>
      </c>
      <c r="H33" s="296"/>
      <c r="I33" s="396">
        <f>G33/G39</f>
        <v>0.59926085404745733</v>
      </c>
      <c r="J33" s="296"/>
      <c r="K33" s="395">
        <f>K39*I33</f>
        <v>49756.329081133357</v>
      </c>
      <c r="L33" s="296"/>
      <c r="M33" s="396">
        <f>'S8.2 &amp; 8.3'!N86</f>
        <v>5.695519692603266E-2</v>
      </c>
      <c r="N33" s="296"/>
      <c r="O33" s="395">
        <f>ROUND(K33*M33,0)</f>
        <v>2834</v>
      </c>
      <c r="P33" s="395"/>
    </row>
    <row r="34" spans="1:16" ht="6" customHeight="1" x14ac:dyDescent="0.2">
      <c r="A34" s="406"/>
      <c r="B34" s="296"/>
      <c r="C34" s="296"/>
      <c r="D34" s="296"/>
      <c r="E34" s="244"/>
      <c r="F34" s="244"/>
      <c r="G34" s="395"/>
      <c r="H34" s="296"/>
      <c r="I34" s="396"/>
      <c r="J34" s="296"/>
      <c r="K34" s="395"/>
      <c r="L34" s="296"/>
      <c r="M34" s="396"/>
      <c r="N34" s="296"/>
      <c r="O34" s="395"/>
      <c r="P34" s="395"/>
    </row>
    <row r="35" spans="1:16" x14ac:dyDescent="0.2">
      <c r="A35" s="406">
        <f>A33+1</f>
        <v>13</v>
      </c>
      <c r="B35" s="296"/>
      <c r="C35" s="296" t="s">
        <v>489</v>
      </c>
      <c r="D35" s="296"/>
      <c r="E35" s="244"/>
      <c r="F35" s="244"/>
      <c r="G35" s="395">
        <v>34831</v>
      </c>
      <c r="H35" s="296"/>
      <c r="I35" s="396">
        <f>G35/G39</f>
        <v>0.40101546219648387</v>
      </c>
      <c r="J35" s="296"/>
      <c r="K35" s="395">
        <f>K39*I35</f>
        <v>33296.113318442956</v>
      </c>
      <c r="L35" s="296"/>
      <c r="M35" s="396">
        <f>O35/K35</f>
        <v>8.8541865887002094E-2</v>
      </c>
      <c r="N35" s="296"/>
      <c r="O35" s="395">
        <f>O39-O33-O37</f>
        <v>2948.1000000000004</v>
      </c>
      <c r="P35" s="395"/>
    </row>
    <row r="36" spans="1:16" ht="6" customHeight="1" x14ac:dyDescent="0.2">
      <c r="A36" s="406"/>
      <c r="B36" s="296"/>
      <c r="C36" s="296"/>
      <c r="D36" s="296"/>
      <c r="E36" s="244"/>
      <c r="F36" s="244"/>
      <c r="G36" s="395"/>
      <c r="H36" s="296"/>
      <c r="I36" s="396"/>
      <c r="J36" s="296"/>
      <c r="K36" s="395"/>
      <c r="L36" s="296"/>
      <c r="M36" s="396"/>
      <c r="N36" s="296"/>
      <c r="O36" s="395"/>
      <c r="P36" s="395"/>
    </row>
    <row r="37" spans="1:16" x14ac:dyDescent="0.2">
      <c r="A37" s="406">
        <f>A35+1</f>
        <v>14</v>
      </c>
      <c r="B37" s="296"/>
      <c r="C37" s="296" t="s">
        <v>66</v>
      </c>
      <c r="D37" s="296"/>
      <c r="E37" s="244" t="s">
        <v>394</v>
      </c>
      <c r="F37" s="244"/>
      <c r="G37" s="584">
        <f>'S8.4 '!J17</f>
        <v>-24</v>
      </c>
      <c r="H37" s="296"/>
      <c r="I37" s="398">
        <f>G37/G39</f>
        <v>-2.7631624394119068E-4</v>
      </c>
      <c r="J37" s="296"/>
      <c r="K37" s="584">
        <f>K39*I37</f>
        <v>-22.942399576315093</v>
      </c>
      <c r="L37" s="296"/>
      <c r="M37" s="398">
        <v>0</v>
      </c>
      <c r="N37" s="296"/>
      <c r="O37" s="399">
        <f>ROUND(K37*M37,0)</f>
        <v>0</v>
      </c>
      <c r="P37" s="400"/>
    </row>
    <row r="38" spans="1:16" ht="6" customHeight="1" x14ac:dyDescent="0.2">
      <c r="A38" s="406"/>
      <c r="B38" s="296"/>
      <c r="C38" s="296"/>
      <c r="D38" s="296"/>
      <c r="E38" s="244"/>
      <c r="F38" s="244"/>
      <c r="G38" s="395"/>
      <c r="H38" s="296"/>
      <c r="I38" s="296"/>
      <c r="J38" s="296"/>
      <c r="K38" s="395"/>
      <c r="L38" s="296"/>
      <c r="M38" s="396"/>
      <c r="N38" s="296"/>
      <c r="O38" s="395"/>
      <c r="P38" s="395"/>
    </row>
    <row r="39" spans="1:16" ht="13.5" thickBot="1" x14ac:dyDescent="0.25">
      <c r="A39" s="406">
        <f>A37+1</f>
        <v>15</v>
      </c>
      <c r="B39" s="296"/>
      <c r="C39" s="296" t="s">
        <v>12</v>
      </c>
      <c r="D39" s="296"/>
      <c r="E39" s="244" t="s">
        <v>241</v>
      </c>
      <c r="F39" s="244"/>
      <c r="G39" s="401">
        <f>SUM(G33:G37)</f>
        <v>86857</v>
      </c>
      <c r="H39" s="296"/>
      <c r="I39" s="404">
        <f>SUM(I33:I37)</f>
        <v>1</v>
      </c>
      <c r="J39" s="296"/>
      <c r="K39" s="401">
        <f>S8.5!J36</f>
        <v>83029.5</v>
      </c>
      <c r="L39" s="296"/>
      <c r="M39" s="402">
        <f>O39/K39</f>
        <v>6.9639104173817745E-2</v>
      </c>
      <c r="N39" s="296"/>
      <c r="O39" s="401">
        <v>5782.1</v>
      </c>
      <c r="P39" s="403"/>
    </row>
    <row r="40" spans="1:16" x14ac:dyDescent="0.2">
      <c r="A40" s="407"/>
      <c r="E40" s="244" t="s">
        <v>1000</v>
      </c>
      <c r="F40" s="244"/>
    </row>
    <row r="41" spans="1:16" x14ac:dyDescent="0.2">
      <c r="A41" s="406">
        <f>A39+1</f>
        <v>16</v>
      </c>
      <c r="B41" s="296"/>
      <c r="C41" s="394" t="s">
        <v>582</v>
      </c>
      <c r="D41" s="296"/>
      <c r="E41" s="244"/>
      <c r="F41" s="244"/>
      <c r="G41" s="296"/>
      <c r="H41" s="296"/>
      <c r="I41" s="296"/>
      <c r="J41" s="296"/>
      <c r="K41" s="296"/>
      <c r="L41" s="296"/>
      <c r="M41" s="296"/>
      <c r="N41" s="296"/>
      <c r="O41" s="395"/>
      <c r="P41" s="395"/>
    </row>
    <row r="42" spans="1:16" ht="6" customHeight="1" x14ac:dyDescent="0.2">
      <c r="A42" s="406"/>
      <c r="B42" s="296"/>
      <c r="C42" s="296"/>
      <c r="D42" s="296"/>
      <c r="E42" s="244"/>
      <c r="F42" s="244"/>
      <c r="G42" s="296"/>
      <c r="H42" s="296"/>
      <c r="I42" s="296"/>
      <c r="J42" s="296"/>
      <c r="K42" s="296"/>
      <c r="L42" s="296"/>
      <c r="M42" s="296"/>
      <c r="N42" s="296"/>
      <c r="O42" s="395"/>
      <c r="P42" s="395"/>
    </row>
    <row r="43" spans="1:16" x14ac:dyDescent="0.2">
      <c r="A43" s="406">
        <f>A41+1</f>
        <v>17</v>
      </c>
      <c r="B43" s="296"/>
      <c r="C43" s="296" t="s">
        <v>488</v>
      </c>
      <c r="D43" s="296"/>
      <c r="E43" s="244" t="s">
        <v>921</v>
      </c>
      <c r="F43" s="244"/>
      <c r="G43" s="395">
        <f>+'S8.2 &amp; 8.3'!L111</f>
        <v>51000</v>
      </c>
      <c r="H43" s="296"/>
      <c r="I43" s="396">
        <f>G43/G49</f>
        <v>0.60064657837554547</v>
      </c>
      <c r="J43" s="296"/>
      <c r="K43" s="395">
        <f>K49*I43</f>
        <v>51083.715116861094</v>
      </c>
      <c r="L43" s="296"/>
      <c r="M43" s="396">
        <f>+'S8.2 &amp; 8.3'!N111</f>
        <v>5.7842254901960773E-2</v>
      </c>
      <c r="N43" s="296"/>
      <c r="O43" s="395">
        <f>+M43*K43</f>
        <v>2954.7972711286261</v>
      </c>
      <c r="P43" s="395"/>
    </row>
    <row r="44" spans="1:16" ht="6" customHeight="1" x14ac:dyDescent="0.2">
      <c r="A44" s="406"/>
      <c r="B44" s="296"/>
      <c r="C44" s="296"/>
      <c r="D44" s="296"/>
      <c r="E44" s="244"/>
      <c r="F44" s="244"/>
      <c r="G44" s="395"/>
      <c r="H44" s="296"/>
      <c r="I44" s="396"/>
      <c r="J44" s="296"/>
      <c r="K44" s="395"/>
      <c r="L44" s="296"/>
      <c r="M44" s="396"/>
      <c r="N44" s="296"/>
      <c r="O44" s="395"/>
      <c r="P44" s="395"/>
    </row>
    <row r="45" spans="1:16" x14ac:dyDescent="0.2">
      <c r="A45" s="406">
        <f>A43+1</f>
        <v>18</v>
      </c>
      <c r="B45" s="296"/>
      <c r="C45" s="296" t="s">
        <v>489</v>
      </c>
      <c r="D45" s="296"/>
      <c r="E45" s="244"/>
      <c r="F45" s="244"/>
      <c r="G45" s="395">
        <v>34000</v>
      </c>
      <c r="H45" s="296"/>
      <c r="I45" s="396">
        <f>G45/G49</f>
        <v>0.40043105225036363</v>
      </c>
      <c r="J45" s="296"/>
      <c r="K45" s="395">
        <f>K49*I45</f>
        <v>34055.810077907394</v>
      </c>
      <c r="L45" s="296"/>
      <c r="M45" s="396">
        <f>O45/K45</f>
        <v>8.7538740733268672E-2</v>
      </c>
      <c r="N45" s="296"/>
      <c r="O45" s="395">
        <f>O49-O43-O47</f>
        <v>2981.2027288713739</v>
      </c>
      <c r="P45" s="395"/>
    </row>
    <row r="46" spans="1:16" ht="6" customHeight="1" x14ac:dyDescent="0.2">
      <c r="A46" s="406"/>
      <c r="B46" s="296"/>
      <c r="C46" s="296"/>
      <c r="D46" s="296"/>
      <c r="E46" s="244"/>
      <c r="F46" s="244"/>
      <c r="G46" s="395"/>
      <c r="H46" s="296"/>
      <c r="I46" s="396"/>
      <c r="J46" s="296"/>
      <c r="K46" s="395"/>
      <c r="L46" s="296"/>
      <c r="M46" s="396"/>
      <c r="N46" s="296"/>
      <c r="O46" s="395"/>
      <c r="P46" s="395"/>
    </row>
    <row r="47" spans="1:16" x14ac:dyDescent="0.2">
      <c r="A47" s="406">
        <f>A45+1</f>
        <v>19</v>
      </c>
      <c r="B47" s="296"/>
      <c r="C47" s="296" t="s">
        <v>66</v>
      </c>
      <c r="D47" s="296"/>
      <c r="E47" s="244" t="s">
        <v>394</v>
      </c>
      <c r="F47" s="244"/>
      <c r="G47" s="584">
        <f>+'S8.4 '!K17</f>
        <v>-91.500000000000227</v>
      </c>
      <c r="H47" s="296"/>
      <c r="I47" s="398">
        <f>G47/G49</f>
        <v>-1.0776306259090696E-3</v>
      </c>
      <c r="J47" s="296"/>
      <c r="K47" s="584">
        <f>K49*I47</f>
        <v>-91.650194768486315</v>
      </c>
      <c r="L47" s="296"/>
      <c r="M47" s="398">
        <v>0</v>
      </c>
      <c r="N47" s="296"/>
      <c r="O47" s="399">
        <f>ROUND(K47*M47,0)</f>
        <v>0</v>
      </c>
      <c r="P47" s="400"/>
    </row>
    <row r="48" spans="1:16" ht="6" customHeight="1" x14ac:dyDescent="0.2">
      <c r="A48" s="406"/>
      <c r="B48" s="296"/>
      <c r="C48" s="296"/>
      <c r="D48" s="296"/>
      <c r="E48" s="244"/>
      <c r="F48" s="244"/>
      <c r="G48" s="395"/>
      <c r="H48" s="296"/>
      <c r="I48" s="296"/>
      <c r="J48" s="296"/>
      <c r="K48" s="395"/>
      <c r="L48" s="296"/>
      <c r="M48" s="396"/>
      <c r="N48" s="296"/>
      <c r="O48" s="395"/>
      <c r="P48" s="395"/>
    </row>
    <row r="49" spans="1:16" ht="13.5" thickBot="1" x14ac:dyDescent="0.25">
      <c r="A49" s="406">
        <f>A47+1</f>
        <v>20</v>
      </c>
      <c r="B49" s="296"/>
      <c r="C49" s="296" t="s">
        <v>12</v>
      </c>
      <c r="D49" s="296"/>
      <c r="E49" s="244" t="s">
        <v>241</v>
      </c>
      <c r="F49" s="244"/>
      <c r="G49" s="401">
        <f>SUM(G43:G47)</f>
        <v>84908.5</v>
      </c>
      <c r="H49" s="296"/>
      <c r="I49" s="404">
        <f>SUM(I43:I47)</f>
        <v>1</v>
      </c>
      <c r="J49" s="296"/>
      <c r="K49" s="401">
        <f>+S8.5!K36</f>
        <v>85047.875</v>
      </c>
      <c r="L49" s="296"/>
      <c r="M49" s="402">
        <f>O49/K49</f>
        <v>6.9795982556883407E-2</v>
      </c>
      <c r="N49" s="296"/>
      <c r="O49" s="401">
        <v>5936</v>
      </c>
      <c r="P49" s="403"/>
    </row>
    <row r="50" spans="1:16" x14ac:dyDescent="0.2">
      <c r="A50" s="407"/>
      <c r="E50" s="244" t="s">
        <v>1000</v>
      </c>
      <c r="F50" s="244"/>
    </row>
    <row r="51" spans="1:16" x14ac:dyDescent="0.2">
      <c r="A51" s="340" t="s">
        <v>1006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31"/>
      <c r="P51" s="121" t="s">
        <v>567</v>
      </c>
    </row>
    <row r="52" spans="1:16" x14ac:dyDescent="0.2">
      <c r="A52" s="340" t="s">
        <v>555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121" t="s">
        <v>548</v>
      </c>
    </row>
    <row r="53" spans="1:16" x14ac:dyDescent="0.2">
      <c r="A53" s="340" t="s">
        <v>83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170"/>
    </row>
    <row r="54" spans="1:16" x14ac:dyDescent="0.2">
      <c r="A54" s="340" t="s">
        <v>18</v>
      </c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170"/>
    </row>
    <row r="55" spans="1:16" x14ac:dyDescent="0.2">
      <c r="A55" s="391"/>
      <c r="B55" s="392"/>
      <c r="C55" s="392"/>
      <c r="D55" s="392"/>
      <c r="E55" s="392"/>
      <c r="F55" s="392"/>
      <c r="G55" s="392"/>
      <c r="H55" s="392"/>
      <c r="I55" s="392"/>
      <c r="J55" s="392"/>
      <c r="K55" s="331"/>
      <c r="L55" s="331"/>
      <c r="M55" s="331"/>
      <c r="N55" s="331"/>
      <c r="O55" s="331"/>
    </row>
    <row r="56" spans="1:16" s="296" customFormat="1" ht="11.25" x14ac:dyDescent="0.2">
      <c r="A56" s="279"/>
      <c r="B56" s="279"/>
      <c r="C56" s="279"/>
      <c r="D56" s="279"/>
      <c r="E56" s="279"/>
      <c r="F56" s="279"/>
      <c r="H56" s="279"/>
      <c r="I56" s="279"/>
      <c r="J56" s="279"/>
      <c r="K56" s="279" t="s">
        <v>23</v>
      </c>
      <c r="M56" s="279" t="s">
        <v>23</v>
      </c>
      <c r="O56" s="279"/>
      <c r="P56" s="279"/>
    </row>
    <row r="57" spans="1:16" s="296" customFormat="1" ht="11.25" x14ac:dyDescent="0.2">
      <c r="A57" s="279" t="s">
        <v>19</v>
      </c>
      <c r="B57" s="279"/>
      <c r="C57" s="279"/>
      <c r="D57" s="279"/>
      <c r="E57" s="279" t="s">
        <v>20</v>
      </c>
      <c r="F57" s="279"/>
      <c r="G57" s="279" t="s">
        <v>23</v>
      </c>
      <c r="H57" s="279"/>
      <c r="I57" s="279"/>
      <c r="J57" s="279"/>
      <c r="K57" s="279" t="s">
        <v>24</v>
      </c>
      <c r="M57" s="279" t="s">
        <v>25</v>
      </c>
      <c r="O57" s="279"/>
      <c r="P57" s="279"/>
    </row>
    <row r="58" spans="1:16" s="296" customFormat="1" ht="11.25" x14ac:dyDescent="0.2">
      <c r="A58" s="386" t="s">
        <v>21</v>
      </c>
      <c r="B58" s="279"/>
      <c r="C58" s="386" t="s">
        <v>149</v>
      </c>
      <c r="D58" s="279"/>
      <c r="E58" s="386" t="s">
        <v>22</v>
      </c>
      <c r="F58" s="393"/>
      <c r="G58" s="386" t="s">
        <v>26</v>
      </c>
      <c r="H58" s="279"/>
      <c r="I58" s="386" t="s">
        <v>27</v>
      </c>
      <c r="J58" s="279"/>
      <c r="K58" s="386" t="s">
        <v>28</v>
      </c>
      <c r="M58" s="386" t="s">
        <v>24</v>
      </c>
      <c r="O58" s="386" t="s">
        <v>29</v>
      </c>
      <c r="P58" s="393"/>
    </row>
    <row r="59" spans="1:16" s="296" customFormat="1" ht="11.25" x14ac:dyDescent="0.2">
      <c r="E59" s="244"/>
      <c r="F59" s="244"/>
    </row>
    <row r="60" spans="1:16" x14ac:dyDescent="0.2">
      <c r="E60" s="244"/>
      <c r="F60" s="244"/>
    </row>
    <row r="61" spans="1:16" x14ac:dyDescent="0.2">
      <c r="A61" s="406">
        <f>A49+1</f>
        <v>21</v>
      </c>
      <c r="B61" s="296"/>
      <c r="C61" s="394" t="s">
        <v>583</v>
      </c>
      <c r="D61" s="296"/>
      <c r="E61" s="244"/>
      <c r="F61" s="244"/>
      <c r="G61" s="296"/>
      <c r="H61" s="296"/>
      <c r="I61" s="296"/>
      <c r="J61" s="296"/>
      <c r="K61" s="296"/>
      <c r="L61" s="296"/>
      <c r="M61" s="296"/>
      <c r="N61" s="296"/>
      <c r="O61" s="395"/>
      <c r="P61" s="395"/>
    </row>
    <row r="62" spans="1:16" ht="6" customHeight="1" x14ac:dyDescent="0.2">
      <c r="A62" s="406"/>
      <c r="B62" s="296"/>
      <c r="C62" s="296"/>
      <c r="D62" s="296"/>
      <c r="E62" s="244"/>
      <c r="F62" s="244"/>
      <c r="G62" s="296"/>
      <c r="H62" s="296"/>
      <c r="I62" s="296"/>
      <c r="J62" s="296"/>
      <c r="K62" s="296"/>
      <c r="L62" s="296"/>
      <c r="M62" s="296"/>
      <c r="N62" s="296"/>
      <c r="O62" s="395"/>
      <c r="P62" s="395"/>
    </row>
    <row r="63" spans="1:16" x14ac:dyDescent="0.2">
      <c r="A63" s="406">
        <f>A61+1</f>
        <v>22</v>
      </c>
      <c r="B63" s="296"/>
      <c r="C63" s="296" t="s">
        <v>488</v>
      </c>
      <c r="D63" s="296"/>
      <c r="E63" s="244" t="s">
        <v>922</v>
      </c>
      <c r="F63" s="244"/>
      <c r="G63" s="395">
        <f>+'S8.2 &amp; 8.3'!L142</f>
        <v>56125</v>
      </c>
      <c r="H63" s="296"/>
      <c r="I63" s="396">
        <f>G63/G69</f>
        <v>0.59685540945078663</v>
      </c>
      <c r="J63" s="296"/>
      <c r="K63" s="395">
        <f>K69*I63</f>
        <v>55504.613566031607</v>
      </c>
      <c r="L63" s="296"/>
      <c r="M63" s="396">
        <f>+'S8.2 &amp; 8.3'!N142</f>
        <v>5.575700222717149E-2</v>
      </c>
      <c r="N63" s="296"/>
      <c r="O63" s="395">
        <f>+M63*K63</f>
        <v>3094.7708622195173</v>
      </c>
      <c r="P63" s="395"/>
    </row>
    <row r="64" spans="1:16" ht="6" customHeight="1" x14ac:dyDescent="0.2">
      <c r="A64" s="406"/>
      <c r="B64" s="296"/>
      <c r="C64" s="296"/>
      <c r="D64" s="296"/>
      <c r="E64" s="244"/>
      <c r="F64" s="244"/>
      <c r="G64" s="395"/>
      <c r="H64" s="296"/>
      <c r="I64" s="396"/>
      <c r="J64" s="296"/>
      <c r="K64" s="395"/>
      <c r="L64" s="296"/>
      <c r="M64" s="396"/>
      <c r="N64" s="296"/>
      <c r="O64" s="395"/>
      <c r="P64" s="395"/>
    </row>
    <row r="65" spans="1:16" x14ac:dyDescent="0.2">
      <c r="A65" s="406">
        <f>A63+1</f>
        <v>23</v>
      </c>
      <c r="B65" s="296"/>
      <c r="C65" s="296" t="s">
        <v>489</v>
      </c>
      <c r="D65" s="296"/>
      <c r="E65" s="244"/>
      <c r="F65" s="244"/>
      <c r="G65" s="395">
        <f>(37238+37689)/2</f>
        <v>37463.5</v>
      </c>
      <c r="H65" s="296"/>
      <c r="I65" s="396">
        <f>G65/G69</f>
        <v>0.39840165045807657</v>
      </c>
      <c r="J65" s="296"/>
      <c r="K65" s="395">
        <f>K69*I65</f>
        <v>37049.391364472613</v>
      </c>
      <c r="L65" s="296"/>
      <c r="M65" s="396">
        <f>O65/K65</f>
        <v>7.4042488601068324E-2</v>
      </c>
      <c r="N65" s="296"/>
      <c r="O65" s="395">
        <f>O69-O63-O67</f>
        <v>2743.2291377804827</v>
      </c>
      <c r="P65" s="395"/>
    </row>
    <row r="66" spans="1:16" ht="6" customHeight="1" x14ac:dyDescent="0.2">
      <c r="A66" s="406"/>
      <c r="B66" s="296"/>
      <c r="C66" s="296"/>
      <c r="D66" s="296"/>
      <c r="E66" s="244"/>
      <c r="F66" s="244"/>
      <c r="G66" s="395"/>
      <c r="H66" s="296"/>
      <c r="I66" s="396"/>
      <c r="J66" s="296"/>
      <c r="K66" s="395"/>
      <c r="L66" s="296"/>
      <c r="M66" s="396"/>
      <c r="N66" s="296"/>
      <c r="O66" s="395"/>
      <c r="P66" s="395"/>
    </row>
    <row r="67" spans="1:16" x14ac:dyDescent="0.2">
      <c r="A67" s="406">
        <f>A65+1</f>
        <v>24</v>
      </c>
      <c r="B67" s="296"/>
      <c r="C67" s="296" t="s">
        <v>66</v>
      </c>
      <c r="D67" s="296"/>
      <c r="E67" s="244" t="s">
        <v>394</v>
      </c>
      <c r="F67" s="244"/>
      <c r="G67" s="397">
        <f>+'S8.4 '!M17</f>
        <v>446</v>
      </c>
      <c r="H67" s="296"/>
      <c r="I67" s="398">
        <f>G67/G69</f>
        <v>4.7429400911367632E-3</v>
      </c>
      <c r="J67" s="296"/>
      <c r="K67" s="397">
        <f>K69*I67</f>
        <v>441.0700694957701</v>
      </c>
      <c r="L67" s="296"/>
      <c r="M67" s="398">
        <v>0</v>
      </c>
      <c r="N67" s="296"/>
      <c r="O67" s="399">
        <f>ROUND(K67*M67,0)</f>
        <v>0</v>
      </c>
      <c r="P67" s="400"/>
    </row>
    <row r="68" spans="1:16" ht="6" customHeight="1" x14ac:dyDescent="0.2">
      <c r="A68" s="406"/>
      <c r="B68" s="296"/>
      <c r="C68" s="296"/>
      <c r="D68" s="296"/>
      <c r="E68" s="244"/>
      <c r="F68" s="244"/>
      <c r="G68" s="395"/>
      <c r="H68" s="296"/>
      <c r="I68" s="296"/>
      <c r="J68" s="296"/>
      <c r="K68" s="395"/>
      <c r="L68" s="296"/>
      <c r="M68" s="396"/>
      <c r="N68" s="296"/>
      <c r="O68" s="395"/>
      <c r="P68" s="395"/>
    </row>
    <row r="69" spans="1:16" ht="13.5" thickBot="1" x14ac:dyDescent="0.25">
      <c r="A69" s="406">
        <f>A67+1</f>
        <v>25</v>
      </c>
      <c r="B69" s="296"/>
      <c r="C69" s="296" t="s">
        <v>12</v>
      </c>
      <c r="D69" s="296"/>
      <c r="E69" s="244" t="s">
        <v>241</v>
      </c>
      <c r="F69" s="244"/>
      <c r="G69" s="401">
        <f>SUM(G63:G67)</f>
        <v>94034.5</v>
      </c>
      <c r="H69" s="296"/>
      <c r="I69" s="404">
        <f>SUM(I63:I67)</f>
        <v>1</v>
      </c>
      <c r="J69" s="296"/>
      <c r="K69" s="401">
        <f>+S8.5!M36</f>
        <v>92995.074999999997</v>
      </c>
      <c r="L69" s="296"/>
      <c r="M69" s="402">
        <f>O69/K69</f>
        <v>6.2777518056735801E-2</v>
      </c>
      <c r="N69" s="296"/>
      <c r="O69" s="401">
        <v>5838</v>
      </c>
      <c r="P69" s="403"/>
    </row>
    <row r="70" spans="1:16" x14ac:dyDescent="0.2">
      <c r="A70" s="407"/>
      <c r="E70" s="244" t="s">
        <v>1000</v>
      </c>
      <c r="F70" s="244"/>
    </row>
    <row r="71" spans="1:16" x14ac:dyDescent="0.2">
      <c r="A71" s="406">
        <f>A69+1</f>
        <v>26</v>
      </c>
      <c r="B71" s="296"/>
      <c r="C71" s="394" t="s">
        <v>584</v>
      </c>
      <c r="D71" s="296"/>
      <c r="E71" s="244"/>
      <c r="F71" s="244"/>
      <c r="G71" s="296"/>
      <c r="H71" s="296"/>
      <c r="I71" s="296"/>
      <c r="J71" s="296"/>
      <c r="K71" s="296"/>
      <c r="L71" s="296"/>
      <c r="M71" s="296"/>
      <c r="N71" s="296"/>
      <c r="O71" s="395"/>
      <c r="P71" s="395"/>
    </row>
    <row r="72" spans="1:16" ht="6" customHeight="1" x14ac:dyDescent="0.2">
      <c r="A72" s="406"/>
      <c r="B72" s="296"/>
      <c r="C72" s="296"/>
      <c r="D72" s="296"/>
      <c r="E72" s="244"/>
      <c r="F72" s="244"/>
      <c r="G72" s="296"/>
      <c r="H72" s="296"/>
      <c r="I72" s="296"/>
      <c r="J72" s="296"/>
      <c r="K72" s="296"/>
      <c r="L72" s="296"/>
      <c r="M72" s="296"/>
      <c r="N72" s="296"/>
      <c r="O72" s="395"/>
      <c r="P72" s="395"/>
    </row>
    <row r="73" spans="1:16" x14ac:dyDescent="0.2">
      <c r="A73" s="406">
        <f>A71+1</f>
        <v>27</v>
      </c>
      <c r="B73" s="296"/>
      <c r="C73" s="296" t="s">
        <v>488</v>
      </c>
      <c r="D73" s="296"/>
      <c r="E73" s="244" t="s">
        <v>923</v>
      </c>
      <c r="F73" s="244"/>
      <c r="G73" s="491">
        <f>+'S8.2 &amp; 8.3'!L168</f>
        <v>56400</v>
      </c>
      <c r="H73" s="296"/>
      <c r="I73" s="396">
        <f>G73/G79</f>
        <v>0.59731736721426643</v>
      </c>
      <c r="J73" s="296"/>
      <c r="K73" s="491">
        <f>K79*I73</f>
        <v>56542.061980502462</v>
      </c>
      <c r="L73" s="296"/>
      <c r="M73" s="396">
        <f>+'S8.2 &amp; 8.3'!N168</f>
        <v>5.739317375886524E-2</v>
      </c>
      <c r="N73" s="296"/>
      <c r="O73" s="491">
        <f>+M73*K73</f>
        <v>3245.128387931506</v>
      </c>
      <c r="P73" s="395"/>
    </row>
    <row r="74" spans="1:16" ht="6" customHeight="1" x14ac:dyDescent="0.2">
      <c r="A74" s="406"/>
      <c r="B74" s="296"/>
      <c r="C74" s="296"/>
      <c r="D74" s="296"/>
      <c r="E74" s="244"/>
      <c r="F74" s="244"/>
      <c r="G74" s="491"/>
      <c r="H74" s="296"/>
      <c r="I74" s="396"/>
      <c r="J74" s="296"/>
      <c r="K74" s="491"/>
      <c r="L74" s="296"/>
      <c r="M74" s="396"/>
      <c r="N74" s="296"/>
      <c r="O74" s="491"/>
      <c r="P74" s="395"/>
    </row>
    <row r="75" spans="1:16" x14ac:dyDescent="0.2">
      <c r="A75" s="406">
        <f>A73+1</f>
        <v>28</v>
      </c>
      <c r="B75" s="296"/>
      <c r="C75" s="296" t="s">
        <v>489</v>
      </c>
      <c r="D75" s="296"/>
      <c r="E75" s="405"/>
      <c r="F75" s="405"/>
      <c r="G75" s="491">
        <v>37600</v>
      </c>
      <c r="H75" s="296"/>
      <c r="I75" s="396">
        <f>G75/G79</f>
        <v>0.39821157814284425</v>
      </c>
      <c r="J75" s="296"/>
      <c r="K75" s="491">
        <f>K79*I75</f>
        <v>37694.707987001639</v>
      </c>
      <c r="L75" s="296"/>
      <c r="M75" s="396">
        <f>O75/K75</f>
        <v>8.7542039407929539E-2</v>
      </c>
      <c r="N75" s="296"/>
      <c r="O75" s="491">
        <f>O79-O73-O77</f>
        <v>3299.871612068494</v>
      </c>
      <c r="P75" s="395"/>
    </row>
    <row r="76" spans="1:16" ht="6" customHeight="1" x14ac:dyDescent="0.2">
      <c r="A76" s="406"/>
      <c r="B76" s="296"/>
      <c r="C76" s="296"/>
      <c r="D76" s="296"/>
      <c r="E76" s="244"/>
      <c r="F76" s="244"/>
      <c r="G76" s="491"/>
      <c r="H76" s="296"/>
      <c r="I76" s="396"/>
      <c r="J76" s="296"/>
      <c r="K76" s="491"/>
      <c r="L76" s="296"/>
      <c r="M76" s="396"/>
      <c r="N76" s="296"/>
      <c r="O76" s="491"/>
      <c r="P76" s="395"/>
    </row>
    <row r="77" spans="1:16" x14ac:dyDescent="0.2">
      <c r="A77" s="406">
        <f>A75+1</f>
        <v>29</v>
      </c>
      <c r="B77" s="296"/>
      <c r="C77" s="296" t="s">
        <v>66</v>
      </c>
      <c r="D77" s="296"/>
      <c r="E77" s="244" t="s">
        <v>394</v>
      </c>
      <c r="F77" s="244"/>
      <c r="G77" s="399">
        <f>+'S8.4 '!N17</f>
        <v>422.16666666666646</v>
      </c>
      <c r="H77" s="296"/>
      <c r="I77" s="398">
        <f>G77/G79</f>
        <v>4.4710546428892908E-3</v>
      </c>
      <c r="J77" s="296"/>
      <c r="K77" s="399">
        <f>K79*I77</f>
        <v>423.23003249590028</v>
      </c>
      <c r="L77" s="296"/>
      <c r="M77" s="398">
        <v>0</v>
      </c>
      <c r="N77" s="296"/>
      <c r="O77" s="399">
        <f>ROUND(K77*M77,0)</f>
        <v>0</v>
      </c>
      <c r="P77" s="400"/>
    </row>
    <row r="78" spans="1:16" ht="6" customHeight="1" x14ac:dyDescent="0.2">
      <c r="A78" s="406"/>
      <c r="B78" s="296"/>
      <c r="C78" s="296"/>
      <c r="D78" s="296"/>
      <c r="E78" s="244"/>
      <c r="F78" s="244"/>
      <c r="G78" s="491"/>
      <c r="H78" s="296"/>
      <c r="I78" s="296"/>
      <c r="J78" s="296"/>
      <c r="K78" s="491"/>
      <c r="L78" s="296"/>
      <c r="M78" s="396"/>
      <c r="N78" s="296"/>
      <c r="O78" s="491"/>
      <c r="P78" s="395"/>
    </row>
    <row r="79" spans="1:16" ht="13.5" thickBot="1" x14ac:dyDescent="0.25">
      <c r="A79" s="406">
        <f>A77+1</f>
        <v>30</v>
      </c>
      <c r="B79" s="296"/>
      <c r="C79" s="296" t="s">
        <v>12</v>
      </c>
      <c r="D79" s="296"/>
      <c r="E79" s="244" t="s">
        <v>241</v>
      </c>
      <c r="F79" s="244"/>
      <c r="G79" s="520">
        <f>SUM(G73:G77)</f>
        <v>94422.166666666672</v>
      </c>
      <c r="H79" s="296"/>
      <c r="I79" s="404">
        <f>SUM(I73:I77)</f>
        <v>1</v>
      </c>
      <c r="J79" s="296"/>
      <c r="K79" s="520">
        <f>+S8.5!N36</f>
        <v>94660</v>
      </c>
      <c r="L79" s="296"/>
      <c r="M79" s="402">
        <f>O79/K79</f>
        <v>6.9142193112190997E-2</v>
      </c>
      <c r="N79" s="296"/>
      <c r="O79" s="520">
        <v>6545</v>
      </c>
      <c r="P79" s="403"/>
    </row>
    <row r="80" spans="1:16" x14ac:dyDescent="0.2">
      <c r="A80" s="407"/>
      <c r="E80" s="244" t="s">
        <v>1000</v>
      </c>
      <c r="F80" s="244"/>
      <c r="G80" s="337"/>
      <c r="K80" s="337"/>
      <c r="O80" s="337"/>
    </row>
    <row r="81" spans="1:18" x14ac:dyDescent="0.2">
      <c r="A81" s="406">
        <f>A79+1</f>
        <v>31</v>
      </c>
      <c r="B81" s="296"/>
      <c r="C81" s="394" t="s">
        <v>585</v>
      </c>
      <c r="D81" s="296"/>
      <c r="E81" s="244"/>
      <c r="F81" s="244"/>
      <c r="G81" s="491"/>
      <c r="H81" s="296"/>
      <c r="I81" s="296"/>
      <c r="J81" s="296"/>
      <c r="K81" s="521"/>
      <c r="L81" s="296"/>
      <c r="M81" s="296"/>
      <c r="N81" s="296"/>
      <c r="O81" s="491"/>
      <c r="P81" s="395"/>
    </row>
    <row r="82" spans="1:18" ht="6" customHeight="1" x14ac:dyDescent="0.2">
      <c r="A82" s="406"/>
      <c r="B82" s="296"/>
      <c r="C82" s="296"/>
      <c r="D82" s="296"/>
      <c r="E82" s="244"/>
      <c r="F82" s="244"/>
      <c r="G82" s="491"/>
      <c r="H82" s="296"/>
      <c r="I82" s="296"/>
      <c r="J82" s="296"/>
      <c r="K82" s="491"/>
      <c r="L82" s="296"/>
      <c r="M82" s="296"/>
      <c r="N82" s="296"/>
      <c r="O82" s="491"/>
      <c r="P82" s="395"/>
    </row>
    <row r="83" spans="1:18" x14ac:dyDescent="0.2">
      <c r="A83" s="406">
        <f>A81+1</f>
        <v>32</v>
      </c>
      <c r="B83" s="296"/>
      <c r="C83" s="296" t="s">
        <v>488</v>
      </c>
      <c r="D83" s="296"/>
      <c r="E83" s="244" t="s">
        <v>999</v>
      </c>
      <c r="F83" s="244"/>
      <c r="G83" s="491">
        <f>+'S8.2 &amp; 8.3'!L201</f>
        <v>59240</v>
      </c>
      <c r="H83" s="296"/>
      <c r="I83" s="396">
        <f>G83/G89</f>
        <v>0.59601333081808461</v>
      </c>
      <c r="J83" s="296"/>
      <c r="K83" s="491">
        <f>K89*I83</f>
        <v>59240.479790731304</v>
      </c>
      <c r="L83" s="296"/>
      <c r="M83" s="396">
        <f>+'S8.2 &amp; 8.3'!N201</f>
        <v>5.4602692437542198E-2</v>
      </c>
      <c r="N83" s="296"/>
      <c r="O83" s="535">
        <f>+M83*K83</f>
        <v>3234.6896978657355</v>
      </c>
      <c r="P83" s="395"/>
    </row>
    <row r="84" spans="1:18" ht="6" customHeight="1" x14ac:dyDescent="0.2">
      <c r="A84" s="406"/>
      <c r="B84" s="296"/>
      <c r="C84" s="296"/>
      <c r="D84" s="296"/>
      <c r="E84" s="244"/>
      <c r="F84" s="244"/>
      <c r="G84" s="491"/>
      <c r="H84" s="296"/>
      <c r="I84" s="396"/>
      <c r="J84" s="296"/>
      <c r="K84" s="491"/>
      <c r="L84" s="296"/>
      <c r="M84" s="396"/>
      <c r="N84" s="296"/>
      <c r="O84" s="491"/>
      <c r="P84" s="395"/>
    </row>
    <row r="85" spans="1:18" x14ac:dyDescent="0.2">
      <c r="A85" s="406">
        <f>A83+1</f>
        <v>33</v>
      </c>
      <c r="B85" s="296"/>
      <c r="C85" s="296" t="s">
        <v>489</v>
      </c>
      <c r="D85" s="296"/>
      <c r="E85" s="244"/>
      <c r="F85" s="244"/>
      <c r="G85" s="491">
        <v>39494</v>
      </c>
      <c r="H85" s="296"/>
      <c r="I85" s="396">
        <f>G85/G89</f>
        <v>0.39734892787524367</v>
      </c>
      <c r="J85" s="296"/>
      <c r="K85" s="491">
        <f>K89*I85</f>
        <v>39494.319865886937</v>
      </c>
      <c r="L85" s="296"/>
      <c r="M85" s="396">
        <f>O85/K85</f>
        <v>9.3949238525260964E-2</v>
      </c>
      <c r="N85" s="296"/>
      <c r="O85" s="491">
        <f>O89-O83-O87</f>
        <v>3710.4612774731645</v>
      </c>
      <c r="P85" s="395"/>
      <c r="R85" s="337"/>
    </row>
    <row r="86" spans="1:18" ht="6" customHeight="1" x14ac:dyDescent="0.2">
      <c r="A86" s="406"/>
      <c r="B86" s="296"/>
      <c r="C86" s="296"/>
      <c r="D86" s="296"/>
      <c r="E86" s="244"/>
      <c r="F86" s="244"/>
      <c r="G86" s="491"/>
      <c r="H86" s="296"/>
      <c r="I86" s="396"/>
      <c r="J86" s="296"/>
      <c r="K86" s="491"/>
      <c r="L86" s="296"/>
      <c r="M86" s="396"/>
      <c r="N86" s="296"/>
      <c r="O86" s="491"/>
      <c r="P86" s="395"/>
    </row>
    <row r="87" spans="1:18" x14ac:dyDescent="0.2">
      <c r="A87" s="406">
        <f>A85+1</f>
        <v>34</v>
      </c>
      <c r="B87" s="296"/>
      <c r="C87" s="296" t="s">
        <v>66</v>
      </c>
      <c r="D87" s="296"/>
      <c r="E87" s="244" t="s">
        <v>394</v>
      </c>
      <c r="F87" s="244"/>
      <c r="G87" s="399">
        <f>+'S8.4 '!P17</f>
        <v>659.75</v>
      </c>
      <c r="H87" s="296"/>
      <c r="I87" s="398">
        <f>G87/G89</f>
        <v>6.6377413066716975E-3</v>
      </c>
      <c r="J87" s="296"/>
      <c r="K87" s="399">
        <f>K89*I87</f>
        <v>659.75534338175191</v>
      </c>
      <c r="L87" s="296"/>
      <c r="M87" s="398">
        <v>0</v>
      </c>
      <c r="N87" s="296"/>
      <c r="O87" s="399">
        <f>ROUND(K87*M87,0)</f>
        <v>0</v>
      </c>
      <c r="P87" s="400"/>
      <c r="R87" s="337"/>
    </row>
    <row r="88" spans="1:18" ht="6" customHeight="1" x14ac:dyDescent="0.2">
      <c r="A88" s="406"/>
      <c r="B88" s="296"/>
      <c r="C88" s="296"/>
      <c r="D88" s="296"/>
      <c r="E88" s="244"/>
      <c r="F88" s="244"/>
      <c r="G88" s="491"/>
      <c r="H88" s="296"/>
      <c r="I88" s="296"/>
      <c r="J88" s="296"/>
      <c r="K88" s="491"/>
      <c r="L88" s="296"/>
      <c r="M88" s="396"/>
      <c r="N88" s="296"/>
      <c r="O88" s="491"/>
      <c r="P88" s="395"/>
    </row>
    <row r="89" spans="1:18" ht="13.5" thickBot="1" x14ac:dyDescent="0.25">
      <c r="A89" s="406">
        <f>A87+1</f>
        <v>35</v>
      </c>
      <c r="B89" s="296"/>
      <c r="C89" s="296" t="s">
        <v>12</v>
      </c>
      <c r="D89" s="296"/>
      <c r="E89" s="244" t="s">
        <v>241</v>
      </c>
      <c r="F89" s="244"/>
      <c r="G89" s="520">
        <f>SUM(G83:G87)</f>
        <v>99393.75</v>
      </c>
      <c r="H89" s="296"/>
      <c r="I89" s="404">
        <f>SUM(I83:I87)</f>
        <v>1</v>
      </c>
      <c r="J89" s="296"/>
      <c r="K89" s="520">
        <f>+S8.5!P36</f>
        <v>99394.554999999993</v>
      </c>
      <c r="L89" s="296"/>
      <c r="M89" s="402">
        <f>O89/K89</f>
        <v>6.9874561794042944E-2</v>
      </c>
      <c r="N89" s="296"/>
      <c r="O89" s="520">
        <v>6945.1509753389</v>
      </c>
      <c r="P89" s="403"/>
      <c r="R89" s="337"/>
    </row>
    <row r="90" spans="1:18" x14ac:dyDescent="0.2">
      <c r="A90" s="407"/>
      <c r="E90" s="244" t="s">
        <v>1000</v>
      </c>
      <c r="F90" s="244"/>
      <c r="G90" s="337"/>
      <c r="K90" s="337"/>
      <c r="O90" s="337"/>
    </row>
    <row r="91" spans="1:18" x14ac:dyDescent="0.2">
      <c r="A91" s="406">
        <f>A89+1</f>
        <v>36</v>
      </c>
      <c r="B91" s="296"/>
      <c r="C91" s="394" t="s">
        <v>586</v>
      </c>
      <c r="D91" s="296"/>
      <c r="E91" s="244"/>
      <c r="F91" s="244"/>
      <c r="G91" s="491"/>
      <c r="H91" s="296"/>
      <c r="I91" s="296"/>
      <c r="J91" s="296"/>
      <c r="K91" s="521"/>
      <c r="L91" s="296"/>
      <c r="M91" s="296"/>
      <c r="N91" s="296"/>
      <c r="O91" s="491"/>
      <c r="P91" s="395"/>
    </row>
    <row r="92" spans="1:18" ht="6" customHeight="1" x14ac:dyDescent="0.2">
      <c r="A92" s="406"/>
      <c r="B92" s="296"/>
      <c r="C92" s="296"/>
      <c r="D92" s="296"/>
      <c r="E92" s="244"/>
      <c r="F92" s="244"/>
      <c r="G92" s="491"/>
      <c r="H92" s="296"/>
      <c r="I92" s="296"/>
      <c r="J92" s="296"/>
      <c r="K92" s="491"/>
      <c r="L92" s="296"/>
      <c r="M92" s="296"/>
      <c r="N92" s="296"/>
      <c r="O92" s="491"/>
      <c r="P92" s="395"/>
    </row>
    <row r="93" spans="1:18" x14ac:dyDescent="0.2">
      <c r="A93" s="406">
        <f>A91+1</f>
        <v>37</v>
      </c>
      <c r="B93" s="296"/>
      <c r="C93" s="296" t="s">
        <v>488</v>
      </c>
      <c r="D93" s="296"/>
      <c r="E93" s="244" t="s">
        <v>998</v>
      </c>
      <c r="F93" s="244"/>
      <c r="G93" s="491">
        <f>+'S8.2 &amp; 8.3'!L228</f>
        <v>63525</v>
      </c>
      <c r="H93" s="296"/>
      <c r="I93" s="396">
        <f>G93/G99</f>
        <v>0.59624793213896021</v>
      </c>
      <c r="J93" s="296"/>
      <c r="K93" s="491">
        <f>K99*I93</f>
        <v>63712.508049699063</v>
      </c>
      <c r="L93" s="296"/>
      <c r="M93" s="396">
        <f>+'S8.2 &amp; 8.3'!N228</f>
        <v>5.2878598976780801E-2</v>
      </c>
      <c r="N93" s="296"/>
      <c r="O93" s="491">
        <f>+M93*K93</f>
        <v>3369.0281629649553</v>
      </c>
      <c r="P93" s="395"/>
      <c r="R93" s="337"/>
    </row>
    <row r="94" spans="1:18" ht="6" customHeight="1" x14ac:dyDescent="0.2">
      <c r="A94" s="406"/>
      <c r="B94" s="296"/>
      <c r="C94" s="296"/>
      <c r="D94" s="296"/>
      <c r="E94" s="244"/>
      <c r="F94" s="244"/>
      <c r="G94" s="491"/>
      <c r="H94" s="296"/>
      <c r="I94" s="396"/>
      <c r="J94" s="296"/>
      <c r="K94" s="491"/>
      <c r="L94" s="296"/>
      <c r="M94" s="396"/>
      <c r="N94" s="296"/>
      <c r="O94" s="491"/>
      <c r="P94" s="395"/>
    </row>
    <row r="95" spans="1:18" x14ac:dyDescent="0.2">
      <c r="A95" s="406">
        <f>A93+1</f>
        <v>38</v>
      </c>
      <c r="B95" s="296"/>
      <c r="C95" s="296" t="s">
        <v>489</v>
      </c>
      <c r="D95" s="296"/>
      <c r="E95" s="244"/>
      <c r="F95" s="244"/>
      <c r="G95" s="491">
        <v>42349</v>
      </c>
      <c r="H95" s="296"/>
      <c r="I95" s="396">
        <f>G95/G99</f>
        <v>0.39748923539004843</v>
      </c>
      <c r="J95" s="296"/>
      <c r="K95" s="491">
        <f>K99*I95</f>
        <v>42474.002414745468</v>
      </c>
      <c r="L95" s="296"/>
      <c r="M95" s="396">
        <f>O95/K95</f>
        <v>9.490899616030575E-2</v>
      </c>
      <c r="N95" s="296"/>
      <c r="O95" s="491">
        <f>O99-O93-O97</f>
        <v>4031.164932093895</v>
      </c>
      <c r="P95" s="395"/>
      <c r="R95" s="337"/>
    </row>
    <row r="96" spans="1:18" ht="6" customHeight="1" x14ac:dyDescent="0.2">
      <c r="A96" s="406"/>
      <c r="B96" s="296"/>
      <c r="C96" s="296"/>
      <c r="D96" s="296"/>
      <c r="E96" s="244"/>
      <c r="F96" s="244"/>
      <c r="G96" s="491"/>
      <c r="H96" s="296"/>
      <c r="I96" s="396"/>
      <c r="J96" s="296"/>
      <c r="K96" s="491"/>
      <c r="L96" s="296"/>
      <c r="M96" s="396"/>
      <c r="N96" s="296"/>
      <c r="O96" s="491"/>
      <c r="P96" s="395"/>
    </row>
    <row r="97" spans="1:18" x14ac:dyDescent="0.2">
      <c r="A97" s="406">
        <f>A95+1</f>
        <v>39</v>
      </c>
      <c r="B97" s="296"/>
      <c r="C97" s="296" t="s">
        <v>66</v>
      </c>
      <c r="D97" s="296"/>
      <c r="E97" s="244" t="s">
        <v>394</v>
      </c>
      <c r="F97" s="244"/>
      <c r="G97" s="399">
        <f>+'S8.4 '!R17</f>
        <v>667.25</v>
      </c>
      <c r="H97" s="296"/>
      <c r="I97" s="398">
        <f>G97/G99</f>
        <v>6.2628324709912827E-3</v>
      </c>
      <c r="J97" s="296"/>
      <c r="K97" s="399">
        <f>K99*I97</f>
        <v>669.21953555547736</v>
      </c>
      <c r="L97" s="296"/>
      <c r="M97" s="398">
        <v>0</v>
      </c>
      <c r="N97" s="296"/>
      <c r="O97" s="399">
        <f>ROUND(K97*M97,0)</f>
        <v>0</v>
      </c>
      <c r="P97" s="400"/>
      <c r="R97" s="337"/>
    </row>
    <row r="98" spans="1:18" ht="6" customHeight="1" x14ac:dyDescent="0.2">
      <c r="A98" s="406"/>
      <c r="B98" s="296"/>
      <c r="C98" s="296"/>
      <c r="D98" s="296"/>
      <c r="E98" s="244"/>
      <c r="F98" s="244"/>
      <c r="G98" s="491"/>
      <c r="H98" s="296"/>
      <c r="I98" s="296"/>
      <c r="J98" s="296"/>
      <c r="K98" s="491"/>
      <c r="L98" s="296"/>
      <c r="M98" s="396"/>
      <c r="N98" s="296"/>
      <c r="O98" s="491"/>
      <c r="P98" s="395"/>
    </row>
    <row r="99" spans="1:18" ht="13.5" thickBot="1" x14ac:dyDescent="0.25">
      <c r="A99" s="406">
        <f>A97+1</f>
        <v>40</v>
      </c>
      <c r="B99" s="296"/>
      <c r="C99" s="296" t="s">
        <v>12</v>
      </c>
      <c r="D99" s="296"/>
      <c r="E99" s="244" t="s">
        <v>241</v>
      </c>
      <c r="F99" s="244"/>
      <c r="G99" s="520">
        <f>SUM(G93:G97)</f>
        <v>106541.25</v>
      </c>
      <c r="H99" s="296"/>
      <c r="I99" s="404">
        <f>SUM(I93:I97)</f>
        <v>0.99999999999999989</v>
      </c>
      <c r="J99" s="296"/>
      <c r="K99" s="520">
        <f>+S8.5!R36</f>
        <v>106855.73000000001</v>
      </c>
      <c r="L99" s="296"/>
      <c r="M99" s="402">
        <f>O99/K99</f>
        <v>6.9254059609707874E-2</v>
      </c>
      <c r="N99" s="296"/>
      <c r="O99" s="520">
        <v>7400.1930950588503</v>
      </c>
      <c r="P99" s="403"/>
    </row>
    <row r="100" spans="1:18" x14ac:dyDescent="0.2">
      <c r="A100" s="407"/>
      <c r="E100" s="244" t="s">
        <v>1000</v>
      </c>
      <c r="F100" s="244"/>
    </row>
  </sheetData>
  <customSheetViews>
    <customSheetView guid="{275E5119-9E8C-43ED-ACD2-DF40CF10B219}" topLeftCell="D16">
      <selection activeCell="Q34" sqref="Q34"/>
      <pageMargins left="0.81" right="0.64" top="1" bottom="0.5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howPageBreaks="1" showRuler="0" topLeftCell="D16">
      <selection activeCell="Q50" sqref="Q50"/>
      <pageMargins left="0.81" right="0.64" top="1" bottom="0.5" header="0.5" footer="0.5"/>
      <pageSetup scale="70" orientation="landscape" horizontalDpi="4294967292" verticalDpi="4294967292" r:id="rId2"/>
      <headerFooter alignWithMargins="0"/>
    </customSheetView>
  </customSheetViews>
  <phoneticPr fontId="11" type="noConversion"/>
  <printOptions horizontalCentered="1"/>
  <pageMargins left="0.5" right="0.5" top="0.75" bottom="0.75" header="0.26" footer="0.28999999999999998"/>
  <pageSetup scale="78" orientation="landscape" r:id="rId3"/>
  <headerFooter alignWithMargins="0">
    <oddHeader>&amp;RUndertaking 17 - Page 527, Lines 15-17, Attachment</oddHeader>
  </headerFooter>
  <rowBreaks count="1" manualBreakCount="1">
    <brk id="50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O229"/>
  <sheetViews>
    <sheetView view="pageBreakPreview" topLeftCell="A178" zoomScaleNormal="85" zoomScaleSheetLayoutView="100" workbookViewId="0">
      <selection activeCell="K225" sqref="K225"/>
    </sheetView>
  </sheetViews>
  <sheetFormatPr defaultRowHeight="12.75" x14ac:dyDescent="0.2"/>
  <cols>
    <col min="1" max="1" width="4.42578125" style="14" bestFit="1" customWidth="1"/>
    <col min="2" max="2" width="2" style="293" customWidth="1"/>
    <col min="3" max="3" width="14.140625" style="293" customWidth="1"/>
    <col min="4" max="4" width="6.28515625" style="293" customWidth="1"/>
    <col min="5" max="5" width="11.42578125" style="293" customWidth="1"/>
    <col min="6" max="6" width="8" style="293" customWidth="1"/>
    <col min="7" max="7" width="12" style="293" customWidth="1"/>
    <col min="8" max="8" width="9.7109375" style="293" customWidth="1"/>
    <col min="9" max="9" width="8.85546875" style="293" customWidth="1"/>
    <col min="10" max="10" width="12.7109375" style="293" bestFit="1" customWidth="1"/>
    <col min="11" max="11" width="12" style="293" customWidth="1"/>
    <col min="12" max="12" width="14.42578125" style="293" customWidth="1"/>
    <col min="13" max="13" width="12.140625" style="293" customWidth="1"/>
    <col min="14" max="14" width="15.140625" style="293" customWidth="1"/>
    <col min="15" max="15" width="2.28515625" style="293" customWidth="1"/>
    <col min="16" max="16384" width="9.140625" style="293"/>
  </cols>
  <sheetData>
    <row r="1" spans="1:15" x14ac:dyDescent="0.2">
      <c r="A1" s="340" t="s">
        <v>1006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121" t="s">
        <v>565</v>
      </c>
    </row>
    <row r="2" spans="1:15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121" t="s">
        <v>588</v>
      </c>
    </row>
    <row r="3" spans="1:15" x14ac:dyDescent="0.2">
      <c r="A3" s="340" t="s">
        <v>587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170"/>
    </row>
    <row r="4" spans="1:15" x14ac:dyDescent="0.2">
      <c r="A4" s="340" t="s">
        <v>18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170"/>
    </row>
    <row r="5" spans="1:15" x14ac:dyDescent="0.2">
      <c r="A5" s="196" t="s">
        <v>19</v>
      </c>
      <c r="B5" s="522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331"/>
      <c r="O5" s="385"/>
    </row>
    <row r="6" spans="1:15" x14ac:dyDescent="0.2">
      <c r="A6" s="204" t="s">
        <v>21</v>
      </c>
      <c r="B6" s="522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331"/>
      <c r="O6" s="385"/>
    </row>
    <row r="7" spans="1:15" ht="7.5" customHeight="1" x14ac:dyDescent="0.2">
      <c r="K7" s="201"/>
    </row>
    <row r="8" spans="1:15" x14ac:dyDescent="0.2">
      <c r="B8" s="526"/>
      <c r="C8" s="201"/>
      <c r="D8" s="14"/>
      <c r="E8" s="15"/>
      <c r="F8" s="199"/>
      <c r="G8" s="15"/>
      <c r="H8" s="13"/>
      <c r="I8" s="13"/>
      <c r="J8" s="200"/>
      <c r="K8" s="199"/>
      <c r="L8" s="197"/>
      <c r="M8" s="197"/>
    </row>
    <row r="9" spans="1:15" x14ac:dyDescent="0.2">
      <c r="A9" s="14">
        <v>1</v>
      </c>
      <c r="B9" s="523" t="s">
        <v>579</v>
      </c>
      <c r="C9" s="201"/>
      <c r="D9" s="201"/>
      <c r="E9" s="201"/>
      <c r="F9" s="201"/>
      <c r="G9" s="201"/>
      <c r="H9" s="201"/>
      <c r="I9" s="202" t="s">
        <v>44</v>
      </c>
      <c r="J9" s="203"/>
      <c r="K9" s="201"/>
      <c r="L9" s="201"/>
      <c r="M9" s="201"/>
    </row>
    <row r="10" spans="1:15" x14ac:dyDescent="0.2">
      <c r="A10" s="14">
        <f t="shared" ref="A10:A25" si="0">A9+1</f>
        <v>2</v>
      </c>
      <c r="C10" s="196"/>
      <c r="D10" s="196"/>
      <c r="E10" s="196"/>
      <c r="F10" s="196"/>
      <c r="G10" s="196"/>
      <c r="H10" s="196" t="s">
        <v>45</v>
      </c>
      <c r="I10" s="196" t="s">
        <v>13</v>
      </c>
      <c r="J10" s="196" t="s">
        <v>46</v>
      </c>
      <c r="L10" s="196" t="s">
        <v>45</v>
      </c>
      <c r="M10" s="196" t="s">
        <v>13</v>
      </c>
      <c r="N10" s="196" t="s">
        <v>47</v>
      </c>
    </row>
    <row r="11" spans="1:15" x14ac:dyDescent="0.2">
      <c r="A11" s="14">
        <f t="shared" si="0"/>
        <v>3</v>
      </c>
      <c r="B11" s="524"/>
      <c r="C11" s="196"/>
      <c r="D11" s="196"/>
      <c r="E11" s="196" t="s">
        <v>48</v>
      </c>
      <c r="F11" s="196" t="s">
        <v>49</v>
      </c>
      <c r="G11" s="196" t="s">
        <v>50</v>
      </c>
      <c r="H11" s="196" t="s">
        <v>51</v>
      </c>
      <c r="I11" s="196" t="s">
        <v>12</v>
      </c>
      <c r="J11" s="196" t="s">
        <v>45</v>
      </c>
      <c r="K11" s="196" t="s">
        <v>57</v>
      </c>
      <c r="L11" s="196" t="s">
        <v>58</v>
      </c>
      <c r="M11" s="196" t="s">
        <v>59</v>
      </c>
      <c r="N11" s="196" t="s">
        <v>60</v>
      </c>
    </row>
    <row r="12" spans="1:15" x14ac:dyDescent="0.2">
      <c r="A12" s="14">
        <f t="shared" si="0"/>
        <v>4</v>
      </c>
      <c r="B12" s="524"/>
      <c r="C12" s="204" t="s">
        <v>149</v>
      </c>
      <c r="D12" s="204" t="s">
        <v>61</v>
      </c>
      <c r="E12" s="204" t="s">
        <v>62</v>
      </c>
      <c r="F12" s="204" t="s">
        <v>24</v>
      </c>
      <c r="G12" s="204" t="s">
        <v>62</v>
      </c>
      <c r="H12" s="204" t="s">
        <v>63</v>
      </c>
      <c r="I12" s="204" t="s">
        <v>51</v>
      </c>
      <c r="J12" s="204" t="s">
        <v>51</v>
      </c>
      <c r="K12" s="204" t="s">
        <v>64</v>
      </c>
      <c r="L12" s="525">
        <v>41639</v>
      </c>
      <c r="M12" s="204" t="s">
        <v>25</v>
      </c>
      <c r="N12" s="204" t="s">
        <v>64</v>
      </c>
    </row>
    <row r="13" spans="1:15" x14ac:dyDescent="0.2">
      <c r="A13" s="14">
        <f t="shared" si="0"/>
        <v>5</v>
      </c>
      <c r="B13" s="526"/>
      <c r="C13" s="201"/>
      <c r="D13" s="14" t="s">
        <v>334</v>
      </c>
      <c r="E13" s="15">
        <v>33205</v>
      </c>
      <c r="F13" s="198">
        <v>0.11849999999999999</v>
      </c>
      <c r="G13" s="527">
        <v>2020</v>
      </c>
      <c r="H13" s="492">
        <v>1500</v>
      </c>
      <c r="I13" s="492">
        <v>1500</v>
      </c>
      <c r="J13" s="497">
        <v>100</v>
      </c>
      <c r="K13" s="205">
        <v>0.1191</v>
      </c>
      <c r="L13" s="495">
        <v>1500</v>
      </c>
      <c r="M13" s="549">
        <f>+K13*L13</f>
        <v>178.65</v>
      </c>
    </row>
    <row r="14" spans="1:15" x14ac:dyDescent="0.2">
      <c r="A14" s="14">
        <f t="shared" si="0"/>
        <v>6</v>
      </c>
      <c r="B14" s="526"/>
      <c r="C14" s="201"/>
      <c r="D14" s="14" t="s">
        <v>335</v>
      </c>
      <c r="E14" s="15">
        <v>33732</v>
      </c>
      <c r="F14" s="198">
        <v>9.4600000000000004E-2</v>
      </c>
      <c r="G14" s="527">
        <v>2023</v>
      </c>
      <c r="H14" s="495">
        <v>2500</v>
      </c>
      <c r="I14" s="495">
        <v>2500</v>
      </c>
      <c r="J14" s="496">
        <v>100</v>
      </c>
      <c r="K14" s="205">
        <v>9.5100000000000004E-2</v>
      </c>
      <c r="L14" s="495">
        <v>2500</v>
      </c>
      <c r="M14" s="495">
        <f t="shared" ref="M14:M27" si="1">+K14*L14</f>
        <v>237.75</v>
      </c>
      <c r="N14" s="328"/>
    </row>
    <row r="15" spans="1:15" x14ac:dyDescent="0.2">
      <c r="A15" s="14">
        <f t="shared" si="0"/>
        <v>7</v>
      </c>
      <c r="B15" s="526"/>
      <c r="D15" s="14" t="s">
        <v>85</v>
      </c>
      <c r="E15" s="15">
        <v>36385</v>
      </c>
      <c r="F15" s="198">
        <v>6.8000000000000005E-2</v>
      </c>
      <c r="G15" s="527">
        <v>2019</v>
      </c>
      <c r="H15" s="495">
        <v>4500</v>
      </c>
      <c r="I15" s="492">
        <v>4500</v>
      </c>
      <c r="J15" s="497">
        <v>100</v>
      </c>
      <c r="K15" s="205">
        <v>6.8500000000000005E-2</v>
      </c>
      <c r="L15" s="495">
        <v>4500</v>
      </c>
      <c r="M15" s="495">
        <f t="shared" si="1"/>
        <v>308.25</v>
      </c>
    </row>
    <row r="16" spans="1:15" x14ac:dyDescent="0.2">
      <c r="A16" s="14">
        <f t="shared" si="0"/>
        <v>8</v>
      </c>
      <c r="B16" s="526"/>
      <c r="D16" s="14" t="s">
        <v>336</v>
      </c>
      <c r="E16" s="15">
        <v>37582</v>
      </c>
      <c r="F16" s="198">
        <v>6.1600000000000002E-2</v>
      </c>
      <c r="G16" s="14">
        <v>2017</v>
      </c>
      <c r="H16" s="492">
        <v>3900</v>
      </c>
      <c r="I16" s="492">
        <v>3900</v>
      </c>
      <c r="J16" s="497">
        <v>100</v>
      </c>
      <c r="K16" s="198">
        <v>6.2100000000000002E-2</v>
      </c>
      <c r="L16" s="495">
        <v>3900</v>
      </c>
      <c r="M16" s="495">
        <f t="shared" si="1"/>
        <v>242.19</v>
      </c>
    </row>
    <row r="17" spans="1:14" x14ac:dyDescent="0.2">
      <c r="A17" s="14">
        <f t="shared" si="0"/>
        <v>9</v>
      </c>
      <c r="B17" s="526"/>
      <c r="D17" s="14" t="s">
        <v>337</v>
      </c>
      <c r="E17" s="15">
        <v>38009</v>
      </c>
      <c r="F17" s="198">
        <v>5.4199999999999998E-2</v>
      </c>
      <c r="G17" s="14">
        <v>2019</v>
      </c>
      <c r="H17" s="492">
        <v>1000</v>
      </c>
      <c r="I17" s="492">
        <v>1000</v>
      </c>
      <c r="J17" s="497">
        <v>100</v>
      </c>
      <c r="K17" s="198">
        <v>5.4699999999999999E-2</v>
      </c>
      <c r="L17" s="495">
        <v>1000</v>
      </c>
      <c r="M17" s="495">
        <f t="shared" si="1"/>
        <v>54.699999999999996</v>
      </c>
    </row>
    <row r="18" spans="1:14" x14ac:dyDescent="0.2">
      <c r="A18" s="14">
        <f t="shared" si="0"/>
        <v>10</v>
      </c>
      <c r="B18" s="526"/>
      <c r="D18" s="14" t="s">
        <v>338</v>
      </c>
      <c r="E18" s="15">
        <v>38309</v>
      </c>
      <c r="F18" s="198">
        <v>5.11E-2</v>
      </c>
      <c r="G18" s="14">
        <v>2014</v>
      </c>
      <c r="H18" s="492">
        <v>500</v>
      </c>
      <c r="I18" s="492">
        <v>500</v>
      </c>
      <c r="J18" s="497">
        <v>100</v>
      </c>
      <c r="K18" s="198">
        <v>5.16E-2</v>
      </c>
      <c r="L18" s="495">
        <v>500</v>
      </c>
      <c r="M18" s="495">
        <f t="shared" si="1"/>
        <v>25.8</v>
      </c>
    </row>
    <row r="19" spans="1:14" x14ac:dyDescent="0.2">
      <c r="A19" s="14">
        <f t="shared" si="0"/>
        <v>11</v>
      </c>
      <c r="B19" s="526"/>
      <c r="D19" s="14" t="s">
        <v>339</v>
      </c>
      <c r="E19" s="15">
        <v>38677</v>
      </c>
      <c r="F19" s="198">
        <v>5.1799999999999999E-2</v>
      </c>
      <c r="G19" s="14">
        <v>2035</v>
      </c>
      <c r="H19" s="492">
        <v>4300</v>
      </c>
      <c r="I19" s="492">
        <v>4300</v>
      </c>
      <c r="J19" s="497">
        <v>100</v>
      </c>
      <c r="K19" s="198">
        <v>5.2299999999999999E-2</v>
      </c>
      <c r="L19" s="495">
        <v>4300</v>
      </c>
      <c r="M19" s="495">
        <f t="shared" si="1"/>
        <v>224.89</v>
      </c>
    </row>
    <row r="20" spans="1:14" x14ac:dyDescent="0.2">
      <c r="A20" s="14">
        <f t="shared" si="0"/>
        <v>12</v>
      </c>
      <c r="B20" s="526"/>
      <c r="C20" s="201"/>
      <c r="D20" s="14" t="s">
        <v>340</v>
      </c>
      <c r="E20" s="15">
        <v>39041</v>
      </c>
      <c r="F20" s="198">
        <v>5.0200000000000002E-2</v>
      </c>
      <c r="G20" s="14">
        <v>2036</v>
      </c>
      <c r="H20" s="492">
        <v>3000</v>
      </c>
      <c r="I20" s="492">
        <v>3000</v>
      </c>
      <c r="J20" s="497">
        <v>100</v>
      </c>
      <c r="K20" s="198">
        <v>5.0700000000000002E-2</v>
      </c>
      <c r="L20" s="495">
        <v>3000</v>
      </c>
      <c r="M20" s="495">
        <f t="shared" si="1"/>
        <v>152.1</v>
      </c>
    </row>
    <row r="21" spans="1:14" x14ac:dyDescent="0.2">
      <c r="A21" s="14">
        <f t="shared" si="0"/>
        <v>13</v>
      </c>
      <c r="B21" s="526"/>
      <c r="C21" s="201"/>
      <c r="D21" s="14" t="s">
        <v>2</v>
      </c>
      <c r="E21" s="15">
        <v>39594</v>
      </c>
      <c r="F21" s="198">
        <v>5.5599999999999997E-2</v>
      </c>
      <c r="G21" s="14">
        <v>2028</v>
      </c>
      <c r="H21" s="495">
        <v>860</v>
      </c>
      <c r="I21" s="492">
        <v>860</v>
      </c>
      <c r="J21" s="497">
        <v>100</v>
      </c>
      <c r="K21" s="198">
        <v>5.6099999999999997E-2</v>
      </c>
      <c r="L21" s="495">
        <v>860</v>
      </c>
      <c r="M21" s="495">
        <f t="shared" si="1"/>
        <v>48.245999999999995</v>
      </c>
    </row>
    <row r="22" spans="1:14" x14ac:dyDescent="0.2">
      <c r="A22" s="14">
        <f t="shared" si="0"/>
        <v>14</v>
      </c>
      <c r="B22" s="526"/>
      <c r="C22" s="201"/>
      <c r="D22" s="14" t="s">
        <v>366</v>
      </c>
      <c r="E22" s="15">
        <v>39594</v>
      </c>
      <c r="F22" s="198">
        <v>5.57E-2</v>
      </c>
      <c r="G22" s="14">
        <v>2038</v>
      </c>
      <c r="H22" s="495">
        <v>1290</v>
      </c>
      <c r="I22" s="492">
        <v>1290</v>
      </c>
      <c r="J22" s="497">
        <v>100</v>
      </c>
      <c r="K22" s="198">
        <v>5.62E-2</v>
      </c>
      <c r="L22" s="495">
        <v>1290</v>
      </c>
      <c r="M22" s="495">
        <f t="shared" si="1"/>
        <v>72.498000000000005</v>
      </c>
    </row>
    <row r="23" spans="1:14" x14ac:dyDescent="0.2">
      <c r="A23" s="14">
        <f t="shared" si="0"/>
        <v>15</v>
      </c>
      <c r="B23" s="526"/>
      <c r="C23" s="201"/>
      <c r="D23" s="14" t="s">
        <v>367</v>
      </c>
      <c r="E23" s="15">
        <v>39878</v>
      </c>
      <c r="F23" s="198">
        <v>6.2299999999999994E-2</v>
      </c>
      <c r="G23" s="14">
        <v>2024</v>
      </c>
      <c r="H23" s="495">
        <v>2900</v>
      </c>
      <c r="I23" s="492">
        <v>2900</v>
      </c>
      <c r="J23" s="497">
        <v>100</v>
      </c>
      <c r="K23" s="198">
        <v>6.2799999999999995E-2</v>
      </c>
      <c r="L23" s="495">
        <v>2900</v>
      </c>
      <c r="M23" s="495">
        <f t="shared" si="1"/>
        <v>182.11999999999998</v>
      </c>
    </row>
    <row r="24" spans="1:14" x14ac:dyDescent="0.2">
      <c r="A24" s="14">
        <f t="shared" si="0"/>
        <v>16</v>
      </c>
      <c r="B24" s="526"/>
      <c r="C24" s="201"/>
      <c r="D24" s="14" t="s">
        <v>3</v>
      </c>
      <c r="E24" s="15">
        <v>39878</v>
      </c>
      <c r="F24" s="198">
        <v>6.5000000000000002E-2</v>
      </c>
      <c r="G24" s="14">
        <v>2039</v>
      </c>
      <c r="H24" s="495">
        <v>3700</v>
      </c>
      <c r="I24" s="492">
        <v>3700</v>
      </c>
      <c r="J24" s="497">
        <v>100</v>
      </c>
      <c r="K24" s="198">
        <v>6.5500000000000003E-2</v>
      </c>
      <c r="L24" s="495">
        <v>3700</v>
      </c>
      <c r="M24" s="495">
        <f t="shared" si="1"/>
        <v>242.35000000000002</v>
      </c>
    </row>
    <row r="25" spans="1:14" x14ac:dyDescent="0.2">
      <c r="A25" s="14">
        <f t="shared" si="0"/>
        <v>17</v>
      </c>
      <c r="B25" s="526"/>
      <c r="C25" s="201"/>
      <c r="D25" s="14" t="s">
        <v>495</v>
      </c>
      <c r="E25" s="15">
        <v>40840</v>
      </c>
      <c r="F25" s="198">
        <v>4.53E-2</v>
      </c>
      <c r="G25" s="14">
        <v>2041</v>
      </c>
      <c r="H25" s="492">
        <v>5000</v>
      </c>
      <c r="I25" s="492">
        <v>5000</v>
      </c>
      <c r="J25" s="497">
        <v>100</v>
      </c>
      <c r="K25" s="198">
        <v>4.58E-2</v>
      </c>
      <c r="L25" s="495">
        <v>5000</v>
      </c>
      <c r="M25" s="495">
        <f t="shared" si="1"/>
        <v>229</v>
      </c>
    </row>
    <row r="26" spans="1:14" x14ac:dyDescent="0.2">
      <c r="A26" s="14">
        <f t="shared" ref="A26:A55" si="2">A25+1</f>
        <v>18</v>
      </c>
      <c r="B26" s="526"/>
      <c r="C26" s="201"/>
      <c r="D26" s="14" t="s">
        <v>496</v>
      </c>
      <c r="E26" s="15">
        <v>41214</v>
      </c>
      <c r="F26" s="198">
        <v>3.8399999999999997E-2</v>
      </c>
      <c r="G26" s="14">
        <v>2052</v>
      </c>
      <c r="H26" s="492">
        <v>4000</v>
      </c>
      <c r="I26" s="492">
        <v>4000</v>
      </c>
      <c r="J26" s="497">
        <v>100</v>
      </c>
      <c r="K26" s="198">
        <v>3.8899999999999997E-2</v>
      </c>
      <c r="L26" s="495">
        <v>4000</v>
      </c>
      <c r="M26" s="495">
        <f t="shared" si="1"/>
        <v>155.6</v>
      </c>
    </row>
    <row r="27" spans="1:14" x14ac:dyDescent="0.2">
      <c r="A27" s="14">
        <f t="shared" si="2"/>
        <v>19</v>
      </c>
      <c r="B27" s="526"/>
      <c r="C27" s="201"/>
      <c r="D27" s="14" t="s">
        <v>497</v>
      </c>
      <c r="E27" s="15">
        <v>41579</v>
      </c>
      <c r="F27" s="198">
        <v>4.7109999999999999E-2</v>
      </c>
      <c r="G27" s="14">
        <v>2053</v>
      </c>
      <c r="H27" s="493">
        <v>9400</v>
      </c>
      <c r="I27" s="492">
        <v>9400</v>
      </c>
      <c r="J27" s="497">
        <v>100</v>
      </c>
      <c r="K27" s="198">
        <v>4.761E-2</v>
      </c>
      <c r="L27" s="493">
        <v>9400</v>
      </c>
      <c r="M27" s="493">
        <f t="shared" si="1"/>
        <v>447.53399999999999</v>
      </c>
    </row>
    <row r="28" spans="1:14" x14ac:dyDescent="0.2">
      <c r="A28" s="14">
        <f t="shared" si="2"/>
        <v>20</v>
      </c>
      <c r="B28" s="526"/>
      <c r="C28" s="201" t="s">
        <v>12</v>
      </c>
      <c r="D28" s="14"/>
      <c r="E28" s="15"/>
      <c r="F28" s="199"/>
      <c r="G28" s="15"/>
      <c r="H28" s="492">
        <f>SUM(H13:H27)</f>
        <v>48350</v>
      </c>
      <c r="I28" s="492"/>
      <c r="J28" s="200"/>
      <c r="K28" s="199"/>
      <c r="L28" s="492">
        <f>SUM(L13:L27)</f>
        <v>48350</v>
      </c>
      <c r="M28" s="492">
        <f>SUM(M13:M27)</f>
        <v>2801.6779999999999</v>
      </c>
      <c r="N28" s="16">
        <f>M28/L28</f>
        <v>5.7945770423991724E-2</v>
      </c>
    </row>
    <row r="29" spans="1:14" x14ac:dyDescent="0.2">
      <c r="A29" s="14">
        <f t="shared" si="2"/>
        <v>21</v>
      </c>
      <c r="B29" s="526"/>
      <c r="C29" s="201" t="s">
        <v>65</v>
      </c>
      <c r="D29" s="14"/>
      <c r="E29" s="15"/>
      <c r="F29" s="199"/>
      <c r="G29" s="15"/>
      <c r="H29" s="13"/>
      <c r="I29" s="13"/>
      <c r="J29" s="200"/>
      <c r="K29" s="199"/>
      <c r="L29" s="493">
        <v>38950</v>
      </c>
      <c r="M29" s="493">
        <v>2354.1439999999998</v>
      </c>
      <c r="N29" s="17">
        <f>M29/L29</f>
        <v>6.0440154043645694E-2</v>
      </c>
    </row>
    <row r="30" spans="1:14" x14ac:dyDescent="0.2">
      <c r="A30" s="14">
        <f t="shared" si="2"/>
        <v>22</v>
      </c>
      <c r="B30" s="526"/>
      <c r="C30" s="201" t="s">
        <v>12</v>
      </c>
      <c r="D30" s="14"/>
      <c r="E30" s="15"/>
      <c r="F30" s="199"/>
      <c r="G30" s="15"/>
      <c r="H30" s="13"/>
      <c r="I30" s="13"/>
      <c r="J30" s="200"/>
      <c r="K30" s="199"/>
      <c r="L30" s="493">
        <f>SUM(L28:L29)</f>
        <v>87300</v>
      </c>
      <c r="M30" s="493">
        <f>SUM(M28:M29)</f>
        <v>5155.8220000000001</v>
      </c>
      <c r="N30" s="338"/>
    </row>
    <row r="31" spans="1:14" ht="13.5" thickBot="1" x14ac:dyDescent="0.25">
      <c r="A31" s="14">
        <f t="shared" si="2"/>
        <v>23</v>
      </c>
      <c r="B31" s="526"/>
      <c r="C31" s="201" t="s">
        <v>23</v>
      </c>
      <c r="D31" s="14"/>
      <c r="E31" s="15"/>
      <c r="F31" s="199"/>
      <c r="G31" s="15"/>
      <c r="H31" s="13"/>
      <c r="I31" s="13"/>
      <c r="J31" s="200"/>
      <c r="K31" s="199"/>
      <c r="L31" s="494">
        <f>L30/2</f>
        <v>43650</v>
      </c>
      <c r="M31" s="494">
        <f>M30/2</f>
        <v>2577.9110000000001</v>
      </c>
      <c r="N31" s="18">
        <f>M31/L31</f>
        <v>5.9058671248568159E-2</v>
      </c>
    </row>
    <row r="32" spans="1:14" ht="13.5" thickTop="1" x14ac:dyDescent="0.2">
      <c r="A32" s="14">
        <f t="shared" si="2"/>
        <v>24</v>
      </c>
      <c r="B32" s="526"/>
      <c r="C32" s="201"/>
      <c r="D32" s="14"/>
      <c r="E32" s="15"/>
      <c r="F32" s="199"/>
      <c r="G32" s="15"/>
      <c r="H32" s="13"/>
      <c r="I32" s="13"/>
      <c r="J32" s="200"/>
      <c r="K32" s="199"/>
      <c r="L32" s="197"/>
      <c r="M32" s="197"/>
      <c r="N32" s="121"/>
    </row>
    <row r="33" spans="1:14" x14ac:dyDescent="0.2">
      <c r="A33" s="14">
        <f t="shared" si="2"/>
        <v>25</v>
      </c>
      <c r="B33" s="523" t="s">
        <v>580</v>
      </c>
      <c r="C33" s="201"/>
      <c r="D33" s="201"/>
      <c r="E33" s="201"/>
      <c r="F33" s="201"/>
      <c r="G33" s="201"/>
      <c r="H33" s="201"/>
      <c r="I33" s="202" t="s">
        <v>44</v>
      </c>
      <c r="J33" s="203"/>
      <c r="K33" s="201"/>
      <c r="L33" s="201"/>
      <c r="M33" s="201"/>
    </row>
    <row r="34" spans="1:14" x14ac:dyDescent="0.2">
      <c r="A34" s="14">
        <f t="shared" si="2"/>
        <v>26</v>
      </c>
      <c r="C34" s="196"/>
      <c r="D34" s="196"/>
      <c r="E34" s="196"/>
      <c r="F34" s="196"/>
      <c r="G34" s="196"/>
      <c r="H34" s="196" t="s">
        <v>45</v>
      </c>
      <c r="I34" s="196" t="s">
        <v>13</v>
      </c>
      <c r="J34" s="196" t="s">
        <v>46</v>
      </c>
      <c r="L34" s="196" t="s">
        <v>45</v>
      </c>
      <c r="M34" s="196" t="s">
        <v>13</v>
      </c>
      <c r="N34" s="196" t="s">
        <v>47</v>
      </c>
    </row>
    <row r="35" spans="1:14" x14ac:dyDescent="0.2">
      <c r="A35" s="14">
        <f t="shared" si="2"/>
        <v>27</v>
      </c>
      <c r="B35" s="524"/>
      <c r="C35" s="196"/>
      <c r="D35" s="196"/>
      <c r="E35" s="196" t="s">
        <v>48</v>
      </c>
      <c r="F35" s="196" t="s">
        <v>49</v>
      </c>
      <c r="G35" s="196" t="s">
        <v>50</v>
      </c>
      <c r="H35" s="196" t="s">
        <v>51</v>
      </c>
      <c r="I35" s="196" t="s">
        <v>12</v>
      </c>
      <c r="J35" s="196" t="s">
        <v>45</v>
      </c>
      <c r="K35" s="196" t="s">
        <v>57</v>
      </c>
      <c r="L35" s="196" t="s">
        <v>58</v>
      </c>
      <c r="M35" s="196" t="s">
        <v>59</v>
      </c>
      <c r="N35" s="196" t="s">
        <v>60</v>
      </c>
    </row>
    <row r="36" spans="1:14" x14ac:dyDescent="0.2">
      <c r="A36" s="14">
        <f t="shared" si="2"/>
        <v>28</v>
      </c>
      <c r="B36" s="524"/>
      <c r="C36" s="204" t="s">
        <v>149</v>
      </c>
      <c r="D36" s="204" t="s">
        <v>61</v>
      </c>
      <c r="E36" s="204" t="s">
        <v>62</v>
      </c>
      <c r="F36" s="204" t="s">
        <v>24</v>
      </c>
      <c r="G36" s="204" t="s">
        <v>62</v>
      </c>
      <c r="H36" s="204" t="s">
        <v>63</v>
      </c>
      <c r="I36" s="204" t="s">
        <v>51</v>
      </c>
      <c r="J36" s="204" t="s">
        <v>51</v>
      </c>
      <c r="K36" s="204" t="s">
        <v>64</v>
      </c>
      <c r="L36" s="525">
        <v>41639</v>
      </c>
      <c r="M36" s="204" t="s">
        <v>25</v>
      </c>
      <c r="N36" s="204" t="s">
        <v>64</v>
      </c>
    </row>
    <row r="37" spans="1:14" x14ac:dyDescent="0.2">
      <c r="A37" s="14">
        <f t="shared" si="2"/>
        <v>29</v>
      </c>
      <c r="B37" s="526"/>
      <c r="C37" s="201"/>
      <c r="D37" s="14" t="s">
        <v>334</v>
      </c>
      <c r="E37" s="15">
        <v>33205</v>
      </c>
      <c r="F37" s="198">
        <v>0.11849999999999999</v>
      </c>
      <c r="G37" s="527">
        <v>2020</v>
      </c>
      <c r="H37" s="492">
        <v>1500</v>
      </c>
      <c r="I37" s="492">
        <v>1500</v>
      </c>
      <c r="J37" s="497">
        <v>100</v>
      </c>
      <c r="K37" s="205">
        <v>0.1191</v>
      </c>
      <c r="L37" s="495">
        <v>1500</v>
      </c>
      <c r="M37" s="549">
        <f>+K37*L37</f>
        <v>178.65</v>
      </c>
    </row>
    <row r="38" spans="1:14" x14ac:dyDescent="0.2">
      <c r="A38" s="14">
        <f t="shared" si="2"/>
        <v>30</v>
      </c>
      <c r="B38" s="526"/>
      <c r="C38" s="201"/>
      <c r="D38" s="14" t="s">
        <v>335</v>
      </c>
      <c r="E38" s="15">
        <v>33732</v>
      </c>
      <c r="F38" s="198">
        <v>9.4600000000000004E-2</v>
      </c>
      <c r="G38" s="527">
        <v>2023</v>
      </c>
      <c r="H38" s="495">
        <v>2500</v>
      </c>
      <c r="I38" s="495">
        <v>2500</v>
      </c>
      <c r="J38" s="496">
        <v>100</v>
      </c>
      <c r="K38" s="205">
        <v>9.5100000000000004E-2</v>
      </c>
      <c r="L38" s="495">
        <v>2500</v>
      </c>
      <c r="M38" s="549">
        <f t="shared" ref="M38:M51" si="3">+K38*L38</f>
        <v>237.75</v>
      </c>
      <c r="N38" s="328"/>
    </row>
    <row r="39" spans="1:14" x14ac:dyDescent="0.2">
      <c r="A39" s="14">
        <f t="shared" si="2"/>
        <v>31</v>
      </c>
      <c r="B39" s="526"/>
      <c r="D39" s="14" t="s">
        <v>85</v>
      </c>
      <c r="E39" s="15">
        <v>36385</v>
      </c>
      <c r="F39" s="198">
        <v>6.8000000000000005E-2</v>
      </c>
      <c r="G39" s="527">
        <v>2019</v>
      </c>
      <c r="H39" s="495">
        <v>4500</v>
      </c>
      <c r="I39" s="492">
        <v>4500</v>
      </c>
      <c r="J39" s="497">
        <v>100</v>
      </c>
      <c r="K39" s="205">
        <v>6.8500000000000005E-2</v>
      </c>
      <c r="L39" s="495">
        <v>4500</v>
      </c>
      <c r="M39" s="549">
        <f t="shared" si="3"/>
        <v>308.25</v>
      </c>
    </row>
    <row r="40" spans="1:14" x14ac:dyDescent="0.2">
      <c r="A40" s="14">
        <f t="shared" si="2"/>
        <v>32</v>
      </c>
      <c r="B40" s="526"/>
      <c r="C40" s="201"/>
      <c r="D40" s="14" t="s">
        <v>336</v>
      </c>
      <c r="E40" s="15">
        <v>37582</v>
      </c>
      <c r="F40" s="198">
        <v>6.1600000000000002E-2</v>
      </c>
      <c r="G40" s="14">
        <v>2017</v>
      </c>
      <c r="H40" s="492">
        <v>3900</v>
      </c>
      <c r="I40" s="492">
        <v>3900</v>
      </c>
      <c r="J40" s="497">
        <v>100</v>
      </c>
      <c r="K40" s="198">
        <v>6.2100000000000002E-2</v>
      </c>
      <c r="L40" s="495">
        <v>3900</v>
      </c>
      <c r="M40" s="549">
        <f t="shared" si="3"/>
        <v>242.19</v>
      </c>
    </row>
    <row r="41" spans="1:14" x14ac:dyDescent="0.2">
      <c r="A41" s="14">
        <f t="shared" si="2"/>
        <v>33</v>
      </c>
      <c r="B41" s="526"/>
      <c r="C41" s="201"/>
      <c r="D41" s="14" t="s">
        <v>337</v>
      </c>
      <c r="E41" s="15">
        <v>38009</v>
      </c>
      <c r="F41" s="198">
        <v>5.4199999999999998E-2</v>
      </c>
      <c r="G41" s="14">
        <v>2019</v>
      </c>
      <c r="H41" s="492">
        <v>1000</v>
      </c>
      <c r="I41" s="492">
        <v>1000</v>
      </c>
      <c r="J41" s="497">
        <v>100</v>
      </c>
      <c r="K41" s="198">
        <v>5.4699999999999999E-2</v>
      </c>
      <c r="L41" s="495">
        <v>1000</v>
      </c>
      <c r="M41" s="549">
        <f t="shared" si="3"/>
        <v>54.699999999999996</v>
      </c>
    </row>
    <row r="42" spans="1:14" x14ac:dyDescent="0.2">
      <c r="A42" s="14">
        <f t="shared" si="2"/>
        <v>34</v>
      </c>
      <c r="B42" s="526"/>
      <c r="C42" s="201"/>
      <c r="D42" s="14" t="s">
        <v>338</v>
      </c>
      <c r="E42" s="15">
        <v>38309</v>
      </c>
      <c r="F42" s="198">
        <v>5.11E-2</v>
      </c>
      <c r="G42" s="14">
        <v>2014</v>
      </c>
      <c r="H42" s="492">
        <v>500</v>
      </c>
      <c r="I42" s="492">
        <v>500</v>
      </c>
      <c r="J42" s="497">
        <v>100</v>
      </c>
      <c r="K42" s="198">
        <v>5.16E-2</v>
      </c>
      <c r="L42" s="495">
        <v>500</v>
      </c>
      <c r="M42" s="549">
        <f t="shared" si="3"/>
        <v>25.8</v>
      </c>
    </row>
    <row r="43" spans="1:14" x14ac:dyDescent="0.2">
      <c r="A43" s="14">
        <f t="shared" si="2"/>
        <v>35</v>
      </c>
      <c r="B43" s="526"/>
      <c r="C43" s="201"/>
      <c r="D43" s="14" t="s">
        <v>339</v>
      </c>
      <c r="E43" s="15">
        <v>38677</v>
      </c>
      <c r="F43" s="198">
        <v>5.1799999999999999E-2</v>
      </c>
      <c r="G43" s="14">
        <v>2035</v>
      </c>
      <c r="H43" s="492">
        <v>4300</v>
      </c>
      <c r="I43" s="492">
        <v>4300</v>
      </c>
      <c r="J43" s="497">
        <v>100</v>
      </c>
      <c r="K43" s="198">
        <v>5.2299999999999999E-2</v>
      </c>
      <c r="L43" s="495">
        <v>4300</v>
      </c>
      <c r="M43" s="549">
        <f t="shared" si="3"/>
        <v>224.89</v>
      </c>
    </row>
    <row r="44" spans="1:14" x14ac:dyDescent="0.2">
      <c r="A44" s="14">
        <f t="shared" si="2"/>
        <v>36</v>
      </c>
      <c r="B44" s="526"/>
      <c r="C44" s="201"/>
      <c r="D44" s="14" t="s">
        <v>340</v>
      </c>
      <c r="E44" s="15">
        <v>39041</v>
      </c>
      <c r="F44" s="198">
        <v>5.0200000000000002E-2</v>
      </c>
      <c r="G44" s="14">
        <v>2036</v>
      </c>
      <c r="H44" s="492">
        <v>3000</v>
      </c>
      <c r="I44" s="492">
        <v>3000</v>
      </c>
      <c r="J44" s="497">
        <v>100</v>
      </c>
      <c r="K44" s="198">
        <v>5.0700000000000002E-2</v>
      </c>
      <c r="L44" s="495">
        <v>3000</v>
      </c>
      <c r="M44" s="549">
        <f t="shared" si="3"/>
        <v>152.1</v>
      </c>
    </row>
    <row r="45" spans="1:14" x14ac:dyDescent="0.2">
      <c r="A45" s="14">
        <f t="shared" si="2"/>
        <v>37</v>
      </c>
      <c r="B45" s="526"/>
      <c r="C45" s="201"/>
      <c r="D45" s="14" t="s">
        <v>2</v>
      </c>
      <c r="E45" s="15">
        <v>39594</v>
      </c>
      <c r="F45" s="198">
        <v>5.5599999999999997E-2</v>
      </c>
      <c r="G45" s="14">
        <v>2028</v>
      </c>
      <c r="H45" s="495">
        <v>860</v>
      </c>
      <c r="I45" s="492">
        <v>860</v>
      </c>
      <c r="J45" s="497">
        <v>100</v>
      </c>
      <c r="K45" s="198">
        <v>5.6099999999999997E-2</v>
      </c>
      <c r="L45" s="495">
        <v>860</v>
      </c>
      <c r="M45" s="549">
        <f t="shared" si="3"/>
        <v>48.245999999999995</v>
      </c>
    </row>
    <row r="46" spans="1:14" x14ac:dyDescent="0.2">
      <c r="A46" s="14">
        <f t="shared" si="2"/>
        <v>38</v>
      </c>
      <c r="B46" s="526"/>
      <c r="C46" s="201"/>
      <c r="D46" s="14" t="s">
        <v>366</v>
      </c>
      <c r="E46" s="15">
        <v>39594</v>
      </c>
      <c r="F46" s="198">
        <v>5.57E-2</v>
      </c>
      <c r="G46" s="14">
        <v>2038</v>
      </c>
      <c r="H46" s="495">
        <v>1290</v>
      </c>
      <c r="I46" s="492">
        <v>1290</v>
      </c>
      <c r="J46" s="497">
        <v>100</v>
      </c>
      <c r="K46" s="198">
        <v>5.62E-2</v>
      </c>
      <c r="L46" s="495">
        <v>1290</v>
      </c>
      <c r="M46" s="549">
        <f t="shared" si="3"/>
        <v>72.498000000000005</v>
      </c>
    </row>
    <row r="47" spans="1:14" x14ac:dyDescent="0.2">
      <c r="A47" s="14">
        <f t="shared" si="2"/>
        <v>39</v>
      </c>
      <c r="B47" s="526"/>
      <c r="C47" s="201"/>
      <c r="D47" s="14" t="s">
        <v>367</v>
      </c>
      <c r="E47" s="15">
        <v>39878</v>
      </c>
      <c r="F47" s="198">
        <v>6.2299999999999994E-2</v>
      </c>
      <c r="G47" s="14">
        <v>2024</v>
      </c>
      <c r="H47" s="495">
        <v>2900</v>
      </c>
      <c r="I47" s="492">
        <v>2900</v>
      </c>
      <c r="J47" s="497">
        <v>100</v>
      </c>
      <c r="K47" s="198">
        <v>6.2799999999999995E-2</v>
      </c>
      <c r="L47" s="495">
        <v>2900</v>
      </c>
      <c r="M47" s="549">
        <f t="shared" si="3"/>
        <v>182.11999999999998</v>
      </c>
    </row>
    <row r="48" spans="1:14" x14ac:dyDescent="0.2">
      <c r="A48" s="14">
        <f t="shared" si="2"/>
        <v>40</v>
      </c>
      <c r="B48" s="526"/>
      <c r="C48" s="201"/>
      <c r="D48" s="14" t="s">
        <v>3</v>
      </c>
      <c r="E48" s="15">
        <v>39878</v>
      </c>
      <c r="F48" s="198">
        <v>6.5000000000000002E-2</v>
      </c>
      <c r="G48" s="14">
        <v>2039</v>
      </c>
      <c r="H48" s="495">
        <v>3700</v>
      </c>
      <c r="I48" s="492">
        <v>3700</v>
      </c>
      <c r="J48" s="497">
        <v>100</v>
      </c>
      <c r="K48" s="198">
        <v>6.5500000000000003E-2</v>
      </c>
      <c r="L48" s="495">
        <v>3700</v>
      </c>
      <c r="M48" s="549">
        <f t="shared" si="3"/>
        <v>242.35000000000002</v>
      </c>
      <c r="N48" s="328"/>
    </row>
    <row r="49" spans="1:15" x14ac:dyDescent="0.2">
      <c r="A49" s="14">
        <f t="shared" si="2"/>
        <v>41</v>
      </c>
      <c r="B49" s="526"/>
      <c r="C49" s="201"/>
      <c r="D49" s="14" t="s">
        <v>495</v>
      </c>
      <c r="E49" s="15">
        <v>40840</v>
      </c>
      <c r="F49" s="198">
        <v>4.53E-2</v>
      </c>
      <c r="G49" s="14">
        <v>2041</v>
      </c>
      <c r="H49" s="492">
        <v>5000</v>
      </c>
      <c r="I49" s="492">
        <v>5000</v>
      </c>
      <c r="J49" s="497">
        <v>100</v>
      </c>
      <c r="K49" s="198">
        <v>4.58E-2</v>
      </c>
      <c r="L49" s="495">
        <v>5000</v>
      </c>
      <c r="M49" s="549">
        <f t="shared" si="3"/>
        <v>229</v>
      </c>
      <c r="N49" s="235"/>
    </row>
    <row r="50" spans="1:15" x14ac:dyDescent="0.2">
      <c r="A50" s="14">
        <f t="shared" si="2"/>
        <v>42</v>
      </c>
      <c r="B50" s="526"/>
      <c r="C50" s="201"/>
      <c r="D50" s="14" t="s">
        <v>496</v>
      </c>
      <c r="E50" s="15">
        <v>41214</v>
      </c>
      <c r="F50" s="198">
        <v>3.8399999999999997E-2</v>
      </c>
      <c r="G50" s="14">
        <v>2052</v>
      </c>
      <c r="H50" s="492">
        <v>4000</v>
      </c>
      <c r="I50" s="492">
        <v>4000</v>
      </c>
      <c r="J50" s="497">
        <v>100</v>
      </c>
      <c r="K50" s="198">
        <v>3.8899999999999997E-2</v>
      </c>
      <c r="L50" s="495">
        <v>4000</v>
      </c>
      <c r="M50" s="549">
        <f t="shared" si="3"/>
        <v>155.6</v>
      </c>
      <c r="N50" s="235"/>
    </row>
    <row r="51" spans="1:15" x14ac:dyDescent="0.2">
      <c r="A51" s="14">
        <f t="shared" si="2"/>
        <v>43</v>
      </c>
      <c r="B51" s="526"/>
      <c r="C51" s="201"/>
      <c r="D51" s="14" t="s">
        <v>497</v>
      </c>
      <c r="E51" s="15">
        <v>41579</v>
      </c>
      <c r="F51" s="198">
        <v>4.7109999999999999E-2</v>
      </c>
      <c r="G51" s="14">
        <v>2053</v>
      </c>
      <c r="H51" s="493">
        <v>9100</v>
      </c>
      <c r="I51" s="492">
        <v>9100</v>
      </c>
      <c r="J51" s="497">
        <v>100</v>
      </c>
      <c r="K51" s="198">
        <v>4.761E-2</v>
      </c>
      <c r="L51" s="493">
        <v>9100</v>
      </c>
      <c r="M51" s="550">
        <f t="shared" si="3"/>
        <v>433.25099999999998</v>
      </c>
    </row>
    <row r="52" spans="1:15" x14ac:dyDescent="0.2">
      <c r="A52" s="14">
        <f t="shared" si="2"/>
        <v>44</v>
      </c>
      <c r="B52" s="526"/>
      <c r="C52" s="201" t="s">
        <v>12</v>
      </c>
      <c r="D52" s="14"/>
      <c r="E52" s="15"/>
      <c r="F52" s="199"/>
      <c r="G52" s="15"/>
      <c r="H52" s="492">
        <f>SUM(H37:H51)</f>
        <v>48050</v>
      </c>
      <c r="I52" s="492"/>
      <c r="J52" s="200"/>
      <c r="K52" s="199"/>
      <c r="L52" s="492">
        <f>SUM(L37:L51)</f>
        <v>48050</v>
      </c>
      <c r="M52" s="492">
        <f>SUM(M37:M51)</f>
        <v>2787.3949999999995</v>
      </c>
      <c r="N52" s="16">
        <f>+M52/L52</f>
        <v>5.8010301768990628E-2</v>
      </c>
    </row>
    <row r="53" spans="1:15" x14ac:dyDescent="0.2">
      <c r="A53" s="14">
        <f t="shared" si="2"/>
        <v>45</v>
      </c>
      <c r="B53" s="526"/>
      <c r="C53" s="201" t="s">
        <v>65</v>
      </c>
      <c r="D53" s="14"/>
      <c r="E53" s="15"/>
      <c r="F53" s="199"/>
      <c r="G53" s="15"/>
      <c r="H53" s="13"/>
      <c r="I53" s="13"/>
      <c r="J53" s="200"/>
      <c r="K53" s="199"/>
      <c r="L53" s="493">
        <v>38950</v>
      </c>
      <c r="M53" s="493">
        <v>2354.1439999999998</v>
      </c>
      <c r="N53" s="17">
        <f>+M53/L53</f>
        <v>6.0440154043645694E-2</v>
      </c>
    </row>
    <row r="54" spans="1:15" x14ac:dyDescent="0.2">
      <c r="A54" s="14">
        <f t="shared" si="2"/>
        <v>46</v>
      </c>
      <c r="B54" s="526"/>
      <c r="C54" s="201" t="s">
        <v>12</v>
      </c>
      <c r="D54" s="14"/>
      <c r="E54" s="15"/>
      <c r="F54" s="199"/>
      <c r="G54" s="15"/>
      <c r="H54" s="13"/>
      <c r="I54" s="13"/>
      <c r="J54" s="200"/>
      <c r="K54" s="199"/>
      <c r="L54" s="493">
        <f>SUM(L52:L53)</f>
        <v>87000</v>
      </c>
      <c r="M54" s="493">
        <f>SUM(M52:M53)</f>
        <v>5141.5389999999989</v>
      </c>
      <c r="N54" s="338"/>
    </row>
    <row r="55" spans="1:15" ht="13.5" thickBot="1" x14ac:dyDescent="0.25">
      <c r="A55" s="14">
        <f t="shared" si="2"/>
        <v>47</v>
      </c>
      <c r="B55" s="526"/>
      <c r="C55" s="201" t="s">
        <v>23</v>
      </c>
      <c r="D55" s="14"/>
      <c r="E55" s="15"/>
      <c r="F55" s="199"/>
      <c r="G55" s="15"/>
      <c r="H55" s="13"/>
      <c r="I55" s="13"/>
      <c r="J55" s="200"/>
      <c r="K55" s="199"/>
      <c r="L55" s="494">
        <f>+L54/2</f>
        <v>43500</v>
      </c>
      <c r="M55" s="494">
        <f>+M54/2</f>
        <v>2570.7694999999994</v>
      </c>
      <c r="N55" s="18">
        <f>+M55/L55</f>
        <v>5.9098149425287343E-2</v>
      </c>
    </row>
    <row r="56" spans="1:15" ht="13.5" thickTop="1" x14ac:dyDescent="0.2">
      <c r="A56" s="340" t="s">
        <v>1006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121" t="s">
        <v>565</v>
      </c>
    </row>
    <row r="57" spans="1:15" x14ac:dyDescent="0.2">
      <c r="A57" s="340" t="s">
        <v>555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121" t="s">
        <v>589</v>
      </c>
    </row>
    <row r="58" spans="1:15" x14ac:dyDescent="0.2">
      <c r="A58" s="340" t="s">
        <v>587</v>
      </c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170"/>
    </row>
    <row r="59" spans="1:15" x14ac:dyDescent="0.2">
      <c r="A59" s="340" t="s">
        <v>18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170"/>
    </row>
    <row r="60" spans="1:15" x14ac:dyDescent="0.2">
      <c r="A60" s="196" t="s">
        <v>19</v>
      </c>
      <c r="B60" s="522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331"/>
      <c r="O60" s="385"/>
    </row>
    <row r="61" spans="1:15" x14ac:dyDescent="0.2">
      <c r="A61" s="204" t="s">
        <v>21</v>
      </c>
      <c r="B61" s="526"/>
      <c r="C61" s="201"/>
      <c r="D61" s="14"/>
      <c r="E61" s="15"/>
      <c r="F61" s="199"/>
      <c r="G61" s="15"/>
      <c r="H61" s="13"/>
      <c r="I61" s="13"/>
      <c r="J61" s="200"/>
      <c r="K61" s="199"/>
      <c r="L61" s="197"/>
      <c r="M61" s="197"/>
      <c r="N61" s="121"/>
    </row>
    <row r="62" spans="1:15" x14ac:dyDescent="0.2">
      <c r="B62" s="526"/>
      <c r="C62" s="201"/>
      <c r="D62" s="14"/>
      <c r="E62" s="15"/>
      <c r="F62" s="199"/>
      <c r="G62" s="15"/>
      <c r="H62" s="13"/>
      <c r="I62" s="13"/>
      <c r="J62" s="200"/>
      <c r="K62" s="199"/>
      <c r="L62" s="197"/>
      <c r="M62" s="197"/>
      <c r="N62" s="121"/>
    </row>
    <row r="63" spans="1:15" x14ac:dyDescent="0.2">
      <c r="A63" s="14">
        <f>A55+1</f>
        <v>48</v>
      </c>
      <c r="B63" s="523" t="s">
        <v>581</v>
      </c>
      <c r="C63" s="201"/>
      <c r="D63" s="201"/>
      <c r="E63" s="201"/>
      <c r="F63" s="201"/>
      <c r="G63" s="201"/>
      <c r="H63" s="201"/>
      <c r="I63" s="202" t="s">
        <v>44</v>
      </c>
      <c r="J63" s="203"/>
      <c r="K63" s="201"/>
      <c r="L63" s="201"/>
      <c r="M63" s="201"/>
    </row>
    <row r="64" spans="1:15" x14ac:dyDescent="0.2">
      <c r="A64" s="14">
        <f>A63+1</f>
        <v>49</v>
      </c>
      <c r="C64" s="196"/>
      <c r="D64" s="196"/>
      <c r="E64" s="196"/>
      <c r="F64" s="196"/>
      <c r="G64" s="196"/>
      <c r="H64" s="196" t="s">
        <v>45</v>
      </c>
      <c r="I64" s="196" t="s">
        <v>13</v>
      </c>
      <c r="J64" s="196" t="s">
        <v>46</v>
      </c>
      <c r="L64" s="196" t="s">
        <v>45</v>
      </c>
      <c r="M64" s="196" t="s">
        <v>13</v>
      </c>
      <c r="N64" s="196" t="s">
        <v>47</v>
      </c>
    </row>
    <row r="65" spans="1:14" x14ac:dyDescent="0.2">
      <c r="A65" s="14">
        <f t="shared" ref="A65:A111" si="4">A64+1</f>
        <v>50</v>
      </c>
      <c r="B65" s="524"/>
      <c r="C65" s="196"/>
      <c r="D65" s="196"/>
      <c r="E65" s="196" t="s">
        <v>48</v>
      </c>
      <c r="F65" s="196" t="s">
        <v>49</v>
      </c>
      <c r="G65" s="196" t="s">
        <v>50</v>
      </c>
      <c r="H65" s="196" t="s">
        <v>51</v>
      </c>
      <c r="I65" s="196" t="s">
        <v>12</v>
      </c>
      <c r="J65" s="196" t="s">
        <v>45</v>
      </c>
      <c r="K65" s="196" t="s">
        <v>57</v>
      </c>
      <c r="L65" s="196" t="s">
        <v>58</v>
      </c>
      <c r="M65" s="196" t="s">
        <v>59</v>
      </c>
      <c r="N65" s="196" t="s">
        <v>60</v>
      </c>
    </row>
    <row r="66" spans="1:14" x14ac:dyDescent="0.2">
      <c r="A66" s="14">
        <f t="shared" si="4"/>
        <v>51</v>
      </c>
      <c r="B66" s="524"/>
      <c r="C66" s="204" t="s">
        <v>149</v>
      </c>
      <c r="D66" s="204" t="s">
        <v>61</v>
      </c>
      <c r="E66" s="204" t="s">
        <v>62</v>
      </c>
      <c r="F66" s="204" t="s">
        <v>24</v>
      </c>
      <c r="G66" s="204" t="s">
        <v>62</v>
      </c>
      <c r="H66" s="204" t="s">
        <v>63</v>
      </c>
      <c r="I66" s="204" t="s">
        <v>51</v>
      </c>
      <c r="J66" s="204" t="s">
        <v>51</v>
      </c>
      <c r="K66" s="204" t="s">
        <v>64</v>
      </c>
      <c r="L66" s="525">
        <v>42004</v>
      </c>
      <c r="M66" s="204" t="s">
        <v>25</v>
      </c>
      <c r="N66" s="204" t="s">
        <v>64</v>
      </c>
    </row>
    <row r="67" spans="1:14" x14ac:dyDescent="0.2">
      <c r="A67" s="14">
        <f t="shared" si="4"/>
        <v>52</v>
      </c>
      <c r="B67" s="526"/>
      <c r="C67" s="201"/>
      <c r="D67" s="14" t="s">
        <v>334</v>
      </c>
      <c r="E67" s="15">
        <v>33205</v>
      </c>
      <c r="F67" s="198">
        <v>0.11849999999999999</v>
      </c>
      <c r="G67" s="527">
        <v>2020</v>
      </c>
      <c r="H67" s="495">
        <v>1500</v>
      </c>
      <c r="I67" s="495">
        <v>1500</v>
      </c>
      <c r="J67" s="496">
        <v>100</v>
      </c>
      <c r="K67" s="205">
        <v>0.1191</v>
      </c>
      <c r="L67" s="495">
        <v>1500</v>
      </c>
      <c r="M67" s="551">
        <f>+K67*L67</f>
        <v>178.65</v>
      </c>
      <c r="N67" s="328"/>
    </row>
    <row r="68" spans="1:14" x14ac:dyDescent="0.2">
      <c r="A68" s="14">
        <f t="shared" si="4"/>
        <v>53</v>
      </c>
      <c r="B68" s="526"/>
      <c r="D68" s="14" t="s">
        <v>335</v>
      </c>
      <c r="E68" s="15">
        <v>33732</v>
      </c>
      <c r="F68" s="198">
        <v>9.4600000000000004E-2</v>
      </c>
      <c r="G68" s="527">
        <v>2023</v>
      </c>
      <c r="H68" s="495">
        <v>2500</v>
      </c>
      <c r="I68" s="492">
        <v>2500</v>
      </c>
      <c r="J68" s="497">
        <v>100</v>
      </c>
      <c r="K68" s="205">
        <v>9.5100000000000004E-2</v>
      </c>
      <c r="L68" s="495">
        <v>2500</v>
      </c>
      <c r="M68" s="495">
        <f t="shared" ref="M68:M82" si="5">+K68*L68</f>
        <v>237.75</v>
      </c>
    </row>
    <row r="69" spans="1:14" x14ac:dyDescent="0.2">
      <c r="A69" s="14">
        <f t="shared" si="4"/>
        <v>54</v>
      </c>
      <c r="B69" s="526"/>
      <c r="C69" s="201"/>
      <c r="D69" s="14" t="s">
        <v>85</v>
      </c>
      <c r="E69" s="15">
        <v>36385</v>
      </c>
      <c r="F69" s="198">
        <v>6.8000000000000005E-2</v>
      </c>
      <c r="G69" s="14">
        <v>2019</v>
      </c>
      <c r="H69" s="492">
        <v>4500</v>
      </c>
      <c r="I69" s="492">
        <v>4500</v>
      </c>
      <c r="J69" s="497">
        <v>100</v>
      </c>
      <c r="K69" s="198">
        <v>6.8500000000000005E-2</v>
      </c>
      <c r="L69" s="495">
        <v>4500</v>
      </c>
      <c r="M69" s="495">
        <f t="shared" si="5"/>
        <v>308.25</v>
      </c>
    </row>
    <row r="70" spans="1:14" x14ac:dyDescent="0.2">
      <c r="A70" s="14">
        <f t="shared" si="4"/>
        <v>55</v>
      </c>
      <c r="B70" s="526"/>
      <c r="C70" s="201"/>
      <c r="D70" s="14" t="s">
        <v>336</v>
      </c>
      <c r="E70" s="15">
        <v>37582</v>
      </c>
      <c r="F70" s="198">
        <v>6.1600000000000002E-2</v>
      </c>
      <c r="G70" s="14">
        <v>2017</v>
      </c>
      <c r="H70" s="492">
        <v>3900</v>
      </c>
      <c r="I70" s="492">
        <v>3900</v>
      </c>
      <c r="J70" s="497">
        <v>100</v>
      </c>
      <c r="K70" s="198">
        <v>6.2100000000000002E-2</v>
      </c>
      <c r="L70" s="495">
        <v>3900</v>
      </c>
      <c r="M70" s="495">
        <f t="shared" si="5"/>
        <v>242.19</v>
      </c>
    </row>
    <row r="71" spans="1:14" x14ac:dyDescent="0.2">
      <c r="A71" s="14">
        <f t="shared" si="4"/>
        <v>56</v>
      </c>
      <c r="B71" s="526"/>
      <c r="C71" s="201"/>
      <c r="D71" s="14" t="s">
        <v>337</v>
      </c>
      <c r="E71" s="15">
        <v>38009</v>
      </c>
      <c r="F71" s="198">
        <v>5.4199999999999998E-2</v>
      </c>
      <c r="G71" s="14">
        <v>2019</v>
      </c>
      <c r="H71" s="492">
        <v>1000</v>
      </c>
      <c r="I71" s="492">
        <v>1000</v>
      </c>
      <c r="J71" s="497">
        <v>100</v>
      </c>
      <c r="K71" s="198">
        <v>5.4699999999999999E-2</v>
      </c>
      <c r="L71" s="495">
        <v>1000</v>
      </c>
      <c r="M71" s="495">
        <f t="shared" si="5"/>
        <v>54.699999999999996</v>
      </c>
    </row>
    <row r="72" spans="1:14" x14ac:dyDescent="0.2">
      <c r="A72" s="14">
        <f t="shared" si="4"/>
        <v>57</v>
      </c>
      <c r="B72" s="526"/>
      <c r="C72" s="201"/>
      <c r="D72" s="14" t="s">
        <v>338</v>
      </c>
      <c r="E72" s="15">
        <v>38309</v>
      </c>
      <c r="F72" s="198">
        <v>5.11E-2</v>
      </c>
      <c r="G72" s="14">
        <v>2014</v>
      </c>
      <c r="H72" s="492">
        <v>500</v>
      </c>
      <c r="I72" s="492">
        <v>500</v>
      </c>
      <c r="J72" s="497">
        <v>100</v>
      </c>
      <c r="K72" s="198">
        <v>5.16E-2</v>
      </c>
      <c r="L72" s="529">
        <v>0</v>
      </c>
      <c r="M72" s="495">
        <v>26</v>
      </c>
    </row>
    <row r="73" spans="1:14" x14ac:dyDescent="0.2">
      <c r="A73" s="14">
        <f t="shared" si="4"/>
        <v>58</v>
      </c>
      <c r="B73" s="526"/>
      <c r="C73" s="201"/>
      <c r="D73" s="14" t="s">
        <v>339</v>
      </c>
      <c r="E73" s="15">
        <v>38677</v>
      </c>
      <c r="F73" s="198">
        <v>5.1799999999999999E-2</v>
      </c>
      <c r="G73" s="14">
        <v>2035</v>
      </c>
      <c r="H73" s="495">
        <v>4300</v>
      </c>
      <c r="I73" s="492">
        <v>4300</v>
      </c>
      <c r="J73" s="497">
        <v>100</v>
      </c>
      <c r="K73" s="198">
        <v>5.2299999999999999E-2</v>
      </c>
      <c r="L73" s="495">
        <v>4300</v>
      </c>
      <c r="M73" s="495">
        <f t="shared" si="5"/>
        <v>224.89</v>
      </c>
    </row>
    <row r="74" spans="1:14" x14ac:dyDescent="0.2">
      <c r="A74" s="14">
        <f t="shared" si="4"/>
        <v>59</v>
      </c>
      <c r="B74" s="526"/>
      <c r="C74" s="201"/>
      <c r="D74" s="14" t="s">
        <v>340</v>
      </c>
      <c r="E74" s="15">
        <v>39041</v>
      </c>
      <c r="F74" s="198">
        <v>5.0200000000000002E-2</v>
      </c>
      <c r="G74" s="14">
        <v>2036</v>
      </c>
      <c r="H74" s="495">
        <v>3000</v>
      </c>
      <c r="I74" s="492">
        <v>3000</v>
      </c>
      <c r="J74" s="497">
        <v>100</v>
      </c>
      <c r="K74" s="198">
        <v>5.0700000000000002E-2</v>
      </c>
      <c r="L74" s="495">
        <v>3000</v>
      </c>
      <c r="M74" s="495">
        <f t="shared" si="5"/>
        <v>152.1</v>
      </c>
    </row>
    <row r="75" spans="1:14" x14ac:dyDescent="0.2">
      <c r="A75" s="14">
        <f t="shared" si="4"/>
        <v>60</v>
      </c>
      <c r="B75" s="526"/>
      <c r="C75" s="201"/>
      <c r="D75" s="14" t="s">
        <v>2</v>
      </c>
      <c r="E75" s="15">
        <v>39594</v>
      </c>
      <c r="F75" s="198">
        <v>5.5599999999999997E-2</v>
      </c>
      <c r="G75" s="14">
        <v>2028</v>
      </c>
      <c r="H75" s="495">
        <v>860</v>
      </c>
      <c r="I75" s="492">
        <v>860</v>
      </c>
      <c r="J75" s="497">
        <v>100</v>
      </c>
      <c r="K75" s="198">
        <v>5.6099999999999997E-2</v>
      </c>
      <c r="L75" s="495">
        <v>860</v>
      </c>
      <c r="M75" s="495">
        <f t="shared" si="5"/>
        <v>48.245999999999995</v>
      </c>
    </row>
    <row r="76" spans="1:14" x14ac:dyDescent="0.2">
      <c r="A76" s="14">
        <f t="shared" si="4"/>
        <v>61</v>
      </c>
      <c r="B76" s="526"/>
      <c r="C76" s="201"/>
      <c r="D76" s="14" t="s">
        <v>366</v>
      </c>
      <c r="E76" s="15">
        <v>39594</v>
      </c>
      <c r="F76" s="198">
        <v>5.57E-2</v>
      </c>
      <c r="G76" s="14">
        <v>2038</v>
      </c>
      <c r="H76" s="492">
        <v>1290</v>
      </c>
      <c r="I76" s="492">
        <v>1290</v>
      </c>
      <c r="J76" s="497">
        <v>100</v>
      </c>
      <c r="K76" s="198">
        <v>5.62E-2</v>
      </c>
      <c r="L76" s="495">
        <v>1290</v>
      </c>
      <c r="M76" s="495">
        <f t="shared" si="5"/>
        <v>72.498000000000005</v>
      </c>
    </row>
    <row r="77" spans="1:14" x14ac:dyDescent="0.2">
      <c r="A77" s="14">
        <f t="shared" si="4"/>
        <v>62</v>
      </c>
      <c r="B77" s="526"/>
      <c r="C77" s="201"/>
      <c r="D77" s="14" t="s">
        <v>367</v>
      </c>
      <c r="E77" s="15">
        <v>39878</v>
      </c>
      <c r="F77" s="198">
        <v>6.2299999999999994E-2</v>
      </c>
      <c r="G77" s="14">
        <v>2024</v>
      </c>
      <c r="H77" s="492">
        <v>2900</v>
      </c>
      <c r="I77" s="492">
        <v>2900</v>
      </c>
      <c r="J77" s="497">
        <v>100</v>
      </c>
      <c r="K77" s="198">
        <v>6.2799999999999995E-2</v>
      </c>
      <c r="L77" s="495">
        <v>2900</v>
      </c>
      <c r="M77" s="495">
        <f t="shared" si="5"/>
        <v>182.11999999999998</v>
      </c>
    </row>
    <row r="78" spans="1:14" x14ac:dyDescent="0.2">
      <c r="A78" s="14">
        <f t="shared" si="4"/>
        <v>63</v>
      </c>
      <c r="B78" s="526"/>
      <c r="C78" s="201"/>
      <c r="D78" s="14" t="s">
        <v>3</v>
      </c>
      <c r="E78" s="15">
        <v>39878</v>
      </c>
      <c r="F78" s="198">
        <v>6.5000000000000002E-2</v>
      </c>
      <c r="G78" s="14">
        <v>2039</v>
      </c>
      <c r="H78" s="495">
        <v>3700</v>
      </c>
      <c r="I78" s="495">
        <v>3700</v>
      </c>
      <c r="J78" s="496">
        <v>100</v>
      </c>
      <c r="K78" s="206">
        <v>6.5500000000000003E-2</v>
      </c>
      <c r="L78" s="495">
        <v>3700</v>
      </c>
      <c r="M78" s="495">
        <f t="shared" si="5"/>
        <v>242.35000000000002</v>
      </c>
    </row>
    <row r="79" spans="1:14" x14ac:dyDescent="0.2">
      <c r="A79" s="14">
        <f t="shared" si="4"/>
        <v>64</v>
      </c>
      <c r="B79" s="526"/>
      <c r="C79" s="201"/>
      <c r="D79" s="14" t="s">
        <v>495</v>
      </c>
      <c r="E79" s="15">
        <v>40840</v>
      </c>
      <c r="F79" s="198">
        <v>4.53E-2</v>
      </c>
      <c r="G79" s="14">
        <v>2041</v>
      </c>
      <c r="H79" s="495">
        <v>5000</v>
      </c>
      <c r="I79" s="495">
        <v>5000</v>
      </c>
      <c r="J79" s="496">
        <v>100</v>
      </c>
      <c r="K79" s="206">
        <v>4.58E-2</v>
      </c>
      <c r="L79" s="495">
        <v>5000</v>
      </c>
      <c r="M79" s="495">
        <f t="shared" si="5"/>
        <v>229</v>
      </c>
      <c r="N79" s="328"/>
    </row>
    <row r="80" spans="1:14" x14ac:dyDescent="0.2">
      <c r="A80" s="14">
        <f t="shared" si="4"/>
        <v>65</v>
      </c>
      <c r="B80" s="526"/>
      <c r="C80" s="201"/>
      <c r="D80" s="14" t="s">
        <v>496</v>
      </c>
      <c r="E80" s="15">
        <v>41214</v>
      </c>
      <c r="F80" s="198">
        <v>3.8399999999999997E-2</v>
      </c>
      <c r="G80" s="14">
        <v>2052</v>
      </c>
      <c r="H80" s="495">
        <v>4000</v>
      </c>
      <c r="I80" s="495">
        <v>4000</v>
      </c>
      <c r="J80" s="496">
        <v>100</v>
      </c>
      <c r="K80" s="206">
        <v>3.8899999999999997E-2</v>
      </c>
      <c r="L80" s="495">
        <v>4000</v>
      </c>
      <c r="M80" s="495">
        <f t="shared" si="5"/>
        <v>155.6</v>
      </c>
      <c r="N80" s="235"/>
    </row>
    <row r="81" spans="1:14" x14ac:dyDescent="0.2">
      <c r="A81" s="14">
        <f t="shared" si="4"/>
        <v>66</v>
      </c>
      <c r="B81" s="526"/>
      <c r="C81" s="201"/>
      <c r="D81" s="14" t="s">
        <v>497</v>
      </c>
      <c r="E81" s="15">
        <v>41579</v>
      </c>
      <c r="F81" s="198">
        <v>4.7109999999999999E-2</v>
      </c>
      <c r="G81" s="14">
        <v>2043</v>
      </c>
      <c r="H81" s="495">
        <v>9400</v>
      </c>
      <c r="I81" s="495">
        <v>9400</v>
      </c>
      <c r="J81" s="496">
        <v>100</v>
      </c>
      <c r="K81" s="206">
        <v>4.761E-2</v>
      </c>
      <c r="L81" s="495">
        <v>9400</v>
      </c>
      <c r="M81" s="495">
        <f t="shared" si="5"/>
        <v>447.53399999999999</v>
      </c>
      <c r="N81" s="235"/>
    </row>
    <row r="82" spans="1:14" x14ac:dyDescent="0.2">
      <c r="A82" s="14">
        <f t="shared" si="4"/>
        <v>67</v>
      </c>
      <c r="B82" s="526"/>
      <c r="C82" s="201"/>
      <c r="D82" s="14" t="s">
        <v>498</v>
      </c>
      <c r="E82" s="15">
        <v>41944</v>
      </c>
      <c r="F82" s="198">
        <v>4.07E-2</v>
      </c>
      <c r="G82" s="14">
        <v>2044</v>
      </c>
      <c r="H82" s="493">
        <v>7900</v>
      </c>
      <c r="I82" s="495">
        <v>7900</v>
      </c>
      <c r="J82" s="496">
        <v>100</v>
      </c>
      <c r="K82" s="206">
        <v>4.1200000000000001E-2</v>
      </c>
      <c r="L82" s="493">
        <v>7900</v>
      </c>
      <c r="M82" s="493">
        <f t="shared" si="5"/>
        <v>325.48</v>
      </c>
    </row>
    <row r="83" spans="1:14" x14ac:dyDescent="0.2">
      <c r="A83" s="14">
        <f t="shared" si="4"/>
        <v>68</v>
      </c>
      <c r="B83" s="526"/>
      <c r="C83" s="201" t="s">
        <v>12</v>
      </c>
      <c r="D83" s="14"/>
      <c r="E83" s="15"/>
      <c r="F83" s="199"/>
      <c r="G83" s="15"/>
      <c r="H83" s="492">
        <f>SUM(H67:H82)</f>
        <v>56250</v>
      </c>
      <c r="I83" s="492"/>
      <c r="J83" s="200"/>
      <c r="K83" s="199"/>
      <c r="L83" s="492">
        <f>SUM(L67:L82)</f>
        <v>55750</v>
      </c>
      <c r="M83" s="492">
        <f>SUM(M67:M82)</f>
        <v>3127.3579999999997</v>
      </c>
      <c r="N83" s="16">
        <f>M83/L83</f>
        <v>5.6096107623318382E-2</v>
      </c>
    </row>
    <row r="84" spans="1:14" x14ac:dyDescent="0.2">
      <c r="A84" s="14">
        <f t="shared" si="4"/>
        <v>69</v>
      </c>
      <c r="B84" s="526"/>
      <c r="C84" s="201" t="s">
        <v>65</v>
      </c>
      <c r="D84" s="14"/>
      <c r="E84" s="15"/>
      <c r="F84" s="199"/>
      <c r="G84" s="15"/>
      <c r="H84" s="13"/>
      <c r="I84" s="13"/>
      <c r="J84" s="200"/>
      <c r="K84" s="199"/>
      <c r="L84" s="493">
        <f>+L28</f>
        <v>48350</v>
      </c>
      <c r="M84" s="493">
        <f>+M28</f>
        <v>2801.6779999999999</v>
      </c>
      <c r="N84" s="17">
        <f>N52</f>
        <v>5.8010301768990628E-2</v>
      </c>
    </row>
    <row r="85" spans="1:14" x14ac:dyDescent="0.2">
      <c r="A85" s="14">
        <f t="shared" si="4"/>
        <v>70</v>
      </c>
      <c r="B85" s="526"/>
      <c r="C85" s="201" t="s">
        <v>12</v>
      </c>
      <c r="D85" s="14"/>
      <c r="E85" s="15"/>
      <c r="F85" s="199"/>
      <c r="G85" s="15"/>
      <c r="H85" s="13"/>
      <c r="I85" s="13"/>
      <c r="J85" s="200"/>
      <c r="K85" s="199"/>
      <c r="L85" s="493">
        <f>L83+L84</f>
        <v>104100</v>
      </c>
      <c r="M85" s="493">
        <f>M83+M84</f>
        <v>5929.0360000000001</v>
      </c>
      <c r="N85" s="338"/>
    </row>
    <row r="86" spans="1:14" ht="13.5" thickBot="1" x14ac:dyDescent="0.25">
      <c r="A86" s="14">
        <f t="shared" si="4"/>
        <v>71</v>
      </c>
      <c r="B86" s="526"/>
      <c r="C86" s="201" t="s">
        <v>23</v>
      </c>
      <c r="D86" s="14"/>
      <c r="E86" s="15"/>
      <c r="F86" s="199"/>
      <c r="G86" s="15"/>
      <c r="H86" s="13"/>
      <c r="I86" s="13"/>
      <c r="J86" s="200"/>
      <c r="K86" s="199"/>
      <c r="L86" s="494">
        <f>L85/2</f>
        <v>52050</v>
      </c>
      <c r="M86" s="552">
        <f>M85/2</f>
        <v>2964.518</v>
      </c>
      <c r="N86" s="18">
        <f>M86/L86</f>
        <v>5.695519692603266E-2</v>
      </c>
    </row>
    <row r="87" spans="1:14" ht="13.5" thickTop="1" x14ac:dyDescent="0.2">
      <c r="A87" s="14">
        <f t="shared" si="4"/>
        <v>72</v>
      </c>
      <c r="B87" s="526"/>
      <c r="C87" s="201"/>
      <c r="D87" s="14"/>
      <c r="E87" s="15"/>
      <c r="F87" s="199"/>
      <c r="G87" s="15"/>
      <c r="H87" s="13"/>
      <c r="I87" s="13"/>
      <c r="J87" s="200"/>
      <c r="K87" s="199"/>
      <c r="L87" s="197"/>
      <c r="M87" s="197"/>
      <c r="N87" s="121"/>
    </row>
    <row r="88" spans="1:14" x14ac:dyDescent="0.2">
      <c r="A88" s="14">
        <f t="shared" si="4"/>
        <v>73</v>
      </c>
      <c r="B88" s="523" t="s">
        <v>582</v>
      </c>
      <c r="C88" s="201"/>
      <c r="D88" s="201"/>
      <c r="E88" s="201"/>
      <c r="F88" s="201"/>
      <c r="G88" s="201"/>
      <c r="H88" s="201"/>
      <c r="I88" s="202" t="s">
        <v>44</v>
      </c>
      <c r="J88" s="203"/>
      <c r="K88" s="201"/>
      <c r="L88" s="201"/>
      <c r="M88" s="201"/>
    </row>
    <row r="89" spans="1:14" x14ac:dyDescent="0.2">
      <c r="A89" s="14">
        <f t="shared" si="4"/>
        <v>74</v>
      </c>
      <c r="C89" s="196"/>
      <c r="D89" s="196"/>
      <c r="E89" s="196"/>
      <c r="F89" s="196"/>
      <c r="G89" s="196"/>
      <c r="H89" s="196" t="s">
        <v>45</v>
      </c>
      <c r="I89" s="196" t="s">
        <v>13</v>
      </c>
      <c r="J89" s="196" t="s">
        <v>46</v>
      </c>
      <c r="L89" s="196" t="s">
        <v>45</v>
      </c>
      <c r="M89" s="196" t="s">
        <v>13</v>
      </c>
      <c r="N89" s="196" t="s">
        <v>47</v>
      </c>
    </row>
    <row r="90" spans="1:14" x14ac:dyDescent="0.2">
      <c r="A90" s="14">
        <f t="shared" si="4"/>
        <v>75</v>
      </c>
      <c r="B90" s="524"/>
      <c r="C90" s="196"/>
      <c r="D90" s="196"/>
      <c r="E90" s="196" t="s">
        <v>48</v>
      </c>
      <c r="F90" s="196" t="s">
        <v>49</v>
      </c>
      <c r="G90" s="196" t="s">
        <v>50</v>
      </c>
      <c r="H90" s="196" t="s">
        <v>51</v>
      </c>
      <c r="I90" s="196" t="s">
        <v>12</v>
      </c>
      <c r="J90" s="196" t="s">
        <v>45</v>
      </c>
      <c r="K90" s="196" t="s">
        <v>57</v>
      </c>
      <c r="L90" s="196" t="s">
        <v>58</v>
      </c>
      <c r="M90" s="196" t="s">
        <v>59</v>
      </c>
      <c r="N90" s="196" t="s">
        <v>60</v>
      </c>
    </row>
    <row r="91" spans="1:14" x14ac:dyDescent="0.2">
      <c r="A91" s="14">
        <f t="shared" si="4"/>
        <v>76</v>
      </c>
      <c r="B91" s="524"/>
      <c r="C91" s="204" t="s">
        <v>149</v>
      </c>
      <c r="D91" s="204" t="s">
        <v>61</v>
      </c>
      <c r="E91" s="204" t="s">
        <v>62</v>
      </c>
      <c r="F91" s="204" t="s">
        <v>24</v>
      </c>
      <c r="G91" s="204" t="s">
        <v>62</v>
      </c>
      <c r="H91" s="204" t="s">
        <v>63</v>
      </c>
      <c r="I91" s="204" t="s">
        <v>51</v>
      </c>
      <c r="J91" s="204" t="s">
        <v>51</v>
      </c>
      <c r="K91" s="204" t="s">
        <v>64</v>
      </c>
      <c r="L91" s="525">
        <v>42004</v>
      </c>
      <c r="M91" s="204" t="s">
        <v>25</v>
      </c>
      <c r="N91" s="204" t="s">
        <v>64</v>
      </c>
    </row>
    <row r="92" spans="1:14" x14ac:dyDescent="0.2">
      <c r="A92" s="14">
        <f t="shared" si="4"/>
        <v>77</v>
      </c>
      <c r="B92" s="526"/>
      <c r="C92" s="201"/>
      <c r="D92" s="14" t="s">
        <v>334</v>
      </c>
      <c r="E92" s="15">
        <v>33205</v>
      </c>
      <c r="F92" s="198">
        <v>0.11849999999999999</v>
      </c>
      <c r="G92" s="527">
        <v>2020</v>
      </c>
      <c r="H92" s="495">
        <v>1500</v>
      </c>
      <c r="I92" s="495">
        <v>1500</v>
      </c>
      <c r="J92" s="496">
        <v>100</v>
      </c>
      <c r="K92" s="205">
        <v>0.1191</v>
      </c>
      <c r="L92" s="495">
        <v>1500</v>
      </c>
      <c r="M92" s="495">
        <v>178.65</v>
      </c>
      <c r="N92" s="328"/>
    </row>
    <row r="93" spans="1:14" x14ac:dyDescent="0.2">
      <c r="A93" s="14">
        <f t="shared" si="4"/>
        <v>78</v>
      </c>
      <c r="B93" s="526"/>
      <c r="D93" s="14" t="s">
        <v>335</v>
      </c>
      <c r="E93" s="15">
        <v>33732</v>
      </c>
      <c r="F93" s="198">
        <v>9.4600000000000004E-2</v>
      </c>
      <c r="G93" s="527">
        <v>2023</v>
      </c>
      <c r="H93" s="495">
        <v>2500</v>
      </c>
      <c r="I93" s="492">
        <v>2500</v>
      </c>
      <c r="J93" s="497">
        <v>100</v>
      </c>
      <c r="K93" s="205">
        <v>9.5100000000000004E-2</v>
      </c>
      <c r="L93" s="495">
        <v>2500</v>
      </c>
      <c r="M93" s="495">
        <v>237.75</v>
      </c>
    </row>
    <row r="94" spans="1:14" x14ac:dyDescent="0.2">
      <c r="A94" s="14">
        <f t="shared" si="4"/>
        <v>79</v>
      </c>
      <c r="B94" s="526"/>
      <c r="C94" s="201"/>
      <c r="D94" s="14" t="s">
        <v>85</v>
      </c>
      <c r="E94" s="15">
        <v>36385</v>
      </c>
      <c r="F94" s="198">
        <v>6.8000000000000005E-2</v>
      </c>
      <c r="G94" s="14">
        <v>2019</v>
      </c>
      <c r="H94" s="492">
        <v>4500</v>
      </c>
      <c r="I94" s="492">
        <v>4500</v>
      </c>
      <c r="J94" s="497">
        <v>100</v>
      </c>
      <c r="K94" s="198">
        <v>6.8500000000000005E-2</v>
      </c>
      <c r="L94" s="495">
        <v>4500</v>
      </c>
      <c r="M94" s="495">
        <v>308.25</v>
      </c>
    </row>
    <row r="95" spans="1:14" x14ac:dyDescent="0.2">
      <c r="A95" s="14">
        <f t="shared" si="4"/>
        <v>80</v>
      </c>
      <c r="B95" s="526"/>
      <c r="C95" s="201"/>
      <c r="D95" s="14" t="s">
        <v>336</v>
      </c>
      <c r="E95" s="15">
        <v>37582</v>
      </c>
      <c r="F95" s="198">
        <v>6.1600000000000002E-2</v>
      </c>
      <c r="G95" s="14">
        <v>2017</v>
      </c>
      <c r="H95" s="492">
        <v>3900</v>
      </c>
      <c r="I95" s="492">
        <v>3900</v>
      </c>
      <c r="J95" s="497">
        <v>100</v>
      </c>
      <c r="K95" s="198">
        <v>6.2100000000000002E-2</v>
      </c>
      <c r="L95" s="495">
        <v>3900</v>
      </c>
      <c r="M95" s="495">
        <v>242.19</v>
      </c>
    </row>
    <row r="96" spans="1:14" x14ac:dyDescent="0.2">
      <c r="A96" s="14">
        <f t="shared" si="4"/>
        <v>81</v>
      </c>
      <c r="B96" s="526"/>
      <c r="C96" s="201"/>
      <c r="D96" s="14" t="s">
        <v>337</v>
      </c>
      <c r="E96" s="15">
        <v>38009</v>
      </c>
      <c r="F96" s="198">
        <v>5.4199999999999998E-2</v>
      </c>
      <c r="G96" s="14">
        <v>2019</v>
      </c>
      <c r="H96" s="492">
        <v>1000</v>
      </c>
      <c r="I96" s="492">
        <v>1000</v>
      </c>
      <c r="J96" s="497">
        <v>100</v>
      </c>
      <c r="K96" s="198">
        <v>5.4699999999999999E-2</v>
      </c>
      <c r="L96" s="495">
        <v>1000</v>
      </c>
      <c r="M96" s="495">
        <v>54.7</v>
      </c>
    </row>
    <row r="97" spans="1:15" x14ac:dyDescent="0.2">
      <c r="A97" s="14">
        <f t="shared" si="4"/>
        <v>82</v>
      </c>
      <c r="B97" s="526"/>
      <c r="C97" s="201"/>
      <c r="D97" s="14" t="s">
        <v>338</v>
      </c>
      <c r="E97" s="15">
        <v>38309</v>
      </c>
      <c r="F97" s="198">
        <v>5.11E-2</v>
      </c>
      <c r="G97" s="14">
        <v>2014</v>
      </c>
      <c r="H97" s="492">
        <v>500</v>
      </c>
      <c r="I97" s="492">
        <v>500</v>
      </c>
      <c r="J97" s="497">
        <v>100</v>
      </c>
      <c r="K97" s="198">
        <v>5.16E-2</v>
      </c>
      <c r="L97" s="495">
        <v>0</v>
      </c>
      <c r="M97" s="495">
        <v>25.8</v>
      </c>
    </row>
    <row r="98" spans="1:15" x14ac:dyDescent="0.2">
      <c r="A98" s="14">
        <f t="shared" si="4"/>
        <v>83</v>
      </c>
      <c r="B98" s="526"/>
      <c r="C98" s="201"/>
      <c r="D98" s="14" t="s">
        <v>339</v>
      </c>
      <c r="E98" s="15">
        <v>38677</v>
      </c>
      <c r="F98" s="198">
        <v>5.1799999999999999E-2</v>
      </c>
      <c r="G98" s="14">
        <v>2035</v>
      </c>
      <c r="H98" s="492">
        <v>4300</v>
      </c>
      <c r="I98" s="492">
        <v>4300</v>
      </c>
      <c r="J98" s="497">
        <v>100</v>
      </c>
      <c r="K98" s="198">
        <v>5.2299999999999999E-2</v>
      </c>
      <c r="L98" s="495">
        <v>4300</v>
      </c>
      <c r="M98" s="495">
        <v>224.89</v>
      </c>
    </row>
    <row r="99" spans="1:15" x14ac:dyDescent="0.2">
      <c r="A99" s="14">
        <f t="shared" si="4"/>
        <v>84</v>
      </c>
      <c r="B99" s="526"/>
      <c r="C99" s="201"/>
      <c r="D99" s="14" t="s">
        <v>340</v>
      </c>
      <c r="E99" s="15">
        <v>39041</v>
      </c>
      <c r="F99" s="198">
        <v>5.0200000000000002E-2</v>
      </c>
      <c r="G99" s="14">
        <v>2036</v>
      </c>
      <c r="H99" s="492">
        <v>3000</v>
      </c>
      <c r="I99" s="492">
        <v>3000</v>
      </c>
      <c r="J99" s="497">
        <v>100</v>
      </c>
      <c r="K99" s="198">
        <v>5.0700000000000002E-2</v>
      </c>
      <c r="L99" s="495">
        <v>3000</v>
      </c>
      <c r="M99" s="495">
        <v>152.1</v>
      </c>
    </row>
    <row r="100" spans="1:15" x14ac:dyDescent="0.2">
      <c r="A100" s="14">
        <f t="shared" si="4"/>
        <v>85</v>
      </c>
      <c r="B100" s="526"/>
      <c r="C100" s="201"/>
      <c r="D100" s="14" t="s">
        <v>2</v>
      </c>
      <c r="E100" s="15">
        <v>39594</v>
      </c>
      <c r="F100" s="198">
        <v>5.5599999999999997E-2</v>
      </c>
      <c r="G100" s="14">
        <v>2028</v>
      </c>
      <c r="H100" s="492">
        <v>860</v>
      </c>
      <c r="I100" s="492">
        <v>860</v>
      </c>
      <c r="J100" s="497">
        <v>100</v>
      </c>
      <c r="K100" s="198">
        <v>5.6099999999999997E-2</v>
      </c>
      <c r="L100" s="495">
        <v>860</v>
      </c>
      <c r="M100" s="495">
        <v>48.245999999999995</v>
      </c>
    </row>
    <row r="101" spans="1:15" x14ac:dyDescent="0.2">
      <c r="A101" s="14">
        <f t="shared" si="4"/>
        <v>86</v>
      </c>
      <c r="B101" s="526"/>
      <c r="C101" s="201"/>
      <c r="D101" s="14" t="s">
        <v>366</v>
      </c>
      <c r="E101" s="15">
        <v>39594</v>
      </c>
      <c r="F101" s="198">
        <v>5.57E-2</v>
      </c>
      <c r="G101" s="14">
        <v>2038</v>
      </c>
      <c r="H101" s="495">
        <v>1290</v>
      </c>
      <c r="I101" s="492">
        <v>1290</v>
      </c>
      <c r="J101" s="497">
        <v>100</v>
      </c>
      <c r="K101" s="198">
        <v>5.62E-2</v>
      </c>
      <c r="L101" s="495">
        <v>1290</v>
      </c>
      <c r="M101" s="495">
        <v>72.498000000000005</v>
      </c>
    </row>
    <row r="102" spans="1:15" x14ac:dyDescent="0.2">
      <c r="A102" s="14">
        <f t="shared" si="4"/>
        <v>87</v>
      </c>
      <c r="B102" s="526"/>
      <c r="C102" s="201"/>
      <c r="D102" s="14" t="s">
        <v>367</v>
      </c>
      <c r="E102" s="15">
        <v>39878</v>
      </c>
      <c r="F102" s="198">
        <v>6.2299999999999994E-2</v>
      </c>
      <c r="G102" s="14">
        <v>2024</v>
      </c>
      <c r="H102" s="495">
        <v>2900</v>
      </c>
      <c r="I102" s="492">
        <v>2900</v>
      </c>
      <c r="J102" s="497">
        <v>100</v>
      </c>
      <c r="K102" s="198">
        <v>6.2799999999999995E-2</v>
      </c>
      <c r="L102" s="495">
        <v>2900</v>
      </c>
      <c r="M102" s="495">
        <v>182.12</v>
      </c>
    </row>
    <row r="103" spans="1:15" x14ac:dyDescent="0.2">
      <c r="A103" s="14">
        <f t="shared" si="4"/>
        <v>88</v>
      </c>
      <c r="B103" s="526"/>
      <c r="C103" s="201"/>
      <c r="D103" s="14" t="s">
        <v>3</v>
      </c>
      <c r="E103" s="15">
        <v>39878</v>
      </c>
      <c r="F103" s="198">
        <v>6.5000000000000002E-2</v>
      </c>
      <c r="G103" s="14">
        <v>2039</v>
      </c>
      <c r="H103" s="495">
        <v>3700</v>
      </c>
      <c r="I103" s="492">
        <v>3700</v>
      </c>
      <c r="J103" s="497">
        <v>100</v>
      </c>
      <c r="K103" s="198">
        <v>6.5500000000000003E-2</v>
      </c>
      <c r="L103" s="495">
        <v>3700</v>
      </c>
      <c r="M103" s="495">
        <v>242.35</v>
      </c>
      <c r="N103" s="328"/>
    </row>
    <row r="104" spans="1:15" x14ac:dyDescent="0.2">
      <c r="A104" s="14">
        <f t="shared" si="4"/>
        <v>89</v>
      </c>
      <c r="B104" s="526"/>
      <c r="C104" s="201"/>
      <c r="D104" s="14" t="s">
        <v>495</v>
      </c>
      <c r="E104" s="15">
        <v>40840</v>
      </c>
      <c r="F104" s="198">
        <v>4.53E-2</v>
      </c>
      <c r="G104" s="14">
        <v>2041</v>
      </c>
      <c r="H104" s="492">
        <v>5000</v>
      </c>
      <c r="I104" s="492">
        <v>5000</v>
      </c>
      <c r="J104" s="497">
        <v>100</v>
      </c>
      <c r="K104" s="198">
        <v>4.58E-2</v>
      </c>
      <c r="L104" s="495">
        <v>5000</v>
      </c>
      <c r="M104" s="495">
        <v>229</v>
      </c>
      <c r="N104" s="235"/>
    </row>
    <row r="105" spans="1:15" x14ac:dyDescent="0.2">
      <c r="A105" s="14">
        <f t="shared" si="4"/>
        <v>90</v>
      </c>
      <c r="B105" s="526"/>
      <c r="C105" s="201"/>
      <c r="D105" s="14" t="s">
        <v>496</v>
      </c>
      <c r="E105" s="15">
        <v>41214</v>
      </c>
      <c r="F105" s="198">
        <v>3.8399999999999997E-2</v>
      </c>
      <c r="G105" s="14">
        <v>2052</v>
      </c>
      <c r="H105" s="492">
        <v>4000</v>
      </c>
      <c r="I105" s="492">
        <v>4000</v>
      </c>
      <c r="J105" s="497">
        <v>100</v>
      </c>
      <c r="K105" s="198">
        <v>3.8899999999999997E-2</v>
      </c>
      <c r="L105" s="495">
        <v>4000</v>
      </c>
      <c r="M105" s="495">
        <v>155.6</v>
      </c>
      <c r="N105" s="235"/>
    </row>
    <row r="106" spans="1:15" x14ac:dyDescent="0.2">
      <c r="A106" s="14">
        <f t="shared" si="4"/>
        <v>91</v>
      </c>
      <c r="B106" s="526"/>
      <c r="C106" s="201"/>
      <c r="D106" s="14" t="s">
        <v>497</v>
      </c>
      <c r="E106" s="15">
        <v>41579</v>
      </c>
      <c r="F106" s="198">
        <v>4.7109999999999999E-2</v>
      </c>
      <c r="G106" s="14">
        <v>2053</v>
      </c>
      <c r="H106" s="495">
        <v>9100</v>
      </c>
      <c r="I106" s="492">
        <v>9100</v>
      </c>
      <c r="J106" s="497">
        <v>100</v>
      </c>
      <c r="K106" s="198">
        <v>4.761E-2</v>
      </c>
      <c r="L106" s="495">
        <v>9100</v>
      </c>
      <c r="M106" s="495">
        <v>433.25099999999998</v>
      </c>
      <c r="N106" s="328"/>
    </row>
    <row r="107" spans="1:15" x14ac:dyDescent="0.2">
      <c r="A107" s="14">
        <f t="shared" si="4"/>
        <v>92</v>
      </c>
      <c r="B107" s="526"/>
      <c r="C107" s="201"/>
      <c r="D107" s="14" t="s">
        <v>498</v>
      </c>
      <c r="E107" s="15">
        <v>41944</v>
      </c>
      <c r="F107" s="198">
        <v>5.0299999999999997E-2</v>
      </c>
      <c r="G107" s="14">
        <v>2054</v>
      </c>
      <c r="H107" s="493">
        <v>6400</v>
      </c>
      <c r="I107" s="492">
        <v>6400</v>
      </c>
      <c r="J107" s="497">
        <v>100</v>
      </c>
      <c r="K107" s="198">
        <v>5.0799999999999998E-2</v>
      </c>
      <c r="L107" s="493">
        <v>6400</v>
      </c>
      <c r="M107" s="493">
        <v>325.12</v>
      </c>
      <c r="N107" s="328"/>
    </row>
    <row r="108" spans="1:15" x14ac:dyDescent="0.2">
      <c r="A108" s="14">
        <f t="shared" si="4"/>
        <v>93</v>
      </c>
      <c r="B108" s="526"/>
      <c r="C108" s="201" t="s">
        <v>12</v>
      </c>
      <c r="D108" s="14"/>
      <c r="E108" s="15"/>
      <c r="F108" s="199"/>
      <c r="G108" s="15"/>
      <c r="H108" s="492">
        <f>SUM(H92:H107)</f>
        <v>54450</v>
      </c>
      <c r="I108" s="492"/>
      <c r="J108" s="200"/>
      <c r="K108" s="199"/>
      <c r="L108" s="492">
        <f>SUM(L92:L107)</f>
        <v>53950</v>
      </c>
      <c r="M108" s="492">
        <f>SUM(M92:M107)</f>
        <v>3112.5149999999994</v>
      </c>
      <c r="N108" s="206">
        <f>M108/L108</f>
        <v>5.7692585727525475E-2</v>
      </c>
    </row>
    <row r="109" spans="1:15" x14ac:dyDescent="0.2">
      <c r="A109" s="14">
        <f t="shared" si="4"/>
        <v>94</v>
      </c>
      <c r="B109" s="526"/>
      <c r="C109" s="201" t="s">
        <v>65</v>
      </c>
      <c r="D109" s="14"/>
      <c r="E109" s="15"/>
      <c r="F109" s="199"/>
      <c r="G109" s="15"/>
      <c r="H109" s="13"/>
      <c r="I109" s="13"/>
      <c r="J109" s="200"/>
      <c r="K109" s="199"/>
      <c r="L109" s="493">
        <f>+L52</f>
        <v>48050</v>
      </c>
      <c r="M109" s="493">
        <f>+M52</f>
        <v>2787.3949999999995</v>
      </c>
      <c r="N109" s="17">
        <f>N83</f>
        <v>5.6096107623318382E-2</v>
      </c>
    </row>
    <row r="110" spans="1:15" x14ac:dyDescent="0.2">
      <c r="A110" s="14">
        <f t="shared" si="4"/>
        <v>95</v>
      </c>
      <c r="B110" s="526"/>
      <c r="C110" s="201" t="s">
        <v>12</v>
      </c>
      <c r="D110" s="14"/>
      <c r="E110" s="15"/>
      <c r="F110" s="199"/>
      <c r="G110" s="15"/>
      <c r="H110" s="13"/>
      <c r="I110" s="13"/>
      <c r="J110" s="200"/>
      <c r="K110" s="199"/>
      <c r="L110" s="493">
        <f>L108+L109</f>
        <v>102000</v>
      </c>
      <c r="M110" s="493">
        <f>M108+M109</f>
        <v>5899.9099999999989</v>
      </c>
      <c r="N110" s="338"/>
    </row>
    <row r="111" spans="1:15" ht="13.5" thickBot="1" x14ac:dyDescent="0.25">
      <c r="A111" s="14">
        <f t="shared" si="4"/>
        <v>96</v>
      </c>
      <c r="B111" s="526"/>
      <c r="C111" s="201" t="s">
        <v>23</v>
      </c>
      <c r="D111" s="14"/>
      <c r="E111" s="15"/>
      <c r="F111" s="199"/>
      <c r="G111" s="15"/>
      <c r="H111" s="13"/>
      <c r="I111" s="13"/>
      <c r="J111" s="200"/>
      <c r="K111" s="199"/>
      <c r="L111" s="494">
        <f>L110/2</f>
        <v>51000</v>
      </c>
      <c r="M111" s="494">
        <f>M110/2</f>
        <v>2949.9549999999995</v>
      </c>
      <c r="N111" s="18">
        <f>M111/L111</f>
        <v>5.7842254901960773E-2</v>
      </c>
    </row>
    <row r="112" spans="1:15" ht="13.5" thickTop="1" x14ac:dyDescent="0.2">
      <c r="A112" s="340" t="s">
        <v>1006</v>
      </c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0"/>
      <c r="M112" s="340"/>
      <c r="N112" s="340"/>
      <c r="O112" s="121" t="s">
        <v>565</v>
      </c>
    </row>
    <row r="113" spans="1:15" x14ac:dyDescent="0.2">
      <c r="A113" s="340" t="s">
        <v>555</v>
      </c>
      <c r="B113" s="340"/>
      <c r="C113" s="340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121" t="s">
        <v>590</v>
      </c>
    </row>
    <row r="114" spans="1:15" x14ac:dyDescent="0.2">
      <c r="A114" s="340" t="s">
        <v>587</v>
      </c>
      <c r="B114" s="340"/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170"/>
    </row>
    <row r="115" spans="1:15" x14ac:dyDescent="0.2">
      <c r="A115" s="340" t="s">
        <v>18</v>
      </c>
      <c r="B115" s="340"/>
      <c r="C115" s="340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  <c r="O115" s="170"/>
    </row>
    <row r="116" spans="1:15" x14ac:dyDescent="0.2">
      <c r="A116" s="196" t="s">
        <v>19</v>
      </c>
      <c r="B116" s="526"/>
      <c r="C116" s="201"/>
      <c r="D116" s="14"/>
      <c r="E116" s="15"/>
      <c r="F116" s="199"/>
      <c r="G116" s="15"/>
      <c r="H116" s="13"/>
      <c r="I116" s="13"/>
      <c r="J116" s="200"/>
      <c r="K116" s="199"/>
      <c r="L116" s="197"/>
      <c r="M116" s="197"/>
      <c r="N116" s="121"/>
    </row>
    <row r="117" spans="1:15" x14ac:dyDescent="0.2">
      <c r="A117" s="204" t="s">
        <v>21</v>
      </c>
      <c r="B117" s="526"/>
      <c r="C117" s="201"/>
      <c r="D117" s="14"/>
      <c r="E117" s="15"/>
      <c r="F117" s="199"/>
      <c r="G117" s="15"/>
      <c r="H117" s="13"/>
      <c r="I117" s="13"/>
      <c r="J117" s="200"/>
      <c r="K117" s="199"/>
      <c r="L117" s="197"/>
      <c r="M117" s="197"/>
      <c r="N117" s="121"/>
    </row>
    <row r="118" spans="1:15" x14ac:dyDescent="0.2">
      <c r="B118" s="526"/>
      <c r="C118" s="201"/>
      <c r="D118" s="14"/>
      <c r="E118" s="15"/>
      <c r="F118" s="199"/>
      <c r="G118" s="15"/>
      <c r="H118" s="13"/>
      <c r="I118" s="13"/>
      <c r="J118" s="200"/>
      <c r="K118" s="199"/>
      <c r="L118" s="197"/>
      <c r="M118" s="197"/>
      <c r="N118" s="121"/>
    </row>
    <row r="119" spans="1:15" x14ac:dyDescent="0.2">
      <c r="A119" s="14">
        <f>A111+1</f>
        <v>97</v>
      </c>
      <c r="B119" s="523" t="s">
        <v>583</v>
      </c>
      <c r="C119" s="201"/>
      <c r="D119" s="201"/>
      <c r="E119" s="201"/>
      <c r="F119" s="201"/>
      <c r="G119" s="201"/>
      <c r="H119" s="201"/>
      <c r="I119" s="202" t="s">
        <v>44</v>
      </c>
      <c r="J119" s="203"/>
      <c r="K119" s="201"/>
      <c r="L119" s="201"/>
      <c r="M119" s="201"/>
    </row>
    <row r="120" spans="1:15" x14ac:dyDescent="0.2">
      <c r="A120" s="14">
        <f>A119+1</f>
        <v>98</v>
      </c>
      <c r="C120" s="196"/>
      <c r="D120" s="196"/>
      <c r="E120" s="196"/>
      <c r="F120" s="196"/>
      <c r="G120" s="196"/>
      <c r="H120" s="196" t="s">
        <v>45</v>
      </c>
      <c r="I120" s="196" t="s">
        <v>13</v>
      </c>
      <c r="J120" s="196" t="s">
        <v>46</v>
      </c>
      <c r="L120" s="196" t="s">
        <v>45</v>
      </c>
      <c r="M120" s="196" t="s">
        <v>13</v>
      </c>
      <c r="N120" s="196" t="s">
        <v>47</v>
      </c>
    </row>
    <row r="121" spans="1:15" x14ac:dyDescent="0.2">
      <c r="A121" s="14">
        <f t="shared" ref="A121:A168" si="6">A120+1</f>
        <v>99</v>
      </c>
      <c r="B121" s="524"/>
      <c r="C121" s="196"/>
      <c r="D121" s="196"/>
      <c r="E121" s="196" t="s">
        <v>48</v>
      </c>
      <c r="F121" s="196" t="s">
        <v>49</v>
      </c>
      <c r="G121" s="196" t="s">
        <v>50</v>
      </c>
      <c r="H121" s="196" t="s">
        <v>51</v>
      </c>
      <c r="I121" s="196" t="s">
        <v>12</v>
      </c>
      <c r="J121" s="196" t="s">
        <v>45</v>
      </c>
      <c r="K121" s="196" t="s">
        <v>57</v>
      </c>
      <c r="L121" s="196" t="s">
        <v>58</v>
      </c>
      <c r="M121" s="196" t="s">
        <v>59</v>
      </c>
      <c r="N121" s="196" t="s">
        <v>60</v>
      </c>
    </row>
    <row r="122" spans="1:15" x14ac:dyDescent="0.2">
      <c r="A122" s="14">
        <f t="shared" si="6"/>
        <v>100</v>
      </c>
      <c r="B122" s="524"/>
      <c r="C122" s="204" t="s">
        <v>149</v>
      </c>
      <c r="D122" s="204" t="s">
        <v>61</v>
      </c>
      <c r="E122" s="204" t="s">
        <v>62</v>
      </c>
      <c r="F122" s="204" t="s">
        <v>24</v>
      </c>
      <c r="G122" s="204" t="s">
        <v>62</v>
      </c>
      <c r="H122" s="204" t="s">
        <v>63</v>
      </c>
      <c r="I122" s="204" t="s">
        <v>51</v>
      </c>
      <c r="J122" s="204" t="s">
        <v>51</v>
      </c>
      <c r="K122" s="204" t="s">
        <v>64</v>
      </c>
      <c r="L122" s="525">
        <v>42369</v>
      </c>
      <c r="M122" s="204" t="s">
        <v>25</v>
      </c>
      <c r="N122" s="204" t="s">
        <v>64</v>
      </c>
    </row>
    <row r="123" spans="1:15" x14ac:dyDescent="0.2">
      <c r="A123" s="14">
        <f t="shared" si="6"/>
        <v>101</v>
      </c>
      <c r="B123" s="526"/>
      <c r="C123" s="201"/>
      <c r="D123" s="14" t="s">
        <v>334</v>
      </c>
      <c r="E123" s="15">
        <v>33205</v>
      </c>
      <c r="F123" s="198">
        <v>0.11849999999999999</v>
      </c>
      <c r="G123" s="527">
        <v>2020</v>
      </c>
      <c r="H123" s="495">
        <v>1500</v>
      </c>
      <c r="I123" s="495">
        <v>1500</v>
      </c>
      <c r="J123" s="496">
        <v>100</v>
      </c>
      <c r="K123" s="205">
        <v>0.1191</v>
      </c>
      <c r="L123" s="495">
        <v>1500</v>
      </c>
      <c r="M123" s="495">
        <f>K123*L123</f>
        <v>178.65</v>
      </c>
      <c r="N123" s="328"/>
    </row>
    <row r="124" spans="1:15" x14ac:dyDescent="0.2">
      <c r="A124" s="14">
        <f t="shared" si="6"/>
        <v>102</v>
      </c>
      <c r="B124" s="526"/>
      <c r="D124" s="14" t="s">
        <v>335</v>
      </c>
      <c r="E124" s="15">
        <v>33732</v>
      </c>
      <c r="F124" s="198">
        <v>9.4600000000000004E-2</v>
      </c>
      <c r="G124" s="527">
        <v>2023</v>
      </c>
      <c r="H124" s="495">
        <v>2500</v>
      </c>
      <c r="I124" s="492">
        <v>2500</v>
      </c>
      <c r="J124" s="497">
        <v>100</v>
      </c>
      <c r="K124" s="205">
        <v>9.5100000000000004E-2</v>
      </c>
      <c r="L124" s="495">
        <v>2500</v>
      </c>
      <c r="M124" s="495">
        <f t="shared" ref="M124:M138" si="7">K124*L124</f>
        <v>237.75</v>
      </c>
    </row>
    <row r="125" spans="1:15" x14ac:dyDescent="0.2">
      <c r="A125" s="14">
        <f t="shared" si="6"/>
        <v>103</v>
      </c>
      <c r="B125" s="526"/>
      <c r="C125" s="201"/>
      <c r="D125" s="14" t="s">
        <v>85</v>
      </c>
      <c r="E125" s="15">
        <v>36385</v>
      </c>
      <c r="F125" s="198">
        <v>6.8000000000000005E-2</v>
      </c>
      <c r="G125" s="14">
        <v>2019</v>
      </c>
      <c r="H125" s="492">
        <v>4500</v>
      </c>
      <c r="I125" s="492">
        <v>4500</v>
      </c>
      <c r="J125" s="497">
        <v>100</v>
      </c>
      <c r="K125" s="198">
        <v>6.8500000000000005E-2</v>
      </c>
      <c r="L125" s="495">
        <v>4500</v>
      </c>
      <c r="M125" s="495">
        <f t="shared" si="7"/>
        <v>308.25</v>
      </c>
    </row>
    <row r="126" spans="1:15" x14ac:dyDescent="0.2">
      <c r="A126" s="14">
        <f t="shared" si="6"/>
        <v>104</v>
      </c>
      <c r="B126" s="526"/>
      <c r="C126" s="201"/>
      <c r="D126" s="14" t="s">
        <v>336</v>
      </c>
      <c r="E126" s="15">
        <v>37582</v>
      </c>
      <c r="F126" s="198">
        <v>6.1600000000000002E-2</v>
      </c>
      <c r="G126" s="14">
        <v>2017</v>
      </c>
      <c r="H126" s="492">
        <v>3900</v>
      </c>
      <c r="I126" s="492">
        <v>3900</v>
      </c>
      <c r="J126" s="497">
        <v>100</v>
      </c>
      <c r="K126" s="198">
        <v>6.2100000000000002E-2</v>
      </c>
      <c r="L126" s="495">
        <v>3900</v>
      </c>
      <c r="M126" s="495">
        <f t="shared" si="7"/>
        <v>242.19</v>
      </c>
    </row>
    <row r="127" spans="1:15" x14ac:dyDescent="0.2">
      <c r="A127" s="14">
        <f t="shared" si="6"/>
        <v>105</v>
      </c>
      <c r="B127" s="526"/>
      <c r="C127" s="201"/>
      <c r="D127" s="14" t="s">
        <v>337</v>
      </c>
      <c r="E127" s="15">
        <v>38009</v>
      </c>
      <c r="F127" s="198">
        <v>5.4199999999999998E-2</v>
      </c>
      <c r="G127" s="14">
        <v>2019</v>
      </c>
      <c r="H127" s="492">
        <v>1000</v>
      </c>
      <c r="I127" s="492">
        <v>1000</v>
      </c>
      <c r="J127" s="497">
        <v>100</v>
      </c>
      <c r="K127" s="198">
        <v>5.4699999999999999E-2</v>
      </c>
      <c r="L127" s="495">
        <v>1000</v>
      </c>
      <c r="M127" s="495">
        <f t="shared" si="7"/>
        <v>54.699999999999996</v>
      </c>
    </row>
    <row r="128" spans="1:15" x14ac:dyDescent="0.2">
      <c r="A128" s="14">
        <f t="shared" si="6"/>
        <v>106</v>
      </c>
      <c r="B128" s="526"/>
      <c r="C128" s="201"/>
      <c r="D128" s="14" t="s">
        <v>339</v>
      </c>
      <c r="E128" s="15">
        <v>38677</v>
      </c>
      <c r="F128" s="198">
        <v>5.1799999999999999E-2</v>
      </c>
      <c r="G128" s="14">
        <v>2035</v>
      </c>
      <c r="H128" s="495">
        <v>4300</v>
      </c>
      <c r="I128" s="492">
        <v>4300</v>
      </c>
      <c r="J128" s="497">
        <v>100</v>
      </c>
      <c r="K128" s="198">
        <v>5.2299999999999999E-2</v>
      </c>
      <c r="L128" s="495">
        <v>4300</v>
      </c>
      <c r="M128" s="495">
        <f t="shared" si="7"/>
        <v>224.89</v>
      </c>
    </row>
    <row r="129" spans="1:15" x14ac:dyDescent="0.2">
      <c r="A129" s="14">
        <f t="shared" si="6"/>
        <v>107</v>
      </c>
      <c r="B129" s="526"/>
      <c r="C129" s="201"/>
      <c r="D129" s="14" t="s">
        <v>340</v>
      </c>
      <c r="E129" s="15">
        <v>39041</v>
      </c>
      <c r="F129" s="198">
        <v>5.0200000000000002E-2</v>
      </c>
      <c r="G129" s="14">
        <v>2036</v>
      </c>
      <c r="H129" s="495">
        <v>3000</v>
      </c>
      <c r="I129" s="492">
        <v>3000</v>
      </c>
      <c r="J129" s="497">
        <v>100</v>
      </c>
      <c r="K129" s="198">
        <v>5.0700000000000002E-2</v>
      </c>
      <c r="L129" s="495">
        <v>3000</v>
      </c>
      <c r="M129" s="495">
        <f t="shared" si="7"/>
        <v>152.1</v>
      </c>
    </row>
    <row r="130" spans="1:15" x14ac:dyDescent="0.2">
      <c r="A130" s="14">
        <f t="shared" si="6"/>
        <v>108</v>
      </c>
      <c r="B130" s="526"/>
      <c r="C130" s="201"/>
      <c r="D130" s="14" t="s">
        <v>2</v>
      </c>
      <c r="E130" s="15">
        <v>39594</v>
      </c>
      <c r="F130" s="198">
        <v>5.5599999999999997E-2</v>
      </c>
      <c r="G130" s="14">
        <v>2028</v>
      </c>
      <c r="H130" s="495">
        <v>860</v>
      </c>
      <c r="I130" s="492">
        <v>860</v>
      </c>
      <c r="J130" s="497">
        <v>100</v>
      </c>
      <c r="K130" s="198">
        <v>5.6099999999999997E-2</v>
      </c>
      <c r="L130" s="495">
        <v>860</v>
      </c>
      <c r="M130" s="495">
        <f t="shared" si="7"/>
        <v>48.245999999999995</v>
      </c>
      <c r="N130" s="328"/>
    </row>
    <row r="131" spans="1:15" x14ac:dyDescent="0.2">
      <c r="A131" s="14">
        <f t="shared" si="6"/>
        <v>109</v>
      </c>
      <c r="B131" s="526"/>
      <c r="C131" s="201"/>
      <c r="D131" s="14" t="s">
        <v>366</v>
      </c>
      <c r="E131" s="15">
        <v>39594</v>
      </c>
      <c r="F131" s="198">
        <v>5.57E-2</v>
      </c>
      <c r="G131" s="14">
        <v>2038</v>
      </c>
      <c r="H131" s="492">
        <v>1290</v>
      </c>
      <c r="I131" s="492">
        <v>1290</v>
      </c>
      <c r="J131" s="497">
        <v>100</v>
      </c>
      <c r="K131" s="198">
        <v>5.62E-2</v>
      </c>
      <c r="L131" s="495">
        <v>1290</v>
      </c>
      <c r="M131" s="495">
        <f t="shared" si="7"/>
        <v>72.498000000000005</v>
      </c>
      <c r="N131" s="235"/>
    </row>
    <row r="132" spans="1:15" x14ac:dyDescent="0.2">
      <c r="A132" s="14">
        <f t="shared" si="6"/>
        <v>110</v>
      </c>
      <c r="B132" s="526"/>
      <c r="C132" s="201"/>
      <c r="D132" s="14" t="s">
        <v>367</v>
      </c>
      <c r="E132" s="15">
        <v>39878</v>
      </c>
      <c r="F132" s="198">
        <v>6.2299999999999994E-2</v>
      </c>
      <c r="G132" s="14">
        <v>2024</v>
      </c>
      <c r="H132" s="492">
        <v>2900</v>
      </c>
      <c r="I132" s="492">
        <v>2900</v>
      </c>
      <c r="J132" s="497">
        <v>100</v>
      </c>
      <c r="K132" s="198">
        <v>6.2799999999999995E-2</v>
      </c>
      <c r="L132" s="495">
        <v>2900</v>
      </c>
      <c r="M132" s="495">
        <f t="shared" si="7"/>
        <v>182.11999999999998</v>
      </c>
      <c r="N132" s="235"/>
    </row>
    <row r="133" spans="1:15" x14ac:dyDescent="0.2">
      <c r="A133" s="14">
        <f t="shared" si="6"/>
        <v>111</v>
      </c>
      <c r="B133" s="526"/>
      <c r="C133" s="201"/>
      <c r="D133" s="14" t="s">
        <v>3</v>
      </c>
      <c r="E133" s="15">
        <v>39878</v>
      </c>
      <c r="F133" s="198">
        <v>6.5000000000000002E-2</v>
      </c>
      <c r="G133" s="14">
        <v>2039</v>
      </c>
      <c r="H133" s="492">
        <v>3700</v>
      </c>
      <c r="I133" s="492">
        <v>3700</v>
      </c>
      <c r="J133" s="497">
        <v>100</v>
      </c>
      <c r="K133" s="198">
        <v>6.5500000000000003E-2</v>
      </c>
      <c r="L133" s="495">
        <v>3700</v>
      </c>
      <c r="M133" s="495">
        <f t="shared" si="7"/>
        <v>242.35000000000002</v>
      </c>
      <c r="N133" s="235"/>
    </row>
    <row r="134" spans="1:15" x14ac:dyDescent="0.2">
      <c r="A134" s="14">
        <f t="shared" si="6"/>
        <v>112</v>
      </c>
      <c r="B134" s="526"/>
      <c r="C134" s="201"/>
      <c r="D134" s="14" t="s">
        <v>495</v>
      </c>
      <c r="E134" s="15">
        <v>40840</v>
      </c>
      <c r="F134" s="198">
        <v>4.53E-2</v>
      </c>
      <c r="G134" s="14">
        <v>2041</v>
      </c>
      <c r="H134" s="492">
        <v>5000</v>
      </c>
      <c r="I134" s="492">
        <v>5000</v>
      </c>
      <c r="J134" s="497">
        <v>100</v>
      </c>
      <c r="K134" s="198">
        <v>4.58E-2</v>
      </c>
      <c r="L134" s="495">
        <v>5000</v>
      </c>
      <c r="M134" s="495">
        <f t="shared" si="7"/>
        <v>229</v>
      </c>
      <c r="N134" s="235"/>
    </row>
    <row r="135" spans="1:15" x14ac:dyDescent="0.2">
      <c r="A135" s="14">
        <f t="shared" si="6"/>
        <v>113</v>
      </c>
      <c r="B135" s="526"/>
      <c r="C135" s="201"/>
      <c r="D135" s="14" t="s">
        <v>496</v>
      </c>
      <c r="E135" s="15">
        <v>41214</v>
      </c>
      <c r="F135" s="198">
        <v>3.8399999999999997E-2</v>
      </c>
      <c r="G135" s="14">
        <v>2052</v>
      </c>
      <c r="H135" s="492">
        <v>4000</v>
      </c>
      <c r="I135" s="492">
        <v>4000</v>
      </c>
      <c r="J135" s="497">
        <v>100</v>
      </c>
      <c r="K135" s="198">
        <v>3.8899999999999997E-2</v>
      </c>
      <c r="L135" s="495">
        <v>4000</v>
      </c>
      <c r="M135" s="495">
        <f t="shared" si="7"/>
        <v>155.6</v>
      </c>
      <c r="N135" s="235"/>
    </row>
    <row r="136" spans="1:15" x14ac:dyDescent="0.2">
      <c r="A136" s="14">
        <f t="shared" si="6"/>
        <v>114</v>
      </c>
      <c r="B136" s="526"/>
      <c r="C136" s="201"/>
      <c r="D136" s="14" t="s">
        <v>497</v>
      </c>
      <c r="E136" s="15">
        <v>41579</v>
      </c>
      <c r="F136" s="198">
        <f t="shared" ref="F136:F137" si="8">+K136-0.0005</f>
        <v>4.7109999999999999E-2</v>
      </c>
      <c r="G136" s="14">
        <v>2043</v>
      </c>
      <c r="H136" s="495">
        <v>9400</v>
      </c>
      <c r="I136" s="495">
        <v>9400</v>
      </c>
      <c r="J136" s="496">
        <v>100</v>
      </c>
      <c r="K136" s="206">
        <v>4.761E-2</v>
      </c>
      <c r="L136" s="495">
        <v>9400</v>
      </c>
      <c r="M136" s="495">
        <f t="shared" si="7"/>
        <v>447.53399999999999</v>
      </c>
      <c r="N136" s="328"/>
      <c r="O136" s="328"/>
    </row>
    <row r="137" spans="1:15" x14ac:dyDescent="0.2">
      <c r="A137" s="14">
        <f t="shared" si="6"/>
        <v>115</v>
      </c>
      <c r="B137" s="526"/>
      <c r="C137" s="201"/>
      <c r="D137" s="14" t="s">
        <v>498</v>
      </c>
      <c r="E137" s="15">
        <v>41944</v>
      </c>
      <c r="F137" s="198">
        <f t="shared" si="8"/>
        <v>4.07E-2</v>
      </c>
      <c r="G137" s="14">
        <v>2044</v>
      </c>
      <c r="H137" s="495">
        <v>7900</v>
      </c>
      <c r="I137" s="495">
        <v>7900</v>
      </c>
      <c r="J137" s="496">
        <v>100</v>
      </c>
      <c r="K137" s="206">
        <v>4.1200000000000001E-2</v>
      </c>
      <c r="L137" s="495">
        <v>7900</v>
      </c>
      <c r="M137" s="495">
        <f t="shared" si="7"/>
        <v>325.48</v>
      </c>
      <c r="N137" s="328"/>
      <c r="O137" s="328"/>
    </row>
    <row r="138" spans="1:15" x14ac:dyDescent="0.2">
      <c r="A138" s="14">
        <f t="shared" si="6"/>
        <v>116</v>
      </c>
      <c r="B138" s="526"/>
      <c r="C138" s="201"/>
      <c r="D138" s="14" t="s">
        <v>593</v>
      </c>
      <c r="E138" s="15">
        <v>42309</v>
      </c>
      <c r="F138" s="198">
        <f>+K138-0.0005</f>
        <v>3.9509999999999997E-2</v>
      </c>
      <c r="G138" s="14">
        <v>2045</v>
      </c>
      <c r="H138" s="493">
        <v>750</v>
      </c>
      <c r="I138" s="492">
        <v>750</v>
      </c>
      <c r="J138" s="496">
        <v>100</v>
      </c>
      <c r="K138" s="198">
        <v>4.0009999999999997E-2</v>
      </c>
      <c r="L138" s="493">
        <v>750</v>
      </c>
      <c r="M138" s="493">
        <f t="shared" si="7"/>
        <v>30.007499999999997</v>
      </c>
      <c r="N138" s="328"/>
    </row>
    <row r="139" spans="1:15" x14ac:dyDescent="0.2">
      <c r="A139" s="14">
        <f t="shared" si="6"/>
        <v>117</v>
      </c>
      <c r="B139" s="526"/>
      <c r="C139" s="201" t="s">
        <v>12</v>
      </c>
      <c r="D139" s="14"/>
      <c r="E139" s="15"/>
      <c r="F139" s="199"/>
      <c r="G139" s="15"/>
      <c r="H139" s="492">
        <f>SUM(H123:H138)</f>
        <v>56500</v>
      </c>
      <c r="I139" s="492"/>
      <c r="J139" s="200"/>
      <c r="K139" s="199"/>
      <c r="L139" s="492">
        <f>SUM(L123:L138)</f>
        <v>56500</v>
      </c>
      <c r="M139" s="492">
        <f>SUM(M123:M138)</f>
        <v>3131.3654999999999</v>
      </c>
      <c r="N139" s="206">
        <f>M139/L139</f>
        <v>5.5422398230088495E-2</v>
      </c>
    </row>
    <row r="140" spans="1:15" x14ac:dyDescent="0.2">
      <c r="A140" s="14">
        <f t="shared" si="6"/>
        <v>118</v>
      </c>
      <c r="B140" s="526"/>
      <c r="C140" s="201" t="s">
        <v>65</v>
      </c>
      <c r="D140" s="14"/>
      <c r="E140" s="15"/>
      <c r="F140" s="199"/>
      <c r="G140" s="15"/>
      <c r="H140" s="13"/>
      <c r="I140" s="13"/>
      <c r="J140" s="200"/>
      <c r="K140" s="199"/>
      <c r="L140" s="493">
        <f>+L83</f>
        <v>55750</v>
      </c>
      <c r="M140" s="493">
        <f>+M83</f>
        <v>3127.3579999999997</v>
      </c>
      <c r="N140" s="528">
        <f>+N108</f>
        <v>5.7692585727525475E-2</v>
      </c>
    </row>
    <row r="141" spans="1:15" x14ac:dyDescent="0.2">
      <c r="A141" s="14">
        <f t="shared" si="6"/>
        <v>119</v>
      </c>
      <c r="B141" s="526"/>
      <c r="C141" s="201" t="s">
        <v>12</v>
      </c>
      <c r="D141" s="14"/>
      <c r="E141" s="15"/>
      <c r="F141" s="199"/>
      <c r="G141" s="15"/>
      <c r="H141" s="13"/>
      <c r="I141" s="13"/>
      <c r="J141" s="200"/>
      <c r="K141" s="199"/>
      <c r="L141" s="493">
        <f>L139+L140</f>
        <v>112250</v>
      </c>
      <c r="M141" s="493">
        <f>M139+M140</f>
        <v>6258.7235000000001</v>
      </c>
      <c r="N141" s="338"/>
    </row>
    <row r="142" spans="1:15" ht="13.5" thickBot="1" x14ac:dyDescent="0.25">
      <c r="A142" s="14">
        <f t="shared" si="6"/>
        <v>120</v>
      </c>
      <c r="B142" s="526"/>
      <c r="C142" s="201" t="s">
        <v>23</v>
      </c>
      <c r="D142" s="14"/>
      <c r="E142" s="15"/>
      <c r="F142" s="199"/>
      <c r="G142" s="15"/>
      <c r="H142" s="13"/>
      <c r="I142" s="13"/>
      <c r="J142" s="200"/>
      <c r="K142" s="199"/>
      <c r="L142" s="494">
        <f>L141/2</f>
        <v>56125</v>
      </c>
      <c r="M142" s="552">
        <f>M141/2</f>
        <v>3129.36175</v>
      </c>
      <c r="N142" s="18">
        <f>M142/L142</f>
        <v>5.575700222717149E-2</v>
      </c>
    </row>
    <row r="143" spans="1:15" ht="13.5" thickTop="1" x14ac:dyDescent="0.2">
      <c r="A143" s="14">
        <f t="shared" si="6"/>
        <v>121</v>
      </c>
      <c r="B143" s="522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331"/>
      <c r="O143" s="385"/>
    </row>
    <row r="144" spans="1:15" x14ac:dyDescent="0.2">
      <c r="A144" s="14">
        <f t="shared" si="6"/>
        <v>122</v>
      </c>
      <c r="B144" s="523" t="s">
        <v>584</v>
      </c>
      <c r="C144" s="201"/>
      <c r="D144" s="201"/>
      <c r="E144" s="201"/>
      <c r="F144" s="201"/>
      <c r="G144" s="201"/>
      <c r="H144" s="201"/>
      <c r="I144" s="202" t="s">
        <v>44</v>
      </c>
      <c r="J144" s="203"/>
      <c r="K144" s="201"/>
      <c r="L144" s="201"/>
      <c r="M144" s="201"/>
    </row>
    <row r="145" spans="1:14" x14ac:dyDescent="0.2">
      <c r="A145" s="14">
        <f t="shared" si="6"/>
        <v>123</v>
      </c>
      <c r="C145" s="196"/>
      <c r="D145" s="196"/>
      <c r="E145" s="196"/>
      <c r="F145" s="196"/>
      <c r="G145" s="196"/>
      <c r="H145" s="196" t="s">
        <v>45</v>
      </c>
      <c r="I145" s="196" t="s">
        <v>13</v>
      </c>
      <c r="J145" s="196" t="s">
        <v>46</v>
      </c>
      <c r="L145" s="196" t="s">
        <v>45</v>
      </c>
      <c r="M145" s="196" t="s">
        <v>13</v>
      </c>
      <c r="N145" s="196" t="s">
        <v>47</v>
      </c>
    </row>
    <row r="146" spans="1:14" x14ac:dyDescent="0.2">
      <c r="A146" s="14">
        <f t="shared" si="6"/>
        <v>124</v>
      </c>
      <c r="B146" s="524"/>
      <c r="C146" s="196"/>
      <c r="D146" s="196"/>
      <c r="E146" s="196" t="s">
        <v>48</v>
      </c>
      <c r="F146" s="196" t="s">
        <v>49</v>
      </c>
      <c r="G146" s="196" t="s">
        <v>50</v>
      </c>
      <c r="H146" s="196" t="s">
        <v>51</v>
      </c>
      <c r="I146" s="196" t="s">
        <v>12</v>
      </c>
      <c r="J146" s="196" t="s">
        <v>45</v>
      </c>
      <c r="K146" s="196" t="s">
        <v>57</v>
      </c>
      <c r="L146" s="196" t="s">
        <v>58</v>
      </c>
      <c r="M146" s="196" t="s">
        <v>59</v>
      </c>
      <c r="N146" s="196" t="s">
        <v>60</v>
      </c>
    </row>
    <row r="147" spans="1:14" x14ac:dyDescent="0.2">
      <c r="A147" s="14">
        <f t="shared" si="6"/>
        <v>125</v>
      </c>
      <c r="B147" s="524"/>
      <c r="C147" s="204" t="s">
        <v>149</v>
      </c>
      <c r="D147" s="204" t="s">
        <v>61</v>
      </c>
      <c r="E147" s="204" t="s">
        <v>62</v>
      </c>
      <c r="F147" s="204" t="s">
        <v>24</v>
      </c>
      <c r="G147" s="204" t="s">
        <v>62</v>
      </c>
      <c r="H147" s="204" t="s">
        <v>63</v>
      </c>
      <c r="I147" s="204" t="s">
        <v>51</v>
      </c>
      <c r="J147" s="204" t="s">
        <v>51</v>
      </c>
      <c r="K147" s="204" t="s">
        <v>64</v>
      </c>
      <c r="L147" s="525">
        <v>42369</v>
      </c>
      <c r="M147" s="204" t="s">
        <v>25</v>
      </c>
      <c r="N147" s="204" t="s">
        <v>64</v>
      </c>
    </row>
    <row r="148" spans="1:14" x14ac:dyDescent="0.2">
      <c r="A148" s="14">
        <f t="shared" si="6"/>
        <v>126</v>
      </c>
      <c r="B148" s="526"/>
      <c r="C148" s="201"/>
      <c r="D148" s="14" t="s">
        <v>334</v>
      </c>
      <c r="E148" s="15">
        <v>33205</v>
      </c>
      <c r="F148" s="198">
        <v>0.11849999999999999</v>
      </c>
      <c r="G148" s="14">
        <v>2020</v>
      </c>
      <c r="H148" s="492">
        <v>1500</v>
      </c>
      <c r="I148" s="495">
        <v>1500</v>
      </c>
      <c r="J148" s="496">
        <v>100</v>
      </c>
      <c r="K148" s="205">
        <v>0.1191</v>
      </c>
      <c r="L148" s="495">
        <v>1500</v>
      </c>
      <c r="M148" s="495">
        <v>178.65</v>
      </c>
      <c r="N148" s="328"/>
    </row>
    <row r="149" spans="1:14" x14ac:dyDescent="0.2">
      <c r="A149" s="14">
        <f t="shared" si="6"/>
        <v>127</v>
      </c>
      <c r="B149" s="526"/>
      <c r="C149" s="201"/>
      <c r="D149" s="14" t="s">
        <v>335</v>
      </c>
      <c r="E149" s="15">
        <v>33732</v>
      </c>
      <c r="F149" s="198">
        <v>9.4600000000000004E-2</v>
      </c>
      <c r="G149" s="14">
        <v>2023</v>
      </c>
      <c r="H149" s="495">
        <v>2500</v>
      </c>
      <c r="I149" s="495">
        <v>2500</v>
      </c>
      <c r="J149" s="496">
        <v>100</v>
      </c>
      <c r="K149" s="205">
        <v>9.5100000000000004E-2</v>
      </c>
      <c r="L149" s="495">
        <v>2500</v>
      </c>
      <c r="M149" s="495">
        <v>237.75</v>
      </c>
      <c r="N149" s="328"/>
    </row>
    <row r="150" spans="1:14" x14ac:dyDescent="0.2">
      <c r="A150" s="14">
        <f t="shared" si="6"/>
        <v>128</v>
      </c>
      <c r="B150" s="526"/>
      <c r="C150" s="201"/>
      <c r="D150" s="14" t="s">
        <v>85</v>
      </c>
      <c r="E150" s="15">
        <v>36385</v>
      </c>
      <c r="F150" s="198">
        <v>6.8000000000000005E-2</v>
      </c>
      <c r="G150" s="14">
        <v>2019</v>
      </c>
      <c r="H150" s="495">
        <v>4500</v>
      </c>
      <c r="I150" s="495">
        <v>4500</v>
      </c>
      <c r="J150" s="496">
        <v>100</v>
      </c>
      <c r="K150" s="205">
        <v>6.8500000000000005E-2</v>
      </c>
      <c r="L150" s="495">
        <v>4500</v>
      </c>
      <c r="M150" s="495">
        <v>308.25</v>
      </c>
      <c r="N150" s="328"/>
    </row>
    <row r="151" spans="1:14" x14ac:dyDescent="0.2">
      <c r="A151" s="14">
        <f t="shared" si="6"/>
        <v>129</v>
      </c>
      <c r="B151" s="526"/>
      <c r="C151" s="201"/>
      <c r="D151" s="14" t="s">
        <v>336</v>
      </c>
      <c r="E151" s="15">
        <v>37582</v>
      </c>
      <c r="F151" s="198">
        <v>6.1600000000000002E-2</v>
      </c>
      <c r="G151" s="14">
        <v>2017</v>
      </c>
      <c r="H151" s="492">
        <v>3900</v>
      </c>
      <c r="I151" s="495">
        <v>3900</v>
      </c>
      <c r="J151" s="496">
        <v>100</v>
      </c>
      <c r="K151" s="198">
        <v>6.2100000000000002E-2</v>
      </c>
      <c r="L151" s="495">
        <v>3900</v>
      </c>
      <c r="M151" s="495">
        <v>242.19</v>
      </c>
      <c r="N151" s="328"/>
    </row>
    <row r="152" spans="1:14" x14ac:dyDescent="0.2">
      <c r="A152" s="14">
        <f t="shared" si="6"/>
        <v>130</v>
      </c>
      <c r="B152" s="526"/>
      <c r="C152" s="201"/>
      <c r="D152" s="14" t="s">
        <v>337</v>
      </c>
      <c r="E152" s="15">
        <v>38009</v>
      </c>
      <c r="F152" s="198">
        <v>5.4199999999999998E-2</v>
      </c>
      <c r="G152" s="14">
        <v>2019</v>
      </c>
      <c r="H152" s="492">
        <v>1000</v>
      </c>
      <c r="I152" s="495">
        <v>1000</v>
      </c>
      <c r="J152" s="496">
        <v>100</v>
      </c>
      <c r="K152" s="198">
        <v>5.4699999999999999E-2</v>
      </c>
      <c r="L152" s="495">
        <v>1000</v>
      </c>
      <c r="M152" s="495">
        <v>54.7</v>
      </c>
      <c r="N152" s="328"/>
    </row>
    <row r="153" spans="1:14" x14ac:dyDescent="0.2">
      <c r="A153" s="14">
        <f t="shared" si="6"/>
        <v>131</v>
      </c>
      <c r="B153" s="526"/>
      <c r="C153" s="201"/>
      <c r="D153" s="14" t="s">
        <v>338</v>
      </c>
      <c r="E153" s="15">
        <v>38309</v>
      </c>
      <c r="F153" s="198">
        <v>5.11E-2</v>
      </c>
      <c r="G153" s="14">
        <v>2014</v>
      </c>
      <c r="H153" s="492">
        <v>500</v>
      </c>
      <c r="I153" s="495">
        <v>500</v>
      </c>
      <c r="J153" s="496">
        <v>100</v>
      </c>
      <c r="K153" s="198">
        <v>5.16E-2</v>
      </c>
      <c r="L153" s="495">
        <v>0</v>
      </c>
      <c r="M153" s="495">
        <v>25.8</v>
      </c>
      <c r="N153" s="328"/>
    </row>
    <row r="154" spans="1:14" x14ac:dyDescent="0.2">
      <c r="A154" s="14">
        <f t="shared" si="6"/>
        <v>132</v>
      </c>
      <c r="B154" s="526"/>
      <c r="C154" s="201"/>
      <c r="D154" s="14" t="s">
        <v>339</v>
      </c>
      <c r="E154" s="15">
        <v>38677</v>
      </c>
      <c r="F154" s="198">
        <v>5.1799999999999999E-2</v>
      </c>
      <c r="G154" s="14">
        <v>2035</v>
      </c>
      <c r="H154" s="492">
        <v>4300</v>
      </c>
      <c r="I154" s="495">
        <v>4300</v>
      </c>
      <c r="J154" s="496">
        <v>100</v>
      </c>
      <c r="K154" s="198">
        <v>5.2299999999999999E-2</v>
      </c>
      <c r="L154" s="495">
        <v>4300</v>
      </c>
      <c r="M154" s="495">
        <v>224.89</v>
      </c>
      <c r="N154" s="328"/>
    </row>
    <row r="155" spans="1:14" x14ac:dyDescent="0.2">
      <c r="A155" s="14">
        <f t="shared" si="6"/>
        <v>133</v>
      </c>
      <c r="B155" s="526"/>
      <c r="C155" s="201"/>
      <c r="D155" s="14" t="s">
        <v>340</v>
      </c>
      <c r="E155" s="15">
        <v>39041</v>
      </c>
      <c r="F155" s="198">
        <v>5.0200000000000002E-2</v>
      </c>
      <c r="G155" s="14">
        <v>2036</v>
      </c>
      <c r="H155" s="492">
        <v>3000</v>
      </c>
      <c r="I155" s="495">
        <v>3000</v>
      </c>
      <c r="J155" s="496">
        <v>100</v>
      </c>
      <c r="K155" s="198">
        <v>5.0700000000000002E-2</v>
      </c>
      <c r="L155" s="495">
        <v>3000</v>
      </c>
      <c r="M155" s="495">
        <v>152.1</v>
      </c>
      <c r="N155" s="328"/>
    </row>
    <row r="156" spans="1:14" x14ac:dyDescent="0.2">
      <c r="A156" s="14">
        <f t="shared" si="6"/>
        <v>134</v>
      </c>
      <c r="B156" s="526"/>
      <c r="C156" s="201"/>
      <c r="D156" s="14" t="s">
        <v>2</v>
      </c>
      <c r="E156" s="15">
        <v>39594</v>
      </c>
      <c r="F156" s="198">
        <v>5.5599999999999997E-2</v>
      </c>
      <c r="G156" s="14">
        <v>2028</v>
      </c>
      <c r="H156" s="492">
        <v>860</v>
      </c>
      <c r="I156" s="495">
        <v>860</v>
      </c>
      <c r="J156" s="496">
        <v>100</v>
      </c>
      <c r="K156" s="198">
        <v>5.6099999999999997E-2</v>
      </c>
      <c r="L156" s="495">
        <v>860</v>
      </c>
      <c r="M156" s="495">
        <v>48.245999999999995</v>
      </c>
      <c r="N156" s="328"/>
    </row>
    <row r="157" spans="1:14" x14ac:dyDescent="0.2">
      <c r="A157" s="14">
        <f t="shared" si="6"/>
        <v>135</v>
      </c>
      <c r="B157" s="526"/>
      <c r="C157" s="201"/>
      <c r="D157" s="14" t="s">
        <v>366</v>
      </c>
      <c r="E157" s="15">
        <v>39594</v>
      </c>
      <c r="F157" s="198">
        <v>5.57E-2</v>
      </c>
      <c r="G157" s="14">
        <v>2038</v>
      </c>
      <c r="H157" s="492">
        <v>1290</v>
      </c>
      <c r="I157" s="495">
        <v>1290</v>
      </c>
      <c r="J157" s="496">
        <v>100</v>
      </c>
      <c r="K157" s="198">
        <v>5.62E-2</v>
      </c>
      <c r="L157" s="495">
        <v>1290</v>
      </c>
      <c r="M157" s="495">
        <v>72.498000000000005</v>
      </c>
      <c r="N157" s="328"/>
    </row>
    <row r="158" spans="1:14" x14ac:dyDescent="0.2">
      <c r="A158" s="14">
        <f t="shared" si="6"/>
        <v>136</v>
      </c>
      <c r="B158" s="526"/>
      <c r="C158" s="201"/>
      <c r="D158" s="14" t="s">
        <v>367</v>
      </c>
      <c r="E158" s="15">
        <v>39878</v>
      </c>
      <c r="F158" s="198">
        <v>6.2299999999999994E-2</v>
      </c>
      <c r="G158" s="14">
        <v>2024</v>
      </c>
      <c r="H158" s="492">
        <v>2900</v>
      </c>
      <c r="I158" s="495">
        <v>2900</v>
      </c>
      <c r="J158" s="496">
        <v>100</v>
      </c>
      <c r="K158" s="198">
        <v>6.2799999999999995E-2</v>
      </c>
      <c r="L158" s="495">
        <v>2900</v>
      </c>
      <c r="M158" s="495">
        <v>182.12</v>
      </c>
      <c r="N158" s="328"/>
    </row>
    <row r="159" spans="1:14" x14ac:dyDescent="0.2">
      <c r="A159" s="14">
        <f t="shared" si="6"/>
        <v>137</v>
      </c>
      <c r="B159" s="526"/>
      <c r="C159" s="201"/>
      <c r="D159" s="14" t="s">
        <v>3</v>
      </c>
      <c r="E159" s="15">
        <v>39878</v>
      </c>
      <c r="F159" s="198">
        <v>6.5000000000000002E-2</v>
      </c>
      <c r="G159" s="14">
        <v>2039</v>
      </c>
      <c r="H159" s="492">
        <v>3700</v>
      </c>
      <c r="I159" s="495">
        <v>3700</v>
      </c>
      <c r="J159" s="496">
        <v>100</v>
      </c>
      <c r="K159" s="198">
        <v>6.5500000000000003E-2</v>
      </c>
      <c r="L159" s="495">
        <v>3700</v>
      </c>
      <c r="M159" s="495">
        <v>242.35</v>
      </c>
      <c r="N159" s="328"/>
    </row>
    <row r="160" spans="1:14" x14ac:dyDescent="0.2">
      <c r="A160" s="14">
        <f t="shared" si="6"/>
        <v>138</v>
      </c>
      <c r="B160" s="526"/>
      <c r="C160" s="201"/>
      <c r="D160" s="14" t="s">
        <v>495</v>
      </c>
      <c r="E160" s="15">
        <v>40840</v>
      </c>
      <c r="F160" s="198">
        <v>4.53E-2</v>
      </c>
      <c r="G160" s="14">
        <v>2041</v>
      </c>
      <c r="H160" s="492">
        <v>5000</v>
      </c>
      <c r="I160" s="495">
        <v>5000</v>
      </c>
      <c r="J160" s="496">
        <v>100</v>
      </c>
      <c r="K160" s="198">
        <v>4.58E-2</v>
      </c>
      <c r="L160" s="495">
        <v>5000</v>
      </c>
      <c r="M160" s="495">
        <v>229</v>
      </c>
      <c r="N160" s="328"/>
    </row>
    <row r="161" spans="1:15" x14ac:dyDescent="0.2">
      <c r="A161" s="14">
        <f t="shared" si="6"/>
        <v>139</v>
      </c>
      <c r="B161" s="526"/>
      <c r="D161" s="14" t="s">
        <v>496</v>
      </c>
      <c r="E161" s="15">
        <v>41214</v>
      </c>
      <c r="F161" s="198">
        <v>3.8399999999999997E-2</v>
      </c>
      <c r="G161" s="14">
        <v>2052</v>
      </c>
      <c r="H161" s="492">
        <v>4000</v>
      </c>
      <c r="I161" s="492">
        <v>4000</v>
      </c>
      <c r="J161" s="497">
        <v>100</v>
      </c>
      <c r="K161" s="198">
        <v>3.8899999999999997E-2</v>
      </c>
      <c r="L161" s="495">
        <v>4000</v>
      </c>
      <c r="M161" s="495">
        <v>155.6</v>
      </c>
    </row>
    <row r="162" spans="1:15" x14ac:dyDescent="0.2">
      <c r="A162" s="14">
        <f t="shared" si="6"/>
        <v>140</v>
      </c>
      <c r="B162" s="526"/>
      <c r="C162" s="201"/>
      <c r="D162" s="14" t="s">
        <v>497</v>
      </c>
      <c r="E162" s="15">
        <v>41579</v>
      </c>
      <c r="F162" s="198">
        <v>4.7109999999999999E-2</v>
      </c>
      <c r="G162" s="14">
        <v>2053</v>
      </c>
      <c r="H162" s="492">
        <v>9100</v>
      </c>
      <c r="I162" s="492">
        <v>9100</v>
      </c>
      <c r="J162" s="497">
        <v>100</v>
      </c>
      <c r="K162" s="198">
        <v>4.761E-2</v>
      </c>
      <c r="L162" s="495">
        <v>9100</v>
      </c>
      <c r="M162" s="495">
        <v>433.25099999999998</v>
      </c>
    </row>
    <row r="163" spans="1:15" x14ac:dyDescent="0.2">
      <c r="A163" s="14">
        <f t="shared" si="6"/>
        <v>141</v>
      </c>
      <c r="B163" s="526"/>
      <c r="C163" s="201"/>
      <c r="D163" s="14" t="s">
        <v>498</v>
      </c>
      <c r="E163" s="15">
        <v>41944</v>
      </c>
      <c r="F163" s="198">
        <v>5.0299999999999997E-2</v>
      </c>
      <c r="G163" s="14">
        <v>2054</v>
      </c>
      <c r="H163" s="495">
        <v>6400</v>
      </c>
      <c r="I163" s="495">
        <v>6400</v>
      </c>
      <c r="J163" s="496">
        <v>100</v>
      </c>
      <c r="K163" s="198">
        <v>5.0799999999999998E-2</v>
      </c>
      <c r="L163" s="495">
        <v>6400</v>
      </c>
      <c r="M163" s="495">
        <v>325.12</v>
      </c>
    </row>
    <row r="164" spans="1:15" x14ac:dyDescent="0.2">
      <c r="A164" s="14">
        <f t="shared" si="6"/>
        <v>142</v>
      </c>
      <c r="B164" s="526"/>
      <c r="C164" s="201"/>
      <c r="D164" s="14" t="s">
        <v>593</v>
      </c>
      <c r="E164" s="15">
        <v>42309</v>
      </c>
      <c r="F164" s="198">
        <v>5.0299999999999997E-2</v>
      </c>
      <c r="G164" s="14">
        <v>2055</v>
      </c>
      <c r="H164" s="493">
        <v>4900</v>
      </c>
      <c r="I164" s="495">
        <v>4900</v>
      </c>
      <c r="J164" s="496">
        <v>100</v>
      </c>
      <c r="K164" s="199">
        <v>5.0799999999999998E-2</v>
      </c>
      <c r="L164" s="493">
        <v>4900</v>
      </c>
      <c r="M164" s="493">
        <v>248.92</v>
      </c>
    </row>
    <row r="165" spans="1:15" x14ac:dyDescent="0.2">
      <c r="A165" s="14">
        <f t="shared" si="6"/>
        <v>143</v>
      </c>
      <c r="B165" s="526"/>
      <c r="C165" s="201" t="s">
        <v>12</v>
      </c>
      <c r="D165" s="14"/>
      <c r="E165" s="15"/>
      <c r="F165" s="199"/>
      <c r="G165" s="15"/>
      <c r="H165" s="492">
        <f>SUM(H148:H164)</f>
        <v>59350</v>
      </c>
      <c r="I165" s="492"/>
      <c r="J165" s="200"/>
      <c r="K165" s="199"/>
      <c r="L165" s="492">
        <f>SUM(L148:L164)</f>
        <v>58850</v>
      </c>
      <c r="M165" s="492">
        <f>SUM(M148:M164)</f>
        <v>3361.4349999999995</v>
      </c>
      <c r="N165" s="16">
        <f>M165/L165</f>
        <v>5.7118691588785041E-2</v>
      </c>
    </row>
    <row r="166" spans="1:15" x14ac:dyDescent="0.2">
      <c r="A166" s="14">
        <f t="shared" si="6"/>
        <v>144</v>
      </c>
      <c r="B166" s="526"/>
      <c r="C166" s="201" t="s">
        <v>65</v>
      </c>
      <c r="D166" s="14"/>
      <c r="E166" s="15"/>
      <c r="F166" s="199"/>
      <c r="G166" s="15"/>
      <c r="H166" s="13"/>
      <c r="I166" s="13"/>
      <c r="J166" s="200"/>
      <c r="K166" s="199"/>
      <c r="L166" s="493">
        <f>+L108</f>
        <v>53950</v>
      </c>
      <c r="M166" s="493">
        <f>+M108</f>
        <v>3112.5149999999994</v>
      </c>
      <c r="N166" s="17">
        <f>M166/L166</f>
        <v>5.7692585727525475E-2</v>
      </c>
    </row>
    <row r="167" spans="1:15" x14ac:dyDescent="0.2">
      <c r="A167" s="14">
        <f t="shared" si="6"/>
        <v>145</v>
      </c>
      <c r="B167" s="526"/>
      <c r="C167" s="201" t="s">
        <v>12</v>
      </c>
      <c r="D167" s="14"/>
      <c r="E167" s="15"/>
      <c r="F167" s="199"/>
      <c r="G167" s="15"/>
      <c r="H167" s="13"/>
      <c r="I167" s="13"/>
      <c r="J167" s="200"/>
      <c r="K167" s="199"/>
      <c r="L167" s="493">
        <f>SUM(L165:L166)</f>
        <v>112800</v>
      </c>
      <c r="M167" s="493">
        <f>SUM(M165:M166)</f>
        <v>6473.9499999999989</v>
      </c>
      <c r="N167" s="338"/>
    </row>
    <row r="168" spans="1:15" ht="13.5" thickBot="1" x14ac:dyDescent="0.25">
      <c r="A168" s="14">
        <f t="shared" si="6"/>
        <v>146</v>
      </c>
      <c r="B168" s="526"/>
      <c r="C168" s="201" t="s">
        <v>23</v>
      </c>
      <c r="D168" s="14"/>
      <c r="E168" s="15"/>
      <c r="F168" s="199"/>
      <c r="G168" s="15"/>
      <c r="H168" s="13"/>
      <c r="I168" s="13"/>
      <c r="J168" s="200"/>
      <c r="K168" s="199"/>
      <c r="L168" s="494">
        <f>L167/2</f>
        <v>56400</v>
      </c>
      <c r="M168" s="494">
        <f>M167/2</f>
        <v>3236.9749999999995</v>
      </c>
      <c r="N168" s="18">
        <f>M168/L168</f>
        <v>5.739317375886524E-2</v>
      </c>
    </row>
    <row r="169" spans="1:15" ht="13.5" thickTop="1" x14ac:dyDescent="0.2"/>
    <row r="170" spans="1:15" x14ac:dyDescent="0.2">
      <c r="A170" s="340" t="s">
        <v>1006</v>
      </c>
      <c r="B170" s="340"/>
      <c r="C170" s="340"/>
      <c r="D170" s="340"/>
      <c r="E170" s="340"/>
      <c r="F170" s="340"/>
      <c r="G170" s="340"/>
      <c r="H170" s="340"/>
      <c r="I170" s="340"/>
      <c r="J170" s="340"/>
      <c r="K170" s="340"/>
      <c r="L170" s="340"/>
      <c r="M170" s="340"/>
      <c r="N170" s="340"/>
      <c r="O170" s="121" t="s">
        <v>566</v>
      </c>
    </row>
    <row r="171" spans="1:15" x14ac:dyDescent="0.2">
      <c r="A171" s="340" t="s">
        <v>555</v>
      </c>
      <c r="B171" s="340"/>
      <c r="C171" s="340"/>
      <c r="D171" s="340"/>
      <c r="E171" s="340"/>
      <c r="F171" s="340"/>
      <c r="G171" s="340"/>
      <c r="H171" s="340"/>
      <c r="I171" s="340"/>
      <c r="J171" s="340"/>
      <c r="K171" s="340"/>
      <c r="L171" s="340"/>
      <c r="M171" s="340"/>
      <c r="N171" s="340"/>
      <c r="O171" s="121" t="s">
        <v>888</v>
      </c>
    </row>
    <row r="172" spans="1:15" x14ac:dyDescent="0.2">
      <c r="A172" s="340" t="s">
        <v>587</v>
      </c>
      <c r="B172" s="340"/>
      <c r="C172" s="340"/>
      <c r="D172" s="340"/>
      <c r="E172" s="340"/>
      <c r="F172" s="340"/>
      <c r="G172" s="340"/>
      <c r="H172" s="340"/>
      <c r="I172" s="340"/>
      <c r="J172" s="340"/>
      <c r="K172" s="340"/>
      <c r="L172" s="340"/>
      <c r="M172" s="340"/>
      <c r="N172" s="340"/>
      <c r="O172" s="170"/>
    </row>
    <row r="173" spans="1:15" x14ac:dyDescent="0.2">
      <c r="A173" s="340" t="s">
        <v>18</v>
      </c>
      <c r="B173" s="340"/>
      <c r="C173" s="340"/>
      <c r="D173" s="340"/>
      <c r="E173" s="340"/>
      <c r="F173" s="340"/>
      <c r="G173" s="340"/>
      <c r="H173" s="340"/>
      <c r="I173" s="340"/>
      <c r="J173" s="340"/>
      <c r="K173" s="340"/>
      <c r="L173" s="340"/>
      <c r="M173" s="340"/>
      <c r="N173" s="340"/>
      <c r="O173" s="170"/>
    </row>
    <row r="174" spans="1:15" x14ac:dyDescent="0.2">
      <c r="A174" s="196" t="s">
        <v>19</v>
      </c>
      <c r="B174" s="526"/>
      <c r="C174" s="201"/>
      <c r="D174" s="14"/>
      <c r="E174" s="15"/>
      <c r="F174" s="199"/>
      <c r="G174" s="15"/>
      <c r="H174" s="13"/>
      <c r="I174" s="13"/>
      <c r="J174" s="200"/>
      <c r="K174" s="199"/>
      <c r="L174" s="197"/>
      <c r="M174" s="197"/>
      <c r="N174" s="121"/>
    </row>
    <row r="175" spans="1:15" x14ac:dyDescent="0.2">
      <c r="A175" s="204" t="s">
        <v>21</v>
      </c>
      <c r="B175" s="526"/>
      <c r="C175" s="201"/>
      <c r="D175" s="14"/>
      <c r="E175" s="15"/>
      <c r="F175" s="199"/>
      <c r="G175" s="15"/>
      <c r="H175" s="13"/>
      <c r="I175" s="13"/>
      <c r="J175" s="200"/>
      <c r="K175" s="199"/>
      <c r="L175" s="197"/>
      <c r="M175" s="197"/>
      <c r="N175" s="121"/>
    </row>
    <row r="176" spans="1:15" x14ac:dyDescent="0.2">
      <c r="B176" s="526"/>
      <c r="C176" s="201"/>
      <c r="D176" s="14"/>
      <c r="E176" s="15"/>
      <c r="F176" s="199"/>
      <c r="G176" s="15"/>
      <c r="H176" s="13"/>
      <c r="I176" s="13"/>
      <c r="J176" s="200"/>
      <c r="K176" s="199"/>
      <c r="L176" s="197"/>
      <c r="M176" s="197"/>
      <c r="N176" s="121"/>
    </row>
    <row r="177" spans="1:15" x14ac:dyDescent="0.2">
      <c r="A177" s="14">
        <v>1</v>
      </c>
      <c r="B177" s="523" t="s">
        <v>585</v>
      </c>
      <c r="C177" s="201"/>
      <c r="D177" s="201"/>
      <c r="E177" s="201"/>
      <c r="F177" s="201"/>
      <c r="G177" s="201"/>
      <c r="H177" s="201"/>
      <c r="I177" s="202" t="s">
        <v>44</v>
      </c>
      <c r="J177" s="203"/>
      <c r="K177" s="201"/>
      <c r="L177" s="201"/>
      <c r="M177" s="201"/>
    </row>
    <row r="178" spans="1:15" x14ac:dyDescent="0.2">
      <c r="A178" s="14">
        <f>A177+1</f>
        <v>2</v>
      </c>
      <c r="C178" s="196"/>
      <c r="D178" s="196"/>
      <c r="E178" s="196"/>
      <c r="F178" s="196"/>
      <c r="G178" s="196"/>
      <c r="H178" s="196" t="s">
        <v>45</v>
      </c>
      <c r="I178" s="196" t="s">
        <v>13</v>
      </c>
      <c r="J178" s="196" t="s">
        <v>46</v>
      </c>
      <c r="L178" s="196" t="s">
        <v>45</v>
      </c>
      <c r="M178" s="196" t="s">
        <v>13</v>
      </c>
      <c r="N178" s="196" t="s">
        <v>47</v>
      </c>
    </row>
    <row r="179" spans="1:15" x14ac:dyDescent="0.2">
      <c r="A179" s="14">
        <f t="shared" ref="A179:A228" si="9">A178+1</f>
        <v>3</v>
      </c>
      <c r="B179" s="524"/>
      <c r="C179" s="196"/>
      <c r="D179" s="196"/>
      <c r="E179" s="196" t="s">
        <v>48</v>
      </c>
      <c r="F179" s="196" t="s">
        <v>49</v>
      </c>
      <c r="G179" s="196" t="s">
        <v>50</v>
      </c>
      <c r="H179" s="196" t="s">
        <v>51</v>
      </c>
      <c r="I179" s="196" t="s">
        <v>12</v>
      </c>
      <c r="J179" s="196" t="s">
        <v>45</v>
      </c>
      <c r="K179" s="196" t="s">
        <v>57</v>
      </c>
      <c r="L179" s="196" t="s">
        <v>58</v>
      </c>
      <c r="M179" s="196" t="s">
        <v>59</v>
      </c>
      <c r="N179" s="196" t="s">
        <v>60</v>
      </c>
    </row>
    <row r="180" spans="1:15" x14ac:dyDescent="0.2">
      <c r="A180" s="14">
        <f t="shared" si="9"/>
        <v>4</v>
      </c>
      <c r="B180" s="524"/>
      <c r="C180" s="204" t="s">
        <v>149</v>
      </c>
      <c r="D180" s="204" t="s">
        <v>61</v>
      </c>
      <c r="E180" s="204" t="s">
        <v>62</v>
      </c>
      <c r="F180" s="204" t="s">
        <v>24</v>
      </c>
      <c r="G180" s="204" t="s">
        <v>62</v>
      </c>
      <c r="H180" s="204" t="s">
        <v>63</v>
      </c>
      <c r="I180" s="204" t="s">
        <v>51</v>
      </c>
      <c r="J180" s="204" t="s">
        <v>51</v>
      </c>
      <c r="K180" s="204" t="s">
        <v>64</v>
      </c>
      <c r="L180" s="525">
        <v>42735</v>
      </c>
      <c r="M180" s="204" t="s">
        <v>25</v>
      </c>
      <c r="N180" s="204" t="s">
        <v>64</v>
      </c>
    </row>
    <row r="181" spans="1:15" x14ac:dyDescent="0.2">
      <c r="A181" s="14">
        <f t="shared" si="9"/>
        <v>5</v>
      </c>
      <c r="B181" s="526"/>
      <c r="C181" s="201"/>
      <c r="D181" s="14" t="s">
        <v>334</v>
      </c>
      <c r="E181" s="15">
        <v>33205</v>
      </c>
      <c r="F181" s="198">
        <v>0.11849999999999999</v>
      </c>
      <c r="G181" s="527">
        <v>2020</v>
      </c>
      <c r="H181" s="495">
        <v>1500</v>
      </c>
      <c r="I181" s="495">
        <v>1500</v>
      </c>
      <c r="J181" s="496">
        <v>100</v>
      </c>
      <c r="K181" s="205">
        <v>0.1191</v>
      </c>
      <c r="L181" s="495">
        <v>1500</v>
      </c>
      <c r="M181" s="495">
        <f>K181*L181</f>
        <v>178.65</v>
      </c>
      <c r="N181" s="328"/>
      <c r="O181" s="338"/>
    </row>
    <row r="182" spans="1:15" x14ac:dyDescent="0.2">
      <c r="A182" s="14">
        <f t="shared" si="9"/>
        <v>6</v>
      </c>
      <c r="B182" s="526"/>
      <c r="D182" s="14" t="s">
        <v>335</v>
      </c>
      <c r="E182" s="15">
        <v>33732</v>
      </c>
      <c r="F182" s="198">
        <v>9.4600000000000004E-2</v>
      </c>
      <c r="G182" s="527">
        <v>2023</v>
      </c>
      <c r="H182" s="495">
        <v>2500</v>
      </c>
      <c r="I182" s="492">
        <v>2500</v>
      </c>
      <c r="J182" s="497">
        <v>100</v>
      </c>
      <c r="K182" s="205">
        <v>9.5100000000000004E-2</v>
      </c>
      <c r="L182" s="495">
        <v>2500</v>
      </c>
      <c r="M182" s="495">
        <f t="shared" ref="M182:M196" si="10">K182*L182</f>
        <v>237.75</v>
      </c>
      <c r="O182" s="338"/>
    </row>
    <row r="183" spans="1:15" x14ac:dyDescent="0.2">
      <c r="A183" s="14">
        <f t="shared" si="9"/>
        <v>7</v>
      </c>
      <c r="B183" s="526"/>
      <c r="C183" s="201"/>
      <c r="D183" s="14" t="s">
        <v>85</v>
      </c>
      <c r="E183" s="15">
        <v>36385</v>
      </c>
      <c r="F183" s="198">
        <v>6.8000000000000005E-2</v>
      </c>
      <c r="G183" s="14">
        <v>2019</v>
      </c>
      <c r="H183" s="492">
        <v>4500</v>
      </c>
      <c r="I183" s="492">
        <v>4500</v>
      </c>
      <c r="J183" s="497">
        <v>100</v>
      </c>
      <c r="K183" s="198">
        <v>6.8500000000000005E-2</v>
      </c>
      <c r="L183" s="495">
        <v>4500</v>
      </c>
      <c r="M183" s="495">
        <f t="shared" si="10"/>
        <v>308.25</v>
      </c>
      <c r="O183" s="338"/>
    </row>
    <row r="184" spans="1:15" x14ac:dyDescent="0.2">
      <c r="A184" s="14">
        <f t="shared" si="9"/>
        <v>8</v>
      </c>
      <c r="B184" s="526"/>
      <c r="C184" s="201"/>
      <c r="D184" s="14" t="s">
        <v>336</v>
      </c>
      <c r="E184" s="15">
        <v>37582</v>
      </c>
      <c r="F184" s="198">
        <v>6.1600000000000002E-2</v>
      </c>
      <c r="G184" s="14">
        <v>2017</v>
      </c>
      <c r="H184" s="492">
        <v>3900</v>
      </c>
      <c r="I184" s="492">
        <v>3900</v>
      </c>
      <c r="J184" s="497">
        <v>100</v>
      </c>
      <c r="K184" s="198">
        <v>6.2100000000000002E-2</v>
      </c>
      <c r="L184" s="495">
        <v>3900</v>
      </c>
      <c r="M184" s="495">
        <f t="shared" si="10"/>
        <v>242.19</v>
      </c>
      <c r="O184" s="338"/>
    </row>
    <row r="185" spans="1:15" x14ac:dyDescent="0.2">
      <c r="A185" s="14">
        <f t="shared" si="9"/>
        <v>9</v>
      </c>
      <c r="B185" s="526"/>
      <c r="C185" s="201"/>
      <c r="D185" s="14" t="s">
        <v>337</v>
      </c>
      <c r="E185" s="15">
        <v>38009</v>
      </c>
      <c r="F185" s="198">
        <v>5.4199999999999998E-2</v>
      </c>
      <c r="G185" s="14">
        <v>2019</v>
      </c>
      <c r="H185" s="492">
        <v>1000</v>
      </c>
      <c r="I185" s="492">
        <v>1000</v>
      </c>
      <c r="J185" s="497">
        <v>100</v>
      </c>
      <c r="K185" s="198">
        <v>5.4699999999999999E-2</v>
      </c>
      <c r="L185" s="495">
        <v>1000</v>
      </c>
      <c r="M185" s="495">
        <f t="shared" si="10"/>
        <v>54.699999999999996</v>
      </c>
      <c r="O185" s="338"/>
    </row>
    <row r="186" spans="1:15" x14ac:dyDescent="0.2">
      <c r="A186" s="14">
        <f t="shared" si="9"/>
        <v>10</v>
      </c>
      <c r="B186" s="526"/>
      <c r="C186" s="201"/>
      <c r="D186" s="14" t="s">
        <v>339</v>
      </c>
      <c r="E186" s="15">
        <v>38677</v>
      </c>
      <c r="F186" s="198">
        <v>5.1799999999999999E-2</v>
      </c>
      <c r="G186" s="14">
        <v>2035</v>
      </c>
      <c r="H186" s="495">
        <v>4300</v>
      </c>
      <c r="I186" s="492">
        <v>4300</v>
      </c>
      <c r="J186" s="497">
        <v>100</v>
      </c>
      <c r="K186" s="198">
        <v>5.2299999999999999E-2</v>
      </c>
      <c r="L186" s="495">
        <v>4300</v>
      </c>
      <c r="M186" s="495">
        <f t="shared" si="10"/>
        <v>224.89</v>
      </c>
      <c r="O186" s="338"/>
    </row>
    <row r="187" spans="1:15" x14ac:dyDescent="0.2">
      <c r="A187" s="14">
        <f t="shared" si="9"/>
        <v>11</v>
      </c>
      <c r="B187" s="526"/>
      <c r="C187" s="201"/>
      <c r="D187" s="14" t="s">
        <v>340</v>
      </c>
      <c r="E187" s="15">
        <v>39041</v>
      </c>
      <c r="F187" s="198">
        <v>5.0200000000000002E-2</v>
      </c>
      <c r="G187" s="14">
        <v>2036</v>
      </c>
      <c r="H187" s="495">
        <v>3000</v>
      </c>
      <c r="I187" s="492">
        <v>3000</v>
      </c>
      <c r="J187" s="497">
        <v>100</v>
      </c>
      <c r="K187" s="198">
        <v>5.0700000000000002E-2</v>
      </c>
      <c r="L187" s="495">
        <v>3000</v>
      </c>
      <c r="M187" s="495">
        <f t="shared" si="10"/>
        <v>152.1</v>
      </c>
      <c r="O187" s="338"/>
    </row>
    <row r="188" spans="1:15" x14ac:dyDescent="0.2">
      <c r="A188" s="14">
        <f t="shared" si="9"/>
        <v>12</v>
      </c>
      <c r="B188" s="526"/>
      <c r="C188" s="201"/>
      <c r="D188" s="14" t="s">
        <v>2</v>
      </c>
      <c r="E188" s="15">
        <v>39594</v>
      </c>
      <c r="F188" s="198">
        <v>5.5599999999999997E-2</v>
      </c>
      <c r="G188" s="14">
        <v>2028</v>
      </c>
      <c r="H188" s="495">
        <v>860</v>
      </c>
      <c r="I188" s="492">
        <v>860</v>
      </c>
      <c r="J188" s="497">
        <v>100</v>
      </c>
      <c r="K188" s="198">
        <v>5.6099999999999997E-2</v>
      </c>
      <c r="L188" s="495">
        <v>860</v>
      </c>
      <c r="M188" s="495">
        <f t="shared" si="10"/>
        <v>48.245999999999995</v>
      </c>
      <c r="O188" s="338"/>
    </row>
    <row r="189" spans="1:15" x14ac:dyDescent="0.2">
      <c r="A189" s="14">
        <f t="shared" si="9"/>
        <v>13</v>
      </c>
      <c r="B189" s="526"/>
      <c r="C189" s="201"/>
      <c r="D189" s="14" t="s">
        <v>366</v>
      </c>
      <c r="E189" s="15">
        <v>39594</v>
      </c>
      <c r="F189" s="198">
        <v>5.57E-2</v>
      </c>
      <c r="G189" s="14">
        <v>2038</v>
      </c>
      <c r="H189" s="492">
        <v>1290</v>
      </c>
      <c r="I189" s="492">
        <v>1290</v>
      </c>
      <c r="J189" s="497">
        <v>100</v>
      </c>
      <c r="K189" s="198">
        <v>5.62E-2</v>
      </c>
      <c r="L189" s="495">
        <v>1290</v>
      </c>
      <c r="M189" s="495">
        <f t="shared" si="10"/>
        <v>72.498000000000005</v>
      </c>
      <c r="O189" s="338"/>
    </row>
    <row r="190" spans="1:15" x14ac:dyDescent="0.2">
      <c r="A190" s="14">
        <f t="shared" si="9"/>
        <v>14</v>
      </c>
      <c r="B190" s="526"/>
      <c r="C190" s="201"/>
      <c r="D190" s="14" t="s">
        <v>367</v>
      </c>
      <c r="E190" s="15">
        <v>39878</v>
      </c>
      <c r="F190" s="198">
        <v>6.2299999999999994E-2</v>
      </c>
      <c r="G190" s="14">
        <v>2024</v>
      </c>
      <c r="H190" s="492">
        <v>2900</v>
      </c>
      <c r="I190" s="492">
        <v>2900</v>
      </c>
      <c r="J190" s="497">
        <v>100</v>
      </c>
      <c r="K190" s="198">
        <v>6.2799999999999995E-2</v>
      </c>
      <c r="L190" s="495">
        <v>2900</v>
      </c>
      <c r="M190" s="495">
        <f t="shared" si="10"/>
        <v>182.11999999999998</v>
      </c>
      <c r="N190" s="328"/>
      <c r="O190" s="338"/>
    </row>
    <row r="191" spans="1:15" x14ac:dyDescent="0.2">
      <c r="A191" s="14">
        <f t="shared" si="9"/>
        <v>15</v>
      </c>
      <c r="B191" s="526"/>
      <c r="C191" s="201"/>
      <c r="D191" s="14" t="s">
        <v>3</v>
      </c>
      <c r="E191" s="15">
        <v>39878</v>
      </c>
      <c r="F191" s="198">
        <v>6.5000000000000002E-2</v>
      </c>
      <c r="G191" s="14">
        <v>2039</v>
      </c>
      <c r="H191" s="492">
        <v>3700</v>
      </c>
      <c r="I191" s="492">
        <v>3700</v>
      </c>
      <c r="J191" s="497">
        <v>100</v>
      </c>
      <c r="K191" s="198">
        <v>6.5500000000000003E-2</v>
      </c>
      <c r="L191" s="495">
        <v>3700</v>
      </c>
      <c r="M191" s="495">
        <f t="shared" si="10"/>
        <v>242.35000000000002</v>
      </c>
      <c r="N191" s="235"/>
      <c r="O191" s="338"/>
    </row>
    <row r="192" spans="1:15" x14ac:dyDescent="0.2">
      <c r="A192" s="14">
        <f t="shared" si="9"/>
        <v>16</v>
      </c>
      <c r="B192" s="526"/>
      <c r="C192" s="201"/>
      <c r="D192" s="14" t="s">
        <v>495</v>
      </c>
      <c r="E192" s="15">
        <v>40840</v>
      </c>
      <c r="F192" s="198">
        <v>4.53E-2</v>
      </c>
      <c r="G192" s="14">
        <v>2041</v>
      </c>
      <c r="H192" s="492">
        <v>5000</v>
      </c>
      <c r="I192" s="492">
        <v>5000</v>
      </c>
      <c r="J192" s="497">
        <v>100</v>
      </c>
      <c r="K192" s="198">
        <v>4.58E-2</v>
      </c>
      <c r="L192" s="495">
        <v>5000</v>
      </c>
      <c r="M192" s="495">
        <f t="shared" si="10"/>
        <v>229</v>
      </c>
      <c r="N192" s="235"/>
      <c r="O192" s="338"/>
    </row>
    <row r="193" spans="1:15" x14ac:dyDescent="0.2">
      <c r="A193" s="14">
        <f t="shared" si="9"/>
        <v>17</v>
      </c>
      <c r="B193" s="526"/>
      <c r="C193" s="201"/>
      <c r="D193" s="14" t="s">
        <v>496</v>
      </c>
      <c r="E193" s="15">
        <v>41214</v>
      </c>
      <c r="F193" s="198">
        <v>3.8399999999999997E-2</v>
      </c>
      <c r="G193" s="14">
        <v>2052</v>
      </c>
      <c r="H193" s="492">
        <v>4000</v>
      </c>
      <c r="I193" s="492">
        <v>4000</v>
      </c>
      <c r="J193" s="497">
        <v>100</v>
      </c>
      <c r="K193" s="198">
        <v>3.8899999999999997E-2</v>
      </c>
      <c r="L193" s="495">
        <v>4000</v>
      </c>
      <c r="M193" s="495">
        <f t="shared" si="10"/>
        <v>155.6</v>
      </c>
      <c r="N193" s="328"/>
      <c r="O193" s="338"/>
    </row>
    <row r="194" spans="1:15" x14ac:dyDescent="0.2">
      <c r="A194" s="14">
        <f t="shared" si="9"/>
        <v>18</v>
      </c>
      <c r="B194" s="526"/>
      <c r="C194" s="201"/>
      <c r="D194" s="14" t="s">
        <v>497</v>
      </c>
      <c r="E194" s="15">
        <v>41579</v>
      </c>
      <c r="F194" s="198">
        <f t="shared" ref="F194:F197" si="11">+K194-0.0005</f>
        <v>4.7109999999999999E-2</v>
      </c>
      <c r="G194" s="14">
        <v>2043</v>
      </c>
      <c r="H194" s="495">
        <v>9400</v>
      </c>
      <c r="I194" s="495">
        <v>9400</v>
      </c>
      <c r="J194" s="496">
        <v>100</v>
      </c>
      <c r="K194" s="206">
        <v>4.761E-2</v>
      </c>
      <c r="L194" s="495">
        <v>9400</v>
      </c>
      <c r="M194" s="495">
        <f t="shared" si="10"/>
        <v>447.53399999999999</v>
      </c>
      <c r="N194" s="328"/>
      <c r="O194" s="338"/>
    </row>
    <row r="195" spans="1:15" x14ac:dyDescent="0.2">
      <c r="A195" s="14">
        <f t="shared" si="9"/>
        <v>19</v>
      </c>
      <c r="B195" s="526"/>
      <c r="C195" s="201"/>
      <c r="D195" s="14" t="s">
        <v>498</v>
      </c>
      <c r="E195" s="15">
        <v>41944</v>
      </c>
      <c r="F195" s="198">
        <f t="shared" si="11"/>
        <v>4.07E-2</v>
      </c>
      <c r="G195" s="14">
        <v>2044</v>
      </c>
      <c r="H195" s="495">
        <v>7900</v>
      </c>
      <c r="I195" s="495">
        <v>7900</v>
      </c>
      <c r="J195" s="496">
        <v>100</v>
      </c>
      <c r="K195" s="206">
        <v>4.1200000000000001E-2</v>
      </c>
      <c r="L195" s="495">
        <v>7900</v>
      </c>
      <c r="M195" s="495">
        <f t="shared" si="10"/>
        <v>325.48</v>
      </c>
      <c r="N195" s="328"/>
      <c r="O195" s="338"/>
    </row>
    <row r="196" spans="1:15" x14ac:dyDescent="0.2">
      <c r="A196" s="14">
        <f t="shared" si="9"/>
        <v>20</v>
      </c>
      <c r="B196" s="526"/>
      <c r="C196" s="201"/>
      <c r="D196" s="14" t="s">
        <v>593</v>
      </c>
      <c r="E196" s="15">
        <v>42309</v>
      </c>
      <c r="F196" s="198">
        <f t="shared" si="11"/>
        <v>3.9509999999999997E-2</v>
      </c>
      <c r="G196" s="14">
        <v>2045</v>
      </c>
      <c r="H196" s="495">
        <v>750</v>
      </c>
      <c r="I196" s="495">
        <v>750</v>
      </c>
      <c r="J196" s="496">
        <v>100</v>
      </c>
      <c r="K196" s="206">
        <v>4.0009999999999997E-2</v>
      </c>
      <c r="L196" s="495">
        <v>750</v>
      </c>
      <c r="M196" s="495">
        <f t="shared" si="10"/>
        <v>30.007499999999997</v>
      </c>
      <c r="N196" s="328"/>
      <c r="O196" s="338"/>
    </row>
    <row r="197" spans="1:15" x14ac:dyDescent="0.2">
      <c r="A197" s="14">
        <f t="shared" si="9"/>
        <v>21</v>
      </c>
      <c r="B197" s="526"/>
      <c r="C197" s="201"/>
      <c r="D197" s="14" t="s">
        <v>594</v>
      </c>
      <c r="E197" s="15">
        <v>42675</v>
      </c>
      <c r="F197" s="198">
        <f t="shared" si="11"/>
        <v>3.7199999999999997E-2</v>
      </c>
      <c r="G197" s="14">
        <v>2056</v>
      </c>
      <c r="H197" s="493">
        <v>5480</v>
      </c>
      <c r="I197" s="492">
        <f>+H197</f>
        <v>5480</v>
      </c>
      <c r="J197" s="496">
        <v>100</v>
      </c>
      <c r="K197" s="198">
        <v>3.7699999999999997E-2</v>
      </c>
      <c r="L197" s="493">
        <f>+H197</f>
        <v>5480</v>
      </c>
      <c r="M197" s="493">
        <f>K197*L197</f>
        <v>206.59599999999998</v>
      </c>
      <c r="N197" s="328"/>
      <c r="O197" s="338"/>
    </row>
    <row r="198" spans="1:15" x14ac:dyDescent="0.2">
      <c r="A198" s="14">
        <f t="shared" si="9"/>
        <v>22</v>
      </c>
      <c r="B198" s="526"/>
      <c r="C198" s="201" t="s">
        <v>12</v>
      </c>
      <c r="D198" s="14"/>
      <c r="E198" s="15"/>
      <c r="F198" s="199"/>
      <c r="G198" s="15"/>
      <c r="H198" s="492">
        <f>SUM(H181:H197)</f>
        <v>61980</v>
      </c>
      <c r="I198" s="492"/>
      <c r="J198" s="200"/>
      <c r="K198" s="199"/>
      <c r="L198" s="492">
        <f>SUM(L181:L197)</f>
        <v>61980</v>
      </c>
      <c r="M198" s="492">
        <f>SUM(M181:M197)</f>
        <v>3337.9614999999999</v>
      </c>
      <c r="N198" s="206">
        <f>M198/L198</f>
        <v>5.3855461439173927E-2</v>
      </c>
    </row>
    <row r="199" spans="1:15" x14ac:dyDescent="0.2">
      <c r="A199" s="14">
        <f t="shared" si="9"/>
        <v>23</v>
      </c>
      <c r="B199" s="526"/>
      <c r="C199" s="201" t="s">
        <v>65</v>
      </c>
      <c r="D199" s="14"/>
      <c r="E199" s="15"/>
      <c r="F199" s="199"/>
      <c r="G199" s="15"/>
      <c r="H199" s="13"/>
      <c r="I199" s="13"/>
      <c r="J199" s="200"/>
      <c r="K199" s="199"/>
      <c r="L199" s="493">
        <f>+L139</f>
        <v>56500</v>
      </c>
      <c r="M199" s="493">
        <f>+M139</f>
        <v>3131.3654999999999</v>
      </c>
      <c r="N199" s="17">
        <f>+N139</f>
        <v>5.5422398230088495E-2</v>
      </c>
    </row>
    <row r="200" spans="1:15" x14ac:dyDescent="0.2">
      <c r="A200" s="14">
        <f t="shared" si="9"/>
        <v>24</v>
      </c>
      <c r="B200" s="526"/>
      <c r="C200" s="201" t="s">
        <v>12</v>
      </c>
      <c r="D200" s="14"/>
      <c r="E200" s="15"/>
      <c r="F200" s="199"/>
      <c r="G200" s="15"/>
      <c r="H200" s="13"/>
      <c r="I200" s="13"/>
      <c r="J200" s="200"/>
      <c r="K200" s="199"/>
      <c r="L200" s="493">
        <f>L198+L199</f>
        <v>118480</v>
      </c>
      <c r="M200" s="493">
        <f>M198+M199</f>
        <v>6469.3269999999993</v>
      </c>
      <c r="N200" s="338"/>
    </row>
    <row r="201" spans="1:15" ht="13.5" thickBot="1" x14ac:dyDescent="0.25">
      <c r="A201" s="14">
        <f t="shared" si="9"/>
        <v>25</v>
      </c>
      <c r="B201" s="526"/>
      <c r="C201" s="201" t="s">
        <v>23</v>
      </c>
      <c r="D201" s="14"/>
      <c r="E201" s="15"/>
      <c r="F201" s="199"/>
      <c r="G201" s="15"/>
      <c r="H201" s="13"/>
      <c r="I201" s="13"/>
      <c r="J201" s="200"/>
      <c r="K201" s="199"/>
      <c r="L201" s="494">
        <f>L200/2</f>
        <v>59240</v>
      </c>
      <c r="M201" s="494">
        <f>M200/2</f>
        <v>3234.6634999999997</v>
      </c>
      <c r="N201" s="18">
        <f>M201/L201</f>
        <v>5.4602692437542198E-2</v>
      </c>
    </row>
    <row r="202" spans="1:15" ht="13.5" thickTop="1" x14ac:dyDescent="0.2">
      <c r="A202" s="14">
        <f t="shared" si="9"/>
        <v>26</v>
      </c>
      <c r="B202" s="526"/>
      <c r="C202" s="201"/>
      <c r="D202" s="14"/>
      <c r="E202" s="15"/>
      <c r="F202" s="199"/>
      <c r="G202" s="15"/>
      <c r="H202" s="13"/>
      <c r="I202" s="13"/>
      <c r="J202" s="200"/>
      <c r="K202" s="199"/>
      <c r="L202" s="197"/>
      <c r="M202" s="197"/>
      <c r="N202" s="121"/>
    </row>
    <row r="203" spans="1:15" x14ac:dyDescent="0.2">
      <c r="A203" s="14">
        <f t="shared" si="9"/>
        <v>27</v>
      </c>
      <c r="B203" s="523" t="s">
        <v>586</v>
      </c>
      <c r="C203" s="201"/>
      <c r="D203" s="201"/>
      <c r="E203" s="201"/>
      <c r="F203" s="201"/>
      <c r="G203" s="201"/>
      <c r="H203" s="201"/>
      <c r="I203" s="202" t="s">
        <v>44</v>
      </c>
      <c r="J203" s="203"/>
      <c r="K203" s="201"/>
      <c r="L203" s="201"/>
      <c r="M203" s="201"/>
    </row>
    <row r="204" spans="1:15" x14ac:dyDescent="0.2">
      <c r="A204" s="14">
        <f t="shared" si="9"/>
        <v>28</v>
      </c>
      <c r="C204" s="196"/>
      <c r="D204" s="196"/>
      <c r="E204" s="196"/>
      <c r="F204" s="196"/>
      <c r="G204" s="196"/>
      <c r="H204" s="196" t="s">
        <v>45</v>
      </c>
      <c r="I204" s="196" t="s">
        <v>13</v>
      </c>
      <c r="J204" s="196" t="s">
        <v>46</v>
      </c>
      <c r="L204" s="196" t="s">
        <v>45</v>
      </c>
      <c r="M204" s="196" t="s">
        <v>13</v>
      </c>
      <c r="N204" s="196" t="s">
        <v>47</v>
      </c>
    </row>
    <row r="205" spans="1:15" x14ac:dyDescent="0.2">
      <c r="A205" s="14">
        <f t="shared" si="9"/>
        <v>29</v>
      </c>
      <c r="B205" s="524"/>
      <c r="C205" s="196"/>
      <c r="D205" s="196"/>
      <c r="E205" s="196" t="s">
        <v>48</v>
      </c>
      <c r="F205" s="196" t="s">
        <v>49</v>
      </c>
      <c r="G205" s="196" t="s">
        <v>50</v>
      </c>
      <c r="H205" s="196" t="s">
        <v>51</v>
      </c>
      <c r="I205" s="196" t="s">
        <v>12</v>
      </c>
      <c r="J205" s="196" t="s">
        <v>45</v>
      </c>
      <c r="K205" s="196" t="s">
        <v>57</v>
      </c>
      <c r="L205" s="196" t="s">
        <v>58</v>
      </c>
      <c r="M205" s="196" t="s">
        <v>59</v>
      </c>
      <c r="N205" s="196" t="s">
        <v>60</v>
      </c>
    </row>
    <row r="206" spans="1:15" x14ac:dyDescent="0.2">
      <c r="A206" s="14">
        <f t="shared" si="9"/>
        <v>30</v>
      </c>
      <c r="B206" s="524"/>
      <c r="C206" s="204" t="s">
        <v>149</v>
      </c>
      <c r="D206" s="204" t="s">
        <v>61</v>
      </c>
      <c r="E206" s="204" t="s">
        <v>62</v>
      </c>
      <c r="F206" s="204" t="s">
        <v>24</v>
      </c>
      <c r="G206" s="204" t="s">
        <v>62</v>
      </c>
      <c r="H206" s="204" t="s">
        <v>63</v>
      </c>
      <c r="I206" s="204" t="s">
        <v>51</v>
      </c>
      <c r="J206" s="204" t="s">
        <v>51</v>
      </c>
      <c r="K206" s="204" t="s">
        <v>64</v>
      </c>
      <c r="L206" s="525">
        <v>43100</v>
      </c>
      <c r="M206" s="204" t="s">
        <v>25</v>
      </c>
      <c r="N206" s="204" t="s">
        <v>64</v>
      </c>
    </row>
    <row r="207" spans="1:15" x14ac:dyDescent="0.2">
      <c r="A207" s="14">
        <f t="shared" si="9"/>
        <v>31</v>
      </c>
      <c r="B207" s="526"/>
      <c r="C207" s="201"/>
      <c r="D207" s="14" t="s">
        <v>334</v>
      </c>
      <c r="E207" s="15">
        <v>33205</v>
      </c>
      <c r="F207" s="198">
        <v>0.11849999999999999</v>
      </c>
      <c r="G207" s="527">
        <v>2020</v>
      </c>
      <c r="H207" s="495">
        <v>1500</v>
      </c>
      <c r="I207" s="495">
        <v>1500</v>
      </c>
      <c r="J207" s="496">
        <v>100</v>
      </c>
      <c r="K207" s="205">
        <v>0.1191</v>
      </c>
      <c r="L207" s="495">
        <v>1500</v>
      </c>
      <c r="M207" s="495">
        <f t="shared" ref="M207:M224" si="12">+L207*K207</f>
        <v>178.65</v>
      </c>
      <c r="N207" s="328"/>
    </row>
    <row r="208" spans="1:15" x14ac:dyDescent="0.2">
      <c r="A208" s="14">
        <f t="shared" si="9"/>
        <v>32</v>
      </c>
      <c r="B208" s="526"/>
      <c r="D208" s="14" t="s">
        <v>335</v>
      </c>
      <c r="E208" s="15">
        <v>33732</v>
      </c>
      <c r="F208" s="198">
        <v>9.4600000000000004E-2</v>
      </c>
      <c r="G208" s="527">
        <v>2023</v>
      </c>
      <c r="H208" s="495">
        <v>2500</v>
      </c>
      <c r="I208" s="492">
        <v>2500</v>
      </c>
      <c r="J208" s="497">
        <v>100</v>
      </c>
      <c r="K208" s="205">
        <v>9.5100000000000004E-2</v>
      </c>
      <c r="L208" s="495">
        <v>2500</v>
      </c>
      <c r="M208" s="495">
        <f t="shared" si="12"/>
        <v>237.75</v>
      </c>
    </row>
    <row r="209" spans="1:14" x14ac:dyDescent="0.2">
      <c r="A209" s="14">
        <f t="shared" si="9"/>
        <v>33</v>
      </c>
      <c r="B209" s="526"/>
      <c r="C209" s="201"/>
      <c r="D209" s="14" t="s">
        <v>85</v>
      </c>
      <c r="E209" s="15">
        <v>36385</v>
      </c>
      <c r="F209" s="198">
        <v>6.8000000000000005E-2</v>
      </c>
      <c r="G209" s="14">
        <v>2019</v>
      </c>
      <c r="H209" s="492">
        <v>4500</v>
      </c>
      <c r="I209" s="492">
        <v>4500</v>
      </c>
      <c r="J209" s="497">
        <v>100</v>
      </c>
      <c r="K209" s="198">
        <v>6.8500000000000005E-2</v>
      </c>
      <c r="L209" s="495">
        <v>4500</v>
      </c>
      <c r="M209" s="495">
        <f t="shared" si="12"/>
        <v>308.25</v>
      </c>
    </row>
    <row r="210" spans="1:14" x14ac:dyDescent="0.2">
      <c r="A210" s="14">
        <f t="shared" si="9"/>
        <v>34</v>
      </c>
      <c r="B210" s="526"/>
      <c r="C210" s="201"/>
      <c r="D210" s="14" t="s">
        <v>336</v>
      </c>
      <c r="E210" s="15">
        <v>37582</v>
      </c>
      <c r="F210" s="198">
        <v>6.1600000000000002E-2</v>
      </c>
      <c r="G210" s="14">
        <v>2017</v>
      </c>
      <c r="H210" s="492">
        <v>0</v>
      </c>
      <c r="I210" s="492">
        <v>0</v>
      </c>
      <c r="J210" s="497">
        <v>100</v>
      </c>
      <c r="K210" s="198">
        <v>6.2100000000000002E-2</v>
      </c>
      <c r="L210" s="495">
        <v>0</v>
      </c>
      <c r="M210" s="551">
        <v>0</v>
      </c>
    </row>
    <row r="211" spans="1:14" x14ac:dyDescent="0.2">
      <c r="A211" s="14">
        <f t="shared" si="9"/>
        <v>35</v>
      </c>
      <c r="B211" s="526"/>
      <c r="C211" s="201"/>
      <c r="D211" s="14" t="s">
        <v>337</v>
      </c>
      <c r="E211" s="15">
        <v>38009</v>
      </c>
      <c r="F211" s="198">
        <v>5.4199999999999998E-2</v>
      </c>
      <c r="G211" s="14">
        <v>2019</v>
      </c>
      <c r="H211" s="492">
        <v>1000</v>
      </c>
      <c r="I211" s="492">
        <v>1000</v>
      </c>
      <c r="J211" s="497">
        <v>100</v>
      </c>
      <c r="K211" s="198">
        <v>5.4699999999999999E-2</v>
      </c>
      <c r="L211" s="495">
        <v>1000</v>
      </c>
      <c r="M211" s="495">
        <f t="shared" si="12"/>
        <v>54.699999999999996</v>
      </c>
    </row>
    <row r="212" spans="1:14" x14ac:dyDescent="0.2">
      <c r="A212" s="14">
        <f t="shared" si="9"/>
        <v>36</v>
      </c>
      <c r="B212" s="526"/>
      <c r="C212" s="201"/>
      <c r="D212" s="14" t="s">
        <v>339</v>
      </c>
      <c r="E212" s="15">
        <v>38677</v>
      </c>
      <c r="F212" s="198">
        <v>5.1799999999999999E-2</v>
      </c>
      <c r="G212" s="14">
        <v>2035</v>
      </c>
      <c r="H212" s="495">
        <v>4300</v>
      </c>
      <c r="I212" s="492">
        <v>4300</v>
      </c>
      <c r="J212" s="497">
        <v>100</v>
      </c>
      <c r="K212" s="198">
        <v>5.2299999999999999E-2</v>
      </c>
      <c r="L212" s="495">
        <v>4300</v>
      </c>
      <c r="M212" s="495">
        <f t="shared" si="12"/>
        <v>224.89</v>
      </c>
    </row>
    <row r="213" spans="1:14" x14ac:dyDescent="0.2">
      <c r="A213" s="14">
        <f t="shared" si="9"/>
        <v>37</v>
      </c>
      <c r="B213" s="526"/>
      <c r="C213" s="201"/>
      <c r="D213" s="14" t="s">
        <v>340</v>
      </c>
      <c r="E213" s="15">
        <v>39041</v>
      </c>
      <c r="F213" s="198">
        <v>5.0200000000000002E-2</v>
      </c>
      <c r="G213" s="14">
        <v>2036</v>
      </c>
      <c r="H213" s="495">
        <v>3000</v>
      </c>
      <c r="I213" s="492">
        <v>3000</v>
      </c>
      <c r="J213" s="497">
        <v>100</v>
      </c>
      <c r="K213" s="198">
        <v>5.0700000000000002E-2</v>
      </c>
      <c r="L213" s="495">
        <v>3000</v>
      </c>
      <c r="M213" s="495">
        <f t="shared" si="12"/>
        <v>152.1</v>
      </c>
    </row>
    <row r="214" spans="1:14" x14ac:dyDescent="0.2">
      <c r="A214" s="14">
        <f t="shared" si="9"/>
        <v>38</v>
      </c>
      <c r="B214" s="526"/>
      <c r="C214" s="201"/>
      <c r="D214" s="14" t="s">
        <v>2</v>
      </c>
      <c r="E214" s="15">
        <v>39594</v>
      </c>
      <c r="F214" s="198">
        <v>5.5599999999999997E-2</v>
      </c>
      <c r="G214" s="14">
        <v>2028</v>
      </c>
      <c r="H214" s="495">
        <v>860</v>
      </c>
      <c r="I214" s="492">
        <v>860</v>
      </c>
      <c r="J214" s="497">
        <v>100</v>
      </c>
      <c r="K214" s="198">
        <v>5.6099999999999997E-2</v>
      </c>
      <c r="L214" s="495">
        <v>860</v>
      </c>
      <c r="M214" s="495">
        <f t="shared" si="12"/>
        <v>48.245999999999995</v>
      </c>
    </row>
    <row r="215" spans="1:14" x14ac:dyDescent="0.2">
      <c r="A215" s="14">
        <f t="shared" si="9"/>
        <v>39</v>
      </c>
      <c r="B215" s="526"/>
      <c r="C215" s="201"/>
      <c r="D215" s="14" t="s">
        <v>366</v>
      </c>
      <c r="E215" s="15">
        <v>39594</v>
      </c>
      <c r="F215" s="198">
        <v>5.57E-2</v>
      </c>
      <c r="G215" s="14">
        <v>2038</v>
      </c>
      <c r="H215" s="492">
        <v>1290</v>
      </c>
      <c r="I215" s="492">
        <v>1290</v>
      </c>
      <c r="J215" s="497">
        <v>100</v>
      </c>
      <c r="K215" s="198">
        <v>5.62E-2</v>
      </c>
      <c r="L215" s="495">
        <v>1290</v>
      </c>
      <c r="M215" s="495">
        <f t="shared" si="12"/>
        <v>72.498000000000005</v>
      </c>
      <c r="N215" s="328"/>
    </row>
    <row r="216" spans="1:14" x14ac:dyDescent="0.2">
      <c r="A216" s="14">
        <f t="shared" si="9"/>
        <v>40</v>
      </c>
      <c r="B216" s="526"/>
      <c r="C216" s="201"/>
      <c r="D216" s="14" t="s">
        <v>367</v>
      </c>
      <c r="E216" s="15">
        <v>39878</v>
      </c>
      <c r="F216" s="198">
        <v>6.2299999999999994E-2</v>
      </c>
      <c r="G216" s="14">
        <v>2024</v>
      </c>
      <c r="H216" s="492">
        <v>2900</v>
      </c>
      <c r="I216" s="492">
        <v>2900</v>
      </c>
      <c r="J216" s="497">
        <v>100</v>
      </c>
      <c r="K216" s="198">
        <v>6.2799999999999995E-2</v>
      </c>
      <c r="L216" s="495">
        <v>2900</v>
      </c>
      <c r="M216" s="495">
        <f t="shared" si="12"/>
        <v>182.11999999999998</v>
      </c>
      <c r="N216" s="235"/>
    </row>
    <row r="217" spans="1:14" x14ac:dyDescent="0.2">
      <c r="A217" s="14">
        <f t="shared" si="9"/>
        <v>41</v>
      </c>
      <c r="B217" s="526"/>
      <c r="C217" s="201"/>
      <c r="D217" s="14" t="s">
        <v>3</v>
      </c>
      <c r="E217" s="15">
        <v>39878</v>
      </c>
      <c r="F217" s="198">
        <v>6.5000000000000002E-2</v>
      </c>
      <c r="G217" s="14">
        <v>2039</v>
      </c>
      <c r="H217" s="492">
        <v>3700</v>
      </c>
      <c r="I217" s="492">
        <v>3700</v>
      </c>
      <c r="J217" s="497">
        <v>100</v>
      </c>
      <c r="K217" s="198">
        <v>6.5500000000000003E-2</v>
      </c>
      <c r="L217" s="495">
        <v>3700</v>
      </c>
      <c r="M217" s="495">
        <f t="shared" si="12"/>
        <v>242.35000000000002</v>
      </c>
      <c r="N217" s="235"/>
    </row>
    <row r="218" spans="1:14" x14ac:dyDescent="0.2">
      <c r="A218" s="14">
        <f t="shared" si="9"/>
        <v>42</v>
      </c>
      <c r="B218" s="526"/>
      <c r="C218" s="201"/>
      <c r="D218" s="14" t="s">
        <v>495</v>
      </c>
      <c r="E218" s="15">
        <v>40840</v>
      </c>
      <c r="F218" s="198">
        <v>4.53E-2</v>
      </c>
      <c r="G218" s="14">
        <v>2041</v>
      </c>
      <c r="H218" s="492">
        <v>5000</v>
      </c>
      <c r="I218" s="492">
        <v>5000</v>
      </c>
      <c r="J218" s="497">
        <v>100</v>
      </c>
      <c r="K218" s="198">
        <v>4.58E-2</v>
      </c>
      <c r="L218" s="495">
        <v>5000</v>
      </c>
      <c r="M218" s="495">
        <f t="shared" si="12"/>
        <v>229</v>
      </c>
      <c r="N218" s="328"/>
    </row>
    <row r="219" spans="1:14" x14ac:dyDescent="0.2">
      <c r="A219" s="14">
        <f t="shared" si="9"/>
        <v>43</v>
      </c>
      <c r="B219" s="526"/>
      <c r="C219" s="201"/>
      <c r="D219" s="14" t="s">
        <v>496</v>
      </c>
      <c r="E219" s="15">
        <v>41214</v>
      </c>
      <c r="F219" s="198">
        <v>3.8399999999999997E-2</v>
      </c>
      <c r="G219" s="14">
        <v>2052</v>
      </c>
      <c r="H219" s="492">
        <v>4000</v>
      </c>
      <c r="I219" s="492">
        <v>4000</v>
      </c>
      <c r="J219" s="497">
        <v>100</v>
      </c>
      <c r="K219" s="198">
        <v>3.8899999999999997E-2</v>
      </c>
      <c r="L219" s="495">
        <v>4000</v>
      </c>
      <c r="M219" s="495">
        <f t="shared" si="12"/>
        <v>155.6</v>
      </c>
      <c r="N219" s="328"/>
    </row>
    <row r="220" spans="1:14" x14ac:dyDescent="0.2">
      <c r="A220" s="14">
        <f t="shared" si="9"/>
        <v>44</v>
      </c>
      <c r="B220" s="526"/>
      <c r="C220" s="201"/>
      <c r="D220" s="14" t="s">
        <v>497</v>
      </c>
      <c r="E220" s="15">
        <v>41579</v>
      </c>
      <c r="F220" s="198">
        <v>4.7109999999999999E-2</v>
      </c>
      <c r="G220" s="14">
        <v>2043</v>
      </c>
      <c r="H220" s="495">
        <v>9400</v>
      </c>
      <c r="I220" s="495">
        <v>9400</v>
      </c>
      <c r="J220" s="496">
        <v>100</v>
      </c>
      <c r="K220" s="206">
        <v>4.761E-2</v>
      </c>
      <c r="L220" s="495">
        <v>9400</v>
      </c>
      <c r="M220" s="495">
        <f t="shared" si="12"/>
        <v>447.53399999999999</v>
      </c>
      <c r="N220" s="328"/>
    </row>
    <row r="221" spans="1:14" x14ac:dyDescent="0.2">
      <c r="A221" s="14">
        <f t="shared" si="9"/>
        <v>45</v>
      </c>
      <c r="B221" s="526"/>
      <c r="C221" s="201"/>
      <c r="D221" s="14" t="s">
        <v>498</v>
      </c>
      <c r="E221" s="15">
        <v>41944</v>
      </c>
      <c r="F221" s="198">
        <v>4.07E-2</v>
      </c>
      <c r="G221" s="14">
        <v>2044</v>
      </c>
      <c r="H221" s="495">
        <v>7900</v>
      </c>
      <c r="I221" s="495">
        <v>7900</v>
      </c>
      <c r="J221" s="496">
        <v>100</v>
      </c>
      <c r="K221" s="206">
        <v>4.1200000000000001E-2</v>
      </c>
      <c r="L221" s="495">
        <v>7900</v>
      </c>
      <c r="M221" s="495">
        <f t="shared" si="12"/>
        <v>325.48</v>
      </c>
      <c r="N221" s="328"/>
    </row>
    <row r="222" spans="1:14" x14ac:dyDescent="0.2">
      <c r="A222" s="14">
        <f t="shared" si="9"/>
        <v>46</v>
      </c>
      <c r="B222" s="526"/>
      <c r="C222" s="201"/>
      <c r="D222" s="14" t="s">
        <v>593</v>
      </c>
      <c r="E222" s="15">
        <v>42309</v>
      </c>
      <c r="F222" s="198">
        <f>+K222-0.05%</f>
        <v>3.9509999999999997E-2</v>
      </c>
      <c r="G222" s="14">
        <v>2045</v>
      </c>
      <c r="H222" s="495">
        <v>750</v>
      </c>
      <c r="I222" s="495">
        <v>750</v>
      </c>
      <c r="J222" s="496">
        <v>100</v>
      </c>
      <c r="K222" s="206">
        <v>4.0009999999999997E-2</v>
      </c>
      <c r="L222" s="495">
        <v>750</v>
      </c>
      <c r="M222" s="495">
        <f t="shared" si="12"/>
        <v>30.007499999999997</v>
      </c>
      <c r="N222" s="328"/>
    </row>
    <row r="223" spans="1:14" x14ac:dyDescent="0.2">
      <c r="A223" s="14">
        <f t="shared" si="9"/>
        <v>47</v>
      </c>
      <c r="B223" s="526"/>
      <c r="C223" s="201"/>
      <c r="D223" s="14" t="s">
        <v>594</v>
      </c>
      <c r="E223" s="15">
        <v>42675</v>
      </c>
      <c r="F223" s="198">
        <f>+K223-0.05%</f>
        <v>3.7199999999999997E-2</v>
      </c>
      <c r="G223" s="14">
        <v>2056</v>
      </c>
      <c r="H223" s="495">
        <f>+H197</f>
        <v>5480</v>
      </c>
      <c r="I223" s="495">
        <f>+H223</f>
        <v>5480</v>
      </c>
      <c r="J223" s="496">
        <v>100</v>
      </c>
      <c r="K223" s="206">
        <v>3.7699999999999997E-2</v>
      </c>
      <c r="L223" s="495">
        <f>+I223</f>
        <v>5480</v>
      </c>
      <c r="M223" s="495">
        <f t="shared" si="12"/>
        <v>206.59599999999998</v>
      </c>
      <c r="N223" s="328"/>
    </row>
    <row r="224" spans="1:14" x14ac:dyDescent="0.2">
      <c r="A224" s="14">
        <f t="shared" si="9"/>
        <v>48</v>
      </c>
      <c r="B224" s="526"/>
      <c r="C224" s="201"/>
      <c r="D224" s="14" t="s">
        <v>595</v>
      </c>
      <c r="E224" s="15">
        <v>43040</v>
      </c>
      <c r="F224" s="198">
        <f>+K224-0.05%</f>
        <v>4.02E-2</v>
      </c>
      <c r="G224" s="14">
        <v>2057</v>
      </c>
      <c r="H224" s="493">
        <v>6990</v>
      </c>
      <c r="I224" s="492">
        <f>H224</f>
        <v>6990</v>
      </c>
      <c r="J224" s="496">
        <v>100</v>
      </c>
      <c r="K224" s="198">
        <v>4.07E-2</v>
      </c>
      <c r="L224" s="493">
        <f>H224</f>
        <v>6990</v>
      </c>
      <c r="M224" s="495">
        <f t="shared" si="12"/>
        <v>284.49299999999999</v>
      </c>
      <c r="N224" s="328"/>
    </row>
    <row r="225" spans="1:14" x14ac:dyDescent="0.2">
      <c r="A225" s="14">
        <f t="shared" si="9"/>
        <v>49</v>
      </c>
      <c r="B225" s="526"/>
      <c r="C225" s="201" t="s">
        <v>12</v>
      </c>
      <c r="D225" s="14"/>
      <c r="E225" s="15"/>
      <c r="F225" s="199"/>
      <c r="G225" s="15"/>
      <c r="H225" s="492">
        <f>SUM(H207:H224)</f>
        <v>65070</v>
      </c>
      <c r="I225" s="492"/>
      <c r="J225" s="200"/>
      <c r="K225" s="199"/>
      <c r="L225" s="492">
        <f>SUM(L207:L224)</f>
        <v>65070</v>
      </c>
      <c r="M225" s="576">
        <f>SUM(M207:M224)</f>
        <v>3380.2645000000002</v>
      </c>
      <c r="N225" s="206">
        <f>M225/L225</f>
        <v>5.1948125096050408E-2</v>
      </c>
    </row>
    <row r="226" spans="1:14" x14ac:dyDescent="0.2">
      <c r="A226" s="14">
        <f t="shared" si="9"/>
        <v>50</v>
      </c>
      <c r="B226" s="526"/>
      <c r="C226" s="201" t="s">
        <v>65</v>
      </c>
      <c r="D226" s="14"/>
      <c r="E226" s="15"/>
      <c r="F226" s="199"/>
      <c r="G226" s="15"/>
      <c r="H226" s="13"/>
      <c r="I226" s="13"/>
      <c r="J226" s="200"/>
      <c r="K226" s="199"/>
      <c r="L226" s="493">
        <f>+L198</f>
        <v>61980</v>
      </c>
      <c r="M226" s="493">
        <f>+M198</f>
        <v>3337.9614999999999</v>
      </c>
      <c r="N226" s="17">
        <f>+N198</f>
        <v>5.3855461439173927E-2</v>
      </c>
    </row>
    <row r="227" spans="1:14" x14ac:dyDescent="0.2">
      <c r="A227" s="14">
        <f t="shared" si="9"/>
        <v>51</v>
      </c>
      <c r="B227" s="526"/>
      <c r="C227" s="201" t="s">
        <v>12</v>
      </c>
      <c r="D227" s="14"/>
      <c r="E227" s="15"/>
      <c r="F227" s="199"/>
      <c r="G227" s="15"/>
      <c r="H227" s="13"/>
      <c r="I227" s="13"/>
      <c r="J227" s="200"/>
      <c r="K227" s="199"/>
      <c r="L227" s="493">
        <f>L225+L226</f>
        <v>127050</v>
      </c>
      <c r="M227" s="493">
        <f>M225+M226</f>
        <v>6718.2260000000006</v>
      </c>
      <c r="N227" s="338"/>
    </row>
    <row r="228" spans="1:14" ht="13.5" thickBot="1" x14ac:dyDescent="0.25">
      <c r="A228" s="14">
        <f t="shared" si="9"/>
        <v>52</v>
      </c>
      <c r="B228" s="526"/>
      <c r="C228" s="201" t="s">
        <v>23</v>
      </c>
      <c r="D228" s="14"/>
      <c r="E228" s="15"/>
      <c r="F228" s="199"/>
      <c r="G228" s="15"/>
      <c r="H228" s="13"/>
      <c r="I228" s="13"/>
      <c r="J228" s="200"/>
      <c r="K228" s="199"/>
      <c r="L228" s="494">
        <f>L227/2</f>
        <v>63525</v>
      </c>
      <c r="M228" s="494">
        <f>M227/2</f>
        <v>3359.1130000000003</v>
      </c>
      <c r="N228" s="18">
        <f>M228/L228</f>
        <v>5.2878598976780801E-2</v>
      </c>
    </row>
    <row r="229" spans="1:14" ht="13.5" thickTop="1" x14ac:dyDescent="0.2"/>
  </sheetData>
  <customSheetViews>
    <customSheetView guid="{275E5119-9E8C-43ED-ACD2-DF40CF10B219}" scale="75" topLeftCell="A34">
      <selection activeCell="O88" sqref="O88"/>
      <rowBreaks count="1" manualBreakCount="1">
        <brk id="45" max="1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1"/>
      <headerFooter alignWithMargins="0"/>
    </customSheetView>
    <customSheetView guid="{D346ECD1-ED60-4F74-8B02-572F89E41ACB}" scale="75" showPageBreaks="1" showRuler="0" topLeftCell="A34">
      <selection activeCell="O88" sqref="O88"/>
      <rowBreaks count="2" manualBreakCount="2">
        <brk id="45" max="13" man="1"/>
        <brk id="101" max="1638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2"/>
      <headerFooter alignWithMargins="0"/>
    </customSheetView>
  </customSheetViews>
  <phoneticPr fontId="0" type="noConversion"/>
  <printOptions horizontalCentered="1"/>
  <pageMargins left="0.5" right="0.5" top="0.75" bottom="0.75" header="0.26" footer="0.5"/>
  <pageSetup scale="66" fitToHeight="6" orientation="landscape" r:id="rId3"/>
  <headerFooter alignWithMargins="0">
    <oddHeader>&amp;RUndertaking 17 - Page 527, Lines 15-17, Attachment</oddHeader>
  </headerFooter>
  <rowBreaks count="3" manualBreakCount="3">
    <brk id="55" max="14" man="1"/>
    <brk id="111" max="14" man="1"/>
    <brk id="169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pageSetUpPr fitToPage="1"/>
  </sheetPr>
  <dimension ref="A1:U43"/>
  <sheetViews>
    <sheetView view="pageBreakPreview" topLeftCell="B1" zoomScale="85" zoomScaleNormal="85" zoomScaleSheetLayoutView="85" workbookViewId="0">
      <selection activeCell="U38" sqref="U38"/>
    </sheetView>
  </sheetViews>
  <sheetFormatPr defaultColWidth="7.5703125" defaultRowHeight="15" x14ac:dyDescent="0.2"/>
  <cols>
    <col min="1" max="1" width="6.140625" style="23" bestFit="1" customWidth="1"/>
    <col min="2" max="2" width="2.28515625" style="23" customWidth="1"/>
    <col min="3" max="3" width="51.7109375" style="23" customWidth="1"/>
    <col min="4" max="4" width="2.28515625" style="23" customWidth="1"/>
    <col min="5" max="5" width="34.5703125" style="26" bestFit="1" customWidth="1"/>
    <col min="6" max="6" width="2.28515625" style="23" customWidth="1"/>
    <col min="7" max="8" width="12.7109375" style="23" customWidth="1"/>
    <col min="9" max="9" width="2.28515625" style="23" customWidth="1"/>
    <col min="10" max="11" width="12.7109375" style="23" customWidth="1"/>
    <col min="12" max="12" width="2.28515625" style="23" customWidth="1"/>
    <col min="13" max="14" width="12.7109375" style="23" customWidth="1"/>
    <col min="15" max="15" width="2.28515625" style="23" customWidth="1"/>
    <col min="16" max="16" width="12.7109375" style="23" customWidth="1"/>
    <col min="17" max="17" width="2.28515625" style="23" customWidth="1"/>
    <col min="18" max="18" width="12.7109375" style="23" customWidth="1"/>
    <col min="19" max="19" width="2.28515625" style="23" customWidth="1"/>
    <col min="20" max="16384" width="7.5703125" style="23"/>
  </cols>
  <sheetData>
    <row r="1" spans="1:19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48" t="s">
        <v>564</v>
      </c>
    </row>
    <row r="2" spans="1:19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8" t="s">
        <v>888</v>
      </c>
    </row>
    <row r="3" spans="1:19" ht="15.75" x14ac:dyDescent="0.25">
      <c r="A3" s="29" t="s">
        <v>185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4"/>
    </row>
    <row r="4" spans="1:19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2"/>
    </row>
    <row r="5" spans="1:19" ht="15.75" x14ac:dyDescent="0.25">
      <c r="A5" s="21"/>
      <c r="B5" s="22"/>
      <c r="C5" s="22"/>
      <c r="D5" s="22"/>
      <c r="F5" s="22"/>
      <c r="N5" s="11"/>
      <c r="O5" s="11"/>
      <c r="P5" s="11"/>
      <c r="Q5" s="11"/>
      <c r="R5" s="11"/>
    </row>
    <row r="6" spans="1:19" ht="15.75" x14ac:dyDescent="0.25">
      <c r="A6" s="24" t="s">
        <v>19</v>
      </c>
      <c r="B6" s="24"/>
      <c r="C6" s="24"/>
      <c r="D6" s="24"/>
      <c r="E6" s="24" t="s">
        <v>20</v>
      </c>
      <c r="F6" s="24"/>
      <c r="G6" s="8" t="s">
        <v>11</v>
      </c>
      <c r="H6" s="8" t="s">
        <v>4</v>
      </c>
      <c r="I6" s="8"/>
      <c r="J6" s="543" t="s">
        <v>11</v>
      </c>
      <c r="K6" s="543" t="s">
        <v>4</v>
      </c>
      <c r="L6" s="8"/>
      <c r="M6" s="543" t="s">
        <v>11</v>
      </c>
      <c r="N6" s="543" t="s">
        <v>4</v>
      </c>
      <c r="O6" s="542"/>
      <c r="P6" s="607" t="s">
        <v>293</v>
      </c>
      <c r="Q6" s="607"/>
      <c r="R6" s="607"/>
      <c r="S6" s="8"/>
    </row>
    <row r="7" spans="1:19" ht="15.75" x14ac:dyDescent="0.25">
      <c r="A7" s="25" t="s">
        <v>21</v>
      </c>
      <c r="B7" s="24"/>
      <c r="C7" s="25" t="s">
        <v>149</v>
      </c>
      <c r="D7" s="24"/>
      <c r="E7" s="25" t="s">
        <v>22</v>
      </c>
      <c r="F7" s="24"/>
      <c r="G7" s="10">
        <v>2013</v>
      </c>
      <c r="H7" s="10">
        <v>2013</v>
      </c>
      <c r="I7" s="8"/>
      <c r="J7" s="10">
        <v>2014</v>
      </c>
      <c r="K7" s="10">
        <v>2014</v>
      </c>
      <c r="L7" s="9"/>
      <c r="M7" s="268">
        <v>2015</v>
      </c>
      <c r="N7" s="162">
        <v>2015</v>
      </c>
      <c r="O7" s="160"/>
      <c r="P7" s="162">
        <v>2016</v>
      </c>
      <c r="Q7" s="8"/>
      <c r="R7" s="162">
        <v>2017</v>
      </c>
      <c r="S7" s="8"/>
    </row>
    <row r="9" spans="1:19" ht="15.75" x14ac:dyDescent="0.25">
      <c r="A9" s="26">
        <v>1</v>
      </c>
      <c r="C9" s="27" t="s">
        <v>66</v>
      </c>
      <c r="J9" s="52"/>
    </row>
    <row r="10" spans="1:19" ht="15.75" x14ac:dyDescent="0.25">
      <c r="A10" s="26">
        <f t="shared" ref="A10:A15" si="0">A9+1</f>
        <v>2</v>
      </c>
      <c r="C10" s="27" t="s">
        <v>333</v>
      </c>
      <c r="J10" s="195"/>
    </row>
    <row r="11" spans="1:19" ht="15" customHeight="1" x14ac:dyDescent="0.25">
      <c r="A11" s="327">
        <f t="shared" si="0"/>
        <v>3</v>
      </c>
      <c r="C11" s="82"/>
      <c r="G11" s="73"/>
      <c r="H11" s="228"/>
      <c r="I11" s="73"/>
      <c r="J11" s="236"/>
      <c r="K11" s="73"/>
      <c r="L11" s="73"/>
      <c r="M11" s="73"/>
      <c r="N11" s="73"/>
      <c r="O11" s="73"/>
      <c r="P11" s="73"/>
      <c r="Q11" s="73"/>
      <c r="R11" s="73"/>
    </row>
    <row r="12" spans="1:19" ht="15" customHeight="1" x14ac:dyDescent="0.25">
      <c r="A12" s="327">
        <f t="shared" si="0"/>
        <v>4</v>
      </c>
      <c r="C12" s="191" t="s">
        <v>386</v>
      </c>
      <c r="J12" s="52"/>
    </row>
    <row r="13" spans="1:19" ht="15" customHeight="1" x14ac:dyDescent="0.2">
      <c r="A13" s="327">
        <f t="shared" si="0"/>
        <v>5</v>
      </c>
      <c r="C13" s="23" t="s">
        <v>381</v>
      </c>
      <c r="E13" s="327" t="s">
        <v>501</v>
      </c>
      <c r="G13" s="94">
        <f>G26</f>
        <v>537</v>
      </c>
      <c r="H13" s="97">
        <f>H26</f>
        <v>537</v>
      </c>
      <c r="I13" s="96"/>
      <c r="J13" s="97">
        <f>J26</f>
        <v>537</v>
      </c>
      <c r="K13" s="97">
        <f>K26</f>
        <v>537</v>
      </c>
      <c r="L13" s="97"/>
      <c r="M13" s="97">
        <f>M26</f>
        <v>537</v>
      </c>
      <c r="N13" s="97">
        <f>N26</f>
        <v>537</v>
      </c>
      <c r="O13" s="97"/>
      <c r="P13" s="97">
        <f>P26</f>
        <v>537</v>
      </c>
      <c r="Q13" s="97"/>
      <c r="R13" s="97">
        <f>R26</f>
        <v>537</v>
      </c>
    </row>
    <row r="14" spans="1:19" ht="15" customHeight="1" x14ac:dyDescent="0.2">
      <c r="A14" s="327">
        <f t="shared" si="0"/>
        <v>6</v>
      </c>
      <c r="C14" s="23" t="s">
        <v>380</v>
      </c>
      <c r="E14" s="327" t="s">
        <v>500</v>
      </c>
      <c r="G14" s="94">
        <f>G34</f>
        <v>152</v>
      </c>
      <c r="H14" s="97">
        <f>H34</f>
        <v>152</v>
      </c>
      <c r="I14" s="96"/>
      <c r="J14" s="97">
        <f>J34</f>
        <v>145</v>
      </c>
      <c r="K14" s="97">
        <f>K34</f>
        <v>148</v>
      </c>
      <c r="L14" s="97"/>
      <c r="M14" s="97">
        <f>M34</f>
        <v>137</v>
      </c>
      <c r="N14" s="97">
        <f>N34</f>
        <v>144</v>
      </c>
      <c r="O14" s="97"/>
      <c r="P14" s="97">
        <f>P34</f>
        <v>140</v>
      </c>
      <c r="Q14" s="97"/>
      <c r="R14" s="97">
        <f>R34</f>
        <v>136</v>
      </c>
    </row>
    <row r="15" spans="1:19" ht="15" customHeight="1" x14ac:dyDescent="0.2">
      <c r="A15" s="327">
        <f t="shared" si="0"/>
        <v>7</v>
      </c>
      <c r="C15" s="87" t="s">
        <v>382</v>
      </c>
      <c r="E15" s="327" t="s">
        <v>391</v>
      </c>
      <c r="G15" s="94">
        <f>+G42</f>
        <v>-524</v>
      </c>
      <c r="H15" s="97">
        <f>+H42</f>
        <v>-552.16666666666674</v>
      </c>
      <c r="I15" s="96"/>
      <c r="J15" s="97">
        <f>+J42</f>
        <v>-706</v>
      </c>
      <c r="K15" s="97">
        <f>+K42</f>
        <v>-776.50000000000023</v>
      </c>
      <c r="L15" s="97"/>
      <c r="M15" s="97">
        <f>+M42</f>
        <v>-228</v>
      </c>
      <c r="N15" s="97">
        <f>+N42</f>
        <v>-258.83333333333354</v>
      </c>
      <c r="O15" s="97"/>
      <c r="P15" s="97">
        <f>+P42</f>
        <v>-17.25</v>
      </c>
      <c r="Q15" s="97"/>
      <c r="R15" s="97">
        <f>+R42</f>
        <v>-5.75</v>
      </c>
    </row>
    <row r="16" spans="1:19" ht="5.25" customHeight="1" x14ac:dyDescent="0.2">
      <c r="A16" s="26"/>
      <c r="C16" s="87"/>
      <c r="G16" s="94"/>
      <c r="H16" s="97"/>
      <c r="I16" s="96"/>
      <c r="J16" s="97"/>
      <c r="K16" s="97"/>
      <c r="L16" s="97"/>
      <c r="M16" s="97"/>
      <c r="N16" s="97"/>
      <c r="O16" s="97"/>
      <c r="P16" s="97"/>
      <c r="Q16" s="97"/>
      <c r="R16" s="97"/>
    </row>
    <row r="17" spans="1:21" ht="20.25" customHeight="1" thickBot="1" x14ac:dyDescent="0.3">
      <c r="A17" s="26">
        <f>A15+1</f>
        <v>8</v>
      </c>
      <c r="C17" s="192" t="s">
        <v>385</v>
      </c>
      <c r="E17" s="327" t="s">
        <v>499</v>
      </c>
      <c r="G17" s="88">
        <f>SUM(G13:G15)</f>
        <v>165</v>
      </c>
      <c r="H17" s="229">
        <f>SUM(H13:H15)</f>
        <v>136.83333333333326</v>
      </c>
      <c r="I17" s="96"/>
      <c r="J17" s="229">
        <f>SUM(J13:J15)</f>
        <v>-24</v>
      </c>
      <c r="K17" s="229">
        <f>SUM(K13:K15)</f>
        <v>-91.500000000000227</v>
      </c>
      <c r="L17" s="97"/>
      <c r="M17" s="229">
        <f>SUM(M13:M15)</f>
        <v>446</v>
      </c>
      <c r="N17" s="229">
        <f>SUM(N13:N15)</f>
        <v>422.16666666666646</v>
      </c>
      <c r="O17" s="97"/>
      <c r="P17" s="229">
        <f>SUM(P13:P15)</f>
        <v>659.75</v>
      </c>
      <c r="Q17" s="97"/>
      <c r="R17" s="229">
        <f>SUM(R13:R15)</f>
        <v>667.25</v>
      </c>
    </row>
    <row r="18" spans="1:21" ht="15" customHeight="1" thickTop="1" x14ac:dyDescent="0.35">
      <c r="A18" s="327">
        <f>A17+1</f>
        <v>9</v>
      </c>
      <c r="C18" s="99"/>
      <c r="G18" s="73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21" ht="15" customHeight="1" x14ac:dyDescent="0.35">
      <c r="A19" s="327">
        <f t="shared" ref="A19:A24" si="1">A18+1</f>
        <v>10</v>
      </c>
      <c r="C19" s="99"/>
      <c r="G19" s="73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21" ht="15.75" x14ac:dyDescent="0.25">
      <c r="A20" s="327">
        <f t="shared" si="1"/>
        <v>11</v>
      </c>
      <c r="C20" s="27" t="s">
        <v>381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1:21" x14ac:dyDescent="0.2">
      <c r="A21" s="327">
        <f t="shared" si="1"/>
        <v>12</v>
      </c>
      <c r="C21" s="326" t="s">
        <v>443</v>
      </c>
      <c r="G21" s="96">
        <v>537</v>
      </c>
      <c r="H21" s="96">
        <v>537</v>
      </c>
      <c r="I21" s="96"/>
      <c r="J21" s="272">
        <f>+H24</f>
        <v>537</v>
      </c>
      <c r="K21" s="96">
        <v>537</v>
      </c>
      <c r="L21" s="96"/>
      <c r="M21" s="96">
        <f>+J24</f>
        <v>537</v>
      </c>
      <c r="N21" s="96">
        <v>537</v>
      </c>
      <c r="O21" s="96"/>
      <c r="P21" s="96">
        <f>+N24</f>
        <v>537</v>
      </c>
      <c r="Q21" s="96"/>
      <c r="R21" s="96">
        <f>+P24</f>
        <v>537</v>
      </c>
    </row>
    <row r="22" spans="1:21" x14ac:dyDescent="0.2">
      <c r="A22" s="327">
        <f>A21+1</f>
        <v>13</v>
      </c>
      <c r="C22" s="163" t="s">
        <v>387</v>
      </c>
      <c r="G22" s="96">
        <f>-G23</f>
        <v>28</v>
      </c>
      <c r="H22" s="272">
        <f>-H23</f>
        <v>37</v>
      </c>
      <c r="I22" s="96"/>
      <c r="J22" s="272">
        <f>-J23</f>
        <v>30</v>
      </c>
      <c r="K22" s="272">
        <f>-K23</f>
        <v>37</v>
      </c>
      <c r="L22" s="96"/>
      <c r="M22" s="272">
        <v>34</v>
      </c>
      <c r="N22" s="272">
        <f>-N23</f>
        <v>37</v>
      </c>
      <c r="O22" s="96"/>
      <c r="P22" s="272">
        <f>-P23</f>
        <v>37</v>
      </c>
      <c r="Q22" s="96"/>
      <c r="R22" s="272">
        <f>-R23</f>
        <v>37</v>
      </c>
    </row>
    <row r="23" spans="1:21" x14ac:dyDescent="0.2">
      <c r="A23" s="327">
        <f t="shared" si="1"/>
        <v>14</v>
      </c>
      <c r="C23" s="163" t="s">
        <v>388</v>
      </c>
      <c r="G23" s="45">
        <v>-28</v>
      </c>
      <c r="H23" s="70">
        <v>-37</v>
      </c>
      <c r="I23" s="57"/>
      <c r="J23" s="70">
        <v>-30</v>
      </c>
      <c r="K23" s="70">
        <v>-37</v>
      </c>
      <c r="L23" s="66"/>
      <c r="M23" s="70">
        <v>-34</v>
      </c>
      <c r="N23" s="70">
        <v>-37</v>
      </c>
      <c r="O23" s="66"/>
      <c r="P23" s="70">
        <v>-37</v>
      </c>
      <c r="Q23" s="66"/>
      <c r="R23" s="70">
        <v>-37</v>
      </c>
    </row>
    <row r="24" spans="1:21" x14ac:dyDescent="0.2">
      <c r="A24" s="327">
        <f t="shared" si="1"/>
        <v>15</v>
      </c>
      <c r="C24" s="190" t="s">
        <v>473</v>
      </c>
      <c r="G24" s="93">
        <f>SUM(G21:G23)</f>
        <v>537</v>
      </c>
      <c r="H24" s="98">
        <f>SUM(H21:H23)</f>
        <v>537</v>
      </c>
      <c r="I24" s="96"/>
      <c r="J24" s="98">
        <f>SUM(J21:J23)</f>
        <v>537</v>
      </c>
      <c r="K24" s="98">
        <f>SUM(K21:K23)</f>
        <v>537</v>
      </c>
      <c r="L24" s="97"/>
      <c r="M24" s="98">
        <f>SUM(M21:M23)</f>
        <v>537</v>
      </c>
      <c r="N24" s="98">
        <f>SUM(N21:N23)</f>
        <v>537</v>
      </c>
      <c r="O24" s="97"/>
      <c r="P24" s="98">
        <f>SUM(P21:P23)</f>
        <v>537</v>
      </c>
      <c r="Q24" s="97"/>
      <c r="R24" s="98">
        <f>SUM(R21:R23)</f>
        <v>537</v>
      </c>
    </row>
    <row r="25" spans="1:21" ht="5.25" customHeight="1" x14ac:dyDescent="0.2">
      <c r="A25" s="26"/>
      <c r="C25" s="87"/>
      <c r="G25" s="73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21" ht="15.75" thickBot="1" x14ac:dyDescent="0.25">
      <c r="A26" s="327">
        <f>A24+1</f>
        <v>16</v>
      </c>
      <c r="C26" s="190" t="s">
        <v>485</v>
      </c>
      <c r="E26" s="327" t="s">
        <v>502</v>
      </c>
      <c r="G26" s="100">
        <f>(G21+G24)/2</f>
        <v>537</v>
      </c>
      <c r="H26" s="226">
        <f>(H21+H24)/2</f>
        <v>537</v>
      </c>
      <c r="I26" s="96"/>
      <c r="J26" s="226">
        <f>(J21+J24)/2</f>
        <v>537</v>
      </c>
      <c r="K26" s="226">
        <f>(K21+K24)/2</f>
        <v>537</v>
      </c>
      <c r="L26" s="97"/>
      <c r="M26" s="226">
        <f>(M21+M24)/2</f>
        <v>537</v>
      </c>
      <c r="N26" s="226">
        <f>(N21+N24)/2</f>
        <v>537</v>
      </c>
      <c r="O26" s="97"/>
      <c r="P26" s="226">
        <f>(P21+P24)/2</f>
        <v>537</v>
      </c>
      <c r="Q26" s="97"/>
      <c r="R26" s="226">
        <f>(R21+R24)/2</f>
        <v>537</v>
      </c>
    </row>
    <row r="27" spans="1:21" ht="15.75" thickTop="1" x14ac:dyDescent="0.2">
      <c r="A27" s="327">
        <f>A26+1</f>
        <v>17</v>
      </c>
      <c r="C27" s="87"/>
      <c r="G27" s="73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21" ht="15" customHeight="1" x14ac:dyDescent="0.25">
      <c r="A28" s="327">
        <f>A27+1</f>
        <v>18</v>
      </c>
      <c r="C28" s="27" t="s">
        <v>380</v>
      </c>
      <c r="G28" s="73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</row>
    <row r="29" spans="1:21" ht="15" customHeight="1" x14ac:dyDescent="0.2">
      <c r="A29" s="327">
        <f>A28+1</f>
        <v>19</v>
      </c>
      <c r="C29" s="326" t="s">
        <v>443</v>
      </c>
      <c r="G29" s="96">
        <f>+H29</f>
        <v>154</v>
      </c>
      <c r="H29" s="96">
        <v>154</v>
      </c>
      <c r="I29" s="96"/>
      <c r="J29" s="96">
        <f>+G32</f>
        <v>150</v>
      </c>
      <c r="K29" s="96">
        <v>150</v>
      </c>
      <c r="L29" s="96"/>
      <c r="M29" s="96">
        <f>+J32</f>
        <v>140</v>
      </c>
      <c r="N29" s="96">
        <v>146</v>
      </c>
      <c r="O29" s="96"/>
      <c r="P29" s="96">
        <f>+N32</f>
        <v>142</v>
      </c>
      <c r="Q29" s="96"/>
      <c r="R29" s="96">
        <f>+P32</f>
        <v>138</v>
      </c>
    </row>
    <row r="30" spans="1:21" ht="15" customHeight="1" x14ac:dyDescent="0.2">
      <c r="A30" s="327">
        <f>A29+1</f>
        <v>20</v>
      </c>
      <c r="C30" s="163" t="s">
        <v>387</v>
      </c>
      <c r="G30" s="96">
        <v>687</v>
      </c>
      <c r="H30" s="96">
        <v>686.755</v>
      </c>
      <c r="I30" s="96"/>
      <c r="J30" s="96">
        <v>435</v>
      </c>
      <c r="K30" s="96">
        <v>602</v>
      </c>
      <c r="L30" s="96"/>
      <c r="M30" s="96">
        <v>465</v>
      </c>
      <c r="N30" s="272">
        <v>602</v>
      </c>
      <c r="O30" s="272"/>
      <c r="P30" s="272">
        <v>505</v>
      </c>
      <c r="Q30" s="272"/>
      <c r="R30" s="272">
        <v>505</v>
      </c>
    </row>
    <row r="31" spans="1:21" x14ac:dyDescent="0.2">
      <c r="A31" s="26">
        <f t="shared" ref="A31:A40" si="2">A30+1</f>
        <v>21</v>
      </c>
      <c r="C31" s="163" t="s">
        <v>388</v>
      </c>
      <c r="G31" s="70">
        <f>-691</f>
        <v>-691</v>
      </c>
      <c r="H31" s="70">
        <v>-690.755</v>
      </c>
      <c r="I31" s="57"/>
      <c r="J31" s="70">
        <v>-445</v>
      </c>
      <c r="K31" s="70">
        <v>-606</v>
      </c>
      <c r="L31" s="66"/>
      <c r="M31" s="70">
        <f>-471</f>
        <v>-471</v>
      </c>
      <c r="N31" s="70">
        <v>-606</v>
      </c>
      <c r="O31" s="66"/>
      <c r="P31" s="70">
        <v>-509</v>
      </c>
      <c r="Q31" s="66"/>
      <c r="R31" s="70">
        <f>P31</f>
        <v>-509</v>
      </c>
      <c r="U31" s="270"/>
    </row>
    <row r="32" spans="1:21" x14ac:dyDescent="0.2">
      <c r="A32" s="26">
        <f t="shared" si="2"/>
        <v>22</v>
      </c>
      <c r="C32" s="190" t="s">
        <v>473</v>
      </c>
      <c r="G32" s="93">
        <f>G31+G30+G29</f>
        <v>150</v>
      </c>
      <c r="H32" s="98">
        <f>H31+H30+H29</f>
        <v>150</v>
      </c>
      <c r="I32" s="96"/>
      <c r="J32" s="98">
        <f>J31+J30+J29</f>
        <v>140</v>
      </c>
      <c r="K32" s="98">
        <f>K31+K30+K29</f>
        <v>146</v>
      </c>
      <c r="L32" s="97"/>
      <c r="M32" s="98">
        <f>M31+M30+M29</f>
        <v>134</v>
      </c>
      <c r="N32" s="98">
        <f>N31+N30+N29</f>
        <v>142</v>
      </c>
      <c r="O32" s="97"/>
      <c r="P32" s="98">
        <f>P31+P30+P29</f>
        <v>138</v>
      </c>
      <c r="Q32" s="97"/>
      <c r="R32" s="98">
        <f>R31+R30+R29</f>
        <v>134</v>
      </c>
    </row>
    <row r="33" spans="1:18" ht="5.25" customHeight="1" x14ac:dyDescent="0.2">
      <c r="A33" s="26"/>
      <c r="C33" s="84"/>
      <c r="G33" s="73"/>
      <c r="H33" s="96"/>
      <c r="I33" s="96"/>
      <c r="J33" s="96"/>
      <c r="K33" s="96"/>
      <c r="L33" s="96"/>
      <c r="M33" s="96"/>
      <c r="N33" s="272"/>
      <c r="O33" s="272"/>
      <c r="P33" s="272"/>
      <c r="Q33" s="272"/>
      <c r="R33" s="272"/>
    </row>
    <row r="34" spans="1:18" ht="15.75" thickBot="1" x14ac:dyDescent="0.25">
      <c r="A34" s="26">
        <f>+A32+1</f>
        <v>23</v>
      </c>
      <c r="C34" s="190" t="s">
        <v>485</v>
      </c>
      <c r="E34" s="327" t="s">
        <v>503</v>
      </c>
      <c r="G34" s="100">
        <f>(G32+G29)/2</f>
        <v>152</v>
      </c>
      <c r="H34" s="226">
        <f>(H32+H29)/2</f>
        <v>152</v>
      </c>
      <c r="I34" s="96"/>
      <c r="J34" s="226">
        <f>(J32+J29)/2</f>
        <v>145</v>
      </c>
      <c r="K34" s="226">
        <f>(K32+K29)/2</f>
        <v>148</v>
      </c>
      <c r="L34" s="97"/>
      <c r="M34" s="226">
        <f>(M32+M29)/2</f>
        <v>137</v>
      </c>
      <c r="N34" s="226">
        <f>(N32+N29)/2</f>
        <v>144</v>
      </c>
      <c r="O34" s="97"/>
      <c r="P34" s="226">
        <f>(P32+P29)/2</f>
        <v>140</v>
      </c>
      <c r="Q34" s="97"/>
      <c r="R34" s="226">
        <f>(R32+R29)/2</f>
        <v>136</v>
      </c>
    </row>
    <row r="35" spans="1:18" ht="15.75" thickTop="1" x14ac:dyDescent="0.2">
      <c r="A35" s="26">
        <f t="shared" si="2"/>
        <v>24</v>
      </c>
      <c r="C35" s="84"/>
      <c r="G35" s="73"/>
      <c r="H35" s="96"/>
      <c r="I35" s="96"/>
      <c r="J35" s="96"/>
      <c r="K35" s="96"/>
      <c r="L35" s="96"/>
      <c r="M35" s="96"/>
      <c r="N35" s="272"/>
      <c r="O35" s="272"/>
      <c r="P35" s="272"/>
      <c r="Q35" s="272"/>
      <c r="R35" s="272"/>
    </row>
    <row r="36" spans="1:18" ht="15.75" x14ac:dyDescent="0.25">
      <c r="A36" s="26">
        <f t="shared" si="2"/>
        <v>25</v>
      </c>
      <c r="C36" s="80" t="s">
        <v>382</v>
      </c>
      <c r="G36" s="96"/>
      <c r="H36" s="96"/>
      <c r="I36" s="96"/>
      <c r="J36" s="96"/>
      <c r="K36" s="96"/>
      <c r="L36" s="96"/>
      <c r="M36" s="96"/>
      <c r="N36" s="272"/>
      <c r="O36" s="272"/>
      <c r="P36" s="272"/>
      <c r="Q36" s="272"/>
      <c r="R36" s="272"/>
    </row>
    <row r="37" spans="1:18" x14ac:dyDescent="0.2">
      <c r="A37" s="26">
        <f t="shared" si="2"/>
        <v>26</v>
      </c>
      <c r="C37" s="326" t="s">
        <v>443</v>
      </c>
      <c r="G37" s="97">
        <f>+H37</f>
        <v>-69</v>
      </c>
      <c r="H37" s="97">
        <v>-69</v>
      </c>
      <c r="I37" s="97"/>
      <c r="J37" s="97">
        <f>+G40</f>
        <v>-979</v>
      </c>
      <c r="K37" s="97">
        <v>-1035.3333333333335</v>
      </c>
      <c r="L37" s="97"/>
      <c r="M37" s="97">
        <f>+J40</f>
        <v>-433</v>
      </c>
      <c r="N37" s="97">
        <v>-517.66666666666686</v>
      </c>
      <c r="O37" s="97"/>
      <c r="P37" s="97">
        <f>+M40</f>
        <v>-23</v>
      </c>
      <c r="Q37" s="97"/>
      <c r="R37" s="97">
        <f>+P40</f>
        <v>-11.5</v>
      </c>
    </row>
    <row r="38" spans="1:18" x14ac:dyDescent="0.2">
      <c r="A38" s="26">
        <f t="shared" si="2"/>
        <v>27</v>
      </c>
      <c r="C38" s="163" t="s">
        <v>389</v>
      </c>
      <c r="E38" s="26" t="s">
        <v>924</v>
      </c>
      <c r="G38" s="96">
        <v>618</v>
      </c>
      <c r="H38" s="96">
        <v>617.66666666666663</v>
      </c>
      <c r="I38" s="96"/>
      <c r="J38" s="96">
        <v>618</v>
      </c>
      <c r="K38" s="96">
        <v>617.66666666666663</v>
      </c>
      <c r="L38" s="96"/>
      <c r="M38" s="96">
        <v>618</v>
      </c>
      <c r="N38" s="97">
        <v>617.66666666666663</v>
      </c>
      <c r="O38" s="272"/>
      <c r="P38" s="97">
        <v>111.5</v>
      </c>
      <c r="Q38" s="272"/>
      <c r="R38" s="97">
        <v>111.5</v>
      </c>
    </row>
    <row r="39" spans="1:18" x14ac:dyDescent="0.2">
      <c r="A39" s="26">
        <f t="shared" si="2"/>
        <v>28</v>
      </c>
      <c r="C39" s="163" t="s">
        <v>390</v>
      </c>
      <c r="E39" s="26" t="s">
        <v>925</v>
      </c>
      <c r="G39" s="98">
        <v>-1528</v>
      </c>
      <c r="H39" s="98">
        <v>-1584</v>
      </c>
      <c r="I39" s="96"/>
      <c r="J39" s="98">
        <v>-72</v>
      </c>
      <c r="K39" s="98">
        <v>-100</v>
      </c>
      <c r="L39" s="97"/>
      <c r="M39" s="98">
        <v>-208</v>
      </c>
      <c r="N39" s="98">
        <v>-100</v>
      </c>
      <c r="O39" s="97"/>
      <c r="P39" s="98">
        <v>-100</v>
      </c>
      <c r="Q39" s="97"/>
      <c r="R39" s="98">
        <v>-100</v>
      </c>
    </row>
    <row r="40" spans="1:18" x14ac:dyDescent="0.2">
      <c r="A40" s="26">
        <f t="shared" si="2"/>
        <v>29</v>
      </c>
      <c r="C40" s="190" t="s">
        <v>473</v>
      </c>
      <c r="G40" s="93">
        <f>G37+G38+G39:G39</f>
        <v>-979</v>
      </c>
      <c r="H40" s="98">
        <f>H37+H38+H39:H39</f>
        <v>-1035.3333333333335</v>
      </c>
      <c r="I40" s="96"/>
      <c r="J40" s="98">
        <f>J37+J38+J39:J39</f>
        <v>-433</v>
      </c>
      <c r="K40" s="98">
        <f>K37+K38+K39:K39</f>
        <v>-517.66666666666686</v>
      </c>
      <c r="L40" s="97"/>
      <c r="M40" s="98">
        <f>M37+M38+M39:M39</f>
        <v>-23</v>
      </c>
      <c r="N40" s="98">
        <f>N37+N38+N39:N39</f>
        <v>-2.2737367544323206E-13</v>
      </c>
      <c r="O40" s="97"/>
      <c r="P40" s="98">
        <f>P37+P38+P39:P39</f>
        <v>-11.5</v>
      </c>
      <c r="Q40" s="97"/>
      <c r="R40" s="98">
        <f>R37+R38+R39:R39</f>
        <v>0</v>
      </c>
    </row>
    <row r="41" spans="1:18" ht="5.25" customHeight="1" x14ac:dyDescent="0.2">
      <c r="A41" s="26"/>
      <c r="C41" s="87"/>
      <c r="G41" s="73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</row>
    <row r="42" spans="1:18" ht="15.75" thickBot="1" x14ac:dyDescent="0.25">
      <c r="A42" s="26">
        <f>+A40+1</f>
        <v>30</v>
      </c>
      <c r="C42" s="190" t="s">
        <v>485</v>
      </c>
      <c r="E42" s="327" t="s">
        <v>504</v>
      </c>
      <c r="G42" s="100">
        <f>(G40+G37)/2</f>
        <v>-524</v>
      </c>
      <c r="H42" s="226">
        <f>(H40+H37)/2</f>
        <v>-552.16666666666674</v>
      </c>
      <c r="I42" s="96"/>
      <c r="J42" s="226">
        <f>(J40+J37)/2</f>
        <v>-706</v>
      </c>
      <c r="K42" s="226">
        <f>(K40+K37)/2</f>
        <v>-776.50000000000023</v>
      </c>
      <c r="L42" s="97"/>
      <c r="M42" s="226">
        <f>(M40+M37)/2</f>
        <v>-228</v>
      </c>
      <c r="N42" s="226">
        <f>(N40+N37)/2</f>
        <v>-258.83333333333354</v>
      </c>
      <c r="O42" s="97"/>
      <c r="P42" s="226">
        <f>(P40+P37)/2</f>
        <v>-17.25</v>
      </c>
      <c r="Q42" s="97"/>
      <c r="R42" s="226">
        <f>(R40+R37)/2</f>
        <v>-5.75</v>
      </c>
    </row>
    <row r="43" spans="1:18" ht="15.75" thickTop="1" x14ac:dyDescent="0.2">
      <c r="A43" s="26"/>
      <c r="C43" s="43"/>
      <c r="G43" s="86"/>
      <c r="H43" s="231"/>
      <c r="I43" s="227"/>
      <c r="J43" s="231"/>
      <c r="K43" s="231"/>
      <c r="L43" s="231"/>
      <c r="M43" s="231"/>
      <c r="N43" s="231"/>
      <c r="O43" s="231"/>
      <c r="P43" s="231"/>
      <c r="Q43" s="231"/>
      <c r="R43" s="231"/>
    </row>
  </sheetData>
  <customSheetViews>
    <customSheetView guid="{275E5119-9E8C-43ED-ACD2-DF40CF10B219}" scale="75" fitToPage="1">
      <selection activeCell="K50" sqref="K50"/>
      <pageMargins left="1" right="1" top="0.74" bottom="0.69" header="0.5" footer="0.5"/>
      <printOptions horizontalCentered="1"/>
      <pageSetup scale="6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K50" sqref="K50"/>
      <pageMargins left="1" right="1" top="0.74" bottom="0.69" header="0.5" footer="0.5"/>
      <printOptions horizontalCentered="1"/>
      <pageSetup scale="54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1" orientation="landscape" r:id="rId3"/>
  <headerFooter alignWithMargins="0">
    <oddHeader>&amp;RUndertaking 17 - Page 527, Lines 15-17, Attachment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pageSetUpPr fitToPage="1"/>
  </sheetPr>
  <dimension ref="A1:S37"/>
  <sheetViews>
    <sheetView view="pageBreakPreview" zoomScale="85" zoomScaleNormal="100" zoomScaleSheetLayoutView="85" workbookViewId="0">
      <selection activeCell="E14" sqref="E14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2.140625" style="292" customWidth="1"/>
    <col min="4" max="4" width="2.28515625" style="292" customWidth="1"/>
    <col min="5" max="5" width="20" style="83" bestFit="1" customWidth="1"/>
    <col min="6" max="6" width="2.57031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563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ht="15.75" x14ac:dyDescent="0.25">
      <c r="A3" s="261" t="s">
        <v>87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510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510"/>
    </row>
    <row r="5" spans="1:19" ht="15.75" x14ac:dyDescent="0.25">
      <c r="A5" s="261"/>
      <c r="B5" s="245"/>
      <c r="C5" s="245"/>
      <c r="D5" s="245"/>
    </row>
    <row r="6" spans="1:19" ht="15.75" x14ac:dyDescent="0.25">
      <c r="A6" s="510" t="s">
        <v>19</v>
      </c>
      <c r="B6" s="510"/>
      <c r="C6" s="510"/>
      <c r="D6" s="510"/>
      <c r="E6" s="510" t="s">
        <v>20</v>
      </c>
      <c r="F6" s="510"/>
      <c r="G6" s="544" t="s">
        <v>11</v>
      </c>
      <c r="H6" s="164" t="s">
        <v>4</v>
      </c>
      <c r="I6" s="510"/>
      <c r="J6" s="544" t="s">
        <v>11</v>
      </c>
      <c r="K6" s="164" t="s">
        <v>4</v>
      </c>
      <c r="L6" s="510"/>
      <c r="M6" s="510" t="s">
        <v>11</v>
      </c>
      <c r="N6" s="164" t="s">
        <v>4</v>
      </c>
      <c r="O6" s="542"/>
      <c r="P6" s="607" t="s">
        <v>293</v>
      </c>
      <c r="Q6" s="607"/>
      <c r="R6" s="607"/>
      <c r="S6" s="510"/>
    </row>
    <row r="7" spans="1:19" ht="15.75" x14ac:dyDescent="0.25">
      <c r="A7" s="509" t="s">
        <v>21</v>
      </c>
      <c r="B7" s="510"/>
      <c r="C7" s="509" t="s">
        <v>149</v>
      </c>
      <c r="D7" s="510"/>
      <c r="E7" s="509" t="s">
        <v>22</v>
      </c>
      <c r="F7" s="510"/>
      <c r="G7" s="509">
        <v>2013</v>
      </c>
      <c r="H7" s="509">
        <v>2013</v>
      </c>
      <c r="I7" s="510"/>
      <c r="J7" s="509">
        <v>2014</v>
      </c>
      <c r="K7" s="509">
        <v>2014</v>
      </c>
      <c r="L7" s="240"/>
      <c r="M7" s="509">
        <v>2015</v>
      </c>
      <c r="N7" s="509">
        <v>2015</v>
      </c>
      <c r="O7" s="510"/>
      <c r="P7" s="509">
        <v>2016</v>
      </c>
      <c r="Q7" s="510"/>
      <c r="R7" s="509">
        <v>2017</v>
      </c>
      <c r="S7" s="510"/>
    </row>
    <row r="9" spans="1:19" ht="15.75" x14ac:dyDescent="0.25">
      <c r="A9" s="83">
        <v>1</v>
      </c>
      <c r="C9" s="251" t="s">
        <v>88</v>
      </c>
      <c r="J9" s="252"/>
      <c r="K9" s="252"/>
      <c r="L9" s="252"/>
      <c r="N9" s="252"/>
      <c r="O9" s="252"/>
      <c r="P9" s="252"/>
      <c r="Q9" s="252"/>
      <c r="R9" s="252"/>
    </row>
    <row r="10" spans="1:19" x14ac:dyDescent="0.2">
      <c r="A10" s="83">
        <v>2</v>
      </c>
      <c r="C10" s="292" t="s">
        <v>481</v>
      </c>
      <c r="E10" s="83" t="s">
        <v>368</v>
      </c>
      <c r="G10" s="252">
        <f>'S8.6 '!G22</f>
        <v>182133.25173000002</v>
      </c>
      <c r="H10" s="252">
        <f>'S8.6 '!H22</f>
        <v>185500.22550999999</v>
      </c>
      <c r="J10" s="252">
        <f>'S8.6 '!J22</f>
        <v>196656.19660000002</v>
      </c>
      <c r="K10" s="252">
        <f>'S8.6 '!K22</f>
        <v>204217.38901390965</v>
      </c>
      <c r="L10" s="252"/>
      <c r="M10" s="252">
        <f>'S8.6 '!M22</f>
        <v>206310.05060000002</v>
      </c>
      <c r="N10" s="252">
        <f>'S8.6 '!N22</f>
        <v>217907.49001390964</v>
      </c>
      <c r="O10" s="252"/>
      <c r="P10" s="252">
        <f>'S8.6 '!P22</f>
        <v>220375.82329200002</v>
      </c>
      <c r="Q10" s="252"/>
      <c r="R10" s="252">
        <f>'S8.6 '!R22</f>
        <v>234953.17491000003</v>
      </c>
    </row>
    <row r="11" spans="1:19" ht="6.75" customHeight="1" x14ac:dyDescent="0.2">
      <c r="A11" s="83"/>
    </row>
    <row r="12" spans="1:19" x14ac:dyDescent="0.2">
      <c r="A12" s="83">
        <v>3</v>
      </c>
      <c r="C12" s="292" t="s">
        <v>16</v>
      </c>
    </row>
    <row r="13" spans="1:19" x14ac:dyDescent="0.2">
      <c r="A13" s="83">
        <v>4</v>
      </c>
      <c r="C13" s="292" t="s">
        <v>148</v>
      </c>
      <c r="E13" s="83" t="s">
        <v>480</v>
      </c>
      <c r="G13" s="252">
        <f>'S8.6 '!G33</f>
        <v>71230.813349999997</v>
      </c>
      <c r="H13" s="252">
        <f>'S8.6 '!H33</f>
        <v>70846.451130000001</v>
      </c>
      <c r="J13" s="252">
        <f>'S8.6 '!J33</f>
        <v>73399.345220000003</v>
      </c>
      <c r="K13" s="252">
        <f>'S8.6 '!K33</f>
        <v>75155.612633909652</v>
      </c>
      <c r="L13" s="252"/>
      <c r="M13" s="252">
        <f>'S8.6 '!M33</f>
        <v>77828.19922000001</v>
      </c>
      <c r="N13" s="252">
        <f>'S8.6 '!N33</f>
        <v>80176.735633909644</v>
      </c>
      <c r="O13" s="252"/>
      <c r="P13" s="252">
        <f>'S8.6 '!P33</f>
        <v>82504.306912000015</v>
      </c>
      <c r="Q13" s="252"/>
      <c r="R13" s="252">
        <f>'S8.6 '!R33</f>
        <v>88086.59789400002</v>
      </c>
    </row>
    <row r="14" spans="1:19" x14ac:dyDescent="0.2">
      <c r="A14" s="83">
        <v>5</v>
      </c>
      <c r="C14" s="292" t="s">
        <v>474</v>
      </c>
      <c r="E14" s="83" t="s">
        <v>1025</v>
      </c>
      <c r="G14" s="280">
        <f>'S8.6 '!G20</f>
        <v>3131</v>
      </c>
      <c r="H14" s="280">
        <f>'S8.6 '!H20</f>
        <v>1560.5067059999999</v>
      </c>
      <c r="J14" s="280">
        <f>'S8.6 '!J20</f>
        <v>1119</v>
      </c>
      <c r="K14" s="280">
        <f>'S8.6 '!K20</f>
        <v>960.50670600000001</v>
      </c>
      <c r="L14" s="280"/>
      <c r="M14" s="280">
        <f>'S8.6 '!M20</f>
        <v>1561</v>
      </c>
      <c r="N14" s="280">
        <f>'S8.6 '!N20</f>
        <v>960.50670600000001</v>
      </c>
      <c r="O14" s="280"/>
      <c r="P14" s="280">
        <f>'S8.6 '!P20</f>
        <v>2374.6566969883784</v>
      </c>
      <c r="Q14" s="280"/>
      <c r="R14" s="280">
        <f>'S8.6 '!R20</f>
        <v>2785.8320327982547</v>
      </c>
      <c r="S14" s="57"/>
    </row>
    <row r="15" spans="1:19" x14ac:dyDescent="0.2">
      <c r="A15" s="83">
        <v>6</v>
      </c>
      <c r="C15" s="292" t="s">
        <v>482</v>
      </c>
      <c r="G15" s="230">
        <f>SUM(G13:G14)</f>
        <v>74361.813349999997</v>
      </c>
      <c r="H15" s="230">
        <f>SUM(H13:H14)</f>
        <v>72406.957836000001</v>
      </c>
      <c r="J15" s="230">
        <f>SUM(J13:J14)</f>
        <v>74518.345220000003</v>
      </c>
      <c r="K15" s="230">
        <f>SUM(K13:K14)</f>
        <v>76116.119339909652</v>
      </c>
      <c r="L15" s="257"/>
      <c r="M15" s="230">
        <f>SUM(M13:M14)</f>
        <v>79389.19922000001</v>
      </c>
      <c r="N15" s="230">
        <f>SUM(N13:N14)</f>
        <v>81137.242339909644</v>
      </c>
      <c r="O15" s="257"/>
      <c r="P15" s="230">
        <f>SUM(P13:P14)</f>
        <v>84878.963608988386</v>
      </c>
      <c r="Q15" s="257"/>
      <c r="R15" s="230">
        <f>SUM(R13:R14)</f>
        <v>90872.429926798271</v>
      </c>
    </row>
    <row r="16" spans="1:19" ht="6.75" customHeight="1" x14ac:dyDescent="0.2">
      <c r="A16" s="83"/>
    </row>
    <row r="17" spans="1:18" ht="15.75" x14ac:dyDescent="0.25">
      <c r="A17" s="83">
        <v>7</v>
      </c>
      <c r="C17" s="251" t="s">
        <v>493</v>
      </c>
    </row>
    <row r="18" spans="1:18" x14ac:dyDescent="0.2">
      <c r="A18" s="83">
        <v>8</v>
      </c>
      <c r="C18" s="292" t="s">
        <v>483</v>
      </c>
      <c r="G18" s="252">
        <f>G10-G15</f>
        <v>107771.43838000002</v>
      </c>
      <c r="H18" s="252">
        <f>H10-H15</f>
        <v>113093.26767399999</v>
      </c>
      <c r="J18" s="252">
        <f>J10-J15</f>
        <v>122137.85138000002</v>
      </c>
      <c r="K18" s="252">
        <f>K10-K15</f>
        <v>128101.269674</v>
      </c>
      <c r="L18" s="252"/>
      <c r="M18" s="252">
        <f>M10-M15</f>
        <v>126920.85138000001</v>
      </c>
      <c r="N18" s="252">
        <f>N10-N15</f>
        <v>136770.24767399998</v>
      </c>
      <c r="O18" s="252"/>
      <c r="P18" s="252">
        <f>P10-P15</f>
        <v>135496.85968301163</v>
      </c>
      <c r="Q18" s="252"/>
      <c r="R18" s="252">
        <f>R10-R15</f>
        <v>144080.74498320176</v>
      </c>
    </row>
    <row r="19" spans="1:18" x14ac:dyDescent="0.2">
      <c r="A19" s="83">
        <v>9</v>
      </c>
      <c r="C19" s="292" t="s">
        <v>484</v>
      </c>
      <c r="G19" s="252">
        <f>+H19</f>
        <v>97696.197300000014</v>
      </c>
      <c r="H19" s="252">
        <v>97696.197300000014</v>
      </c>
      <c r="J19" s="252">
        <f>+G18</f>
        <v>107771.43838000002</v>
      </c>
      <c r="K19" s="252">
        <f>+H18</f>
        <v>113093.26767399999</v>
      </c>
      <c r="L19" s="252"/>
      <c r="M19" s="252">
        <f>J18</f>
        <v>122137.85138000002</v>
      </c>
      <c r="N19" s="252">
        <f>+K18</f>
        <v>128101.269674</v>
      </c>
      <c r="O19" s="252"/>
      <c r="P19" s="252">
        <f>M18</f>
        <v>126920.85138000001</v>
      </c>
      <c r="Q19" s="252"/>
      <c r="R19" s="252">
        <f>P18</f>
        <v>135496.85968301163</v>
      </c>
    </row>
    <row r="20" spans="1:18" x14ac:dyDescent="0.2">
      <c r="A20" s="83">
        <v>10</v>
      </c>
      <c r="C20" s="292" t="s">
        <v>12</v>
      </c>
      <c r="G20" s="230">
        <f>SUM(G18:G19)</f>
        <v>205467.63568000004</v>
      </c>
      <c r="H20" s="230">
        <f>SUM(H18:H19)</f>
        <v>210789.464974</v>
      </c>
      <c r="J20" s="230">
        <f>SUM(J18:J19)</f>
        <v>229909.28976000004</v>
      </c>
      <c r="K20" s="230">
        <f>SUM(K18:K19)</f>
        <v>241194.53734799998</v>
      </c>
      <c r="L20" s="257"/>
      <c r="M20" s="230">
        <f>SUM(M18:M19)</f>
        <v>249058.70276000001</v>
      </c>
      <c r="N20" s="230">
        <f>SUM(N18:N19)</f>
        <v>264871.51734799996</v>
      </c>
      <c r="O20" s="257"/>
      <c r="P20" s="230">
        <f>SUM(P18:P19)</f>
        <v>262417.71106301167</v>
      </c>
      <c r="Q20" s="257"/>
      <c r="R20" s="230">
        <f>SUM(R18:R19)</f>
        <v>279577.60466621339</v>
      </c>
    </row>
    <row r="21" spans="1:18" ht="6.75" customHeight="1" x14ac:dyDescent="0.2">
      <c r="A21" s="83"/>
      <c r="G21" s="252"/>
      <c r="H21" s="252"/>
      <c r="J21" s="252"/>
      <c r="K21" s="252"/>
      <c r="L21" s="252"/>
      <c r="M21" s="252"/>
      <c r="N21" s="252"/>
      <c r="O21" s="252"/>
      <c r="P21" s="252"/>
      <c r="Q21" s="252"/>
      <c r="R21" s="252"/>
    </row>
    <row r="22" spans="1:18" x14ac:dyDescent="0.2">
      <c r="A22" s="83">
        <v>11</v>
      </c>
      <c r="C22" s="292" t="s">
        <v>485</v>
      </c>
      <c r="G22" s="252">
        <f>ROUND(G20/2,0)</f>
        <v>102734</v>
      </c>
      <c r="H22" s="252">
        <f>ROUND(H20/2,0)</f>
        <v>105395</v>
      </c>
      <c r="J22" s="252">
        <f>ROUND(J20/2,0)</f>
        <v>114955</v>
      </c>
      <c r="K22" s="252">
        <f>ROUND(K20/2,0)</f>
        <v>120597</v>
      </c>
      <c r="L22" s="252"/>
      <c r="M22" s="252">
        <f>ROUND(M20/2,0)</f>
        <v>124529</v>
      </c>
      <c r="N22" s="252">
        <f>ROUND(N20/2,0)</f>
        <v>132436</v>
      </c>
      <c r="O22" s="252"/>
      <c r="P22" s="252">
        <f>ROUND(P20/2,0)</f>
        <v>131209</v>
      </c>
      <c r="Q22" s="252"/>
      <c r="R22" s="252">
        <f>ROUND(R20/2,0)</f>
        <v>139789</v>
      </c>
    </row>
    <row r="23" spans="1:18" ht="6.75" customHeight="1" x14ac:dyDescent="0.2">
      <c r="A23" s="83"/>
    </row>
    <row r="24" spans="1:18" x14ac:dyDescent="0.2">
      <c r="A24" s="83">
        <v>12</v>
      </c>
      <c r="C24" s="372" t="s">
        <v>486</v>
      </c>
      <c r="E24" s="83" t="s">
        <v>926</v>
      </c>
      <c r="G24" s="252">
        <f>'S8.8 '!G30</f>
        <v>-322</v>
      </c>
      <c r="H24" s="252">
        <f>'S8.8 '!H30</f>
        <v>-367.875</v>
      </c>
      <c r="J24" s="252">
        <f>'S8.8 '!J30</f>
        <v>148.5</v>
      </c>
      <c r="K24" s="252">
        <f>'S8.8 '!K30</f>
        <v>54.875</v>
      </c>
      <c r="L24" s="252"/>
      <c r="M24" s="252">
        <f>+'S8.8 '!M30</f>
        <v>466.07499999999999</v>
      </c>
      <c r="N24" s="252">
        <f>+'S8.8 '!N30</f>
        <v>401</v>
      </c>
      <c r="O24" s="252"/>
      <c r="P24" s="252">
        <f>+'S8.8 '!P30</f>
        <v>600.55499999999995</v>
      </c>
      <c r="Q24" s="252"/>
      <c r="R24" s="252">
        <f>+'S8.8 '!R30</f>
        <v>366.22999999999996</v>
      </c>
    </row>
    <row r="25" spans="1:18" x14ac:dyDescent="0.2">
      <c r="A25" s="83">
        <v>13</v>
      </c>
      <c r="C25" s="292" t="s">
        <v>437</v>
      </c>
      <c r="E25" s="83" t="s">
        <v>438</v>
      </c>
      <c r="G25" s="234">
        <f>+S8.10!G45</f>
        <v>3322</v>
      </c>
      <c r="H25" s="234">
        <f>+S8.10!H45</f>
        <v>3275</v>
      </c>
      <c r="J25" s="234">
        <f>+S8.10!J45</f>
        <v>3405</v>
      </c>
      <c r="K25" s="234">
        <f>S8.10!K45</f>
        <v>3267</v>
      </c>
      <c r="L25" s="257"/>
      <c r="M25" s="234">
        <f>+S8.10!M45</f>
        <v>3375</v>
      </c>
      <c r="N25" s="234">
        <f>+S8.10!N45</f>
        <v>3601</v>
      </c>
      <c r="O25" s="257"/>
      <c r="P25" s="234">
        <f>+S8.10!P45</f>
        <v>2965</v>
      </c>
      <c r="Q25" s="257"/>
      <c r="R25" s="234">
        <f>+S8.10!R45</f>
        <v>3025</v>
      </c>
    </row>
    <row r="26" spans="1:18" ht="6.75" customHeight="1" x14ac:dyDescent="0.2">
      <c r="A26" s="83"/>
      <c r="G26" s="252"/>
      <c r="H26" s="252"/>
      <c r="J26" s="252"/>
      <c r="K26" s="252"/>
      <c r="L26" s="252"/>
      <c r="M26" s="252"/>
      <c r="N26" s="252"/>
      <c r="O26" s="252"/>
      <c r="P26" s="252"/>
      <c r="Q26" s="252"/>
      <c r="R26" s="252"/>
    </row>
    <row r="27" spans="1:18" ht="15.75" x14ac:dyDescent="0.25">
      <c r="A27" s="83">
        <v>14</v>
      </c>
      <c r="C27" s="251" t="s">
        <v>89</v>
      </c>
      <c r="G27" s="252">
        <f>G22+G24+G25</f>
        <v>105734</v>
      </c>
      <c r="H27" s="252">
        <f>H22+H24+H25</f>
        <v>108302.125</v>
      </c>
      <c r="J27" s="252">
        <f>J22+J24+J25</f>
        <v>118508.5</v>
      </c>
      <c r="K27" s="252">
        <f>K22+K24+K25</f>
        <v>123918.875</v>
      </c>
      <c r="L27" s="252"/>
      <c r="M27" s="252">
        <f>M22+M24+M25</f>
        <v>128370.075</v>
      </c>
      <c r="N27" s="252">
        <f>N22+N24+N25</f>
        <v>136438</v>
      </c>
      <c r="O27" s="252"/>
      <c r="P27" s="252">
        <f>P22+P24+P25</f>
        <v>134774.55499999999</v>
      </c>
      <c r="Q27" s="252"/>
      <c r="R27" s="252">
        <f>R22+R24+R25</f>
        <v>143180.23000000001</v>
      </c>
    </row>
    <row r="28" spans="1:18" ht="6.75" customHeight="1" x14ac:dyDescent="0.25">
      <c r="A28" s="83"/>
      <c r="C28" s="251"/>
    </row>
    <row r="29" spans="1:18" x14ac:dyDescent="0.2">
      <c r="A29" s="83">
        <v>15</v>
      </c>
      <c r="C29" s="292" t="s">
        <v>16</v>
      </c>
    </row>
    <row r="30" spans="1:18" ht="15.75" x14ac:dyDescent="0.25">
      <c r="A30" s="83">
        <v>16</v>
      </c>
      <c r="C30" s="251" t="s">
        <v>56</v>
      </c>
    </row>
    <row r="31" spans="1:18" x14ac:dyDescent="0.2">
      <c r="A31" s="83">
        <v>17</v>
      </c>
      <c r="C31" s="292" t="s">
        <v>483</v>
      </c>
      <c r="E31" s="83" t="s">
        <v>471</v>
      </c>
      <c r="G31" s="252">
        <f>S8.12!G27</f>
        <v>35436</v>
      </c>
      <c r="H31" s="252">
        <f>S8.12!H27</f>
        <v>37302.294768200001</v>
      </c>
      <c r="J31" s="252">
        <f>S8.12!J27</f>
        <v>35521</v>
      </c>
      <c r="K31" s="252">
        <f>S8.12!K27</f>
        <v>40439.988840400001</v>
      </c>
      <c r="L31" s="252"/>
      <c r="M31" s="252">
        <f>S8.12!M27</f>
        <v>35229.850729999998</v>
      </c>
      <c r="N31" s="252">
        <f>S8.12!N27</f>
        <v>43116.788392199989</v>
      </c>
      <c r="O31" s="252"/>
      <c r="P31" s="252">
        <f>S8.12!P27</f>
        <v>35529.393333705331</v>
      </c>
      <c r="Q31" s="252"/>
      <c r="R31" s="252">
        <f>S8.12!R27</f>
        <v>37118.895553205664</v>
      </c>
    </row>
    <row r="32" spans="1:18" x14ac:dyDescent="0.2">
      <c r="A32" s="83">
        <v>18</v>
      </c>
      <c r="C32" s="292" t="s">
        <v>484</v>
      </c>
      <c r="E32" s="83" t="s">
        <v>13</v>
      </c>
      <c r="G32" s="252">
        <f>+H32</f>
        <v>34828</v>
      </c>
      <c r="H32" s="252">
        <v>34828</v>
      </c>
      <c r="J32" s="252">
        <f>+G31</f>
        <v>35436</v>
      </c>
      <c r="K32" s="252">
        <f>+H31</f>
        <v>37302.294768200001</v>
      </c>
      <c r="L32" s="252"/>
      <c r="M32" s="252">
        <f>J31</f>
        <v>35521</v>
      </c>
      <c r="N32" s="252">
        <f>+K31</f>
        <v>40439.988840400001</v>
      </c>
      <c r="O32" s="252"/>
      <c r="P32" s="252">
        <f>M31</f>
        <v>35229.850729999998</v>
      </c>
      <c r="Q32" s="252"/>
      <c r="R32" s="252">
        <f>P31</f>
        <v>35529.393333705331</v>
      </c>
    </row>
    <row r="33" spans="1:18" x14ac:dyDescent="0.2">
      <c r="A33" s="83">
        <v>19</v>
      </c>
      <c r="C33" s="292" t="s">
        <v>12</v>
      </c>
      <c r="G33" s="230">
        <f>SUM(G31:G32)</f>
        <v>70264</v>
      </c>
      <c r="H33" s="230">
        <f>SUM(H31:H32)</f>
        <v>72130.294768199994</v>
      </c>
      <c r="J33" s="230">
        <f>SUM(J31:J32)</f>
        <v>70957</v>
      </c>
      <c r="K33" s="230">
        <f>SUM(K31:K32)</f>
        <v>77742.283608600002</v>
      </c>
      <c r="L33" s="257"/>
      <c r="M33" s="230">
        <f>SUM(M31:M32)</f>
        <v>70750.850730000006</v>
      </c>
      <c r="N33" s="230">
        <f>SUM(N31:N32)</f>
        <v>83556.777232599998</v>
      </c>
      <c r="O33" s="257"/>
      <c r="P33" s="230">
        <f>SUM(P31:P32)</f>
        <v>70759.244063705322</v>
      </c>
      <c r="Q33" s="257"/>
      <c r="R33" s="230">
        <f>SUM(R31:R32)</f>
        <v>72648.288886911003</v>
      </c>
    </row>
    <row r="34" spans="1:18" ht="6.75" customHeight="1" x14ac:dyDescent="0.2">
      <c r="A34" s="83"/>
      <c r="G34" s="252"/>
      <c r="H34" s="252"/>
      <c r="J34" s="252"/>
      <c r="K34" s="252"/>
      <c r="L34" s="252"/>
      <c r="M34" s="252"/>
      <c r="N34" s="252"/>
      <c r="O34" s="252"/>
      <c r="P34" s="252"/>
      <c r="Q34" s="252"/>
      <c r="R34" s="252"/>
    </row>
    <row r="35" spans="1:18" x14ac:dyDescent="0.2">
      <c r="A35" s="83">
        <v>20</v>
      </c>
      <c r="C35" s="292" t="s">
        <v>485</v>
      </c>
      <c r="F35" s="281"/>
      <c r="G35" s="234">
        <f>ROUND(G33/2,0)</f>
        <v>35132</v>
      </c>
      <c r="H35" s="234">
        <f>ROUND(H33/2,0)</f>
        <v>36065</v>
      </c>
      <c r="I35" s="281"/>
      <c r="J35" s="234">
        <f>ROUND(J33/2,0)</f>
        <v>35479</v>
      </c>
      <c r="K35" s="234">
        <f>ROUND(K33/2,0)</f>
        <v>38871</v>
      </c>
      <c r="L35" s="257"/>
      <c r="M35" s="234">
        <f>ROUND(M33/2,0)</f>
        <v>35375</v>
      </c>
      <c r="N35" s="234">
        <f>ROUND(N33/2,0)</f>
        <v>41778</v>
      </c>
      <c r="O35" s="257"/>
      <c r="P35" s="234">
        <f>ROUND(P33/2,0)</f>
        <v>35380</v>
      </c>
      <c r="Q35" s="257"/>
      <c r="R35" s="234">
        <f>ROUND(R33/2,0)+0.5</f>
        <v>36324.5</v>
      </c>
    </row>
    <row r="36" spans="1:18" ht="46.5" thickBot="1" x14ac:dyDescent="0.3">
      <c r="A36" s="83">
        <v>21</v>
      </c>
      <c r="C36" s="251" t="s">
        <v>90</v>
      </c>
      <c r="E36" s="346" t="s">
        <v>487</v>
      </c>
      <c r="G36" s="187">
        <f>G27-G35</f>
        <v>70602</v>
      </c>
      <c r="H36" s="187">
        <f>H27-H35</f>
        <v>72237.125</v>
      </c>
      <c r="J36" s="187">
        <f>J27-J35</f>
        <v>83029.5</v>
      </c>
      <c r="K36" s="187">
        <f>K27-K35</f>
        <v>85047.875</v>
      </c>
      <c r="L36" s="257"/>
      <c r="M36" s="187">
        <f>M27-M35</f>
        <v>92995.074999999997</v>
      </c>
      <c r="N36" s="187">
        <f>N27-N35</f>
        <v>94660</v>
      </c>
      <c r="O36" s="257"/>
      <c r="P36" s="187">
        <f>P27-P35</f>
        <v>99394.554999999993</v>
      </c>
      <c r="Q36" s="257"/>
      <c r="R36" s="187">
        <f>R27-R35</f>
        <v>106855.73000000001</v>
      </c>
    </row>
    <row r="37" spans="1:18" ht="10.5" customHeight="1" x14ac:dyDescent="0.2">
      <c r="A37" s="83"/>
    </row>
  </sheetData>
  <customSheetViews>
    <customSheetView guid="{275E5119-9E8C-43ED-ACD2-DF40CF10B219}" scale="75" fitToPage="1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9" orientation="landscape" r:id="rId3"/>
  <headerFooter alignWithMargins="0">
    <oddHeader>&amp;RUndertaking 17 - Page 527, Lines 15-17, Attachment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pageSetUpPr fitToPage="1"/>
  </sheetPr>
  <dimension ref="A1:S36"/>
  <sheetViews>
    <sheetView view="pageBreakPreview" zoomScaleNormal="100" zoomScaleSheetLayoutView="100" workbookViewId="0">
      <selection activeCell="K31" sqref="K31"/>
    </sheetView>
  </sheetViews>
  <sheetFormatPr defaultRowHeight="12.75" x14ac:dyDescent="0.2"/>
  <cols>
    <col min="1" max="1" width="5" bestFit="1" customWidth="1"/>
    <col min="2" max="2" width="2.28515625" style="325" customWidth="1"/>
    <col min="3" max="3" width="35" customWidth="1"/>
    <col min="4" max="4" width="2.28515625" style="3" customWidth="1"/>
    <col min="5" max="5" width="17.28515625" style="6" bestFit="1" customWidth="1"/>
    <col min="6" max="6" width="2.28515625" customWidth="1"/>
    <col min="7" max="8" width="9.7109375" style="208" customWidth="1"/>
    <col min="9" max="9" width="2.28515625" customWidth="1"/>
    <col min="10" max="11" width="9.7109375" style="208" customWidth="1"/>
    <col min="12" max="12" width="2.28515625" style="208" customWidth="1"/>
    <col min="13" max="14" width="9.7109375" style="208" customWidth="1"/>
    <col min="15" max="15" width="2.28515625" style="208" customWidth="1"/>
    <col min="16" max="16" width="9.7109375" style="208" customWidth="1"/>
    <col min="17" max="17" width="2.28515625" style="208" customWidth="1"/>
    <col min="18" max="18" width="9.7109375" style="208" customWidth="1"/>
    <col min="19" max="19" width="2.28515625" customWidth="1"/>
  </cols>
  <sheetData>
    <row r="1" spans="1:19" x14ac:dyDescent="0.2">
      <c r="A1" s="290" t="s">
        <v>1006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47" t="s">
        <v>562</v>
      </c>
    </row>
    <row r="2" spans="1:19" x14ac:dyDescent="0.2">
      <c r="A2" s="290" t="s">
        <v>555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47" t="s">
        <v>888</v>
      </c>
    </row>
    <row r="3" spans="1:19" x14ac:dyDescent="0.2">
      <c r="A3" s="290" t="s">
        <v>135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</row>
    <row r="4" spans="1:19" x14ac:dyDescent="0.2">
      <c r="A4" s="37" t="s">
        <v>18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x14ac:dyDescent="0.2">
      <c r="A5" s="37"/>
      <c r="B5" s="37"/>
      <c r="C5" s="7"/>
      <c r="D5" s="20"/>
      <c r="K5" s="282"/>
      <c r="L5" s="282"/>
      <c r="M5" s="282"/>
      <c r="N5" s="282"/>
      <c r="O5" s="282"/>
      <c r="P5" s="282"/>
      <c r="Q5" s="282"/>
      <c r="R5" s="282"/>
      <c r="S5" s="283"/>
    </row>
    <row r="6" spans="1:19" ht="15.75" x14ac:dyDescent="0.25">
      <c r="A6" s="38" t="s">
        <v>19</v>
      </c>
      <c r="B6" s="387"/>
      <c r="E6" s="5" t="s">
        <v>20</v>
      </c>
      <c r="G6" s="209" t="s">
        <v>11</v>
      </c>
      <c r="H6" s="209" t="s">
        <v>4</v>
      </c>
      <c r="J6" s="209" t="s">
        <v>11</v>
      </c>
      <c r="K6" s="209" t="s">
        <v>4</v>
      </c>
      <c r="L6" s="209"/>
      <c r="M6" s="209" t="s">
        <v>11</v>
      </c>
      <c r="N6" s="209" t="s">
        <v>4</v>
      </c>
      <c r="O6" s="542"/>
      <c r="P6" s="610" t="s">
        <v>293</v>
      </c>
      <c r="Q6" s="610"/>
      <c r="R6" s="610"/>
      <c r="S6" s="283"/>
    </row>
    <row r="7" spans="1:19" x14ac:dyDescent="0.2">
      <c r="A7" s="39" t="s">
        <v>21</v>
      </c>
      <c r="B7" s="388"/>
      <c r="C7" s="33" t="s">
        <v>149</v>
      </c>
      <c r="D7" s="51"/>
      <c r="E7" s="34" t="s">
        <v>22</v>
      </c>
      <c r="G7" s="34">
        <v>2013</v>
      </c>
      <c r="H7" s="34">
        <v>2013</v>
      </c>
      <c r="J7" s="34">
        <v>2014</v>
      </c>
      <c r="K7" s="34">
        <v>2014</v>
      </c>
      <c r="L7" s="136"/>
      <c r="M7" s="34">
        <v>2015</v>
      </c>
      <c r="N7" s="34">
        <v>2015</v>
      </c>
      <c r="O7" s="136"/>
      <c r="P7" s="34">
        <v>2016</v>
      </c>
      <c r="Q7" s="273"/>
      <c r="R7" s="34">
        <v>2017</v>
      </c>
      <c r="S7" s="283"/>
    </row>
    <row r="8" spans="1:19" x14ac:dyDescent="0.2">
      <c r="A8" s="40"/>
      <c r="B8" s="42"/>
      <c r="K8" s="282"/>
      <c r="L8" s="284"/>
      <c r="M8" s="282"/>
      <c r="N8" s="282"/>
      <c r="O8" s="284"/>
      <c r="P8" s="282"/>
      <c r="Q8" s="282"/>
      <c r="R8" s="282"/>
      <c r="S8" s="283"/>
    </row>
    <row r="9" spans="1:19" x14ac:dyDescent="0.2">
      <c r="A9" s="41">
        <v>1</v>
      </c>
      <c r="B9" s="41"/>
      <c r="C9" s="150" t="s">
        <v>88</v>
      </c>
      <c r="D9" s="51"/>
      <c r="E9" s="5"/>
      <c r="J9" s="210"/>
      <c r="L9" s="210"/>
      <c r="M9" s="210"/>
      <c r="N9" s="210"/>
      <c r="O9" s="210"/>
      <c r="P9" s="210"/>
      <c r="Q9" s="210"/>
      <c r="R9" s="210"/>
    </row>
    <row r="10" spans="1:19" x14ac:dyDescent="0.2">
      <c r="A10" s="41">
        <f>A9+1</f>
        <v>2</v>
      </c>
      <c r="B10" s="41"/>
      <c r="J10" s="210"/>
      <c r="L10" s="210"/>
      <c r="M10" s="210"/>
      <c r="N10" s="210"/>
      <c r="O10" s="210"/>
      <c r="P10" s="210"/>
      <c r="Q10" s="210"/>
      <c r="R10" s="210"/>
    </row>
    <row r="11" spans="1:19" x14ac:dyDescent="0.2">
      <c r="A11" s="41">
        <f t="shared" ref="A11:A36" si="0">A10+1</f>
        <v>3</v>
      </c>
      <c r="B11" s="41"/>
      <c r="C11" s="304" t="s">
        <v>443</v>
      </c>
      <c r="G11" s="208">
        <f>+H11</f>
        <v>165587.52543000001</v>
      </c>
      <c r="H11" s="210">
        <v>165587.52543000001</v>
      </c>
      <c r="J11" s="210">
        <f>+G18</f>
        <v>179002.25173000002</v>
      </c>
      <c r="K11" s="210">
        <f>+H18</f>
        <v>183939.718804</v>
      </c>
      <c r="L11" s="210"/>
      <c r="M11" s="210">
        <f>+J18</f>
        <v>195537.19660000002</v>
      </c>
      <c r="N11" s="210">
        <f>+K18</f>
        <v>203256.88230790966</v>
      </c>
      <c r="O11" s="210"/>
      <c r="P11" s="210">
        <f>+M18</f>
        <v>204749.05060000002</v>
      </c>
      <c r="Q11" s="210"/>
      <c r="R11" s="210">
        <f>+P18</f>
        <v>218001.16659501163</v>
      </c>
    </row>
    <row r="12" spans="1:19" s="325" customFormat="1" x14ac:dyDescent="0.2">
      <c r="A12" s="41">
        <f t="shared" si="0"/>
        <v>4</v>
      </c>
      <c r="B12" s="41"/>
      <c r="C12" s="304"/>
      <c r="D12" s="3"/>
      <c r="E12" s="6"/>
      <c r="G12" s="208"/>
      <c r="H12" s="210"/>
      <c r="J12" s="210"/>
      <c r="K12" s="210"/>
      <c r="L12" s="210"/>
      <c r="M12" s="210"/>
      <c r="N12" s="210"/>
      <c r="O12" s="210"/>
      <c r="P12" s="210"/>
      <c r="Q12" s="210"/>
      <c r="R12" s="210"/>
    </row>
    <row r="13" spans="1:19" x14ac:dyDescent="0.2">
      <c r="A13" s="41">
        <f t="shared" si="0"/>
        <v>5</v>
      </c>
      <c r="B13" s="41"/>
      <c r="C13" t="s">
        <v>136</v>
      </c>
      <c r="E13" s="305" t="s">
        <v>1026</v>
      </c>
      <c r="G13" s="208">
        <f>-S9.1!G39</f>
        <v>14320.57208</v>
      </c>
      <c r="H13" s="210">
        <f>-S9.1!H39</f>
        <v>19792.193373999995</v>
      </c>
      <c r="J13" s="210">
        <f>-S9.1!J39</f>
        <v>18849</v>
      </c>
      <c r="K13" s="210">
        <f>-S9.1!K39</f>
        <v>20292.125</v>
      </c>
      <c r="L13" s="210"/>
      <c r="M13" s="210">
        <f>-S9.1!M39</f>
        <v>10252</v>
      </c>
      <c r="N13" s="210">
        <f>-S9.1!N39</f>
        <v>14484.100999999999</v>
      </c>
      <c r="O13" s="210"/>
      <c r="P13" s="210">
        <f>-S9.1!P39</f>
        <v>13872.131303011622</v>
      </c>
      <c r="Q13" s="210"/>
      <c r="R13" s="210">
        <f>-S9.1!R39</f>
        <v>14907.008300190126</v>
      </c>
    </row>
    <row r="14" spans="1:19" s="325" customFormat="1" x14ac:dyDescent="0.2">
      <c r="A14" s="41">
        <f t="shared" si="0"/>
        <v>6</v>
      </c>
      <c r="B14" s="41"/>
      <c r="C14" s="325" t="s">
        <v>446</v>
      </c>
      <c r="D14" s="3"/>
      <c r="E14" s="336" t="s">
        <v>927</v>
      </c>
      <c r="G14" s="119">
        <f>-'S8.8 '!G77</f>
        <v>0</v>
      </c>
      <c r="H14" s="119">
        <f>-'S8.8 '!H77</f>
        <v>0</v>
      </c>
      <c r="I14" s="118"/>
      <c r="J14" s="119">
        <f>-'S8.8 '!J77</f>
        <v>0</v>
      </c>
      <c r="K14" s="119">
        <f>-'S8.8 '!K77</f>
        <v>0</v>
      </c>
      <c r="L14" s="119"/>
      <c r="M14" s="119">
        <f>-'S8.8 '!M77</f>
        <v>0</v>
      </c>
      <c r="N14" s="119">
        <f>-'S8.8 '!N77</f>
        <v>0</v>
      </c>
      <c r="O14" s="119"/>
      <c r="P14" s="119">
        <f>-'S8.8 '!P77</f>
        <v>534</v>
      </c>
      <c r="Q14" s="119"/>
      <c r="R14" s="119">
        <f>-'S8.8 '!R77</f>
        <v>0</v>
      </c>
    </row>
    <row r="15" spans="1:19" x14ac:dyDescent="0.2">
      <c r="A15" s="41">
        <f t="shared" si="0"/>
        <v>7</v>
      </c>
      <c r="B15" s="41"/>
      <c r="C15" s="304" t="s">
        <v>444</v>
      </c>
      <c r="E15" s="305" t="s">
        <v>445</v>
      </c>
      <c r="F15" s="2"/>
      <c r="G15" s="36">
        <f>+S8.7!H30</f>
        <v>-905.84577999999988</v>
      </c>
      <c r="H15" s="36">
        <f>ROUND(S8.7!I30,0)</f>
        <v>-1440</v>
      </c>
      <c r="I15" s="2"/>
      <c r="J15" s="36">
        <f>+S8.7!K30</f>
        <v>-2314.0551300000002</v>
      </c>
      <c r="K15" s="36">
        <f>S8.7!L30</f>
        <v>-974.96149609034273</v>
      </c>
      <c r="L15" s="146"/>
      <c r="M15" s="36">
        <f>+S8.7!N30</f>
        <v>-1040.146</v>
      </c>
      <c r="N15" s="36">
        <f>ROUND(S8.7!O30,0)</f>
        <v>-794</v>
      </c>
      <c r="O15" s="146"/>
      <c r="P15" s="36">
        <f>S8.7!Q30</f>
        <v>-1154.015308</v>
      </c>
      <c r="Q15" s="146"/>
      <c r="R15" s="36">
        <f>S8.7!S30</f>
        <v>-740.83201799999995</v>
      </c>
    </row>
    <row r="16" spans="1:19" x14ac:dyDescent="0.2">
      <c r="A16" s="41">
        <f t="shared" si="0"/>
        <v>8</v>
      </c>
      <c r="B16" s="41"/>
      <c r="E16" s="305" t="s">
        <v>1001</v>
      </c>
      <c r="F16" s="2"/>
      <c r="G16" s="146">
        <f>SUM(G13:G15)</f>
        <v>13414.7263</v>
      </c>
      <c r="H16" s="146">
        <f>SUM(H13:H15)</f>
        <v>18352.193373999995</v>
      </c>
      <c r="I16" s="2"/>
      <c r="J16" s="146">
        <f>SUM(J13:J15)</f>
        <v>16534.944869999999</v>
      </c>
      <c r="K16" s="146">
        <f>SUM(K13:K15)</f>
        <v>19317.163503909658</v>
      </c>
      <c r="L16" s="146"/>
      <c r="M16" s="146">
        <f>SUM(M13:M15)</f>
        <v>9211.8539999999994</v>
      </c>
      <c r="N16" s="146">
        <f>SUM(N13:N15)</f>
        <v>13690.100999999999</v>
      </c>
      <c r="O16" s="146"/>
      <c r="P16" s="146">
        <f>SUM(P13:P15)</f>
        <v>13252.115995011622</v>
      </c>
      <c r="Q16" s="146"/>
      <c r="R16" s="146">
        <f>SUM(R13:R15)</f>
        <v>14166.176282190127</v>
      </c>
    </row>
    <row r="17" spans="1:19" x14ac:dyDescent="0.2">
      <c r="A17" s="41">
        <f t="shared" si="0"/>
        <v>9</v>
      </c>
      <c r="B17" s="41"/>
      <c r="C17" s="283"/>
      <c r="F17" s="2"/>
      <c r="G17" s="210"/>
      <c r="H17" s="210"/>
      <c r="I17" s="2"/>
      <c r="J17" s="210"/>
      <c r="K17" s="146"/>
      <c r="L17" s="210"/>
      <c r="M17" s="308"/>
      <c r="N17" s="306"/>
      <c r="O17" s="210"/>
      <c r="P17" s="210"/>
      <c r="Q17" s="210"/>
      <c r="R17" s="210"/>
    </row>
    <row r="18" spans="1:19" x14ac:dyDescent="0.2">
      <c r="A18" s="41">
        <f t="shared" si="0"/>
        <v>10</v>
      </c>
      <c r="B18" s="41"/>
      <c r="C18" s="304" t="s">
        <v>473</v>
      </c>
      <c r="E18" s="305" t="s">
        <v>1002</v>
      </c>
      <c r="F18" s="2"/>
      <c r="G18" s="146">
        <f>G11+G16</f>
        <v>179002.25173000002</v>
      </c>
      <c r="H18" s="146">
        <f>H11+H16</f>
        <v>183939.718804</v>
      </c>
      <c r="I18" s="2"/>
      <c r="J18" s="146">
        <f>J11+J16</f>
        <v>195537.19660000002</v>
      </c>
      <c r="K18" s="146">
        <f>K11+K16</f>
        <v>203256.88230790966</v>
      </c>
      <c r="L18" s="146"/>
      <c r="M18" s="146">
        <f>M11+M16</f>
        <v>204749.05060000002</v>
      </c>
      <c r="N18" s="146">
        <f>N11+N16</f>
        <v>216946.98330790966</v>
      </c>
      <c r="O18" s="146"/>
      <c r="P18" s="146">
        <f>P11+P16</f>
        <v>218001.16659501163</v>
      </c>
      <c r="Q18" s="146"/>
      <c r="R18" s="146">
        <f>R11+R16</f>
        <v>232167.34287720177</v>
      </c>
      <c r="S18" s="81"/>
    </row>
    <row r="19" spans="1:19" x14ac:dyDescent="0.2">
      <c r="A19" s="41">
        <f t="shared" si="0"/>
        <v>11</v>
      </c>
      <c r="B19" s="41"/>
      <c r="F19" s="2"/>
      <c r="G19" s="210"/>
      <c r="H19" s="210"/>
      <c r="I19" s="2"/>
      <c r="J19" s="210"/>
      <c r="K19" s="210"/>
      <c r="L19" s="210"/>
      <c r="M19" s="210"/>
      <c r="N19" s="210"/>
      <c r="O19" s="210"/>
      <c r="P19" s="210"/>
      <c r="Q19" s="210"/>
      <c r="R19" s="210"/>
      <c r="S19" s="81"/>
    </row>
    <row r="20" spans="1:19" x14ac:dyDescent="0.2">
      <c r="A20" s="41">
        <f t="shared" si="0"/>
        <v>12</v>
      </c>
      <c r="B20" s="41"/>
      <c r="C20" s="304" t="s">
        <v>474</v>
      </c>
      <c r="E20" s="305" t="s">
        <v>1025</v>
      </c>
      <c r="F20" s="2"/>
      <c r="G20" s="36">
        <f>S9.1!G43</f>
        <v>3131</v>
      </c>
      <c r="H20" s="36">
        <f>S9.1!H43</f>
        <v>1560.5067059999999</v>
      </c>
      <c r="I20" s="2"/>
      <c r="J20" s="36">
        <f>S9.1!J43</f>
        <v>1119</v>
      </c>
      <c r="K20" s="36">
        <f>S9.1!K43</f>
        <v>960.50670600000001</v>
      </c>
      <c r="L20" s="146"/>
      <c r="M20" s="36">
        <f>S9.1!M43</f>
        <v>1561</v>
      </c>
      <c r="N20" s="36">
        <f>S9.1!N43</f>
        <v>960.50670600000001</v>
      </c>
      <c r="O20" s="146"/>
      <c r="P20" s="36">
        <f>S9.1!P43</f>
        <v>2374.6566969883784</v>
      </c>
      <c r="Q20" s="146"/>
      <c r="R20" s="36">
        <f>S9.1!R43</f>
        <v>2785.8320327982547</v>
      </c>
    </row>
    <row r="21" spans="1:19" x14ac:dyDescent="0.2">
      <c r="A21" s="41">
        <f t="shared" si="0"/>
        <v>13</v>
      </c>
      <c r="B21" s="41"/>
      <c r="C21" s="283"/>
      <c r="F21" s="2"/>
      <c r="G21" s="4"/>
      <c r="H21" s="4"/>
      <c r="I21" s="2"/>
      <c r="J21" s="4"/>
      <c r="L21" s="4"/>
      <c r="M21" s="4"/>
      <c r="N21" s="4"/>
      <c r="O21" s="4"/>
      <c r="P21" s="4"/>
      <c r="Q21" s="4"/>
      <c r="R21" s="4"/>
      <c r="S21" s="81"/>
    </row>
    <row r="22" spans="1:19" x14ac:dyDescent="0.2">
      <c r="A22" s="41">
        <f t="shared" si="0"/>
        <v>14</v>
      </c>
      <c r="B22" s="41"/>
      <c r="C22" t="s">
        <v>52</v>
      </c>
      <c r="E22" s="6" t="s">
        <v>242</v>
      </c>
      <c r="F22" s="2"/>
      <c r="G22" s="4">
        <f>SUM(G18:G20)</f>
        <v>182133.25173000002</v>
      </c>
      <c r="H22" s="4">
        <f>SUM(H18:H20)</f>
        <v>185500.22550999999</v>
      </c>
      <c r="I22" s="2"/>
      <c r="J22" s="4">
        <f>SUM(J18:J20)</f>
        <v>196656.19660000002</v>
      </c>
      <c r="K22" s="4">
        <f>SUM(K18:K21)</f>
        <v>204217.38901390965</v>
      </c>
      <c r="L22" s="4"/>
      <c r="M22" s="4">
        <f>SUM(M18:M21)</f>
        <v>206310.05060000002</v>
      </c>
      <c r="N22" s="4">
        <f>SUM(N18:N21)</f>
        <v>217907.49001390964</v>
      </c>
      <c r="O22" s="4"/>
      <c r="P22" s="4">
        <f>SUM(P18:P21)</f>
        <v>220375.82329200002</v>
      </c>
      <c r="Q22" s="4"/>
      <c r="R22" s="4">
        <f>SUM(R18:R21)</f>
        <v>234953.17491000003</v>
      </c>
    </row>
    <row r="23" spans="1:19" ht="13.5" x14ac:dyDescent="0.25">
      <c r="A23" s="41">
        <f t="shared" si="0"/>
        <v>15</v>
      </c>
      <c r="B23" s="41"/>
      <c r="F23" s="2"/>
      <c r="G23" s="210"/>
      <c r="H23" s="210"/>
      <c r="I23" s="2"/>
      <c r="J23" s="210"/>
      <c r="K23" s="370"/>
      <c r="L23" s="210"/>
      <c r="M23" s="370"/>
      <c r="N23" s="210"/>
      <c r="O23" s="210"/>
      <c r="P23" s="210"/>
      <c r="Q23" s="210"/>
      <c r="R23" s="210"/>
    </row>
    <row r="24" spans="1:19" x14ac:dyDescent="0.2">
      <c r="A24" s="41">
        <f t="shared" si="0"/>
        <v>16</v>
      </c>
      <c r="B24" s="41"/>
      <c r="C24" s="150" t="s">
        <v>148</v>
      </c>
      <c r="D24" s="51"/>
      <c r="E24" s="5"/>
      <c r="F24" s="2"/>
      <c r="G24" s="210"/>
      <c r="H24" s="210"/>
      <c r="I24" s="2"/>
      <c r="J24" s="210"/>
      <c r="K24" s="210"/>
      <c r="L24" s="210"/>
      <c r="M24" s="210"/>
      <c r="N24" s="210"/>
      <c r="O24" s="210"/>
      <c r="P24" s="210"/>
      <c r="Q24" s="210"/>
      <c r="R24" s="210"/>
    </row>
    <row r="25" spans="1:19" x14ac:dyDescent="0.2">
      <c r="A25" s="41">
        <f t="shared" si="0"/>
        <v>17</v>
      </c>
      <c r="B25" s="41"/>
      <c r="F25" s="2"/>
      <c r="G25" s="210"/>
      <c r="H25" s="210"/>
      <c r="I25" s="2"/>
      <c r="J25" s="210"/>
      <c r="K25" s="210"/>
      <c r="L25" s="210"/>
      <c r="M25" s="210"/>
      <c r="N25" s="210"/>
      <c r="O25" s="210"/>
      <c r="P25" s="210"/>
      <c r="Q25" s="210"/>
      <c r="R25" s="210"/>
    </row>
    <row r="26" spans="1:19" x14ac:dyDescent="0.2">
      <c r="A26" s="41">
        <f t="shared" si="0"/>
        <v>18</v>
      </c>
      <c r="B26" s="41"/>
      <c r="C26" s="304" t="s">
        <v>443</v>
      </c>
      <c r="F26" s="2"/>
      <c r="G26" s="4">
        <f>+H26</f>
        <v>67891.328130000009</v>
      </c>
      <c r="H26" s="4">
        <v>67891.328130000009</v>
      </c>
      <c r="I26" s="2"/>
      <c r="J26" s="4">
        <f>+G33</f>
        <v>71230.813349999997</v>
      </c>
      <c r="K26" s="4">
        <f>+H33</f>
        <v>70846.451130000001</v>
      </c>
      <c r="L26" s="4"/>
      <c r="M26" s="4">
        <f>+J33</f>
        <v>73399.345220000003</v>
      </c>
      <c r="N26" s="4">
        <f>+K33</f>
        <v>75155.612633909652</v>
      </c>
      <c r="O26" s="4"/>
      <c r="P26" s="4">
        <f>+M33</f>
        <v>77828.19922000001</v>
      </c>
      <c r="Q26" s="4"/>
      <c r="R26" s="4">
        <f>+P33</f>
        <v>82504.306912000015</v>
      </c>
    </row>
    <row r="27" spans="1:19" s="325" customFormat="1" x14ac:dyDescent="0.2">
      <c r="A27" s="41">
        <f t="shared" si="0"/>
        <v>19</v>
      </c>
      <c r="B27" s="41"/>
      <c r="C27" s="325" t="s">
        <v>446</v>
      </c>
      <c r="D27" s="3"/>
      <c r="E27" s="6"/>
      <c r="F27" s="171"/>
      <c r="G27" s="118">
        <v>0</v>
      </c>
      <c r="H27" s="119">
        <v>0</v>
      </c>
      <c r="I27" s="118"/>
      <c r="J27" s="119">
        <v>0</v>
      </c>
      <c r="K27" s="119">
        <v>0</v>
      </c>
      <c r="L27" s="119"/>
      <c r="M27" s="119">
        <v>0</v>
      </c>
      <c r="N27" s="119">
        <v>0</v>
      </c>
      <c r="O27" s="119"/>
      <c r="P27" s="119">
        <v>0</v>
      </c>
      <c r="Q27" s="119"/>
      <c r="R27" s="119">
        <v>0</v>
      </c>
    </row>
    <row r="28" spans="1:19" x14ac:dyDescent="0.2">
      <c r="A28" s="41">
        <f t="shared" si="0"/>
        <v>20</v>
      </c>
      <c r="B28" s="41"/>
      <c r="C28" s="304" t="s">
        <v>475</v>
      </c>
      <c r="E28" s="6" t="s">
        <v>300</v>
      </c>
      <c r="F28" s="2"/>
      <c r="G28" s="210">
        <v>4381.8509999999997</v>
      </c>
      <c r="H28" s="210">
        <f>S7.1!H13</f>
        <v>4520.1229999999996</v>
      </c>
      <c r="I28" s="2"/>
      <c r="J28" s="210">
        <f>S7.1!J13</f>
        <v>4895</v>
      </c>
      <c r="K28" s="210">
        <f>S7.1!K13</f>
        <v>5252.1229999999996</v>
      </c>
      <c r="L28" s="210"/>
      <c r="M28" s="210">
        <f>S7.1!M13</f>
        <v>5412</v>
      </c>
      <c r="N28" s="210">
        <f>S7.1!N13</f>
        <v>5778.1229999999996</v>
      </c>
      <c r="O28" s="210"/>
      <c r="P28" s="210">
        <f>S7.1!P13</f>
        <v>5791.7673333333332</v>
      </c>
      <c r="Q28" s="210"/>
      <c r="R28" s="210">
        <f>S7.1!R13</f>
        <v>6283.0002199999999</v>
      </c>
    </row>
    <row r="29" spans="1:19" x14ac:dyDescent="0.2">
      <c r="A29" s="41">
        <f t="shared" si="0"/>
        <v>21</v>
      </c>
      <c r="B29" s="41"/>
      <c r="C29" s="304" t="s">
        <v>476</v>
      </c>
      <c r="E29" s="305" t="s">
        <v>479</v>
      </c>
      <c r="F29" s="2"/>
      <c r="G29" s="210">
        <f>S7.1!G11*-1</f>
        <v>93.48</v>
      </c>
      <c r="H29" s="210">
        <f>S7.1!H11*-1</f>
        <v>75</v>
      </c>
      <c r="I29" s="2"/>
      <c r="J29" s="210">
        <f>S7.1!J11*-1</f>
        <v>70.587000000000003</v>
      </c>
      <c r="K29" s="210">
        <f>S7.1!K11*-1</f>
        <v>82</v>
      </c>
      <c r="L29" s="210"/>
      <c r="M29" s="210">
        <f>S7.1!M11*-1</f>
        <v>101</v>
      </c>
      <c r="N29" s="210">
        <f>S7.1!N11*-1</f>
        <v>87</v>
      </c>
      <c r="O29" s="210"/>
      <c r="P29" s="210">
        <f>S7.1!P11*-1</f>
        <v>88.355666666666664</v>
      </c>
      <c r="Q29" s="210"/>
      <c r="R29" s="210">
        <f>S7.1!R11*-1</f>
        <v>90.122780000000006</v>
      </c>
    </row>
    <row r="30" spans="1:19" x14ac:dyDescent="0.2">
      <c r="A30" s="41">
        <f t="shared" si="0"/>
        <v>22</v>
      </c>
      <c r="B30" s="41"/>
      <c r="C30" s="304" t="s">
        <v>477</v>
      </c>
      <c r="F30" s="2"/>
      <c r="G30" s="146">
        <v>-230</v>
      </c>
      <c r="H30" s="146">
        <v>-200</v>
      </c>
      <c r="I30" s="2"/>
      <c r="J30" s="146">
        <v>-483</v>
      </c>
      <c r="K30" s="146">
        <v>-50</v>
      </c>
      <c r="L30" s="146"/>
      <c r="M30" s="146">
        <v>-44</v>
      </c>
      <c r="N30" s="146">
        <v>-50</v>
      </c>
      <c r="O30" s="146"/>
      <c r="P30" s="146">
        <v>-50</v>
      </c>
      <c r="Q30" s="146"/>
      <c r="R30" s="146">
        <v>-50</v>
      </c>
    </row>
    <row r="31" spans="1:19" x14ac:dyDescent="0.2">
      <c r="A31" s="41">
        <f t="shared" si="0"/>
        <v>23</v>
      </c>
      <c r="B31" s="41"/>
      <c r="C31" s="304" t="s">
        <v>139</v>
      </c>
      <c r="E31" s="305" t="s">
        <v>445</v>
      </c>
      <c r="F31" s="2"/>
      <c r="G31" s="36">
        <f>+G15</f>
        <v>-905.84577999999988</v>
      </c>
      <c r="H31" s="36">
        <f>+H15</f>
        <v>-1440</v>
      </c>
      <c r="I31" s="2"/>
      <c r="J31" s="36">
        <f>+J15</f>
        <v>-2314.0551300000002</v>
      </c>
      <c r="K31" s="36">
        <f>+K15</f>
        <v>-974.96149609034273</v>
      </c>
      <c r="L31" s="146"/>
      <c r="M31" s="36">
        <f>+M15</f>
        <v>-1040.146</v>
      </c>
      <c r="N31" s="36">
        <f>+N15</f>
        <v>-794</v>
      </c>
      <c r="O31" s="146"/>
      <c r="P31" s="36">
        <f>+P15</f>
        <v>-1154.015308</v>
      </c>
      <c r="Q31" s="146"/>
      <c r="R31" s="36">
        <f>+R15</f>
        <v>-740.83201799999995</v>
      </c>
    </row>
    <row r="32" spans="1:19" x14ac:dyDescent="0.2">
      <c r="A32" s="41">
        <f t="shared" si="0"/>
        <v>24</v>
      </c>
      <c r="B32" s="41"/>
      <c r="F32" s="2"/>
      <c r="G32" s="210"/>
      <c r="H32" s="210"/>
      <c r="I32" s="2"/>
      <c r="J32" s="210"/>
      <c r="K32" s="210"/>
      <c r="L32" s="210"/>
      <c r="M32" s="210"/>
      <c r="N32" s="210"/>
      <c r="O32" s="210"/>
      <c r="P32" s="210"/>
      <c r="Q32" s="210"/>
      <c r="R32" s="210"/>
    </row>
    <row r="33" spans="1:19" x14ac:dyDescent="0.2">
      <c r="A33" s="41">
        <f t="shared" si="0"/>
        <v>25</v>
      </c>
      <c r="B33" s="41"/>
      <c r="C33" s="304" t="s">
        <v>473</v>
      </c>
      <c r="E33" s="6" t="s">
        <v>243</v>
      </c>
      <c r="F33" s="2"/>
      <c r="G33" s="36">
        <f>SUM(G26:G31)</f>
        <v>71230.813349999997</v>
      </c>
      <c r="H33" s="36">
        <f>SUM(H26:H31)</f>
        <v>70846.451130000001</v>
      </c>
      <c r="I33" s="2"/>
      <c r="J33" s="36">
        <f>SUM(J26:J31)</f>
        <v>73399.345220000003</v>
      </c>
      <c r="K33" s="36">
        <f>SUM(K26:K31)</f>
        <v>75155.612633909652</v>
      </c>
      <c r="L33" s="146"/>
      <c r="M33" s="36">
        <f>SUM(M26:M31)</f>
        <v>77828.19922000001</v>
      </c>
      <c r="N33" s="36">
        <f>SUM(N26:N31)</f>
        <v>80176.735633909644</v>
      </c>
      <c r="O33" s="146"/>
      <c r="P33" s="36">
        <f>SUM(P26:P31)</f>
        <v>82504.306912000015</v>
      </c>
      <c r="Q33" s="146"/>
      <c r="R33" s="36">
        <f>SUM(R26:R31)</f>
        <v>88086.59789400002</v>
      </c>
    </row>
    <row r="34" spans="1:19" ht="13.5" x14ac:dyDescent="0.25">
      <c r="A34" s="41">
        <f t="shared" si="0"/>
        <v>26</v>
      </c>
      <c r="B34" s="41"/>
      <c r="F34" s="2"/>
      <c r="G34" s="210"/>
      <c r="H34" s="210"/>
      <c r="I34" s="2"/>
      <c r="J34" s="210"/>
      <c r="K34" s="370"/>
      <c r="L34" s="210"/>
      <c r="M34" s="370"/>
      <c r="N34" s="210"/>
      <c r="O34" s="210"/>
      <c r="P34" s="210"/>
      <c r="Q34" s="210"/>
      <c r="R34" s="210"/>
      <c r="S34" s="81"/>
    </row>
    <row r="35" spans="1:19" x14ac:dyDescent="0.2">
      <c r="A35" s="41">
        <f t="shared" si="0"/>
        <v>27</v>
      </c>
      <c r="B35" s="41"/>
      <c r="F35" s="2"/>
      <c r="G35" s="210"/>
      <c r="H35" s="210"/>
      <c r="I35" s="2"/>
      <c r="J35" s="210"/>
      <c r="K35" s="210"/>
      <c r="L35" s="210"/>
      <c r="M35" s="210"/>
      <c r="N35" s="210"/>
      <c r="O35" s="210"/>
      <c r="P35" s="210"/>
      <c r="Q35" s="210"/>
      <c r="R35" s="210"/>
      <c r="S35" s="81"/>
    </row>
    <row r="36" spans="1:19" s="35" customFormat="1" ht="13.5" thickBot="1" x14ac:dyDescent="0.25">
      <c r="A36" s="41">
        <f t="shared" si="0"/>
        <v>28</v>
      </c>
      <c r="B36" s="41"/>
      <c r="C36" s="35" t="s">
        <v>137</v>
      </c>
      <c r="D36" s="51"/>
      <c r="E36" s="345"/>
      <c r="F36" s="123"/>
      <c r="G36" s="390">
        <f>+G22-G33</f>
        <v>110902.43838000002</v>
      </c>
      <c r="H36" s="390">
        <f>+H22-H33</f>
        <v>114653.77437999999</v>
      </c>
      <c r="I36" s="123"/>
      <c r="J36" s="390">
        <f>+J22-J33</f>
        <v>123256.85138000002</v>
      </c>
      <c r="K36" s="390">
        <f>+K22-K33</f>
        <v>129061.77638</v>
      </c>
      <c r="L36" s="362"/>
      <c r="M36" s="390">
        <f>+M22-M33</f>
        <v>128481.85138000001</v>
      </c>
      <c r="N36" s="390">
        <f>+N22-N33</f>
        <v>137730.75438</v>
      </c>
      <c r="O36" s="362"/>
      <c r="P36" s="390">
        <f>+P22-P33</f>
        <v>137871.51637999999</v>
      </c>
      <c r="Q36" s="362"/>
      <c r="R36" s="390">
        <f>+R22-R33</f>
        <v>146866.577016</v>
      </c>
    </row>
  </sheetData>
  <customSheetViews>
    <customSheetView guid="{275E5119-9E8C-43ED-ACD2-DF40CF10B219}" scale="85">
      <selection activeCell="R22" sqref="R22"/>
      <pageMargins left="0.57999999999999996" right="0.56999999999999995" top="1" bottom="1" header="0.5" footer="0.5"/>
      <pageSetup scale="85" fitToHeight="2" orientation="landscape" r:id="rId1"/>
      <headerFooter alignWithMargins="0"/>
    </customSheetView>
    <customSheetView guid="{D346ECD1-ED60-4F74-8B02-572F89E41ACB}" scale="85" showPageBreaks="1" showRuler="0">
      <selection activeCell="J30" sqref="J30"/>
      <pageMargins left="0.57999999999999996" right="0.56999999999999995" top="1" bottom="1" header="0.5" footer="0.5"/>
      <pageSetup scale="85" fitToHeight="2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84" fitToHeight="2" orientation="landscape" r:id="rId3"/>
  <headerFooter alignWithMargins="0">
    <oddHeader>&amp;RUndertaking 17 - Page 527, Lines 15-17, Attachment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87"/>
  <sheetViews>
    <sheetView view="pageBreakPreview" topLeftCell="B26" zoomScale="70" zoomScaleNormal="70" zoomScaleSheetLayoutView="70" workbookViewId="0">
      <selection activeCell="C90" sqref="C90"/>
    </sheetView>
  </sheetViews>
  <sheetFormatPr defaultColWidth="7.5703125" defaultRowHeight="12.75" x14ac:dyDescent="0.2"/>
  <cols>
    <col min="1" max="1" width="6.28515625" style="293" bestFit="1" customWidth="1"/>
    <col min="2" max="2" width="2.28515625" style="293" customWidth="1"/>
    <col min="3" max="3" width="69.5703125" style="293" customWidth="1"/>
    <col min="4" max="4" width="2.28515625" style="293" customWidth="1"/>
    <col min="5" max="5" width="13.42578125" style="336" bestFit="1" customWidth="1"/>
    <col min="6" max="6" width="2.5703125" style="293" customWidth="1"/>
    <col min="7" max="8" width="12.5703125" style="293" customWidth="1"/>
    <col min="9" max="9" width="2.28515625" style="293" customWidth="1"/>
    <col min="10" max="11" width="12.5703125" style="293" customWidth="1"/>
    <col min="12" max="12" width="2.28515625" style="293" customWidth="1"/>
    <col min="13" max="14" width="12.5703125" style="293" customWidth="1"/>
    <col min="15" max="15" width="3.42578125" style="293" customWidth="1"/>
    <col min="16" max="17" width="12.5703125" style="293" customWidth="1"/>
    <col min="18" max="18" width="2.28515625" style="293" customWidth="1"/>
    <col min="19" max="20" width="12.5703125" style="293" customWidth="1"/>
    <col min="21" max="21" width="2.28515625" style="293" customWidth="1"/>
    <col min="22" max="16384" width="7.5703125" style="293"/>
  </cols>
  <sheetData>
    <row r="1" spans="1:21" s="292" customFormat="1" ht="15.75" x14ac:dyDescent="0.25">
      <c r="A1" s="261" t="s">
        <v>1006</v>
      </c>
      <c r="B1" s="245"/>
      <c r="C1" s="245"/>
      <c r="D1" s="245"/>
      <c r="E1" s="245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261"/>
      <c r="T1" s="245"/>
      <c r="U1" s="58" t="s">
        <v>551</v>
      </c>
    </row>
    <row r="2" spans="1:21" s="292" customFormat="1" ht="15.75" x14ac:dyDescent="0.25">
      <c r="A2" s="261" t="s">
        <v>555</v>
      </c>
      <c r="B2" s="245"/>
      <c r="C2" s="245"/>
      <c r="D2" s="245"/>
      <c r="E2" s="245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261"/>
      <c r="T2" s="245"/>
      <c r="U2" s="58" t="s">
        <v>888</v>
      </c>
    </row>
    <row r="3" spans="1:21" s="292" customFormat="1" ht="15.75" x14ac:dyDescent="0.25">
      <c r="A3" s="261" t="s">
        <v>35</v>
      </c>
      <c r="B3" s="245"/>
      <c r="C3" s="245"/>
      <c r="D3" s="245"/>
      <c r="E3" s="245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261"/>
      <c r="T3" s="245"/>
      <c r="U3" s="83"/>
    </row>
    <row r="4" spans="1:21" s="292" customFormat="1" ht="15.75" x14ac:dyDescent="0.25">
      <c r="A4" s="582"/>
      <c r="B4" s="83"/>
      <c r="C4" s="83"/>
      <c r="D4" s="83"/>
      <c r="E4" s="83"/>
    </row>
    <row r="5" spans="1:21" s="292" customFormat="1" ht="15.75" x14ac:dyDescent="0.25">
      <c r="A5" s="582"/>
      <c r="B5" s="582"/>
      <c r="C5" s="582"/>
      <c r="D5" s="582"/>
      <c r="E5" s="582"/>
      <c r="F5" s="241"/>
      <c r="G5" s="241"/>
      <c r="H5" s="241"/>
      <c r="I5" s="241"/>
      <c r="J5" s="241"/>
      <c r="K5" s="241"/>
      <c r="L5" s="241"/>
      <c r="M5" s="241"/>
      <c r="N5" s="557"/>
      <c r="O5" s="557"/>
      <c r="P5" s="605" t="s">
        <v>293</v>
      </c>
      <c r="Q5" s="605"/>
      <c r="R5" s="605"/>
      <c r="S5" s="605"/>
      <c r="T5" s="605"/>
      <c r="U5" s="241"/>
    </row>
    <row r="6" spans="1:21" s="292" customFormat="1" ht="15.75" x14ac:dyDescent="0.25">
      <c r="A6" s="378" t="s">
        <v>19</v>
      </c>
      <c r="B6" s="582"/>
      <c r="C6" s="582"/>
      <c r="D6" s="582"/>
      <c r="E6" s="582" t="s">
        <v>20</v>
      </c>
      <c r="F6" s="582"/>
      <c r="G6" s="242" t="s">
        <v>11</v>
      </c>
      <c r="H6" s="242" t="s">
        <v>4</v>
      </c>
      <c r="I6" s="582"/>
      <c r="J6" s="242" t="s">
        <v>11</v>
      </c>
      <c r="K6" s="242" t="s">
        <v>4</v>
      </c>
      <c r="L6" s="582"/>
      <c r="M6" s="242" t="s">
        <v>11</v>
      </c>
      <c r="N6" s="242" t="s">
        <v>4</v>
      </c>
      <c r="O6" s="320"/>
      <c r="P6" s="606">
        <v>2016</v>
      </c>
      <c r="Q6" s="606"/>
      <c r="R6" s="320"/>
      <c r="S6" s="606">
        <v>2017</v>
      </c>
      <c r="T6" s="606"/>
      <c r="U6" s="389"/>
    </row>
    <row r="7" spans="1:21" s="292" customFormat="1" ht="15.75" x14ac:dyDescent="0.25">
      <c r="A7" s="379" t="s">
        <v>21</v>
      </c>
      <c r="B7" s="582"/>
      <c r="C7" s="589" t="s">
        <v>149</v>
      </c>
      <c r="D7" s="240"/>
      <c r="E7" s="589" t="s">
        <v>22</v>
      </c>
      <c r="F7" s="582"/>
      <c r="G7" s="315">
        <v>2013</v>
      </c>
      <c r="H7" s="315">
        <v>2013</v>
      </c>
      <c r="I7" s="389"/>
      <c r="J7" s="315">
        <v>2014</v>
      </c>
      <c r="K7" s="315">
        <v>2014</v>
      </c>
      <c r="L7" s="389"/>
      <c r="M7" s="315">
        <v>2015</v>
      </c>
      <c r="N7" s="315">
        <v>2015</v>
      </c>
      <c r="P7" s="589" t="s">
        <v>182</v>
      </c>
      <c r="Q7" s="274" t="s">
        <v>400</v>
      </c>
      <c r="S7" s="589" t="s">
        <v>182</v>
      </c>
      <c r="T7" s="274" t="s">
        <v>400</v>
      </c>
      <c r="U7" s="582"/>
    </row>
    <row r="8" spans="1:21" s="292" customFormat="1" ht="9" customHeight="1" x14ac:dyDescent="0.25">
      <c r="A8" s="380"/>
      <c r="B8" s="582"/>
      <c r="C8" s="240"/>
      <c r="D8" s="240"/>
      <c r="E8" s="240"/>
      <c r="F8" s="582"/>
      <c r="G8" s="582"/>
      <c r="H8" s="582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</row>
    <row r="9" spans="1:21" s="292" customFormat="1" ht="15.75" x14ac:dyDescent="0.25">
      <c r="A9" s="381">
        <v>1</v>
      </c>
      <c r="C9" s="251" t="s">
        <v>36</v>
      </c>
      <c r="D9" s="251"/>
      <c r="E9" s="582"/>
    </row>
    <row r="10" spans="1:21" s="292" customFormat="1" ht="15" x14ac:dyDescent="0.2">
      <c r="A10" s="381">
        <v>2</v>
      </c>
      <c r="C10" s="292" t="s">
        <v>246</v>
      </c>
      <c r="E10" s="83"/>
      <c r="G10" s="280">
        <v>14194</v>
      </c>
      <c r="H10" s="280">
        <v>14191.5679240355</v>
      </c>
      <c r="I10" s="280"/>
      <c r="J10" s="280">
        <v>14409</v>
      </c>
      <c r="K10" s="280">
        <v>14400.666666666668</v>
      </c>
      <c r="L10" s="280"/>
      <c r="M10" s="280">
        <v>14631</v>
      </c>
      <c r="N10" s="280">
        <v>14647.166666666666</v>
      </c>
      <c r="O10" s="280"/>
      <c r="P10" s="280">
        <v>14851.01</v>
      </c>
      <c r="Q10" s="280"/>
      <c r="R10" s="280"/>
      <c r="S10" s="280">
        <v>15038.78</v>
      </c>
      <c r="T10" s="280"/>
      <c r="U10" s="280"/>
    </row>
    <row r="11" spans="1:21" s="292" customFormat="1" ht="15" x14ac:dyDescent="0.2">
      <c r="A11" s="381">
        <v>3</v>
      </c>
      <c r="C11" s="292" t="s">
        <v>38</v>
      </c>
      <c r="E11" s="83"/>
      <c r="G11" s="280">
        <v>148780</v>
      </c>
      <c r="H11" s="280">
        <v>148009.61910925599</v>
      </c>
      <c r="I11" s="280"/>
      <c r="J11" s="280">
        <v>147253.30958</v>
      </c>
      <c r="K11" s="280">
        <v>154383.76135252469</v>
      </c>
      <c r="L11" s="280"/>
      <c r="M11" s="280">
        <v>148605</v>
      </c>
      <c r="N11" s="280">
        <v>157032.44520037633</v>
      </c>
      <c r="O11" s="280"/>
      <c r="P11" s="280">
        <v>147111.49391498131</v>
      </c>
      <c r="Q11" s="280"/>
      <c r="R11" s="280"/>
      <c r="S11" s="280">
        <v>151617.40499771156</v>
      </c>
      <c r="T11" s="280"/>
      <c r="U11" s="280"/>
    </row>
    <row r="12" spans="1:21" s="213" customFormat="1" ht="15" x14ac:dyDescent="0.2">
      <c r="A12" s="381">
        <v>4</v>
      </c>
      <c r="C12" s="213" t="s">
        <v>39</v>
      </c>
      <c r="E12" s="218"/>
      <c r="G12" s="307">
        <f>G11/G10</f>
        <v>10.481893757925883</v>
      </c>
      <c r="H12" s="307">
        <f>H11/H10</f>
        <v>10.429405679592316</v>
      </c>
      <c r="I12" s="307"/>
      <c r="J12" s="307">
        <f>J11/J10</f>
        <v>10.219537065722813</v>
      </c>
      <c r="K12" s="307">
        <f>K11/K10</f>
        <v>10.720598214378363</v>
      </c>
      <c r="L12" s="307"/>
      <c r="M12" s="307">
        <f>M11/M10</f>
        <v>10.156858724625794</v>
      </c>
      <c r="N12" s="307">
        <f>N11/N10</f>
        <v>10.721011699671815</v>
      </c>
      <c r="O12" s="307"/>
      <c r="P12" s="307">
        <f>P11/P10</f>
        <v>9.9058241772769193</v>
      </c>
      <c r="Q12" s="307"/>
      <c r="R12" s="307"/>
      <c r="S12" s="307">
        <f>S11/S10</f>
        <v>10.081762283756499</v>
      </c>
      <c r="T12" s="307"/>
      <c r="U12" s="307"/>
    </row>
    <row r="13" spans="1:21" s="292" customFormat="1" ht="15" x14ac:dyDescent="0.2">
      <c r="A13" s="381">
        <v>5</v>
      </c>
      <c r="C13" s="292" t="s">
        <v>40</v>
      </c>
      <c r="E13" s="69"/>
      <c r="G13" s="280">
        <v>21070.134895999996</v>
      </c>
      <c r="H13" s="280">
        <v>20764.755924510198</v>
      </c>
      <c r="I13" s="280"/>
      <c r="J13" s="280">
        <v>20628.841860000004</v>
      </c>
      <c r="K13" s="280">
        <v>21657.452813351982</v>
      </c>
      <c r="L13" s="280"/>
      <c r="M13" s="109">
        <v>20839.353944000002</v>
      </c>
      <c r="N13" s="280">
        <v>22028.906305485667</v>
      </c>
      <c r="O13" s="280"/>
      <c r="P13" s="280">
        <v>20847.328670167335</v>
      </c>
      <c r="Q13" s="280"/>
      <c r="R13" s="280"/>
      <c r="S13" s="280">
        <v>21446.381677932884</v>
      </c>
      <c r="T13" s="280"/>
      <c r="U13" s="280"/>
    </row>
    <row r="14" spans="1:21" s="212" customFormat="1" ht="15" x14ac:dyDescent="0.2">
      <c r="A14" s="381">
        <v>6</v>
      </c>
      <c r="C14" s="212" t="s">
        <v>531</v>
      </c>
      <c r="E14" s="217"/>
      <c r="G14" s="307">
        <f>G13/G11*100</f>
        <v>14.161940379083207</v>
      </c>
      <c r="H14" s="307">
        <f>H13/H11*100</f>
        <v>14.029328667606608</v>
      </c>
      <c r="I14" s="307"/>
      <c r="J14" s="307">
        <f>J13/J11*100</f>
        <v>14.009085377325754</v>
      </c>
      <c r="K14" s="307">
        <f>K13/K11*100</f>
        <v>14.028323072074064</v>
      </c>
      <c r="L14" s="307"/>
      <c r="M14" s="307">
        <f>M13/M11*100</f>
        <v>14.023319500689748</v>
      </c>
      <c r="N14" s="307">
        <f>N13/N11*100</f>
        <v>14.028251472093153</v>
      </c>
      <c r="O14" s="307"/>
      <c r="P14" s="307">
        <f>P13/P11*100</f>
        <v>14.171107991205245</v>
      </c>
      <c r="Q14" s="307"/>
      <c r="R14" s="307"/>
      <c r="S14" s="307">
        <f>S13/S11*100</f>
        <v>14.14506578466805</v>
      </c>
      <c r="T14" s="307"/>
      <c r="U14" s="307"/>
    </row>
    <row r="15" spans="1:21" s="292" customFormat="1" ht="3.75" customHeight="1" x14ac:dyDescent="0.2">
      <c r="A15" s="381"/>
      <c r="E15" s="83"/>
    </row>
    <row r="16" spans="1:21" s="292" customFormat="1" ht="17.25" customHeight="1" x14ac:dyDescent="0.25">
      <c r="A16" s="381">
        <v>7</v>
      </c>
      <c r="C16" s="251" t="s">
        <v>41</v>
      </c>
      <c r="D16" s="251"/>
      <c r="E16" s="582"/>
    </row>
    <row r="17" spans="1:21" s="216" customFormat="1" ht="15" x14ac:dyDescent="0.2">
      <c r="A17" s="381">
        <v>8</v>
      </c>
      <c r="C17" s="216" t="s">
        <v>246</v>
      </c>
      <c r="E17" s="214"/>
      <c r="G17" s="280">
        <v>2918</v>
      </c>
      <c r="H17" s="280">
        <v>2921.9779525641002</v>
      </c>
      <c r="I17" s="280"/>
      <c r="J17" s="280">
        <v>2938</v>
      </c>
      <c r="K17" s="280">
        <v>2903.1666666666661</v>
      </c>
      <c r="L17" s="280"/>
      <c r="M17" s="280">
        <v>2988</v>
      </c>
      <c r="N17" s="280">
        <v>2948.0833333333339</v>
      </c>
      <c r="O17" s="280"/>
      <c r="P17" s="280">
        <v>2998.12</v>
      </c>
      <c r="Q17" s="280"/>
      <c r="R17" s="280"/>
      <c r="S17" s="280">
        <v>3038.51</v>
      </c>
      <c r="T17" s="280"/>
      <c r="U17" s="280"/>
    </row>
    <row r="18" spans="1:21" s="216" customFormat="1" ht="15" x14ac:dyDescent="0.2">
      <c r="A18" s="381">
        <v>9</v>
      </c>
      <c r="C18" s="216" t="s">
        <v>38</v>
      </c>
      <c r="E18" s="214"/>
      <c r="G18" s="280">
        <v>159322</v>
      </c>
      <c r="H18" s="280">
        <v>157605.58926057199</v>
      </c>
      <c r="I18" s="280"/>
      <c r="J18" s="280">
        <v>154709.35897000003</v>
      </c>
      <c r="K18" s="280">
        <v>165106.05756217943</v>
      </c>
      <c r="L18" s="280"/>
      <c r="M18" s="280">
        <v>155346</v>
      </c>
      <c r="N18" s="280">
        <v>168853.30929996865</v>
      </c>
      <c r="O18" s="280"/>
      <c r="P18" s="280">
        <v>152187.23106624119</v>
      </c>
      <c r="Q18" s="280"/>
      <c r="R18" s="280"/>
      <c r="S18" s="280">
        <v>153335.73017280741</v>
      </c>
      <c r="T18" s="280"/>
      <c r="U18" s="280"/>
    </row>
    <row r="19" spans="1:21" s="213" customFormat="1" ht="15" x14ac:dyDescent="0.2">
      <c r="A19" s="381">
        <v>10</v>
      </c>
      <c r="C19" s="213" t="s">
        <v>39</v>
      </c>
      <c r="E19" s="218"/>
      <c r="G19" s="307">
        <f>G18/G17</f>
        <v>54.599725839616177</v>
      </c>
      <c r="H19" s="307">
        <f>H18/H17</f>
        <v>53.937980306206484</v>
      </c>
      <c r="I19" s="307"/>
      <c r="J19" s="307">
        <f>J18/J17</f>
        <v>52.658052746766515</v>
      </c>
      <c r="K19" s="307">
        <f>K18/K17</f>
        <v>56.871022755214234</v>
      </c>
      <c r="L19" s="307"/>
      <c r="M19" s="307">
        <f>M18/M17</f>
        <v>51.989959839357432</v>
      </c>
      <c r="N19" s="307">
        <f>N18/N17</f>
        <v>57.275622907528152</v>
      </c>
      <c r="O19" s="307"/>
      <c r="P19" s="307">
        <f>P18/P17</f>
        <v>50.760887178045309</v>
      </c>
      <c r="Q19" s="307"/>
      <c r="R19" s="307"/>
      <c r="S19" s="307">
        <f>S18/S17</f>
        <v>50.464118983583205</v>
      </c>
      <c r="T19" s="307"/>
      <c r="U19" s="307"/>
    </row>
    <row r="20" spans="1:21" s="216" customFormat="1" ht="15" x14ac:dyDescent="0.2">
      <c r="A20" s="381">
        <v>11</v>
      </c>
      <c r="C20" s="216" t="s">
        <v>40</v>
      </c>
      <c r="E20" s="215"/>
      <c r="G20" s="280">
        <v>26304.973084000001</v>
      </c>
      <c r="H20" s="280">
        <v>25752.617207966301</v>
      </c>
      <c r="I20" s="280"/>
      <c r="J20" s="280">
        <v>25509.337670000001</v>
      </c>
      <c r="K20" s="280">
        <v>27016.484972085869</v>
      </c>
      <c r="L20" s="280"/>
      <c r="M20" s="280">
        <v>25533.504926000001</v>
      </c>
      <c r="N20" s="280">
        <v>27651.75015666203</v>
      </c>
      <c r="O20" s="280"/>
      <c r="P20" s="280">
        <v>24926.090894483041</v>
      </c>
      <c r="Q20" s="280"/>
      <c r="R20" s="280"/>
      <c r="S20" s="280">
        <v>25043.982661234561</v>
      </c>
      <c r="T20" s="280"/>
      <c r="U20" s="280"/>
    </row>
    <row r="21" spans="1:21" s="212" customFormat="1" ht="15" x14ac:dyDescent="0.2">
      <c r="A21" s="381">
        <v>12</v>
      </c>
      <c r="C21" s="212" t="s">
        <v>531</v>
      </c>
      <c r="E21" s="217"/>
      <c r="G21" s="307">
        <f>G20/G18*100</f>
        <v>16.510571725185475</v>
      </c>
      <c r="H21" s="307">
        <f>H20/H18*100</f>
        <v>16.339913659653952</v>
      </c>
      <c r="I21" s="307"/>
      <c r="J21" s="307">
        <f>J20/J18*100</f>
        <v>16.488554952222742</v>
      </c>
      <c r="K21" s="307">
        <f>K20/K18*100</f>
        <v>16.36310948913027</v>
      </c>
      <c r="L21" s="307"/>
      <c r="M21" s="307">
        <f>M20/M18*100</f>
        <v>16.436538389144236</v>
      </c>
      <c r="N21" s="307">
        <f>N20/N18*100</f>
        <v>16.376196754034932</v>
      </c>
      <c r="O21" s="307"/>
      <c r="P21" s="307">
        <f>P20/P18*100</f>
        <v>16.378569161057722</v>
      </c>
      <c r="Q21" s="307"/>
      <c r="R21" s="307"/>
      <c r="S21" s="307">
        <f>S20/S18*100</f>
        <v>16.332776863559662</v>
      </c>
      <c r="T21" s="307"/>
      <c r="U21" s="307"/>
    </row>
    <row r="22" spans="1:21" s="212" customFormat="1" ht="4.5" customHeight="1" x14ac:dyDescent="0.2">
      <c r="A22" s="381"/>
      <c r="E22" s="217"/>
    </row>
    <row r="23" spans="1:21" s="212" customFormat="1" ht="15.75" x14ac:dyDescent="0.25">
      <c r="A23" s="381">
        <f>+A21+1</f>
        <v>13</v>
      </c>
      <c r="C23" s="251" t="s">
        <v>406</v>
      </c>
      <c r="E23" s="217"/>
    </row>
    <row r="24" spans="1:21" s="212" customFormat="1" ht="15" x14ac:dyDescent="0.2">
      <c r="A24" s="381">
        <f>A23+1</f>
        <v>14</v>
      </c>
      <c r="C24" s="216" t="s">
        <v>246</v>
      </c>
      <c r="E24" s="217"/>
      <c r="G24" s="280">
        <v>0</v>
      </c>
      <c r="H24" s="280">
        <v>0</v>
      </c>
      <c r="I24" s="280"/>
      <c r="J24" s="280">
        <v>0</v>
      </c>
      <c r="K24" s="280">
        <v>0</v>
      </c>
      <c r="L24" s="280"/>
      <c r="M24" s="280">
        <v>0</v>
      </c>
      <c r="N24" s="280">
        <v>0</v>
      </c>
      <c r="O24" s="280"/>
      <c r="P24" s="280">
        <v>0</v>
      </c>
      <c r="Q24" s="280"/>
      <c r="R24" s="280"/>
      <c r="S24" s="280">
        <v>0</v>
      </c>
      <c r="T24" s="280"/>
      <c r="U24" s="280"/>
    </row>
    <row r="25" spans="1:21" s="212" customFormat="1" ht="15" x14ac:dyDescent="0.2">
      <c r="A25" s="381">
        <f>A24+1</f>
        <v>15</v>
      </c>
      <c r="C25" s="216" t="s">
        <v>38</v>
      </c>
      <c r="E25" s="217"/>
      <c r="G25" s="280">
        <v>0</v>
      </c>
      <c r="H25" s="280">
        <v>0</v>
      </c>
      <c r="I25" s="280"/>
      <c r="J25" s="280">
        <v>0</v>
      </c>
      <c r="K25" s="280">
        <v>0</v>
      </c>
      <c r="L25" s="280"/>
      <c r="M25" s="280">
        <v>0</v>
      </c>
      <c r="N25" s="280">
        <v>0</v>
      </c>
      <c r="O25" s="280"/>
      <c r="P25" s="280">
        <v>0</v>
      </c>
      <c r="Q25" s="280"/>
      <c r="R25" s="280"/>
      <c r="S25" s="280">
        <v>0</v>
      </c>
      <c r="T25" s="280"/>
      <c r="U25" s="280"/>
    </row>
    <row r="26" spans="1:21" s="212" customFormat="1" ht="15" x14ac:dyDescent="0.2">
      <c r="A26" s="381">
        <f>A25+1</f>
        <v>16</v>
      </c>
      <c r="C26" s="213" t="s">
        <v>39</v>
      </c>
      <c r="E26" s="21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</row>
    <row r="27" spans="1:21" s="212" customFormat="1" ht="15" x14ac:dyDescent="0.2">
      <c r="A27" s="381">
        <f>A26+1</f>
        <v>17</v>
      </c>
      <c r="C27" s="216" t="s">
        <v>40</v>
      </c>
      <c r="E27" s="217"/>
      <c r="G27" s="280">
        <v>0</v>
      </c>
      <c r="H27" s="280">
        <v>0</v>
      </c>
      <c r="I27" s="280"/>
      <c r="J27" s="280">
        <v>0</v>
      </c>
      <c r="K27" s="280">
        <v>0</v>
      </c>
      <c r="L27" s="280"/>
      <c r="M27" s="280">
        <v>0</v>
      </c>
      <c r="N27" s="109">
        <v>0</v>
      </c>
      <c r="O27" s="280"/>
      <c r="P27" s="109">
        <v>0</v>
      </c>
      <c r="Q27" s="280"/>
      <c r="R27" s="280"/>
      <c r="S27" s="109">
        <v>0</v>
      </c>
      <c r="T27" s="280"/>
      <c r="U27" s="280"/>
    </row>
    <row r="28" spans="1:21" s="212" customFormat="1" ht="15" x14ac:dyDescent="0.2">
      <c r="A28" s="381">
        <f>A27+1</f>
        <v>18</v>
      </c>
      <c r="C28" s="212" t="s">
        <v>531</v>
      </c>
      <c r="E28" s="217"/>
      <c r="G28" s="307"/>
      <c r="H28" s="307"/>
      <c r="I28" s="307"/>
      <c r="J28" s="307"/>
      <c r="K28" s="307"/>
      <c r="L28" s="307"/>
      <c r="M28" s="307"/>
      <c r="N28" s="307"/>
      <c r="O28" s="307"/>
      <c r="P28" s="280">
        <v>0</v>
      </c>
      <c r="Q28" s="307"/>
      <c r="R28" s="307"/>
      <c r="S28" s="280">
        <v>0</v>
      </c>
      <c r="T28" s="307"/>
      <c r="U28" s="307"/>
    </row>
    <row r="29" spans="1:21" s="212" customFormat="1" ht="4.5" customHeight="1" x14ac:dyDescent="0.2">
      <c r="A29" s="381"/>
      <c r="E29" s="217"/>
      <c r="N29" s="292"/>
      <c r="O29" s="292"/>
      <c r="P29" s="292"/>
      <c r="Q29" s="292"/>
      <c r="R29" s="292"/>
      <c r="S29" s="292"/>
    </row>
    <row r="30" spans="1:21" s="292" customFormat="1" ht="15.75" x14ac:dyDescent="0.25">
      <c r="A30" s="381">
        <f>+A28+1</f>
        <v>19</v>
      </c>
      <c r="C30" s="251" t="s">
        <v>399</v>
      </c>
      <c r="D30" s="251"/>
      <c r="E30" s="582"/>
    </row>
    <row r="31" spans="1:21" s="216" customFormat="1" ht="15" x14ac:dyDescent="0.2">
      <c r="A31" s="381">
        <f>A30+1</f>
        <v>20</v>
      </c>
      <c r="C31" s="216" t="s">
        <v>38</v>
      </c>
      <c r="E31" s="214"/>
      <c r="G31" s="216">
        <v>3719</v>
      </c>
      <c r="H31" s="216">
        <v>3724.9</v>
      </c>
      <c r="J31" s="216">
        <v>3765.0223999999994</v>
      </c>
      <c r="K31" s="216">
        <v>3789.3879999999999</v>
      </c>
      <c r="M31" s="216">
        <v>3886</v>
      </c>
      <c r="N31" s="216">
        <v>3853.8760000000002</v>
      </c>
      <c r="P31" s="216">
        <v>3944.2087200000005</v>
      </c>
      <c r="S31" s="216">
        <v>4007.906500000001</v>
      </c>
    </row>
    <row r="32" spans="1:21" s="216" customFormat="1" ht="15" x14ac:dyDescent="0.2">
      <c r="A32" s="381">
        <f>A31+1</f>
        <v>21</v>
      </c>
      <c r="C32" s="216" t="s">
        <v>40</v>
      </c>
      <c r="E32" s="215"/>
      <c r="G32" s="216">
        <v>961.08730000000003</v>
      </c>
      <c r="H32" s="216">
        <v>951.45111999999972</v>
      </c>
      <c r="J32" s="216">
        <v>961.50877000000003</v>
      </c>
      <c r="K32" s="216">
        <v>966.09783999999991</v>
      </c>
      <c r="M32" s="216">
        <v>991.81943999999999</v>
      </c>
      <c r="N32" s="102">
        <v>980.74455999999964</v>
      </c>
      <c r="P32" s="216">
        <v>1002.2030200000004</v>
      </c>
      <c r="S32" s="216">
        <v>1020.3611600000005</v>
      </c>
    </row>
    <row r="33" spans="1:21" s="212" customFormat="1" ht="15" x14ac:dyDescent="0.2">
      <c r="A33" s="381">
        <f>A32+1</f>
        <v>22</v>
      </c>
      <c r="C33" s="212" t="s">
        <v>531</v>
      </c>
      <c r="E33" s="217"/>
      <c r="G33" s="212">
        <f>G32/G31*100</f>
        <v>25.842627050282335</v>
      </c>
      <c r="H33" s="212">
        <f>H32/H31*100</f>
        <v>25.542997664366819</v>
      </c>
      <c r="J33" s="212">
        <f>J32/J31*100</f>
        <v>25.537929601693744</v>
      </c>
      <c r="K33" s="212">
        <f>K32/K31*100</f>
        <v>25.494825021876881</v>
      </c>
      <c r="M33" s="212">
        <f>M32/M31*100</f>
        <v>25.522888317035513</v>
      </c>
      <c r="N33" s="212">
        <f>N32/N31*100</f>
        <v>25.448264552362339</v>
      </c>
      <c r="P33" s="212">
        <f>P32/P31*100</f>
        <v>25.409482386621779</v>
      </c>
      <c r="S33" s="212">
        <f>S32/S31*100</f>
        <v>25.458706683900939</v>
      </c>
    </row>
    <row r="34" spans="1:21" s="292" customFormat="1" ht="4.5" customHeight="1" x14ac:dyDescent="0.2">
      <c r="A34" s="381"/>
      <c r="E34" s="83"/>
    </row>
    <row r="35" spans="1:21" s="292" customFormat="1" ht="15.75" x14ac:dyDescent="0.25">
      <c r="A35" s="381">
        <f>+A33+1</f>
        <v>23</v>
      </c>
      <c r="C35" s="251" t="s">
        <v>522</v>
      </c>
      <c r="D35" s="251"/>
      <c r="E35" s="582"/>
    </row>
    <row r="36" spans="1:21" s="216" customFormat="1" ht="15" x14ac:dyDescent="0.2">
      <c r="A36" s="381">
        <f>A35+1</f>
        <v>24</v>
      </c>
      <c r="C36" s="216" t="s">
        <v>38</v>
      </c>
      <c r="E36" s="214"/>
      <c r="G36" s="280">
        <v>551</v>
      </c>
      <c r="H36" s="280">
        <v>554.10799999999995</v>
      </c>
      <c r="I36" s="280"/>
      <c r="J36" s="280">
        <v>544.08078999999998</v>
      </c>
      <c r="K36" s="280">
        <v>544.16</v>
      </c>
      <c r="L36" s="280"/>
      <c r="M36" s="280">
        <v>519</v>
      </c>
      <c r="N36" s="280">
        <v>534.21199999999999</v>
      </c>
      <c r="O36" s="280"/>
      <c r="P36" s="280">
        <v>492.89352999999988</v>
      </c>
      <c r="Q36" s="280"/>
      <c r="R36" s="280"/>
      <c r="S36" s="280">
        <v>471.89049999999997</v>
      </c>
      <c r="T36" s="280"/>
      <c r="U36" s="280"/>
    </row>
    <row r="37" spans="1:21" s="216" customFormat="1" ht="15" x14ac:dyDescent="0.2">
      <c r="A37" s="381">
        <f>A36+1</f>
        <v>25</v>
      </c>
      <c r="C37" s="216" t="s">
        <v>40</v>
      </c>
      <c r="E37" s="215"/>
      <c r="G37" s="280">
        <v>145.06658999999999</v>
      </c>
      <c r="H37" s="280">
        <v>145.32856000000001</v>
      </c>
      <c r="I37" s="280"/>
      <c r="J37" s="280">
        <v>141.73410000000001</v>
      </c>
      <c r="K37" s="280">
        <v>142.94044</v>
      </c>
      <c r="L37" s="280"/>
      <c r="M37" s="280">
        <v>137.93319</v>
      </c>
      <c r="N37" s="280">
        <v>140.55232000000001</v>
      </c>
      <c r="O37" s="280"/>
      <c r="P37" s="280">
        <v>132.46106</v>
      </c>
      <c r="Q37" s="280"/>
      <c r="R37" s="280"/>
      <c r="S37" s="280">
        <v>127.67580999999998</v>
      </c>
      <c r="T37" s="280"/>
      <c r="U37" s="280"/>
    </row>
    <row r="38" spans="1:21" s="212" customFormat="1" ht="15" x14ac:dyDescent="0.2">
      <c r="A38" s="381">
        <f>A37+1</f>
        <v>26</v>
      </c>
      <c r="C38" s="212" t="s">
        <v>531</v>
      </c>
      <c r="E38" s="217"/>
      <c r="G38" s="307">
        <f>G37/G36*100</f>
        <v>26.327874773139744</v>
      </c>
      <c r="H38" s="307">
        <f>H37/H36*100</f>
        <v>26.227479119594015</v>
      </c>
      <c r="I38" s="307"/>
      <c r="J38" s="307">
        <f>J37/J36*100</f>
        <v>26.050193758908492</v>
      </c>
      <c r="K38" s="307">
        <f>K37/K36*100</f>
        <v>26.268090267568361</v>
      </c>
      <c r="L38" s="307"/>
      <c r="M38" s="307">
        <f>M37/M36*100</f>
        <v>26.576722543352599</v>
      </c>
      <c r="N38" s="307">
        <f>N37/N36*100</f>
        <v>26.310213922562582</v>
      </c>
      <c r="O38" s="307"/>
      <c r="P38" s="307">
        <f>P37/P36*100</f>
        <v>26.874173008519719</v>
      </c>
      <c r="Q38" s="307"/>
      <c r="R38" s="307"/>
      <c r="S38" s="307">
        <f>S37/S36*100</f>
        <v>27.056236563355267</v>
      </c>
      <c r="T38" s="307"/>
      <c r="U38" s="307"/>
    </row>
    <row r="39" spans="1:21" s="292" customFormat="1" ht="4.5" customHeight="1" x14ac:dyDescent="0.2">
      <c r="A39" s="381"/>
      <c r="E39" s="83"/>
    </row>
    <row r="40" spans="1:21" s="292" customFormat="1" ht="15" customHeight="1" x14ac:dyDescent="0.25">
      <c r="A40" s="381">
        <f>+A38+1</f>
        <v>27</v>
      </c>
      <c r="C40" s="251" t="s">
        <v>362</v>
      </c>
      <c r="D40" s="251"/>
      <c r="E40" s="582"/>
    </row>
    <row r="41" spans="1:21" s="216" customFormat="1" ht="15" customHeight="1" x14ac:dyDescent="0.2">
      <c r="A41" s="381">
        <f>A40+1</f>
        <v>28</v>
      </c>
      <c r="C41" s="216" t="s">
        <v>37</v>
      </c>
      <c r="E41" s="214"/>
      <c r="G41" s="280">
        <f>G10+G17</f>
        <v>17112</v>
      </c>
      <c r="H41" s="280">
        <f>H10+H17</f>
        <v>17113.545876599601</v>
      </c>
      <c r="I41" s="280"/>
      <c r="J41" s="280">
        <f>J10+J17</f>
        <v>17347</v>
      </c>
      <c r="K41" s="280">
        <f>K10+K17</f>
        <v>17303.833333333336</v>
      </c>
      <c r="L41" s="280"/>
      <c r="M41" s="280">
        <f>M10+M17</f>
        <v>17619</v>
      </c>
      <c r="N41" s="280">
        <f>N10+N17</f>
        <v>17595.25</v>
      </c>
      <c r="O41" s="280"/>
      <c r="P41" s="280">
        <f>P10+P17</f>
        <v>17849.13</v>
      </c>
      <c r="Q41" s="280"/>
      <c r="R41" s="280"/>
      <c r="S41" s="280">
        <f>S10+S17</f>
        <v>18077.29</v>
      </c>
      <c r="T41" s="280"/>
      <c r="U41" s="280"/>
    </row>
    <row r="42" spans="1:21" s="216" customFormat="1" ht="15" customHeight="1" x14ac:dyDescent="0.2">
      <c r="A42" s="381">
        <f>A41+1</f>
        <v>29</v>
      </c>
      <c r="C42" s="216" t="s">
        <v>38</v>
      </c>
      <c r="E42" s="214"/>
      <c r="G42" s="280">
        <f>G11+G18+G31+G36+G25</f>
        <v>312372</v>
      </c>
      <c r="H42" s="280">
        <f>H11+H18+H31+H36+H25</f>
        <v>309894.21636982798</v>
      </c>
      <c r="I42" s="280"/>
      <c r="J42" s="280">
        <f>J11+J18+J31+J36+J25</f>
        <v>306271.77174000005</v>
      </c>
      <c r="K42" s="280">
        <f>K11+K18+K31+K36+K25</f>
        <v>323823.36691470409</v>
      </c>
      <c r="L42" s="280"/>
      <c r="M42" s="280">
        <f>M11+M18+M31+M36+M25</f>
        <v>308356</v>
      </c>
      <c r="N42" s="280">
        <f>N11+N18+N31+N36+N25</f>
        <v>330273.84250034497</v>
      </c>
      <c r="O42" s="280"/>
      <c r="P42" s="280">
        <f>P11+P18+P31+P36+P25</f>
        <v>303735.82723122253</v>
      </c>
      <c r="Q42" s="280"/>
      <c r="R42" s="280"/>
      <c r="S42" s="280">
        <f>S11+S18+S31+S36+S25</f>
        <v>309432.93217051896</v>
      </c>
      <c r="T42" s="280"/>
      <c r="U42" s="280"/>
    </row>
    <row r="43" spans="1:21" s="216" customFormat="1" ht="15" customHeight="1" x14ac:dyDescent="0.2">
      <c r="A43" s="381">
        <f>A42+1</f>
        <v>30</v>
      </c>
      <c r="C43" s="216" t="s">
        <v>40</v>
      </c>
      <c r="E43" s="214"/>
      <c r="G43" s="280">
        <f>G13+G20+G32+G37+G27</f>
        <v>48481.261870000002</v>
      </c>
      <c r="H43" s="280">
        <f>H13+H20+H32+H37+H27</f>
        <v>47614.152812476495</v>
      </c>
      <c r="I43" s="280"/>
      <c r="J43" s="280">
        <f>J13+J20+J32+J37+J27</f>
        <v>47241.42240000001</v>
      </c>
      <c r="K43" s="280">
        <f>K13+K20+K32+K37+K27</f>
        <v>49782.976065437855</v>
      </c>
      <c r="L43" s="280"/>
      <c r="M43" s="280">
        <f>M13+M20+M32+M37+M27</f>
        <v>47502.611500000006</v>
      </c>
      <c r="N43" s="280">
        <f>N13+N20+N32+N37+N27</f>
        <v>50801.953342147703</v>
      </c>
      <c r="O43" s="280"/>
      <c r="P43" s="280">
        <f>P13+P20+P32+P37+P27</f>
        <v>46908.083644650382</v>
      </c>
      <c r="Q43" s="280"/>
      <c r="R43" s="280"/>
      <c r="S43" s="280">
        <f>S13+S20+S32+S37+S27</f>
        <v>47638.401309167442</v>
      </c>
      <c r="T43" s="280"/>
      <c r="U43" s="280"/>
    </row>
    <row r="44" spans="1:21" s="212" customFormat="1" ht="15" customHeight="1" x14ac:dyDescent="0.2">
      <c r="A44" s="381">
        <f>A43+1</f>
        <v>31</v>
      </c>
      <c r="C44" s="212" t="s">
        <v>531</v>
      </c>
      <c r="E44" s="217"/>
      <c r="G44" s="307">
        <f>G43/G42*100</f>
        <v>15.520360938240305</v>
      </c>
      <c r="H44" s="307">
        <f>H43/H42*100</f>
        <v>15.364647127087306</v>
      </c>
      <c r="I44" s="307"/>
      <c r="J44" s="307">
        <f>J43/J42*100</f>
        <v>15.424674017984314</v>
      </c>
      <c r="K44" s="307">
        <f>K43/K42*100</f>
        <v>15.373497144370937</v>
      </c>
      <c r="L44" s="307"/>
      <c r="M44" s="307">
        <f>M43/M42*100</f>
        <v>15.405119893888882</v>
      </c>
      <c r="N44" s="307">
        <f>N43/N42*100</f>
        <v>15.381767129225391</v>
      </c>
      <c r="O44" s="307"/>
      <c r="P44" s="307">
        <f>P43/P42*100</f>
        <v>15.443711093370965</v>
      </c>
      <c r="Q44" s="307"/>
      <c r="R44" s="307"/>
      <c r="S44" s="307">
        <f>S43/S42*100</f>
        <v>15.395388259099516</v>
      </c>
      <c r="T44" s="307"/>
      <c r="U44" s="307"/>
    </row>
    <row r="45" spans="1:21" s="292" customFormat="1" ht="4.5" customHeight="1" x14ac:dyDescent="0.2">
      <c r="A45" s="381"/>
      <c r="E45" s="83"/>
    </row>
    <row r="46" spans="1:21" s="292" customFormat="1" ht="16.5" customHeight="1" x14ac:dyDescent="0.25">
      <c r="A46" s="381">
        <f>+A44+1</f>
        <v>32</v>
      </c>
      <c r="C46" s="251" t="s">
        <v>316</v>
      </c>
      <c r="E46" s="83"/>
    </row>
    <row r="47" spans="1:21" s="216" customFormat="1" ht="15" customHeight="1" x14ac:dyDescent="0.2">
      <c r="A47" s="381">
        <f>A46+1</f>
        <v>33</v>
      </c>
      <c r="C47" s="216" t="s">
        <v>246</v>
      </c>
      <c r="E47" s="214"/>
      <c r="G47" s="280">
        <v>2</v>
      </c>
      <c r="H47" s="280">
        <v>0</v>
      </c>
      <c r="I47" s="280"/>
      <c r="J47" s="280">
        <v>2</v>
      </c>
      <c r="K47" s="280">
        <v>0</v>
      </c>
      <c r="L47" s="280"/>
      <c r="M47" s="280">
        <v>2.5</v>
      </c>
      <c r="N47" s="109">
        <v>0</v>
      </c>
      <c r="O47" s="280"/>
      <c r="P47" s="109">
        <v>2.75</v>
      </c>
      <c r="Q47" s="280"/>
      <c r="R47" s="280"/>
      <c r="S47" s="109">
        <v>3</v>
      </c>
      <c r="T47" s="280"/>
      <c r="U47" s="280"/>
    </row>
    <row r="48" spans="1:21" s="216" customFormat="1" ht="15" customHeight="1" x14ac:dyDescent="0.2">
      <c r="A48" s="381">
        <f>A47+1</f>
        <v>34</v>
      </c>
      <c r="C48" s="216" t="s">
        <v>38</v>
      </c>
      <c r="E48" s="214"/>
      <c r="G48" s="280">
        <v>3959</v>
      </c>
      <c r="H48" s="280">
        <v>0</v>
      </c>
      <c r="I48" s="280"/>
      <c r="J48" s="280">
        <v>5415</v>
      </c>
      <c r="K48" s="280">
        <v>0</v>
      </c>
      <c r="L48" s="280"/>
      <c r="M48" s="280">
        <v>7030.02</v>
      </c>
      <c r="N48" s="109">
        <v>0</v>
      </c>
      <c r="O48" s="280"/>
      <c r="P48" s="109">
        <v>9429.0020000000004</v>
      </c>
      <c r="Q48" s="280"/>
      <c r="R48" s="280"/>
      <c r="S48" s="109">
        <v>9429.0020000000004</v>
      </c>
      <c r="T48" s="280"/>
      <c r="U48" s="280"/>
    </row>
    <row r="49" spans="1:21" s="213" customFormat="1" ht="15" customHeight="1" x14ac:dyDescent="0.2">
      <c r="A49" s="381">
        <f>A48+1</f>
        <v>35</v>
      </c>
      <c r="C49" s="213" t="s">
        <v>39</v>
      </c>
      <c r="E49" s="218"/>
      <c r="G49" s="272">
        <f>G48/G47</f>
        <v>1979.5</v>
      </c>
      <c r="H49" s="280">
        <v>0</v>
      </c>
      <c r="I49" s="272"/>
      <c r="J49" s="272">
        <f>J48/J47</f>
        <v>2707.5</v>
      </c>
      <c r="K49" s="280">
        <v>0</v>
      </c>
      <c r="L49" s="272"/>
      <c r="M49" s="272">
        <f>M48/M47</f>
        <v>2812.0080000000003</v>
      </c>
      <c r="N49" s="109">
        <v>0</v>
      </c>
      <c r="O49" s="307"/>
      <c r="P49" s="272">
        <f>P48/P47</f>
        <v>3428.7280000000001</v>
      </c>
      <c r="Q49" s="307"/>
      <c r="R49" s="307"/>
      <c r="S49" s="272">
        <f>S48/S47</f>
        <v>3143.0006666666668</v>
      </c>
      <c r="T49" s="307"/>
      <c r="U49" s="307"/>
    </row>
    <row r="50" spans="1:21" s="213" customFormat="1" ht="15" customHeight="1" x14ac:dyDescent="0.2">
      <c r="A50" s="381">
        <f>A49+1</f>
        <v>36</v>
      </c>
      <c r="C50" s="213" t="s">
        <v>40</v>
      </c>
      <c r="E50" s="218"/>
      <c r="G50" s="280">
        <v>336</v>
      </c>
      <c r="H50" s="280">
        <v>0</v>
      </c>
      <c r="I50" s="280"/>
      <c r="J50" s="280">
        <v>474</v>
      </c>
      <c r="K50" s="280">
        <v>0</v>
      </c>
      <c r="L50" s="280"/>
      <c r="M50" s="280">
        <v>532.26931999999999</v>
      </c>
      <c r="N50" s="109">
        <v>0</v>
      </c>
      <c r="O50" s="280"/>
      <c r="P50" s="109">
        <v>518.5951100000002</v>
      </c>
      <c r="Q50" s="280"/>
      <c r="R50" s="280"/>
      <c r="S50" s="109">
        <v>518.59510999999998</v>
      </c>
      <c r="T50" s="280"/>
      <c r="U50" s="280"/>
    </row>
    <row r="51" spans="1:21" s="292" customFormat="1" ht="15" customHeight="1" x14ac:dyDescent="0.25">
      <c r="A51" s="381">
        <f>A50+1</f>
        <v>37</v>
      </c>
      <c r="C51" s="583" t="s">
        <v>531</v>
      </c>
      <c r="E51" s="83"/>
      <c r="G51" s="307">
        <f>G50/G48*100</f>
        <v>8.4869916645617582</v>
      </c>
      <c r="H51" s="280">
        <v>0</v>
      </c>
      <c r="I51" s="307"/>
      <c r="J51" s="307">
        <f>J50/J48*100</f>
        <v>8.7534626038781163</v>
      </c>
      <c r="K51" s="280">
        <v>0</v>
      </c>
      <c r="L51" s="307"/>
      <c r="M51" s="307">
        <f>M50/M48*100</f>
        <v>7.5713770373341749</v>
      </c>
      <c r="N51" s="109">
        <v>0</v>
      </c>
      <c r="O51" s="307"/>
      <c r="P51" s="307">
        <f>P50/P48*100</f>
        <v>5.5000000000000018</v>
      </c>
      <c r="Q51" s="307"/>
      <c r="R51" s="307"/>
      <c r="S51" s="307">
        <f>S50/S48*100</f>
        <v>5.4999999999999991</v>
      </c>
      <c r="T51" s="307"/>
      <c r="U51" s="307"/>
    </row>
    <row r="52" spans="1:21" s="292" customFormat="1" ht="4.5" customHeight="1" x14ac:dyDescent="0.2">
      <c r="A52" s="381"/>
      <c r="E52" s="83"/>
    </row>
    <row r="53" spans="1:21" s="292" customFormat="1" ht="16.5" customHeight="1" x14ac:dyDescent="0.25">
      <c r="A53" s="381">
        <f>+A51+1</f>
        <v>38</v>
      </c>
      <c r="C53" s="251" t="s">
        <v>317</v>
      </c>
      <c r="E53" s="83"/>
    </row>
    <row r="54" spans="1:21" s="292" customFormat="1" ht="15" customHeight="1" x14ac:dyDescent="0.2">
      <c r="A54" s="381">
        <f>+A53+1</f>
        <v>39</v>
      </c>
      <c r="C54" s="292" t="s">
        <v>246</v>
      </c>
      <c r="E54" s="83"/>
      <c r="G54" s="280">
        <v>2</v>
      </c>
      <c r="H54" s="280">
        <v>2</v>
      </c>
      <c r="I54" s="280"/>
      <c r="J54" s="280">
        <v>2</v>
      </c>
      <c r="K54" s="280">
        <v>2</v>
      </c>
      <c r="L54" s="280"/>
      <c r="M54" s="280">
        <v>2</v>
      </c>
      <c r="N54" s="280">
        <v>2</v>
      </c>
      <c r="O54" s="280"/>
      <c r="P54" s="280">
        <v>2</v>
      </c>
      <c r="Q54" s="280"/>
      <c r="R54" s="280"/>
      <c r="S54" s="280">
        <v>2</v>
      </c>
      <c r="T54" s="280"/>
      <c r="U54" s="280"/>
    </row>
    <row r="55" spans="1:21" s="292" customFormat="1" ht="15" customHeight="1" x14ac:dyDescent="0.2">
      <c r="A55" s="381">
        <f>+A54+1</f>
        <v>40</v>
      </c>
      <c r="C55" s="292" t="s">
        <v>38</v>
      </c>
      <c r="E55" s="83"/>
      <c r="G55" s="109">
        <v>361.41737066666661</v>
      </c>
      <c r="H55" s="109">
        <v>338.23</v>
      </c>
      <c r="I55" s="109"/>
      <c r="J55" s="109">
        <v>493.98404268292683</v>
      </c>
      <c r="K55" s="109">
        <v>338.23</v>
      </c>
      <c r="L55" s="109"/>
      <c r="M55" s="109">
        <v>430</v>
      </c>
      <c r="N55" s="109">
        <v>338.23</v>
      </c>
      <c r="O55" s="280"/>
      <c r="P55" s="109">
        <v>427.26333333333332</v>
      </c>
      <c r="Q55" s="280"/>
      <c r="R55" s="280"/>
      <c r="S55" s="109">
        <v>427.26333333333332</v>
      </c>
      <c r="T55" s="280"/>
      <c r="U55" s="280"/>
    </row>
    <row r="56" spans="1:21" s="292" customFormat="1" ht="15" customHeight="1" x14ac:dyDescent="0.2">
      <c r="A56" s="381">
        <f>+A55+1</f>
        <v>41</v>
      </c>
      <c r="C56" s="292" t="s">
        <v>39</v>
      </c>
      <c r="E56" s="83"/>
      <c r="G56" s="307">
        <f>G55/G54</f>
        <v>180.70868533333331</v>
      </c>
      <c r="H56" s="307">
        <f>H55/H54</f>
        <v>169.11500000000001</v>
      </c>
      <c r="I56" s="307"/>
      <c r="J56" s="307">
        <f>J55/J54</f>
        <v>246.99202134146341</v>
      </c>
      <c r="K56" s="307">
        <f>K55/K54</f>
        <v>169.11500000000001</v>
      </c>
      <c r="L56" s="307"/>
      <c r="M56" s="307">
        <f>M55/M54</f>
        <v>215</v>
      </c>
      <c r="N56" s="307">
        <f>N55/N54</f>
        <v>169.11500000000001</v>
      </c>
      <c r="O56" s="307"/>
      <c r="P56" s="307">
        <f>P55/P54</f>
        <v>213.63166666666666</v>
      </c>
      <c r="Q56" s="307"/>
      <c r="R56" s="307"/>
      <c r="S56" s="307">
        <f>S55/S54</f>
        <v>213.63166666666666</v>
      </c>
      <c r="T56" s="307"/>
      <c r="U56" s="307"/>
    </row>
    <row r="57" spans="1:21" s="292" customFormat="1" ht="15" customHeight="1" x14ac:dyDescent="0.2">
      <c r="A57" s="381">
        <f>+A56+1</f>
        <v>42</v>
      </c>
      <c r="C57" s="292" t="s">
        <v>40</v>
      </c>
      <c r="E57" s="83"/>
      <c r="G57" s="280">
        <v>30</v>
      </c>
      <c r="H57" s="280">
        <v>28.0663254</v>
      </c>
      <c r="I57" s="280"/>
      <c r="J57" s="280">
        <v>41</v>
      </c>
      <c r="K57" s="280">
        <v>28.0663254</v>
      </c>
      <c r="L57" s="280"/>
      <c r="M57" s="109">
        <v>35.71</v>
      </c>
      <c r="N57" s="109">
        <v>28.0663254</v>
      </c>
      <c r="O57" s="280"/>
      <c r="P57" s="109">
        <v>35.454311400000002</v>
      </c>
      <c r="Q57" s="280"/>
      <c r="R57" s="280"/>
      <c r="S57" s="109">
        <v>35.454311400000002</v>
      </c>
      <c r="T57" s="280"/>
      <c r="U57" s="280"/>
    </row>
    <row r="58" spans="1:21" s="292" customFormat="1" ht="15" customHeight="1" x14ac:dyDescent="0.2">
      <c r="A58" s="381">
        <f>+A57+1</f>
        <v>43</v>
      </c>
      <c r="C58" s="212" t="s">
        <v>531</v>
      </c>
      <c r="E58" s="83"/>
      <c r="G58" s="307">
        <f>G57/G55*100</f>
        <v>8.3006524962157524</v>
      </c>
      <c r="H58" s="307">
        <f>H57/H55*100</f>
        <v>8.298</v>
      </c>
      <c r="I58" s="307"/>
      <c r="J58" s="307">
        <f>J57/J55*100</f>
        <v>8.2998632460515811</v>
      </c>
      <c r="K58" s="307">
        <f>K57/K55*100</f>
        <v>8.298</v>
      </c>
      <c r="L58" s="307"/>
      <c r="M58" s="307">
        <f>M57/M55*100</f>
        <v>8.304651162790698</v>
      </c>
      <c r="N58" s="307">
        <f>N57/N55*100</f>
        <v>8.298</v>
      </c>
      <c r="O58" s="307"/>
      <c r="P58" s="307">
        <f>P57/P55*100</f>
        <v>8.2980000000000018</v>
      </c>
      <c r="Q58" s="307"/>
      <c r="R58" s="307"/>
      <c r="S58" s="307">
        <f>S57/S55*100</f>
        <v>8.2980000000000018</v>
      </c>
      <c r="T58" s="307"/>
      <c r="U58" s="307"/>
    </row>
    <row r="59" spans="1:21" s="292" customFormat="1" ht="4.5" customHeight="1" x14ac:dyDescent="0.2">
      <c r="A59" s="381"/>
      <c r="E59" s="83"/>
    </row>
    <row r="60" spans="1:21" s="292" customFormat="1" ht="15.75" x14ac:dyDescent="0.25">
      <c r="A60" s="381">
        <f>+A58+1</f>
        <v>44</v>
      </c>
      <c r="C60" s="251" t="s">
        <v>42</v>
      </c>
      <c r="D60" s="251"/>
      <c r="E60" s="582"/>
    </row>
    <row r="61" spans="1:21" s="292" customFormat="1" ht="15" x14ac:dyDescent="0.2">
      <c r="A61" s="381">
        <f>+A60+1</f>
        <v>45</v>
      </c>
      <c r="C61" s="292" t="s">
        <v>37</v>
      </c>
      <c r="E61" s="83"/>
      <c r="G61" s="280">
        <f>G10+G17+G47+G54</f>
        <v>17116</v>
      </c>
      <c r="H61" s="280">
        <f>H10+H17+H47+H54</f>
        <v>17115.545876599601</v>
      </c>
      <c r="I61" s="280"/>
      <c r="J61" s="280">
        <f>J10+J17+J47+J54</f>
        <v>17351</v>
      </c>
      <c r="K61" s="280">
        <f>K10+K17+K47+K54</f>
        <v>17305.833333333336</v>
      </c>
      <c r="L61" s="280"/>
      <c r="M61" s="280">
        <f>M10+M17+M47+M54</f>
        <v>17623.5</v>
      </c>
      <c r="N61" s="280">
        <f>N10+N17+N47+N54</f>
        <v>17597.25</v>
      </c>
      <c r="O61" s="280"/>
      <c r="P61" s="280">
        <f>P10+P17+P47+P54</f>
        <v>17853.88</v>
      </c>
      <c r="Q61" s="280"/>
      <c r="R61" s="280"/>
      <c r="S61" s="280">
        <f>S10+S17+S47+S54</f>
        <v>18082.29</v>
      </c>
      <c r="T61" s="280"/>
      <c r="U61" s="280"/>
    </row>
    <row r="62" spans="1:21" s="292" customFormat="1" ht="15" x14ac:dyDescent="0.2">
      <c r="A62" s="381">
        <f>+A61+1</f>
        <v>46</v>
      </c>
      <c r="C62" s="292" t="s">
        <v>38</v>
      </c>
      <c r="E62" s="83" t="s">
        <v>260</v>
      </c>
      <c r="G62" s="280">
        <f>G11+G18+G31+G36+G48+G55</f>
        <v>316692.41737066669</v>
      </c>
      <c r="H62" s="280">
        <f>H11+H18+H31+H36+H48+H55</f>
        <v>310232.44636982796</v>
      </c>
      <c r="I62" s="280"/>
      <c r="J62" s="280">
        <f>J11+J18+J31+J36+J48+J55</f>
        <v>312180.75578268297</v>
      </c>
      <c r="K62" s="280">
        <f>K11+K18+K31+K36+K48+K55</f>
        <v>324161.59691470407</v>
      </c>
      <c r="L62" s="280"/>
      <c r="M62" s="280">
        <f>M11+M18+M31+M36+M48+M55</f>
        <v>315816.02</v>
      </c>
      <c r="N62" s="280">
        <f>N11+N18+N31+N36+N48+N55</f>
        <v>330612.07250034495</v>
      </c>
      <c r="O62" s="280"/>
      <c r="P62" s="280">
        <f>P11+P18+P31+P36+P48+P55</f>
        <v>313592.09256455582</v>
      </c>
      <c r="Q62" s="280"/>
      <c r="R62" s="280"/>
      <c r="S62" s="280">
        <f>S11+S18+S31+S36+S48+S55</f>
        <v>319289.19750385225</v>
      </c>
      <c r="T62" s="280"/>
      <c r="U62" s="280"/>
    </row>
    <row r="63" spans="1:21" s="292" customFormat="1" ht="15" x14ac:dyDescent="0.2">
      <c r="A63" s="381">
        <f>+A62+1</f>
        <v>47</v>
      </c>
      <c r="C63" s="292" t="s">
        <v>40</v>
      </c>
      <c r="E63" s="83"/>
      <c r="G63" s="280">
        <f>G13+G20+G32+G37+G50+G57</f>
        <v>48847.261870000002</v>
      </c>
      <c r="H63" s="280">
        <f>H13+H20+H32+H37+H50+H57</f>
        <v>47642.219137876498</v>
      </c>
      <c r="I63" s="280"/>
      <c r="J63" s="280">
        <f>J13+J20+J32+J37+J50+J57</f>
        <v>47756.42240000001</v>
      </c>
      <c r="K63" s="280">
        <f>K13+K20+K32+K37+K50+K57</f>
        <v>49811.042390837858</v>
      </c>
      <c r="L63" s="280"/>
      <c r="M63" s="280">
        <f>M13+M20+M32+M37+M50+M57</f>
        <v>48070.590820000005</v>
      </c>
      <c r="N63" s="280">
        <f>N13+N20+N32+N37+N50+N57</f>
        <v>50830.019667547705</v>
      </c>
      <c r="O63" s="280"/>
      <c r="P63" s="280">
        <f>P13+P20+P32+P37+P50+P57</f>
        <v>47462.133066050381</v>
      </c>
      <c r="Q63" s="280"/>
      <c r="R63" s="280"/>
      <c r="S63" s="280">
        <f>S13+S20+S32+S37+S50+S57</f>
        <v>48192.450730567441</v>
      </c>
      <c r="T63" s="280"/>
      <c r="U63" s="280"/>
    </row>
    <row r="64" spans="1:21" s="292" customFormat="1" ht="15" x14ac:dyDescent="0.2">
      <c r="A64" s="381">
        <f>+A63+1</f>
        <v>48</v>
      </c>
      <c r="C64" s="212" t="s">
        <v>531</v>
      </c>
      <c r="E64" s="83"/>
      <c r="G64" s="307">
        <f>+G63/G62*100</f>
        <v>15.424196851807679</v>
      </c>
      <c r="H64" s="307">
        <f>+H63/H62*100</f>
        <v>15.356942736119301</v>
      </c>
      <c r="I64" s="307"/>
      <c r="J64" s="307">
        <f>+J63/J62*100</f>
        <v>15.297682997873347</v>
      </c>
      <c r="K64" s="307">
        <f>+K63/K62*100</f>
        <v>15.366114575239006</v>
      </c>
      <c r="L64" s="307"/>
      <c r="M64" s="307">
        <f>+M63/M62*100</f>
        <v>15.221074225430364</v>
      </c>
      <c r="N64" s="307">
        <f>+N63/N62*100</f>
        <v>15.374520138702641</v>
      </c>
      <c r="O64" s="307"/>
      <c r="P64" s="307">
        <f>+P63/P62*100</f>
        <v>15.134990387641825</v>
      </c>
      <c r="Q64" s="307"/>
      <c r="R64" s="307"/>
      <c r="S64" s="307">
        <f>+S63/S62*100</f>
        <v>15.093667780597556</v>
      </c>
      <c r="T64" s="307"/>
      <c r="U64" s="307"/>
    </row>
    <row r="65" spans="1:21" ht="4.5" customHeight="1" x14ac:dyDescent="0.2">
      <c r="A65" s="383"/>
      <c r="G65" s="303"/>
      <c r="H65" s="303"/>
      <c r="J65" s="303"/>
      <c r="K65" s="303"/>
      <c r="M65" s="303"/>
      <c r="N65" s="303"/>
      <c r="P65" s="303"/>
      <c r="S65" s="303"/>
    </row>
    <row r="66" spans="1:21" s="292" customFormat="1" ht="15" x14ac:dyDescent="0.2">
      <c r="A66" s="381">
        <f>+A64+1</f>
        <v>49</v>
      </c>
      <c r="C66" s="292" t="s">
        <v>866</v>
      </c>
      <c r="F66" s="281"/>
      <c r="G66" s="334">
        <f>G63</f>
        <v>48847.261870000002</v>
      </c>
      <c r="H66" s="334">
        <f>H63</f>
        <v>47642.219137876498</v>
      </c>
      <c r="I66" s="334"/>
      <c r="J66" s="334">
        <f>J63</f>
        <v>47756.42240000001</v>
      </c>
      <c r="K66" s="334">
        <f>K63</f>
        <v>49811.042390837858</v>
      </c>
      <c r="L66" s="334"/>
      <c r="M66" s="334">
        <f>M63</f>
        <v>48070.590820000005</v>
      </c>
      <c r="N66" s="334">
        <f>N63</f>
        <v>50830.019667547705</v>
      </c>
      <c r="O66" s="334"/>
      <c r="P66" s="334">
        <f>P63</f>
        <v>47462.133066050381</v>
      </c>
      <c r="Q66" s="334"/>
      <c r="R66" s="334"/>
      <c r="S66" s="334">
        <f>S63</f>
        <v>48192.450730567441</v>
      </c>
      <c r="T66" s="334"/>
      <c r="U66" s="334"/>
    </row>
    <row r="67" spans="1:21" s="296" customFormat="1" ht="4.5" customHeight="1" x14ac:dyDescent="0.2">
      <c r="A67" s="382"/>
      <c r="E67" s="244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91"/>
      <c r="T67" s="491"/>
      <c r="U67" s="491"/>
    </row>
    <row r="68" spans="1:21" s="292" customFormat="1" ht="15" customHeight="1" x14ac:dyDescent="0.25">
      <c r="A68" s="381">
        <f>A66+1</f>
        <v>50</v>
      </c>
      <c r="C68" s="251" t="s">
        <v>600</v>
      </c>
      <c r="E68" s="83"/>
      <c r="F68" s="252"/>
      <c r="G68" s="280">
        <v>1633.7381300000027</v>
      </c>
      <c r="H68" s="280">
        <v>1098.6705661266012</v>
      </c>
      <c r="I68" s="280"/>
      <c r="J68" s="280">
        <v>3671.5775999999992</v>
      </c>
      <c r="K68" s="280">
        <v>2575.6771770706446</v>
      </c>
      <c r="L68" s="280"/>
      <c r="M68" s="280">
        <v>4139.3884999999982</v>
      </c>
      <c r="N68" s="280">
        <v>3266.6167016216527</v>
      </c>
      <c r="O68" s="280"/>
      <c r="P68" s="280">
        <v>3992.0169024148267</v>
      </c>
      <c r="Q68" s="280">
        <f>S1.1!P10-S2.1!P70-Q72</f>
        <v>2198.7318809983608</v>
      </c>
      <c r="R68" s="280"/>
      <c r="S68" s="280">
        <v>3904.5997742600562</v>
      </c>
      <c r="T68" s="280">
        <f>S1.1!R10-S70-T72</f>
        <v>4279.6256763176625</v>
      </c>
      <c r="U68" s="280"/>
    </row>
    <row r="69" spans="1:21" s="292" customFormat="1" ht="15" customHeight="1" x14ac:dyDescent="0.2">
      <c r="A69" s="381">
        <f>A68+1</f>
        <v>51</v>
      </c>
      <c r="C69" s="292" t="s">
        <v>363</v>
      </c>
      <c r="E69" s="83"/>
      <c r="F69" s="252"/>
      <c r="G69" s="280">
        <v>5828.5619999999999</v>
      </c>
      <c r="H69" s="280"/>
      <c r="I69" s="280"/>
      <c r="J69" s="102">
        <v>6259</v>
      </c>
      <c r="K69" s="280"/>
      <c r="L69" s="280"/>
      <c r="M69" s="102">
        <v>5266</v>
      </c>
      <c r="N69" s="280"/>
      <c r="O69" s="280"/>
      <c r="P69" s="280"/>
      <c r="Q69" s="280"/>
      <c r="R69" s="280"/>
      <c r="S69" s="280"/>
      <c r="T69" s="280"/>
      <c r="U69" s="280"/>
    </row>
    <row r="70" spans="1:21" s="292" customFormat="1" ht="15" customHeight="1" x14ac:dyDescent="0.25">
      <c r="A70" s="381">
        <f>A69+1</f>
        <v>52</v>
      </c>
      <c r="C70" s="251" t="s">
        <v>867</v>
      </c>
      <c r="E70" s="83"/>
      <c r="F70" s="252"/>
      <c r="G70" s="581">
        <f>G66+G69+G68</f>
        <v>56309.562000000005</v>
      </c>
      <c r="H70" s="581">
        <f>H66+H69+H68</f>
        <v>48740.889704003101</v>
      </c>
      <c r="I70" s="280"/>
      <c r="J70" s="581">
        <f>J66+J69+J68</f>
        <v>57687.000000000007</v>
      </c>
      <c r="K70" s="581">
        <f>K66+K69+K68</f>
        <v>52386.719567908505</v>
      </c>
      <c r="L70" s="280"/>
      <c r="M70" s="581">
        <f>M66+M69+M68</f>
        <v>57475.979320000006</v>
      </c>
      <c r="N70" s="581">
        <f>N66+N69+N68</f>
        <v>54096.636369169355</v>
      </c>
      <c r="O70" s="280"/>
      <c r="P70" s="581">
        <f>P66+P69+P68</f>
        <v>51454.149968465208</v>
      </c>
      <c r="Q70" s="581">
        <f>P70+Q68</f>
        <v>53652.881849463571</v>
      </c>
      <c r="R70" s="280"/>
      <c r="S70" s="581">
        <f>S66+S69+S68</f>
        <v>52097.050504827501</v>
      </c>
      <c r="T70" s="581">
        <f>S70+T68</f>
        <v>56376.676181145165</v>
      </c>
      <c r="U70" s="280"/>
    </row>
    <row r="71" spans="1:21" s="292" customFormat="1" ht="4.5" customHeight="1" x14ac:dyDescent="0.25">
      <c r="A71" s="381"/>
      <c r="C71" s="251"/>
      <c r="E71" s="83"/>
      <c r="F71" s="252"/>
      <c r="G71" s="334"/>
      <c r="H71" s="334"/>
      <c r="I71" s="280"/>
      <c r="J71" s="280"/>
      <c r="K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</row>
    <row r="72" spans="1:21" s="292" customFormat="1" ht="15" customHeight="1" x14ac:dyDescent="0.2">
      <c r="A72" s="381">
        <f>A70+1</f>
        <v>53</v>
      </c>
      <c r="C72" s="292" t="s">
        <v>875</v>
      </c>
      <c r="E72" s="83" t="s">
        <v>396</v>
      </c>
      <c r="F72" s="252"/>
      <c r="G72" s="334"/>
      <c r="H72" s="334">
        <v>1070.6702959968982</v>
      </c>
      <c r="I72" s="280"/>
      <c r="J72" s="280"/>
      <c r="K72" s="280">
        <v>1085.9504320914959</v>
      </c>
      <c r="L72" s="280"/>
      <c r="M72" s="280"/>
      <c r="N72" s="280">
        <v>1086.5636308306389</v>
      </c>
      <c r="O72" s="280"/>
      <c r="P72" s="280"/>
      <c r="Q72" s="280">
        <v>-1324.5304800744034</v>
      </c>
      <c r="R72" s="280"/>
      <c r="S72" s="280"/>
      <c r="T72" s="280">
        <v>-1329.3093263586763</v>
      </c>
      <c r="U72" s="280"/>
    </row>
    <row r="73" spans="1:21" s="292" customFormat="1" ht="4.5" customHeight="1" x14ac:dyDescent="0.25">
      <c r="A73" s="381"/>
      <c r="C73" s="251"/>
      <c r="E73" s="83"/>
      <c r="F73" s="252"/>
      <c r="G73" s="115"/>
      <c r="H73" s="115"/>
      <c r="I73" s="280"/>
      <c r="J73" s="115"/>
      <c r="K73" s="115"/>
      <c r="L73" s="280"/>
      <c r="M73" s="115"/>
      <c r="N73" s="115"/>
      <c r="O73" s="280"/>
      <c r="P73" s="115"/>
      <c r="Q73" s="280"/>
      <c r="R73" s="280"/>
      <c r="S73" s="115"/>
      <c r="T73" s="280"/>
      <c r="U73" s="280"/>
    </row>
    <row r="74" spans="1:21" s="292" customFormat="1" ht="15" customHeight="1" x14ac:dyDescent="0.25">
      <c r="A74" s="381">
        <f>A72+1</f>
        <v>54</v>
      </c>
      <c r="C74" s="251" t="s">
        <v>868</v>
      </c>
      <c r="E74" s="83" t="s">
        <v>248</v>
      </c>
      <c r="F74" s="252"/>
      <c r="G74" s="280">
        <f>G72+G70</f>
        <v>56309.562000000005</v>
      </c>
      <c r="H74" s="280">
        <f>H72+H70</f>
        <v>49811.56</v>
      </c>
      <c r="I74" s="280"/>
      <c r="J74" s="280">
        <f>J72+J70</f>
        <v>57687.000000000007</v>
      </c>
      <c r="K74" s="280">
        <f>K72+K70</f>
        <v>53472.67</v>
      </c>
      <c r="L74" s="280"/>
      <c r="M74" s="280">
        <f>M72+M70</f>
        <v>57475.979320000006</v>
      </c>
      <c r="N74" s="280">
        <f>N72+N70</f>
        <v>55183.199999999997</v>
      </c>
      <c r="O74" s="280"/>
      <c r="P74" s="280">
        <f>+P68+P66</f>
        <v>51454.149968465208</v>
      </c>
      <c r="Q74" s="581">
        <f>Q70+Q72</f>
        <v>52328.351369389165</v>
      </c>
      <c r="R74" s="280"/>
      <c r="S74" s="280">
        <f>+S68+S66</f>
        <v>52097.050504827501</v>
      </c>
      <c r="T74" s="581">
        <f>T70+T72</f>
        <v>55047.366854786487</v>
      </c>
      <c r="U74" s="280"/>
    </row>
    <row r="75" spans="1:21" s="296" customFormat="1" ht="4.5" customHeight="1" x14ac:dyDescent="0.25">
      <c r="A75" s="381"/>
      <c r="C75" s="600"/>
      <c r="D75" s="292"/>
      <c r="E75" s="83"/>
      <c r="F75" s="292"/>
      <c r="G75" s="280"/>
      <c r="I75" s="280"/>
      <c r="J75" s="280"/>
      <c r="L75" s="280"/>
      <c r="M75" s="280"/>
      <c r="O75" s="280"/>
      <c r="P75" s="280"/>
      <c r="Q75" s="280"/>
      <c r="R75" s="280"/>
      <c r="S75" s="280"/>
      <c r="T75" s="280"/>
      <c r="U75" s="280"/>
    </row>
    <row r="76" spans="1:21" s="296" customFormat="1" ht="15.75" x14ac:dyDescent="0.25">
      <c r="A76" s="381">
        <f>A74+1</f>
        <v>55</v>
      </c>
      <c r="C76" s="601" t="s">
        <v>384</v>
      </c>
      <c r="D76" s="292"/>
      <c r="E76" s="83"/>
      <c r="F76" s="292"/>
      <c r="G76" s="280"/>
      <c r="I76" s="280"/>
      <c r="J76" s="280"/>
      <c r="L76" s="280"/>
      <c r="M76" s="280"/>
      <c r="O76" s="280"/>
      <c r="P76" s="280"/>
      <c r="Q76" s="502"/>
      <c r="R76" s="280"/>
      <c r="S76" s="602"/>
      <c r="T76" s="280"/>
      <c r="U76" s="280"/>
    </row>
    <row r="77" spans="1:21" s="296" customFormat="1" ht="4.5" customHeight="1" x14ac:dyDescent="0.25">
      <c r="A77" s="381"/>
      <c r="C77" s="600"/>
      <c r="D77" s="292"/>
      <c r="E77" s="83"/>
      <c r="F77" s="292"/>
      <c r="G77" s="280"/>
      <c r="I77" s="280"/>
      <c r="J77" s="280"/>
      <c r="L77" s="280"/>
      <c r="M77" s="280"/>
      <c r="O77" s="280"/>
      <c r="P77" s="280"/>
      <c r="Q77" s="280"/>
      <c r="R77" s="280"/>
      <c r="S77" s="280"/>
      <c r="T77" s="280"/>
      <c r="U77" s="280"/>
    </row>
    <row r="78" spans="1:21" s="296" customFormat="1" ht="15" x14ac:dyDescent="0.2">
      <c r="A78" s="381">
        <f>A76+1</f>
        <v>56</v>
      </c>
      <c r="C78" s="377" t="s">
        <v>876</v>
      </c>
      <c r="D78" s="292"/>
      <c r="E78" s="83" t="s">
        <v>391</v>
      </c>
      <c r="F78" s="292"/>
      <c r="G78" s="280"/>
      <c r="H78" s="280">
        <f>+H43</f>
        <v>47614.152812476495</v>
      </c>
      <c r="I78" s="280"/>
      <c r="J78" s="280"/>
      <c r="K78" s="280">
        <f>+K43</f>
        <v>49782.976065437855</v>
      </c>
      <c r="L78" s="280"/>
      <c r="M78" s="280"/>
      <c r="N78" s="280">
        <f>+N43</f>
        <v>50801.953342147703</v>
      </c>
      <c r="O78" s="280"/>
      <c r="P78" s="334">
        <f>+P43</f>
        <v>46908.083644650382</v>
      </c>
      <c r="Q78" s="102"/>
      <c r="R78" s="280"/>
      <c r="S78" s="334">
        <f>+S43</f>
        <v>47638.401309167442</v>
      </c>
      <c r="T78" s="280"/>
      <c r="U78" s="334"/>
    </row>
    <row r="79" spans="1:21" s="296" customFormat="1" ht="15" x14ac:dyDescent="0.2">
      <c r="A79" s="381">
        <f>A78+1</f>
        <v>57</v>
      </c>
      <c r="C79" s="377" t="s">
        <v>494</v>
      </c>
      <c r="D79" s="292"/>
      <c r="E79" s="83"/>
      <c r="F79" s="292"/>
      <c r="G79" s="280"/>
      <c r="H79" s="115">
        <v>10429</v>
      </c>
      <c r="I79" s="280"/>
      <c r="J79" s="280"/>
      <c r="K79" s="115">
        <v>12169.024566300001</v>
      </c>
      <c r="L79" s="280"/>
      <c r="M79" s="194"/>
      <c r="N79" s="115">
        <v>12304.103013600001</v>
      </c>
      <c r="O79" s="334"/>
      <c r="P79" s="147">
        <v>8536.5955806094371</v>
      </c>
      <c r="Q79" s="500"/>
      <c r="R79" s="280"/>
      <c r="S79" s="147">
        <v>6597.87</v>
      </c>
      <c r="T79" s="280"/>
      <c r="U79" s="334"/>
    </row>
    <row r="80" spans="1:21" s="296" customFormat="1" ht="15" x14ac:dyDescent="0.2">
      <c r="A80" s="381">
        <f>A79+1</f>
        <v>58</v>
      </c>
      <c r="C80" s="603" t="s">
        <v>877</v>
      </c>
      <c r="D80" s="292"/>
      <c r="E80" s="83" t="s">
        <v>892</v>
      </c>
      <c r="F80" s="292"/>
      <c r="G80" s="280"/>
      <c r="H80" s="280">
        <f>H78+H79</f>
        <v>58043.152812476495</v>
      </c>
      <c r="I80" s="280"/>
      <c r="J80" s="280"/>
      <c r="K80" s="280">
        <f>K78+K79</f>
        <v>61952.000631737857</v>
      </c>
      <c r="L80" s="280"/>
      <c r="M80" s="280"/>
      <c r="N80" s="280">
        <f>N78+N79</f>
        <v>63106.0563557477</v>
      </c>
      <c r="O80" s="334"/>
      <c r="P80" s="334">
        <f>P78+P79</f>
        <v>55444.679225259817</v>
      </c>
      <c r="Q80" s="280"/>
      <c r="R80" s="334"/>
      <c r="S80" s="334">
        <f>S78+S79</f>
        <v>54236.271309167445</v>
      </c>
      <c r="T80" s="280"/>
      <c r="U80" s="334"/>
    </row>
    <row r="81" spans="1:21" s="296" customFormat="1" ht="15" x14ac:dyDescent="0.2">
      <c r="A81" s="381"/>
      <c r="C81" s="603"/>
      <c r="D81" s="292"/>
      <c r="E81" s="83"/>
      <c r="F81" s="292"/>
      <c r="G81" s="280"/>
      <c r="H81" s="280"/>
      <c r="I81" s="280"/>
      <c r="J81" s="280"/>
      <c r="K81" s="280"/>
      <c r="L81" s="280"/>
      <c r="M81" s="280"/>
      <c r="N81" s="280"/>
      <c r="O81" s="334"/>
      <c r="P81" s="334"/>
      <c r="Q81" s="280"/>
      <c r="R81" s="334"/>
      <c r="S81" s="334"/>
      <c r="T81" s="280"/>
      <c r="U81" s="334"/>
    </row>
    <row r="82" spans="1:21" s="296" customFormat="1" ht="16.5" thickBot="1" x14ac:dyDescent="0.3">
      <c r="A82" s="381">
        <f>A80+1</f>
        <v>59</v>
      </c>
      <c r="C82" s="251" t="s">
        <v>519</v>
      </c>
      <c r="D82" s="292"/>
      <c r="E82" s="83" t="s">
        <v>893</v>
      </c>
      <c r="F82" s="292"/>
      <c r="G82" s="292"/>
      <c r="H82" s="547">
        <f>H68/H80</f>
        <v>1.8928512888955952E-2</v>
      </c>
      <c r="I82" s="292"/>
      <c r="J82" s="292"/>
      <c r="K82" s="547">
        <f>K68/K80</f>
        <v>4.1575367232791698E-2</v>
      </c>
      <c r="L82" s="292"/>
      <c r="M82" s="292"/>
      <c r="N82" s="547">
        <f>N68/N80</f>
        <v>5.1763917605732769E-2</v>
      </c>
      <c r="O82" s="295"/>
      <c r="P82" s="295"/>
      <c r="Q82" s="503">
        <f>Q68/P80</f>
        <v>3.965631890601054E-2</v>
      </c>
      <c r="S82" s="295"/>
      <c r="T82" s="503">
        <f>T68/S80</f>
        <v>7.8907077736265513E-2</v>
      </c>
      <c r="U82" s="295"/>
    </row>
    <row r="83" spans="1:21" ht="15.75" thickTop="1" x14ac:dyDescent="0.2">
      <c r="A83" s="597"/>
      <c r="B83" s="295"/>
      <c r="C83" s="604"/>
      <c r="D83" s="281"/>
      <c r="E83" s="597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</row>
    <row r="84" spans="1:21" ht="16.5" thickBot="1" x14ac:dyDescent="0.3">
      <c r="A84" s="381">
        <f>A82+1</f>
        <v>60</v>
      </c>
      <c r="C84" s="251" t="s">
        <v>871</v>
      </c>
      <c r="E84" s="83" t="s">
        <v>870</v>
      </c>
      <c r="H84" s="547">
        <f>(H72+H68)/H80</f>
        <v>3.7374621415416892E-2</v>
      </c>
      <c r="K84" s="547">
        <f>(K72+K68)/K80</f>
        <v>5.9104267365439972E-2</v>
      </c>
      <c r="N84" s="547">
        <f>(N72+N68)/N80</f>
        <v>6.8981973899812615E-2</v>
      </c>
      <c r="Q84" s="547">
        <f>(Q72+Q68)/P80</f>
        <v>1.5767092769574245E-2</v>
      </c>
      <c r="T84" s="547">
        <f>(T72+T68)/S80</f>
        <v>5.4397477531983297E-2</v>
      </c>
    </row>
    <row r="85" spans="1:21" ht="15.75" thickTop="1" x14ac:dyDescent="0.2">
      <c r="A85" s="381"/>
      <c r="H85" s="280"/>
    </row>
    <row r="86" spans="1:21" ht="15" x14ac:dyDescent="0.2">
      <c r="A86" s="381">
        <f>A84+1</f>
        <v>61</v>
      </c>
      <c r="C86" s="377" t="s">
        <v>869</v>
      </c>
    </row>
    <row r="87" spans="1:21" ht="15" x14ac:dyDescent="0.2">
      <c r="A87" s="381">
        <f>A86+1</f>
        <v>62</v>
      </c>
      <c r="C87" s="377" t="s">
        <v>874</v>
      </c>
    </row>
  </sheetData>
  <customSheetViews>
    <customSheetView guid="{275E5119-9E8C-43ED-ACD2-DF40CF10B219}" scale="70" fitToPage="1" topLeftCell="A10">
      <selection activeCell="M25" sqref="M25"/>
      <pageMargins left="0.5" right="0.5" top="0.35" bottom="0.36" header="0.23" footer="0.28999999999999998"/>
      <pageSetup scale="65" orientation="portrait" horizontalDpi="4294967292" verticalDpi="4294967292" r:id="rId1"/>
      <headerFooter alignWithMargins="0"/>
    </customSheetView>
    <customSheetView guid="{D346ECD1-ED60-4F74-8B02-572F89E41ACB}" scale="70" showPageBreaks="1" fitToPage="1" showRuler="0" topLeftCell="A10">
      <selection activeCell="M25" sqref="M25"/>
      <pageMargins left="0.5" right="0.5" top="0.35" bottom="0.36" header="0.23" footer="0.28999999999999998"/>
      <pageSetup scale="46" orientation="portrait" horizontalDpi="4294967292" verticalDpi="4294967292" r:id="rId2"/>
      <headerFooter alignWithMargins="0"/>
    </customSheetView>
  </customSheetViews>
  <mergeCells count="3">
    <mergeCell ref="P6:Q6"/>
    <mergeCell ref="S6:T6"/>
    <mergeCell ref="P5:T5"/>
  </mergeCells>
  <phoneticPr fontId="9" type="noConversion"/>
  <printOptions horizontalCentered="1"/>
  <pageMargins left="0.5" right="0.5" top="0.75" bottom="0.75" header="0.23" footer="0.28999999999999998"/>
  <pageSetup scale="44" orientation="landscape" horizontalDpi="1200" verticalDpi="1200" r:id="rId3"/>
  <headerFooter alignWithMargins="0">
    <oddHeader xml:space="preserve">&amp;RUndertaking 17 - Page 527, Lines 15-17, Attachment 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pageSetUpPr fitToPage="1"/>
  </sheetPr>
  <dimension ref="A1:T30"/>
  <sheetViews>
    <sheetView view="pageBreakPreview" zoomScaleNormal="100" zoomScaleSheetLayoutView="100" workbookViewId="0">
      <selection activeCell="H27" sqref="H27"/>
    </sheetView>
  </sheetViews>
  <sheetFormatPr defaultRowHeight="12.75" x14ac:dyDescent="0.2"/>
  <cols>
    <col min="1" max="1" width="5" style="126" bestFit="1" customWidth="1"/>
    <col min="2" max="2" width="2.28515625" style="125" customWidth="1"/>
    <col min="3" max="3" width="9.140625" style="126"/>
    <col min="4" max="4" width="27.140625" style="126" customWidth="1"/>
    <col min="5" max="5" width="2.28515625" style="126" customWidth="1"/>
    <col min="6" max="6" width="10.7109375" style="126" customWidth="1"/>
    <col min="7" max="7" width="2.28515625" style="126" customWidth="1"/>
    <col min="8" max="9" width="9.7109375" style="126" customWidth="1"/>
    <col min="10" max="10" width="2.28515625" style="126" customWidth="1"/>
    <col min="11" max="12" width="9.7109375" style="126" customWidth="1"/>
    <col min="13" max="13" width="2.28515625" style="126" customWidth="1"/>
    <col min="14" max="15" width="9.7109375" style="126" customWidth="1"/>
    <col min="16" max="16" width="2.28515625" style="126" customWidth="1"/>
    <col min="17" max="17" width="9.7109375" style="126" customWidth="1"/>
    <col min="18" max="18" width="2.28515625" style="126" customWidth="1"/>
    <col min="19" max="19" width="9.7109375" style="126" customWidth="1"/>
    <col min="20" max="20" width="2.28515625" style="126" customWidth="1"/>
    <col min="21" max="16384" width="9.140625" style="126"/>
  </cols>
  <sheetData>
    <row r="1" spans="1:20" s="123" customFormat="1" x14ac:dyDescent="0.2">
      <c r="A1" s="340" t="s">
        <v>1006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121" t="s">
        <v>561</v>
      </c>
    </row>
    <row r="2" spans="1:20" s="123" customFormat="1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121" t="s">
        <v>888</v>
      </c>
    </row>
    <row r="3" spans="1:20" x14ac:dyDescent="0.2">
      <c r="A3" s="340" t="s">
        <v>144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125"/>
    </row>
    <row r="4" spans="1:20" s="123" customFormat="1" x14ac:dyDescent="0.2">
      <c r="A4" s="339" t="s">
        <v>18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122"/>
    </row>
    <row r="5" spans="1:20" s="123" customFormat="1" x14ac:dyDescent="0.2">
      <c r="B5" s="122"/>
      <c r="F5" s="124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1:20" s="123" customFormat="1" ht="15.75" x14ac:dyDescent="0.25">
      <c r="A6" s="127" t="s">
        <v>19</v>
      </c>
      <c r="B6" s="128"/>
      <c r="F6" s="64" t="s">
        <v>20</v>
      </c>
      <c r="G6" s="129"/>
      <c r="H6" s="387" t="s">
        <v>11</v>
      </c>
      <c r="I6" s="387" t="s">
        <v>4</v>
      </c>
      <c r="J6" s="129"/>
      <c r="K6" s="387" t="s">
        <v>11</v>
      </c>
      <c r="L6" s="387" t="s">
        <v>4</v>
      </c>
      <c r="M6" s="68"/>
      <c r="N6" s="269" t="s">
        <v>11</v>
      </c>
      <c r="O6" s="387" t="s">
        <v>4</v>
      </c>
      <c r="P6" s="542"/>
      <c r="Q6" s="610" t="s">
        <v>293</v>
      </c>
      <c r="R6" s="610"/>
      <c r="S6" s="610"/>
      <c r="T6" s="122"/>
    </row>
    <row r="7" spans="1:20" s="123" customFormat="1" x14ac:dyDescent="0.2">
      <c r="A7" s="130" t="s">
        <v>21</v>
      </c>
      <c r="C7" s="131" t="s">
        <v>149</v>
      </c>
      <c r="D7" s="132"/>
      <c r="F7" s="65" t="s">
        <v>22</v>
      </c>
      <c r="G7" s="129"/>
      <c r="H7" s="133">
        <v>2013</v>
      </c>
      <c r="I7" s="133">
        <v>2013</v>
      </c>
      <c r="J7" s="129"/>
      <c r="K7" s="133">
        <v>2014</v>
      </c>
      <c r="L7" s="133">
        <v>2014</v>
      </c>
      <c r="M7" s="129"/>
      <c r="N7" s="286">
        <v>2015</v>
      </c>
      <c r="O7" s="286">
        <v>2015</v>
      </c>
      <c r="P7" s="287"/>
      <c r="Q7" s="286">
        <v>2016</v>
      </c>
      <c r="R7" s="287"/>
      <c r="S7" s="286">
        <v>2017</v>
      </c>
      <c r="T7" s="122"/>
    </row>
    <row r="8" spans="1:20" s="123" customFormat="1" x14ac:dyDescent="0.2">
      <c r="A8" s="134"/>
      <c r="C8" s="135"/>
      <c r="D8" s="122"/>
      <c r="F8" s="136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20" x14ac:dyDescent="0.2">
      <c r="A9" s="137">
        <v>1</v>
      </c>
      <c r="B9" s="138"/>
      <c r="C9" s="123" t="s">
        <v>215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25"/>
    </row>
    <row r="10" spans="1:20" x14ac:dyDescent="0.2">
      <c r="A10" s="137">
        <f>A9+1</f>
        <v>2</v>
      </c>
      <c r="B10" s="138"/>
      <c r="C10" s="126" t="s">
        <v>395</v>
      </c>
      <c r="G10" s="139"/>
      <c r="H10" s="139">
        <v>-14.695309999999999</v>
      </c>
      <c r="I10" s="139">
        <v>-977</v>
      </c>
      <c r="J10" s="139"/>
      <c r="K10" s="139">
        <v>-845.71966999999995</v>
      </c>
      <c r="L10" s="139">
        <v>-343</v>
      </c>
      <c r="N10" s="139">
        <v>-205.87899999999999</v>
      </c>
      <c r="O10" s="139">
        <v>-369</v>
      </c>
      <c r="P10" s="139"/>
      <c r="Q10" s="139">
        <v>-518.26989600000002</v>
      </c>
      <c r="R10" s="139"/>
      <c r="S10" s="139">
        <v>-105.086606</v>
      </c>
      <c r="T10" s="125"/>
    </row>
    <row r="11" spans="1:20" x14ac:dyDescent="0.2">
      <c r="A11" s="243">
        <f t="shared" ref="A11:A30" si="0">A10+1</f>
        <v>3</v>
      </c>
      <c r="B11" s="138"/>
      <c r="C11" s="293" t="s">
        <v>398</v>
      </c>
      <c r="G11" s="139"/>
      <c r="H11" s="139">
        <v>-71</v>
      </c>
      <c r="I11" s="139">
        <v>0</v>
      </c>
      <c r="J11" s="139"/>
      <c r="K11" s="139">
        <v>-0.50800000000000001</v>
      </c>
      <c r="L11" s="139">
        <v>-200</v>
      </c>
      <c r="N11" s="139">
        <v>-49.418999999999997</v>
      </c>
      <c r="O11" s="139">
        <v>0</v>
      </c>
      <c r="P11" s="139"/>
      <c r="Q11" s="139">
        <v>0</v>
      </c>
      <c r="R11" s="139"/>
      <c r="S11" s="139">
        <v>0</v>
      </c>
      <c r="T11" s="125"/>
    </row>
    <row r="12" spans="1:20" s="123" customFormat="1" x14ac:dyDescent="0.2">
      <c r="A12" s="243">
        <f t="shared" si="0"/>
        <v>4</v>
      </c>
      <c r="C12" s="301" t="s">
        <v>507</v>
      </c>
      <c r="D12" s="122"/>
      <c r="F12" s="136"/>
      <c r="G12" s="142"/>
      <c r="H12" s="141">
        <v>0</v>
      </c>
      <c r="I12" s="141">
        <v>0</v>
      </c>
      <c r="J12" s="142"/>
      <c r="K12" s="141">
        <v>0</v>
      </c>
      <c r="L12" s="141">
        <v>0</v>
      </c>
      <c r="N12" s="141">
        <v>0</v>
      </c>
      <c r="O12" s="141">
        <v>0</v>
      </c>
      <c r="P12" s="285"/>
      <c r="Q12" s="141">
        <v>0</v>
      </c>
      <c r="R12" s="285"/>
      <c r="S12" s="141">
        <v>0</v>
      </c>
      <c r="T12" s="122"/>
    </row>
    <row r="13" spans="1:20" x14ac:dyDescent="0.2">
      <c r="A13" s="243">
        <f t="shared" si="0"/>
        <v>5</v>
      </c>
      <c r="B13" s="138"/>
      <c r="C13" s="126" t="s">
        <v>216</v>
      </c>
      <c r="G13" s="144"/>
      <c r="H13" s="144">
        <f>SUM(H10:H12)</f>
        <v>-85.695310000000006</v>
      </c>
      <c r="I13" s="144">
        <f>SUM(I10:I12)</f>
        <v>-977</v>
      </c>
      <c r="J13" s="144"/>
      <c r="K13" s="144">
        <f>SUM(K10:K12)</f>
        <v>-846.22766999999999</v>
      </c>
      <c r="L13" s="144">
        <f>SUM(L10:L12)</f>
        <v>-543</v>
      </c>
      <c r="N13" s="144">
        <f>SUM(N10:N12)</f>
        <v>-255.298</v>
      </c>
      <c r="O13" s="144">
        <f>SUM(O10:O12)</f>
        <v>-369</v>
      </c>
      <c r="P13" s="144"/>
      <c r="Q13" s="144">
        <f>SUM(Q10:Q12)</f>
        <v>-518.26989600000002</v>
      </c>
      <c r="R13" s="144"/>
      <c r="S13" s="144">
        <f>SUM(S10:S12)</f>
        <v>-105.086606</v>
      </c>
      <c r="T13" s="125"/>
    </row>
    <row r="14" spans="1:20" x14ac:dyDescent="0.2">
      <c r="A14" s="243">
        <f t="shared" si="0"/>
        <v>6</v>
      </c>
      <c r="B14" s="138"/>
      <c r="G14" s="144"/>
      <c r="H14" s="144"/>
      <c r="I14" s="144"/>
      <c r="J14" s="144"/>
      <c r="K14" s="144"/>
      <c r="L14" s="144"/>
      <c r="N14" s="144"/>
      <c r="O14" s="144"/>
      <c r="P14" s="144"/>
      <c r="Q14" s="144"/>
      <c r="R14" s="144"/>
      <c r="S14" s="144"/>
      <c r="T14" s="125"/>
    </row>
    <row r="15" spans="1:20" x14ac:dyDescent="0.2">
      <c r="A15" s="243">
        <f t="shared" si="0"/>
        <v>7</v>
      </c>
      <c r="B15" s="138"/>
      <c r="G15" s="144"/>
      <c r="H15" s="144"/>
      <c r="I15" s="144"/>
      <c r="J15" s="144"/>
      <c r="K15" s="144"/>
      <c r="L15" s="144"/>
      <c r="N15" s="144"/>
      <c r="O15" s="144"/>
      <c r="P15" s="144"/>
      <c r="Q15" s="144"/>
      <c r="R15" s="144"/>
      <c r="S15" s="144"/>
      <c r="T15" s="125"/>
    </row>
    <row r="16" spans="1:20" x14ac:dyDescent="0.2">
      <c r="A16" s="243">
        <f t="shared" si="0"/>
        <v>8</v>
      </c>
      <c r="B16" s="138"/>
      <c r="C16" s="123" t="s">
        <v>236</v>
      </c>
      <c r="G16" s="144"/>
      <c r="H16" s="144"/>
      <c r="I16" s="144"/>
      <c r="J16" s="144"/>
      <c r="K16" s="144"/>
      <c r="L16" s="144"/>
      <c r="N16" s="144"/>
      <c r="O16" s="144"/>
      <c r="P16" s="144"/>
      <c r="Q16" s="144"/>
      <c r="R16" s="144"/>
      <c r="S16" s="144"/>
      <c r="T16" s="125"/>
    </row>
    <row r="17" spans="1:20" x14ac:dyDescent="0.2">
      <c r="A17" s="243">
        <f t="shared" si="0"/>
        <v>9</v>
      </c>
      <c r="B17" s="138"/>
      <c r="C17" s="301" t="s">
        <v>105</v>
      </c>
      <c r="G17" s="144"/>
      <c r="H17" s="144">
        <v>-76.100549999999998</v>
      </c>
      <c r="I17" s="144">
        <v>-80.14355333333333</v>
      </c>
      <c r="J17" s="144"/>
      <c r="K17" s="144">
        <v>-737.96851000000004</v>
      </c>
      <c r="L17" s="144">
        <v>-80.14355333333333</v>
      </c>
      <c r="N17" s="144">
        <v>-159.81299999999999</v>
      </c>
      <c r="O17" s="144">
        <v>-80.14355333333333</v>
      </c>
      <c r="P17" s="144"/>
      <c r="Q17" s="144">
        <v>-225.84688999999997</v>
      </c>
      <c r="R17" s="144"/>
      <c r="S17" s="144">
        <v>-225.84688999999997</v>
      </c>
      <c r="T17" s="125"/>
    </row>
    <row r="18" spans="1:20" x14ac:dyDescent="0.2">
      <c r="A18" s="243">
        <f t="shared" si="0"/>
        <v>10</v>
      </c>
      <c r="B18" s="138"/>
      <c r="C18" s="301" t="s">
        <v>404</v>
      </c>
      <c r="G18" s="139"/>
      <c r="H18" s="139">
        <v>-381.67432999999994</v>
      </c>
      <c r="I18" s="139">
        <v>-112.02821333333333</v>
      </c>
      <c r="J18" s="139"/>
      <c r="K18" s="139">
        <v>-385.04841000000005</v>
      </c>
      <c r="L18" s="139">
        <v>-12.028213333333333</v>
      </c>
      <c r="N18" s="139">
        <v>-15.593</v>
      </c>
      <c r="O18" s="139">
        <v>-12.028213333333333</v>
      </c>
      <c r="P18" s="139"/>
      <c r="Q18" s="139">
        <v>-115.242026</v>
      </c>
      <c r="R18" s="139"/>
      <c r="S18" s="139">
        <v>-115.242026</v>
      </c>
      <c r="T18" s="125"/>
    </row>
    <row r="19" spans="1:20" x14ac:dyDescent="0.2">
      <c r="A19" s="243">
        <f t="shared" si="0"/>
        <v>11</v>
      </c>
      <c r="B19" s="138"/>
      <c r="C19" s="140" t="s">
        <v>91</v>
      </c>
      <c r="G19" s="139"/>
      <c r="H19" s="139">
        <v>-50.958849999999998</v>
      </c>
      <c r="I19" s="139">
        <v>-58.27462666666667</v>
      </c>
      <c r="J19" s="139"/>
      <c r="K19" s="139">
        <v>-79.528100000000009</v>
      </c>
      <c r="L19" s="139">
        <v>-126.82098442367601</v>
      </c>
      <c r="N19" s="139">
        <v>-162</v>
      </c>
      <c r="O19" s="139">
        <v>-126.82098442367601</v>
      </c>
      <c r="P19" s="139"/>
      <c r="Q19" s="139">
        <v>-97.495649999999998</v>
      </c>
      <c r="R19" s="139"/>
      <c r="S19" s="139">
        <v>-97.495649999999998</v>
      </c>
      <c r="T19" s="125"/>
    </row>
    <row r="20" spans="1:20" x14ac:dyDescent="0.2">
      <c r="A20" s="243">
        <f t="shared" si="0"/>
        <v>12</v>
      </c>
      <c r="B20" s="123"/>
      <c r="C20" s="301" t="s">
        <v>507</v>
      </c>
      <c r="D20" s="122"/>
      <c r="E20" s="123"/>
      <c r="F20" s="136"/>
      <c r="G20" s="142"/>
      <c r="H20" s="143">
        <v>-10.612770000000001</v>
      </c>
      <c r="I20" s="143">
        <v>-16.188099999999999</v>
      </c>
      <c r="J20" s="142"/>
      <c r="K20" s="143">
        <v>-20.165950000000002</v>
      </c>
      <c r="L20" s="143">
        <v>-16.188099999999999</v>
      </c>
      <c r="M20" s="123"/>
      <c r="N20" s="143">
        <v>-44.668999999999997</v>
      </c>
      <c r="O20" s="143">
        <v>-16.188099999999999</v>
      </c>
      <c r="P20" s="144"/>
      <c r="Q20" s="143">
        <v>-9.7722480000000012</v>
      </c>
      <c r="R20" s="144"/>
      <c r="S20" s="143">
        <v>-9.7722480000000012</v>
      </c>
      <c r="T20" s="122"/>
    </row>
    <row r="21" spans="1:20" s="123" customFormat="1" x14ac:dyDescent="0.2">
      <c r="A21" s="243">
        <f t="shared" si="0"/>
        <v>13</v>
      </c>
      <c r="B21" s="138"/>
      <c r="C21" s="126" t="s">
        <v>256</v>
      </c>
      <c r="D21" s="126"/>
      <c r="E21" s="126"/>
      <c r="F21" s="126"/>
      <c r="G21" s="144"/>
      <c r="H21" s="144">
        <f>SUM(H17:H20)</f>
        <v>-519.34649999999988</v>
      </c>
      <c r="I21" s="144">
        <f>SUM(I17:I20)</f>
        <v>-266.63449333333335</v>
      </c>
      <c r="J21" s="144"/>
      <c r="K21" s="144">
        <f>SUM(K17:K20)</f>
        <v>-1222.7109700000001</v>
      </c>
      <c r="L21" s="144">
        <f>SUM(L17:L20)</f>
        <v>-235.18085109034266</v>
      </c>
      <c r="M21" s="126"/>
      <c r="N21" s="144">
        <f>SUM(N17:N20)</f>
        <v>-382.07499999999993</v>
      </c>
      <c r="O21" s="144">
        <f>SUM(O17:O20)</f>
        <v>-235.18085109034266</v>
      </c>
      <c r="P21" s="144"/>
      <c r="Q21" s="144">
        <f>SUM(Q17:Q20)</f>
        <v>-448.35681399999999</v>
      </c>
      <c r="R21" s="144"/>
      <c r="S21" s="144">
        <f>SUM(S17:S20)</f>
        <v>-448.35681399999999</v>
      </c>
      <c r="T21" s="125"/>
    </row>
    <row r="22" spans="1:20" x14ac:dyDescent="0.2">
      <c r="A22" s="243">
        <f t="shared" si="0"/>
        <v>14</v>
      </c>
      <c r="B22" s="138"/>
      <c r="G22" s="144"/>
      <c r="H22" s="144"/>
      <c r="I22" s="144"/>
      <c r="J22" s="144"/>
      <c r="K22" s="144"/>
      <c r="L22" s="144"/>
      <c r="N22" s="144"/>
      <c r="O22" s="144"/>
      <c r="P22" s="144"/>
      <c r="Q22" s="144"/>
      <c r="R22" s="144"/>
      <c r="S22" s="144"/>
      <c r="T22" s="125"/>
    </row>
    <row r="23" spans="1:20" x14ac:dyDescent="0.2">
      <c r="A23" s="243">
        <f t="shared" si="0"/>
        <v>15</v>
      </c>
      <c r="B23" s="138"/>
      <c r="C23" s="123" t="s">
        <v>121</v>
      </c>
      <c r="G23" s="139"/>
      <c r="H23" s="139"/>
      <c r="I23" s="139"/>
      <c r="J23" s="139"/>
      <c r="K23" s="139"/>
      <c r="L23" s="139"/>
      <c r="N23" s="139"/>
      <c r="O23" s="139"/>
      <c r="P23" s="139"/>
      <c r="Q23" s="139"/>
      <c r="R23" s="139"/>
      <c r="S23" s="139"/>
      <c r="T23" s="125"/>
    </row>
    <row r="24" spans="1:20" x14ac:dyDescent="0.2">
      <c r="A24" s="243">
        <f t="shared" si="0"/>
        <v>16</v>
      </c>
      <c r="B24" s="138"/>
      <c r="C24" s="140" t="s">
        <v>125</v>
      </c>
      <c r="G24" s="144"/>
      <c r="H24" s="144">
        <v>-14.92249</v>
      </c>
      <c r="I24" s="144">
        <v>-32.394083333333334</v>
      </c>
      <c r="J24" s="144"/>
      <c r="K24" s="144">
        <v>0</v>
      </c>
      <c r="L24" s="144">
        <v>-32.394083333333334</v>
      </c>
      <c r="N24" s="144">
        <v>-242.4</v>
      </c>
      <c r="O24" s="144">
        <v>-32.394083333333334</v>
      </c>
      <c r="P24" s="144"/>
      <c r="Q24" s="144">
        <v>-9.3141400000000001</v>
      </c>
      <c r="R24" s="144"/>
      <c r="S24" s="144">
        <v>-9.3141400000000001</v>
      </c>
      <c r="T24" s="125"/>
    </row>
    <row r="25" spans="1:20" x14ac:dyDescent="0.2">
      <c r="A25" s="243">
        <f t="shared" si="0"/>
        <v>17</v>
      </c>
      <c r="B25" s="138"/>
      <c r="C25" s="140" t="s">
        <v>53</v>
      </c>
      <c r="G25" s="144"/>
      <c r="H25" s="144">
        <v>-260.66996</v>
      </c>
      <c r="I25" s="144">
        <v>-126.83885666666667</v>
      </c>
      <c r="J25" s="144"/>
      <c r="K25" s="144">
        <v>-245.11649</v>
      </c>
      <c r="L25" s="144">
        <v>-126.83885666666667</v>
      </c>
      <c r="N25" s="144">
        <v>-160.37299999999999</v>
      </c>
      <c r="O25" s="144">
        <v>-119.90233200000002</v>
      </c>
      <c r="P25" s="144"/>
      <c r="Q25" s="144">
        <v>-166.43970999999996</v>
      </c>
      <c r="R25" s="144"/>
      <c r="S25" s="144">
        <v>-166.43970999999996</v>
      </c>
      <c r="T25" s="125"/>
    </row>
    <row r="26" spans="1:20" x14ac:dyDescent="0.2">
      <c r="A26" s="243">
        <f t="shared" si="0"/>
        <v>18</v>
      </c>
      <c r="B26" s="138"/>
      <c r="C26" s="140" t="s">
        <v>127</v>
      </c>
      <c r="G26" s="144"/>
      <c r="H26" s="144">
        <v>-24.911529999999999</v>
      </c>
      <c r="I26" s="144">
        <v>-30.973289999999999</v>
      </c>
      <c r="J26" s="144"/>
      <c r="K26" s="144">
        <v>0</v>
      </c>
      <c r="L26" s="144">
        <v>-30.973289999999999</v>
      </c>
      <c r="N26" s="144">
        <v>0</v>
      </c>
      <c r="O26" s="144">
        <v>-30.973289999999999</v>
      </c>
      <c r="P26" s="144"/>
      <c r="Q26" s="144">
        <v>-11.015549999999999</v>
      </c>
      <c r="R26" s="144"/>
      <c r="S26" s="144">
        <v>-11.015549999999999</v>
      </c>
      <c r="T26" s="125"/>
    </row>
    <row r="27" spans="1:20" x14ac:dyDescent="0.2">
      <c r="A27" s="243">
        <f t="shared" si="0"/>
        <v>19</v>
      </c>
      <c r="B27" s="138"/>
      <c r="C27" s="301" t="s">
        <v>507</v>
      </c>
      <c r="G27" s="144"/>
      <c r="H27" s="143">
        <v>-0.29999000000000003</v>
      </c>
      <c r="I27" s="143">
        <v>-6.5744150000000001</v>
      </c>
      <c r="J27" s="144"/>
      <c r="K27" s="143">
        <v>0</v>
      </c>
      <c r="L27" s="143">
        <v>-6.5744150000000001</v>
      </c>
      <c r="N27" s="143">
        <v>0</v>
      </c>
      <c r="O27" s="143">
        <v>-6.5744150000000001</v>
      </c>
      <c r="P27" s="144"/>
      <c r="Q27" s="143">
        <v>-0.61919800000000003</v>
      </c>
      <c r="R27" s="144"/>
      <c r="S27" s="143">
        <v>-0.61919800000000003</v>
      </c>
      <c r="T27" s="125"/>
    </row>
    <row r="28" spans="1:20" x14ac:dyDescent="0.2">
      <c r="A28" s="243">
        <f t="shared" si="0"/>
        <v>20</v>
      </c>
      <c r="B28" s="138"/>
      <c r="C28" s="126" t="s">
        <v>54</v>
      </c>
      <c r="G28" s="144"/>
      <c r="H28" s="144">
        <f>SUM(H24:H27)</f>
        <v>-300.80396999999994</v>
      </c>
      <c r="I28" s="144">
        <f>SUM(I24:I27)</f>
        <v>-196.78064499999999</v>
      </c>
      <c r="J28" s="144"/>
      <c r="K28" s="144">
        <f>SUM(K24:K27)</f>
        <v>-245.11649</v>
      </c>
      <c r="L28" s="144">
        <f>SUM(L24:L27)</f>
        <v>-196.78064499999999</v>
      </c>
      <c r="N28" s="144">
        <f>SUM(N24:N27)</f>
        <v>-402.77300000000002</v>
      </c>
      <c r="O28" s="144">
        <f>SUM(O24:O27)</f>
        <v>-189.84412033333334</v>
      </c>
      <c r="P28" s="144"/>
      <c r="Q28" s="144">
        <f>SUM(Q24:Q27)</f>
        <v>-187.38859799999997</v>
      </c>
      <c r="R28" s="144"/>
      <c r="S28" s="144">
        <f>SUM(S24:S27)</f>
        <v>-187.38859799999997</v>
      </c>
      <c r="T28" s="125"/>
    </row>
    <row r="29" spans="1:20" x14ac:dyDescent="0.2">
      <c r="A29" s="243">
        <f t="shared" si="0"/>
        <v>21</v>
      </c>
      <c r="B29" s="138"/>
      <c r="G29" s="139"/>
      <c r="H29" s="139"/>
      <c r="I29" s="139"/>
      <c r="J29" s="139"/>
      <c r="K29" s="139"/>
      <c r="L29" s="139"/>
      <c r="N29" s="139"/>
      <c r="O29" s="139"/>
      <c r="P29" s="139"/>
      <c r="Q29" s="139"/>
      <c r="R29" s="139"/>
      <c r="S29" s="139"/>
      <c r="T29" s="125"/>
    </row>
    <row r="30" spans="1:20" x14ac:dyDescent="0.2">
      <c r="A30" s="243">
        <f t="shared" si="0"/>
        <v>22</v>
      </c>
      <c r="B30" s="138"/>
      <c r="C30" s="123" t="s">
        <v>146</v>
      </c>
      <c r="F30" s="336" t="s">
        <v>472</v>
      </c>
      <c r="G30" s="139"/>
      <c r="H30" s="145">
        <f>H28+H13+H21</f>
        <v>-905.84577999999988</v>
      </c>
      <c r="I30" s="145">
        <f>I28+I13+I21</f>
        <v>-1440.4151383333333</v>
      </c>
      <c r="J30" s="139"/>
      <c r="K30" s="145">
        <f>K28+K13+K21</f>
        <v>-2314.0551300000002</v>
      </c>
      <c r="L30" s="145">
        <f>L28+L13+L21</f>
        <v>-974.96149609034273</v>
      </c>
      <c r="N30" s="145">
        <f>N28+N13+N21</f>
        <v>-1040.146</v>
      </c>
      <c r="O30" s="145">
        <f>O28+O13+O21</f>
        <v>-794.02497142367599</v>
      </c>
      <c r="P30" s="144"/>
      <c r="Q30" s="145">
        <f>Q28+Q13+Q21</f>
        <v>-1154.015308</v>
      </c>
      <c r="R30" s="144"/>
      <c r="S30" s="145">
        <f>S28+S13+S21</f>
        <v>-740.83201799999995</v>
      </c>
      <c r="T30" s="125"/>
    </row>
  </sheetData>
  <customSheetViews>
    <customSheetView guid="{275E5119-9E8C-43ED-ACD2-DF40CF10B219}" fitToPage="1">
      <selection activeCell="F31" sqref="F31"/>
      <pageMargins left="0.6" right="0.55000000000000004" top="0.77" bottom="0.5" header="0.66" footer="0.5"/>
      <printOptions horizontalCentered="1"/>
      <pageSetup scale="89" orientation="landscape" horizontalDpi="4294967292" verticalDpi="300" r:id="rId1"/>
      <headerFooter alignWithMargins="0"/>
    </customSheetView>
    <customSheetView guid="{D346ECD1-ED60-4F74-8B02-572F89E41ACB}" showPageBreaks="1" fitToPage="1" showRuler="0">
      <selection activeCell="F31" sqref="F31"/>
      <pageMargins left="0.6" right="0.55000000000000004" top="0.77" bottom="0.5" header="0.66" footer="0.5"/>
      <printOptions horizontalCentered="1"/>
      <pageSetup scale="83" orientation="landscape" horizontalDpi="4294967292" verticalDpi="300" r:id="rId2"/>
      <headerFooter alignWithMargins="0"/>
    </customSheetView>
  </customSheetViews>
  <mergeCells count="1">
    <mergeCell ref="Q6:S6"/>
  </mergeCells>
  <phoneticPr fontId="10" type="noConversion"/>
  <printOptions horizontalCentered="1"/>
  <pageMargins left="0.5" right="0.5" top="0.75" bottom="0.75" header="0.25" footer="0.5"/>
  <pageSetup scale="88" orientation="landscape" r:id="rId3"/>
  <headerFooter alignWithMargins="0">
    <oddHeader>&amp;RUndertaking 17 - Page 527, Lines 15-17, Attachment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pageSetUpPr fitToPage="1"/>
  </sheetPr>
  <dimension ref="A1:S106"/>
  <sheetViews>
    <sheetView view="pageBreakPreview" topLeftCell="A40" zoomScale="70" zoomScaleNormal="55" zoomScaleSheetLayoutView="70" workbookViewId="0">
      <selection activeCell="P30" sqref="P30"/>
    </sheetView>
  </sheetViews>
  <sheetFormatPr defaultColWidth="7.5703125" defaultRowHeight="15" x14ac:dyDescent="0.2"/>
  <cols>
    <col min="1" max="1" width="6.28515625" style="292" bestFit="1" customWidth="1"/>
    <col min="2" max="2" width="2.28515625" style="292" customWidth="1"/>
    <col min="3" max="3" width="70.28515625" style="292" customWidth="1"/>
    <col min="4" max="4" width="2.28515625" style="292" customWidth="1"/>
    <col min="5" max="5" width="17.8554687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3" width="12.7109375" style="292" customWidth="1"/>
    <col min="14" max="14" width="12.570312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560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549</v>
      </c>
    </row>
    <row r="3" spans="1:19" ht="15.75" x14ac:dyDescent="0.25">
      <c r="A3" s="261" t="s">
        <v>209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</row>
    <row r="5" spans="1:19" ht="15.75" x14ac:dyDescent="0.25">
      <c r="A5" s="261"/>
      <c r="B5" s="245"/>
      <c r="C5" s="245"/>
      <c r="D5" s="245"/>
      <c r="M5" s="239"/>
      <c r="N5" s="582"/>
      <c r="O5" s="239"/>
      <c r="P5" s="582"/>
      <c r="Q5" s="239"/>
      <c r="R5" s="582"/>
      <c r="S5" s="289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240" t="s">
        <v>4</v>
      </c>
      <c r="I6" s="582"/>
      <c r="J6" s="582" t="s">
        <v>11</v>
      </c>
      <c r="K6" s="240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  <c r="S6" s="289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582"/>
      <c r="G7" s="589">
        <v>2013</v>
      </c>
      <c r="H7" s="589">
        <v>2013</v>
      </c>
      <c r="I7" s="582"/>
      <c r="J7" s="589">
        <v>2014</v>
      </c>
      <c r="K7" s="589">
        <v>2014</v>
      </c>
      <c r="L7" s="240"/>
      <c r="M7" s="589">
        <v>2015</v>
      </c>
      <c r="N7" s="589">
        <v>2015</v>
      </c>
      <c r="O7" s="240"/>
      <c r="P7" s="589">
        <v>2016</v>
      </c>
      <c r="Q7" s="240"/>
      <c r="R7" s="589">
        <v>2017</v>
      </c>
      <c r="S7" s="289"/>
    </row>
    <row r="8" spans="1:19" ht="15" customHeight="1" x14ac:dyDescent="0.2"/>
    <row r="9" spans="1:19" ht="15" customHeight="1" x14ac:dyDescent="0.25">
      <c r="A9" s="83">
        <v>1</v>
      </c>
      <c r="C9" s="511" t="s">
        <v>261</v>
      </c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</row>
    <row r="10" spans="1:19" ht="15" customHeight="1" x14ac:dyDescent="0.25">
      <c r="A10" s="83">
        <f>A9+1</f>
        <v>2</v>
      </c>
      <c r="C10" s="511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</row>
    <row r="11" spans="1:19" ht="15" customHeight="1" x14ac:dyDescent="0.25">
      <c r="A11" s="83">
        <f t="shared" ref="A11:A82" si="0">A10+1</f>
        <v>3</v>
      </c>
      <c r="C11" s="512" t="s">
        <v>262</v>
      </c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</row>
    <row r="12" spans="1:19" ht="15" customHeight="1" x14ac:dyDescent="0.2">
      <c r="A12" s="83">
        <f t="shared" si="0"/>
        <v>4</v>
      </c>
      <c r="C12" s="253" t="s">
        <v>267</v>
      </c>
      <c r="E12" s="83" t="s">
        <v>928</v>
      </c>
      <c r="F12" s="272"/>
      <c r="G12" s="97">
        <f t="shared" ref="G12:H12" si="1">G35</f>
        <v>0</v>
      </c>
      <c r="H12" s="97">
        <f t="shared" si="1"/>
        <v>0</v>
      </c>
      <c r="I12" s="272"/>
      <c r="J12" s="97">
        <f t="shared" ref="J12:K12" si="2">J35</f>
        <v>0</v>
      </c>
      <c r="K12" s="97">
        <f t="shared" si="2"/>
        <v>0</v>
      </c>
      <c r="L12" s="97"/>
      <c r="M12" s="97">
        <f>M35</f>
        <v>0</v>
      </c>
      <c r="N12" s="97">
        <f>N35</f>
        <v>0</v>
      </c>
      <c r="O12" s="97"/>
      <c r="P12" s="97">
        <f>P35</f>
        <v>-312.5</v>
      </c>
      <c r="Q12" s="97"/>
      <c r="R12" s="97">
        <f>R35</f>
        <v>-312.95999999999992</v>
      </c>
    </row>
    <row r="13" spans="1:19" ht="15" customHeight="1" x14ac:dyDescent="0.2">
      <c r="A13" s="83">
        <f t="shared" si="0"/>
        <v>5</v>
      </c>
      <c r="C13" s="253" t="s">
        <v>411</v>
      </c>
      <c r="E13" s="83" t="s">
        <v>929</v>
      </c>
      <c r="F13" s="66"/>
      <c r="G13" s="66">
        <f t="shared" ref="G13:H13" si="3">+G45</f>
        <v>0</v>
      </c>
      <c r="H13" s="66">
        <f t="shared" si="3"/>
        <v>0</v>
      </c>
      <c r="I13" s="66"/>
      <c r="J13" s="66">
        <f t="shared" ref="J13:K13" si="4">+J45</f>
        <v>0</v>
      </c>
      <c r="K13" s="66">
        <f t="shared" si="4"/>
        <v>0</v>
      </c>
      <c r="L13" s="66"/>
      <c r="M13" s="66">
        <f>+M45</f>
        <v>0</v>
      </c>
      <c r="N13" s="66">
        <f>+N45</f>
        <v>0</v>
      </c>
      <c r="O13" s="66"/>
      <c r="P13" s="66">
        <f>+P45</f>
        <v>-246.5</v>
      </c>
      <c r="Q13" s="66"/>
      <c r="R13" s="66">
        <f>+R45</f>
        <v>-246.5</v>
      </c>
    </row>
    <row r="14" spans="1:19" ht="15" customHeight="1" x14ac:dyDescent="0.2">
      <c r="A14" s="83">
        <f t="shared" si="0"/>
        <v>6</v>
      </c>
      <c r="C14" s="253" t="s">
        <v>410</v>
      </c>
      <c r="E14" s="83" t="s">
        <v>930</v>
      </c>
      <c r="F14" s="66"/>
      <c r="G14" s="66">
        <f t="shared" ref="G14:H14" si="5">+G53</f>
        <v>-11</v>
      </c>
      <c r="H14" s="66">
        <f t="shared" si="5"/>
        <v>-11</v>
      </c>
      <c r="I14" s="66"/>
      <c r="J14" s="66">
        <f t="shared" ref="J14:K14" si="6">+J53</f>
        <v>-11</v>
      </c>
      <c r="K14" s="66">
        <f t="shared" si="6"/>
        <v>-11</v>
      </c>
      <c r="L14" s="66"/>
      <c r="M14" s="66">
        <f>+M53</f>
        <v>-11</v>
      </c>
      <c r="N14" s="66">
        <f>+N53</f>
        <v>-11</v>
      </c>
      <c r="O14" s="66"/>
      <c r="P14" s="66">
        <f>+P53</f>
        <v>0</v>
      </c>
      <c r="Q14" s="66"/>
      <c r="R14" s="66">
        <f>+R53</f>
        <v>0</v>
      </c>
    </row>
    <row r="15" spans="1:19" ht="15" customHeight="1" x14ac:dyDescent="0.2">
      <c r="A15" s="83">
        <f t="shared" si="0"/>
        <v>7</v>
      </c>
      <c r="C15" s="253" t="s">
        <v>447</v>
      </c>
      <c r="E15" s="83" t="s">
        <v>931</v>
      </c>
      <c r="F15" s="66"/>
      <c r="G15" s="66">
        <f t="shared" ref="G15:H15" si="7">+G69</f>
        <v>-7</v>
      </c>
      <c r="H15" s="66">
        <f t="shared" si="7"/>
        <v>-7</v>
      </c>
      <c r="I15" s="66"/>
      <c r="J15" s="66">
        <f t="shared" ref="J15:K15" si="8">+J69</f>
        <v>-7</v>
      </c>
      <c r="K15" s="66">
        <f t="shared" si="8"/>
        <v>-7</v>
      </c>
      <c r="L15" s="66"/>
      <c r="M15" s="66">
        <f>+M69</f>
        <v>-6</v>
      </c>
      <c r="N15" s="66">
        <f>+N69</f>
        <v>-6</v>
      </c>
      <c r="O15" s="66"/>
      <c r="P15" s="66">
        <f>+P69</f>
        <v>0</v>
      </c>
      <c r="Q15" s="66"/>
      <c r="R15" s="66">
        <f>+R69</f>
        <v>0</v>
      </c>
    </row>
    <row r="16" spans="1:19" ht="15" customHeight="1" x14ac:dyDescent="0.2">
      <c r="A16" s="83">
        <f t="shared" si="0"/>
        <v>8</v>
      </c>
      <c r="C16" s="253" t="s">
        <v>808</v>
      </c>
      <c r="E16" s="83" t="s">
        <v>546</v>
      </c>
      <c r="F16" s="66"/>
      <c r="G16" s="66">
        <f>+G86</f>
        <v>0</v>
      </c>
      <c r="H16" s="66">
        <f>+H86</f>
        <v>0</v>
      </c>
      <c r="I16" s="66"/>
      <c r="J16" s="66">
        <f t="shared" ref="J16:K16" si="9">+J86</f>
        <v>0</v>
      </c>
      <c r="K16" s="66">
        <f t="shared" si="9"/>
        <v>0</v>
      </c>
      <c r="L16" s="66"/>
      <c r="M16" s="66">
        <f t="shared" ref="M16:N16" si="10">+M86</f>
        <v>0</v>
      </c>
      <c r="N16" s="66">
        <f t="shared" si="10"/>
        <v>0</v>
      </c>
      <c r="O16" s="66"/>
      <c r="P16" s="66">
        <f>+P86</f>
        <v>-150</v>
      </c>
      <c r="Q16" s="66"/>
      <c r="R16" s="66">
        <f>+R86</f>
        <v>-350</v>
      </c>
    </row>
    <row r="17" spans="1:18" ht="15" customHeight="1" x14ac:dyDescent="0.2">
      <c r="A17" s="83">
        <f t="shared" si="0"/>
        <v>9</v>
      </c>
      <c r="C17" s="253" t="s">
        <v>862</v>
      </c>
      <c r="E17" s="83" t="s">
        <v>946</v>
      </c>
      <c r="F17" s="66"/>
      <c r="G17" s="66">
        <f>G94</f>
        <v>0</v>
      </c>
      <c r="H17" s="66">
        <f>H94</f>
        <v>0</v>
      </c>
      <c r="I17" s="66"/>
      <c r="J17" s="66">
        <f>J94</f>
        <v>0</v>
      </c>
      <c r="K17" s="66">
        <f>K94</f>
        <v>0</v>
      </c>
      <c r="L17" s="66"/>
      <c r="M17" s="66">
        <f>M94</f>
        <v>0</v>
      </c>
      <c r="N17" s="66">
        <f>N94</f>
        <v>0</v>
      </c>
      <c r="O17" s="66"/>
      <c r="P17" s="66">
        <f>P94</f>
        <v>0</v>
      </c>
      <c r="Q17" s="66"/>
      <c r="R17" s="66">
        <f>R94</f>
        <v>0</v>
      </c>
    </row>
    <row r="18" spans="1:18" ht="15" customHeight="1" x14ac:dyDescent="0.2">
      <c r="A18" s="83">
        <f t="shared" si="0"/>
        <v>10</v>
      </c>
      <c r="C18" s="253" t="s">
        <v>873</v>
      </c>
      <c r="E18" s="83" t="s">
        <v>947</v>
      </c>
      <c r="F18" s="66"/>
      <c r="G18" s="66">
        <f>G102</f>
        <v>0</v>
      </c>
      <c r="H18" s="66" t="str">
        <f>H102</f>
        <v xml:space="preserve"> </v>
      </c>
      <c r="I18" s="66"/>
      <c r="J18" s="66">
        <f>J102</f>
        <v>0</v>
      </c>
      <c r="K18" s="66">
        <f>K102</f>
        <v>0</v>
      </c>
      <c r="L18" s="66"/>
      <c r="M18" s="66">
        <f>M102</f>
        <v>0</v>
      </c>
      <c r="N18" s="66">
        <f>N102</f>
        <v>0</v>
      </c>
      <c r="O18" s="66"/>
      <c r="P18" s="66">
        <f>P102</f>
        <v>77</v>
      </c>
      <c r="Q18" s="66"/>
      <c r="R18" s="66">
        <f>R102</f>
        <v>77</v>
      </c>
    </row>
    <row r="19" spans="1:18" ht="15" customHeight="1" thickBot="1" x14ac:dyDescent="0.3">
      <c r="A19" s="83">
        <f t="shared" si="0"/>
        <v>11</v>
      </c>
      <c r="C19" s="513" t="s">
        <v>259</v>
      </c>
      <c r="E19" s="83" t="s">
        <v>266</v>
      </c>
      <c r="F19" s="57"/>
      <c r="G19" s="232">
        <f>SUM(G12:G18)</f>
        <v>-18</v>
      </c>
      <c r="H19" s="232">
        <f>SUM(H12:H18)</f>
        <v>-18</v>
      </c>
      <c r="I19" s="57"/>
      <c r="J19" s="232">
        <f>SUM(J12:J18)</f>
        <v>-18</v>
      </c>
      <c r="K19" s="232">
        <f>SUM(K12:K18)</f>
        <v>-18</v>
      </c>
      <c r="L19" s="66"/>
      <c r="M19" s="232">
        <f>SUM(M12:M18)</f>
        <v>-17</v>
      </c>
      <c r="N19" s="232">
        <f>SUM(N12:N18)</f>
        <v>-17</v>
      </c>
      <c r="O19" s="66"/>
      <c r="P19" s="232">
        <f>SUM(P12:P18)</f>
        <v>-632</v>
      </c>
      <c r="Q19" s="66"/>
      <c r="R19" s="232">
        <f>SUM(R12:R18)</f>
        <v>-832.45999999999992</v>
      </c>
    </row>
    <row r="20" spans="1:18" ht="15" customHeight="1" thickTop="1" x14ac:dyDescent="0.25">
      <c r="A20" s="83">
        <f t="shared" si="0"/>
        <v>12</v>
      </c>
      <c r="C20" s="511"/>
      <c r="F20" s="272"/>
      <c r="G20" s="97"/>
      <c r="H20" s="97"/>
      <c r="I20" s="272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5" customHeight="1" x14ac:dyDescent="0.25">
      <c r="A21" s="83">
        <f t="shared" si="0"/>
        <v>13</v>
      </c>
      <c r="C21" s="512" t="s">
        <v>263</v>
      </c>
    </row>
    <row r="22" spans="1:18" ht="15" customHeight="1" x14ac:dyDescent="0.2">
      <c r="A22" s="83">
        <f t="shared" si="0"/>
        <v>14</v>
      </c>
      <c r="C22" s="253" t="s">
        <v>257</v>
      </c>
      <c r="E22" s="83" t="s">
        <v>932</v>
      </c>
      <c r="F22" s="272"/>
      <c r="G22" s="97">
        <f t="shared" ref="G22:H22" si="11">G39</f>
        <v>-417.5</v>
      </c>
      <c r="H22" s="97">
        <f t="shared" si="11"/>
        <v>-401.875</v>
      </c>
      <c r="I22" s="272"/>
      <c r="J22" s="97">
        <f t="shared" ref="J22:K22" si="12">J39</f>
        <v>-110.5</v>
      </c>
      <c r="K22" s="97">
        <f t="shared" si="12"/>
        <v>-96.625</v>
      </c>
      <c r="L22" s="97"/>
      <c r="M22" s="97">
        <f>M39</f>
        <v>21.454999999999998</v>
      </c>
      <c r="N22" s="97">
        <f>N39</f>
        <v>0</v>
      </c>
      <c r="O22" s="97"/>
      <c r="P22" s="97">
        <f>P39</f>
        <v>176.18499999999995</v>
      </c>
      <c r="Q22" s="97"/>
      <c r="R22" s="97">
        <f>R39</f>
        <v>156.47999999999996</v>
      </c>
    </row>
    <row r="23" spans="1:18" ht="15" customHeight="1" x14ac:dyDescent="0.2">
      <c r="A23" s="83">
        <f t="shared" si="0"/>
        <v>15</v>
      </c>
      <c r="C23" s="253" t="s">
        <v>411</v>
      </c>
      <c r="E23" s="83" t="s">
        <v>933</v>
      </c>
      <c r="F23" s="272"/>
      <c r="G23" s="97">
        <f t="shared" ref="G23:H23" si="13">G48</f>
        <v>61.5</v>
      </c>
      <c r="H23" s="97">
        <f t="shared" si="13"/>
        <v>0</v>
      </c>
      <c r="I23" s="272"/>
      <c r="J23" s="97">
        <f t="shared" ref="J23:K23" si="14">J48</f>
        <v>123</v>
      </c>
      <c r="K23" s="97">
        <f t="shared" si="14"/>
        <v>0</v>
      </c>
      <c r="L23" s="97"/>
      <c r="M23" s="97">
        <f>M48</f>
        <v>127</v>
      </c>
      <c r="N23" s="97">
        <f>N48</f>
        <v>0</v>
      </c>
      <c r="O23" s="97"/>
      <c r="P23" s="97">
        <f>P48</f>
        <v>188.75</v>
      </c>
      <c r="Q23" s="97"/>
      <c r="R23" s="97">
        <f>R48</f>
        <v>123.25</v>
      </c>
    </row>
    <row r="24" spans="1:18" ht="15" customHeight="1" x14ac:dyDescent="0.2">
      <c r="A24" s="83">
        <f t="shared" si="0"/>
        <v>16</v>
      </c>
      <c r="C24" s="253" t="s">
        <v>410</v>
      </c>
      <c r="E24" s="83" t="s">
        <v>934</v>
      </c>
      <c r="F24" s="272"/>
      <c r="G24" s="97">
        <f t="shared" ref="G24:H24" si="15">+G56</f>
        <v>27.5</v>
      </c>
      <c r="H24" s="97">
        <f t="shared" si="15"/>
        <v>27.5</v>
      </c>
      <c r="I24" s="272"/>
      <c r="J24" s="97">
        <f t="shared" ref="J24:K24" si="16">+J56</f>
        <v>16.5</v>
      </c>
      <c r="K24" s="97">
        <f t="shared" si="16"/>
        <v>16.5</v>
      </c>
      <c r="L24" s="97"/>
      <c r="M24" s="97">
        <f>+M56</f>
        <v>5.5</v>
      </c>
      <c r="N24" s="97">
        <f>+N56</f>
        <v>5.5</v>
      </c>
      <c r="O24" s="97"/>
      <c r="P24" s="97">
        <f>+P56</f>
        <v>0</v>
      </c>
      <c r="Q24" s="97"/>
      <c r="R24" s="97">
        <f>+R56</f>
        <v>0</v>
      </c>
    </row>
    <row r="25" spans="1:18" ht="15" customHeight="1" x14ac:dyDescent="0.2">
      <c r="A25" s="83">
        <f t="shared" si="0"/>
        <v>17</v>
      </c>
      <c r="C25" s="253" t="s">
        <v>447</v>
      </c>
      <c r="E25" s="83" t="s">
        <v>935</v>
      </c>
      <c r="F25" s="272"/>
      <c r="G25" s="97">
        <f t="shared" ref="G25:H25" si="17">+G72</f>
        <v>6.5</v>
      </c>
      <c r="H25" s="97">
        <f t="shared" si="17"/>
        <v>6.5</v>
      </c>
      <c r="I25" s="272"/>
      <c r="J25" s="97">
        <f t="shared" ref="J25:K25" si="18">+J72</f>
        <v>9.5</v>
      </c>
      <c r="K25" s="97">
        <f t="shared" si="18"/>
        <v>9.5</v>
      </c>
      <c r="L25" s="97"/>
      <c r="M25" s="97">
        <f>+M72</f>
        <v>3</v>
      </c>
      <c r="N25" s="97">
        <f>+N72</f>
        <v>3</v>
      </c>
      <c r="O25" s="97"/>
      <c r="P25" s="97">
        <f>+P72</f>
        <v>0</v>
      </c>
      <c r="Q25" s="97"/>
      <c r="R25" s="97">
        <f>+R72</f>
        <v>0</v>
      </c>
    </row>
    <row r="26" spans="1:18" ht="15" customHeight="1" x14ac:dyDescent="0.2">
      <c r="A26" s="83">
        <f t="shared" si="0"/>
        <v>18</v>
      </c>
      <c r="C26" s="253" t="s">
        <v>543</v>
      </c>
      <c r="E26" s="83" t="s">
        <v>544</v>
      </c>
      <c r="F26" s="272"/>
      <c r="G26" s="97">
        <f t="shared" ref="G26:H26" si="19">G81</f>
        <v>0</v>
      </c>
      <c r="H26" s="97">
        <f t="shared" si="19"/>
        <v>0</v>
      </c>
      <c r="I26" s="272"/>
      <c r="J26" s="97">
        <f t="shared" ref="J26:K26" si="20">J81</f>
        <v>110</v>
      </c>
      <c r="K26" s="97">
        <f t="shared" si="20"/>
        <v>125.5</v>
      </c>
      <c r="L26" s="97"/>
      <c r="M26" s="97">
        <f>M81</f>
        <v>309.12</v>
      </c>
      <c r="N26" s="97">
        <f>N81</f>
        <v>392.5</v>
      </c>
      <c r="O26" s="97"/>
      <c r="P26" s="97">
        <f>P81</f>
        <v>199.12</v>
      </c>
      <c r="Q26" s="97"/>
      <c r="R26" s="97">
        <f>R81</f>
        <v>0</v>
      </c>
    </row>
    <row r="27" spans="1:18" ht="15" customHeight="1" x14ac:dyDescent="0.2">
      <c r="A27" s="83">
        <f t="shared" si="0"/>
        <v>19</v>
      </c>
      <c r="C27" s="253" t="s">
        <v>808</v>
      </c>
      <c r="E27" s="83" t="s">
        <v>545</v>
      </c>
      <c r="F27" s="272"/>
      <c r="G27" s="97">
        <f>+G89</f>
        <v>0</v>
      </c>
      <c r="H27" s="97">
        <f>+H89</f>
        <v>0</v>
      </c>
      <c r="I27" s="272"/>
      <c r="J27" s="97">
        <f t="shared" ref="J27:K27" si="21">+J89</f>
        <v>0</v>
      </c>
      <c r="K27" s="97">
        <f t="shared" si="21"/>
        <v>0</v>
      </c>
      <c r="L27" s="97"/>
      <c r="M27" s="97">
        <f t="shared" ref="M27:N27" si="22">+M89</f>
        <v>0</v>
      </c>
      <c r="N27" s="97">
        <f t="shared" si="22"/>
        <v>0</v>
      </c>
      <c r="O27" s="97"/>
      <c r="P27" s="97">
        <f>+P89</f>
        <v>75</v>
      </c>
      <c r="Q27" s="97"/>
      <c r="R27" s="97">
        <f>+R89</f>
        <v>75</v>
      </c>
    </row>
    <row r="28" spans="1:18" ht="15" customHeight="1" x14ac:dyDescent="0.2">
      <c r="A28" s="83">
        <f t="shared" si="0"/>
        <v>20</v>
      </c>
      <c r="C28" s="253" t="s">
        <v>862</v>
      </c>
      <c r="E28" s="83" t="s">
        <v>936</v>
      </c>
      <c r="F28" s="272"/>
      <c r="G28" s="97">
        <f>G97</f>
        <v>0</v>
      </c>
      <c r="H28" s="97">
        <f>H97</f>
        <v>0</v>
      </c>
      <c r="I28" s="272"/>
      <c r="J28" s="97">
        <f>J97</f>
        <v>0</v>
      </c>
      <c r="K28" s="97">
        <f>K97</f>
        <v>0</v>
      </c>
      <c r="L28" s="97"/>
      <c r="M28" s="97">
        <f>M97</f>
        <v>0</v>
      </c>
      <c r="N28" s="97">
        <f>N97</f>
        <v>0</v>
      </c>
      <c r="O28" s="97"/>
      <c r="P28" s="97">
        <f>P97</f>
        <v>0</v>
      </c>
      <c r="Q28" s="97"/>
      <c r="R28" s="97">
        <f>R97</f>
        <v>50</v>
      </c>
    </row>
    <row r="29" spans="1:18" ht="15" customHeight="1" x14ac:dyDescent="0.2">
      <c r="A29" s="83">
        <f t="shared" si="0"/>
        <v>21</v>
      </c>
      <c r="C29" s="253" t="s">
        <v>873</v>
      </c>
      <c r="E29" s="83" t="s">
        <v>937</v>
      </c>
      <c r="F29" s="272"/>
      <c r="G29" s="97">
        <f>G105</f>
        <v>0</v>
      </c>
      <c r="H29" s="97">
        <f>H105</f>
        <v>0</v>
      </c>
      <c r="I29" s="272"/>
      <c r="J29" s="97">
        <f>J105</f>
        <v>0</v>
      </c>
      <c r="K29" s="97">
        <f>K105</f>
        <v>0</v>
      </c>
      <c r="L29" s="97"/>
      <c r="M29" s="97">
        <f>M105</f>
        <v>0</v>
      </c>
      <c r="N29" s="97">
        <f>N105</f>
        <v>0</v>
      </c>
      <c r="O29" s="97"/>
      <c r="P29" s="97">
        <f>P105</f>
        <v>-38.5</v>
      </c>
      <c r="Q29" s="97"/>
      <c r="R29" s="97">
        <f>R105</f>
        <v>-38.5</v>
      </c>
    </row>
    <row r="30" spans="1:18" ht="15" customHeight="1" thickBot="1" x14ac:dyDescent="0.3">
      <c r="A30" s="83">
        <f t="shared" si="0"/>
        <v>22</v>
      </c>
      <c r="C30" s="513" t="s">
        <v>264</v>
      </c>
      <c r="E30" s="83" t="s">
        <v>265</v>
      </c>
      <c r="F30" s="272"/>
      <c r="G30" s="229">
        <f t="shared" ref="G30:H30" si="23">SUM(G22:G29)</f>
        <v>-322</v>
      </c>
      <c r="H30" s="229">
        <f t="shared" si="23"/>
        <v>-367.875</v>
      </c>
      <c r="I30" s="272"/>
      <c r="J30" s="229">
        <f t="shared" ref="J30:K30" si="24">SUM(J22:J29)</f>
        <v>148.5</v>
      </c>
      <c r="K30" s="229">
        <f t="shared" si="24"/>
        <v>54.875</v>
      </c>
      <c r="L30" s="97"/>
      <c r="M30" s="229">
        <f t="shared" ref="M30:N30" si="25">SUM(M22:M29)</f>
        <v>466.07499999999999</v>
      </c>
      <c r="N30" s="229">
        <f t="shared" si="25"/>
        <v>401</v>
      </c>
      <c r="O30" s="97"/>
      <c r="P30" s="229">
        <f>SUM(P22:P29)</f>
        <v>600.55499999999995</v>
      </c>
      <c r="Q30" s="97"/>
      <c r="R30" s="229">
        <f>SUM(R22:R29)</f>
        <v>366.22999999999996</v>
      </c>
    </row>
    <row r="31" spans="1:18" ht="15" customHeight="1" thickTop="1" x14ac:dyDescent="0.35">
      <c r="A31" s="83">
        <f t="shared" si="0"/>
        <v>23</v>
      </c>
      <c r="C31" s="514"/>
      <c r="F31" s="272"/>
      <c r="G31" s="97"/>
      <c r="H31" s="97"/>
      <c r="I31" s="272"/>
      <c r="J31" s="97"/>
      <c r="K31" s="97"/>
      <c r="L31" s="97"/>
      <c r="M31" s="97"/>
      <c r="N31" s="97"/>
      <c r="O31" s="97"/>
      <c r="P31" s="97"/>
      <c r="Q31" s="97"/>
      <c r="R31" s="97"/>
    </row>
    <row r="32" spans="1:18" ht="15" customHeight="1" x14ac:dyDescent="0.2">
      <c r="A32" s="83">
        <f t="shared" si="0"/>
        <v>24</v>
      </c>
      <c r="C32" s="151" t="s">
        <v>267</v>
      </c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</row>
    <row r="33" spans="1:18" ht="15" customHeight="1" x14ac:dyDescent="0.2">
      <c r="A33" s="83">
        <f t="shared" si="0"/>
        <v>25</v>
      </c>
      <c r="C33" s="292" t="s">
        <v>443</v>
      </c>
      <c r="F33" s="272"/>
      <c r="G33" s="272">
        <f>+H33</f>
        <v>-610.5</v>
      </c>
      <c r="H33" s="272">
        <v>-610.5</v>
      </c>
      <c r="I33" s="272"/>
      <c r="J33" s="272">
        <f>+G37</f>
        <v>-224.5</v>
      </c>
      <c r="K33" s="272">
        <f>+H37</f>
        <v>-193.25</v>
      </c>
      <c r="L33" s="272"/>
      <c r="M33" s="272">
        <f>+J37</f>
        <v>3.5</v>
      </c>
      <c r="N33" s="272">
        <f>+K37</f>
        <v>0</v>
      </c>
      <c r="O33" s="272"/>
      <c r="P33" s="272">
        <f>+M37</f>
        <v>39.409999999999997</v>
      </c>
      <c r="Q33" s="307"/>
      <c r="R33" s="272">
        <f>+P37</f>
        <v>312.95999999999992</v>
      </c>
    </row>
    <row r="34" spans="1:18" ht="15" customHeight="1" x14ac:dyDescent="0.2">
      <c r="A34" s="83">
        <f t="shared" si="0"/>
        <v>26</v>
      </c>
      <c r="C34" s="515" t="s">
        <v>392</v>
      </c>
      <c r="E34" s="83" t="s">
        <v>1020</v>
      </c>
      <c r="F34" s="272"/>
      <c r="G34" s="272">
        <v>386</v>
      </c>
      <c r="H34" s="272">
        <v>417.25</v>
      </c>
      <c r="I34" s="272"/>
      <c r="J34" s="272">
        <v>-113</v>
      </c>
      <c r="K34" s="272">
        <v>193.25</v>
      </c>
      <c r="L34" s="272"/>
      <c r="M34" s="272">
        <f>39.41-M33</f>
        <v>35.909999999999997</v>
      </c>
      <c r="N34" s="272">
        <v>0</v>
      </c>
      <c r="O34" s="272"/>
      <c r="P34" s="272">
        <f>+S8.9!H16</f>
        <v>586.04999999999995</v>
      </c>
      <c r="Q34" s="307"/>
      <c r="R34" s="272">
        <f>+S8.9!J16</f>
        <v>0</v>
      </c>
    </row>
    <row r="35" spans="1:18" ht="15" customHeight="1" x14ac:dyDescent="0.2">
      <c r="A35" s="83">
        <f t="shared" si="0"/>
        <v>27</v>
      </c>
      <c r="C35" s="515" t="s">
        <v>401</v>
      </c>
      <c r="F35" s="66"/>
      <c r="G35" s="66">
        <v>0</v>
      </c>
      <c r="H35" s="66">
        <v>0</v>
      </c>
      <c r="I35" s="66"/>
      <c r="J35" s="66">
        <v>0</v>
      </c>
      <c r="K35" s="66">
        <v>0</v>
      </c>
      <c r="L35" s="66"/>
      <c r="M35" s="66">
        <v>0</v>
      </c>
      <c r="N35" s="66">
        <v>0</v>
      </c>
      <c r="O35" s="66"/>
      <c r="P35" s="66">
        <v>-312.5</v>
      </c>
      <c r="Q35" s="487"/>
      <c r="R35" s="66">
        <f>-SUM(R33:R34)</f>
        <v>-312.95999999999992</v>
      </c>
    </row>
    <row r="36" spans="1:18" ht="15" customHeight="1" x14ac:dyDescent="0.2">
      <c r="A36" s="83">
        <f t="shared" si="0"/>
        <v>28</v>
      </c>
      <c r="C36" s="515" t="s">
        <v>597</v>
      </c>
      <c r="F36" s="57"/>
      <c r="G36" s="70">
        <v>0</v>
      </c>
      <c r="H36" s="70">
        <v>0</v>
      </c>
      <c r="I36" s="57"/>
      <c r="J36" s="70">
        <v>341</v>
      </c>
      <c r="K36" s="70">
        <v>0</v>
      </c>
      <c r="L36" s="66"/>
      <c r="M36" s="70">
        <v>0</v>
      </c>
      <c r="N36" s="70">
        <v>0</v>
      </c>
      <c r="O36" s="66"/>
      <c r="P36" s="70">
        <v>0</v>
      </c>
      <c r="Q36" s="487"/>
      <c r="R36" s="488">
        <v>0</v>
      </c>
    </row>
    <row r="37" spans="1:18" ht="15" customHeight="1" x14ac:dyDescent="0.2">
      <c r="A37" s="83">
        <f t="shared" si="0"/>
        <v>29</v>
      </c>
      <c r="C37" s="184" t="s">
        <v>473</v>
      </c>
      <c r="F37" s="272"/>
      <c r="G37" s="98">
        <f>G35+G34+G33+G36</f>
        <v>-224.5</v>
      </c>
      <c r="H37" s="98">
        <f>H35+H34+H33</f>
        <v>-193.25</v>
      </c>
      <c r="I37" s="272"/>
      <c r="J37" s="98">
        <f>J35+J34+J33+J36</f>
        <v>3.5</v>
      </c>
      <c r="K37" s="98">
        <f>K35+K34+K33</f>
        <v>0</v>
      </c>
      <c r="L37" s="97"/>
      <c r="M37" s="98">
        <f>M35+M34+M33</f>
        <v>39.409999999999997</v>
      </c>
      <c r="N37" s="98">
        <f>N35+N34+N33</f>
        <v>0</v>
      </c>
      <c r="O37" s="97"/>
      <c r="P37" s="98">
        <f>P35+P34+P33</f>
        <v>312.95999999999992</v>
      </c>
      <c r="Q37" s="489"/>
      <c r="R37" s="98">
        <f>R35+R34+R33</f>
        <v>0</v>
      </c>
    </row>
    <row r="38" spans="1:18" ht="15" customHeight="1" x14ac:dyDescent="0.2">
      <c r="A38" s="83">
        <f t="shared" si="0"/>
        <v>30</v>
      </c>
      <c r="C38" s="166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307"/>
      <c r="R38" s="307"/>
    </row>
    <row r="39" spans="1:18" ht="15" customHeight="1" thickBot="1" x14ac:dyDescent="0.25">
      <c r="A39" s="83">
        <f t="shared" si="0"/>
        <v>31</v>
      </c>
      <c r="C39" s="184" t="s">
        <v>485</v>
      </c>
      <c r="E39" s="83" t="s">
        <v>939</v>
      </c>
      <c r="F39" s="272"/>
      <c r="G39" s="226">
        <f>(G37+G33)/2</f>
        <v>-417.5</v>
      </c>
      <c r="H39" s="226">
        <f>(H37+H33)/2</f>
        <v>-401.875</v>
      </c>
      <c r="I39" s="272"/>
      <c r="J39" s="226">
        <f>(J37+J33)/2</f>
        <v>-110.5</v>
      </c>
      <c r="K39" s="226">
        <f>(K37+K33)/2</f>
        <v>-96.625</v>
      </c>
      <c r="L39" s="97"/>
      <c r="M39" s="226">
        <f>(M37+M33)/2</f>
        <v>21.454999999999998</v>
      </c>
      <c r="N39" s="226">
        <f>(N37+N33)/2</f>
        <v>0</v>
      </c>
      <c r="O39" s="97"/>
      <c r="P39" s="226">
        <f>(P37+P33)/2</f>
        <v>176.18499999999995</v>
      </c>
      <c r="Q39" s="489"/>
      <c r="R39" s="226">
        <f>(R37+R33)/2</f>
        <v>156.47999999999996</v>
      </c>
    </row>
    <row r="40" spans="1:18" ht="15" customHeight="1" thickTop="1" x14ac:dyDescent="0.2">
      <c r="A40" s="83">
        <f t="shared" si="0"/>
        <v>32</v>
      </c>
      <c r="C40" s="166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</row>
    <row r="41" spans="1:18" ht="15" customHeight="1" x14ac:dyDescent="0.2">
      <c r="A41" s="83">
        <f t="shared" si="0"/>
        <v>33</v>
      </c>
      <c r="C41" s="151" t="s">
        <v>411</v>
      </c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</row>
    <row r="42" spans="1:18" ht="15" customHeight="1" x14ac:dyDescent="0.25">
      <c r="A42" s="83">
        <f t="shared" si="0"/>
        <v>34</v>
      </c>
      <c r="C42" s="292" t="s">
        <v>443</v>
      </c>
      <c r="F42" s="272"/>
      <c r="G42" s="272">
        <v>0</v>
      </c>
      <c r="H42" s="272">
        <v>0</v>
      </c>
      <c r="I42" s="272"/>
      <c r="J42" s="272">
        <f>+G46</f>
        <v>123</v>
      </c>
      <c r="K42" s="272">
        <v>230</v>
      </c>
      <c r="L42" s="288"/>
      <c r="M42" s="272">
        <f>+J46</f>
        <v>123</v>
      </c>
      <c r="N42" s="66">
        <f>+K46</f>
        <v>246</v>
      </c>
      <c r="O42" s="66"/>
      <c r="P42" s="66">
        <f>+M46</f>
        <v>131</v>
      </c>
      <c r="Q42" s="66"/>
      <c r="R42" s="66">
        <f>+P46</f>
        <v>246.5</v>
      </c>
    </row>
    <row r="43" spans="1:18" ht="15" customHeight="1" x14ac:dyDescent="0.2">
      <c r="A43" s="83">
        <f t="shared" si="0"/>
        <v>35</v>
      </c>
      <c r="C43" s="515" t="s">
        <v>541</v>
      </c>
      <c r="F43" s="272"/>
      <c r="G43" s="272">
        <v>123</v>
      </c>
      <c r="H43" s="272">
        <v>230</v>
      </c>
      <c r="I43" s="272"/>
      <c r="J43" s="272">
        <v>0</v>
      </c>
      <c r="K43" s="272">
        <v>16</v>
      </c>
      <c r="L43" s="227"/>
      <c r="M43" s="272">
        <v>8</v>
      </c>
      <c r="N43" s="66">
        <v>17</v>
      </c>
      <c r="O43" s="66"/>
      <c r="P43" s="66">
        <v>0</v>
      </c>
      <c r="Q43" s="66"/>
      <c r="R43" s="66">
        <v>0</v>
      </c>
    </row>
    <row r="44" spans="1:18" ht="15" customHeight="1" x14ac:dyDescent="0.2">
      <c r="A44" s="83">
        <f t="shared" si="0"/>
        <v>36</v>
      </c>
      <c r="C44" s="515" t="s">
        <v>858</v>
      </c>
      <c r="E44" s="83" t="s">
        <v>952</v>
      </c>
      <c r="F44" s="272"/>
      <c r="G44" s="272">
        <v>0</v>
      </c>
      <c r="H44" s="272">
        <v>0</v>
      </c>
      <c r="I44" s="272"/>
      <c r="J44" s="272">
        <v>0</v>
      </c>
      <c r="K44" s="272">
        <v>0</v>
      </c>
      <c r="L44" s="227"/>
      <c r="M44" s="272">
        <v>0</v>
      </c>
      <c r="N44" s="66">
        <v>0</v>
      </c>
      <c r="O44" s="66"/>
      <c r="P44" s="66">
        <f>-S9.1!P40</f>
        <v>362</v>
      </c>
      <c r="Q44" s="66"/>
      <c r="R44" s="66">
        <v>0</v>
      </c>
    </row>
    <row r="45" spans="1:18" ht="15" customHeight="1" x14ac:dyDescent="0.2">
      <c r="A45" s="83">
        <f t="shared" si="0"/>
        <v>37</v>
      </c>
      <c r="C45" s="515" t="s">
        <v>403</v>
      </c>
      <c r="F45" s="66"/>
      <c r="G45" s="66">
        <v>0</v>
      </c>
      <c r="H45" s="66">
        <v>0</v>
      </c>
      <c r="I45" s="66"/>
      <c r="J45" s="66">
        <v>0</v>
      </c>
      <c r="K45" s="66">
        <v>0</v>
      </c>
      <c r="L45" s="227"/>
      <c r="M45" s="66">
        <v>0</v>
      </c>
      <c r="N45" s="70">
        <v>0</v>
      </c>
      <c r="O45" s="66"/>
      <c r="P45" s="70">
        <v>-246.5</v>
      </c>
      <c r="Q45" s="66"/>
      <c r="R45" s="70">
        <v>-246.5</v>
      </c>
    </row>
    <row r="46" spans="1:18" ht="15" customHeight="1" x14ac:dyDescent="0.2">
      <c r="A46" s="83">
        <f t="shared" si="0"/>
        <v>38</v>
      </c>
      <c r="C46" s="184" t="s">
        <v>473</v>
      </c>
      <c r="F46" s="272"/>
      <c r="G46" s="371">
        <f>SUM(G42:G45)</f>
        <v>123</v>
      </c>
      <c r="H46" s="371">
        <f>H45+H43+H42</f>
        <v>230</v>
      </c>
      <c r="I46" s="272"/>
      <c r="J46" s="371">
        <f>J45+J43+J42</f>
        <v>123</v>
      </c>
      <c r="K46" s="371">
        <f>K45+K43+K42</f>
        <v>246</v>
      </c>
      <c r="L46" s="227"/>
      <c r="M46" s="371">
        <f>M45+M43+M42</f>
        <v>131</v>
      </c>
      <c r="N46" s="98">
        <f>+N42+N43+N45</f>
        <v>263</v>
      </c>
      <c r="O46" s="97"/>
      <c r="P46" s="98">
        <f>SUM(P42:P45)</f>
        <v>246.5</v>
      </c>
      <c r="Q46" s="97"/>
      <c r="R46" s="98">
        <f>SUM(R42:R45)</f>
        <v>0</v>
      </c>
    </row>
    <row r="47" spans="1:18" ht="15" customHeight="1" x14ac:dyDescent="0.2">
      <c r="A47" s="83">
        <f t="shared" si="0"/>
        <v>39</v>
      </c>
      <c r="C47" s="184"/>
      <c r="F47" s="272"/>
      <c r="G47" s="272"/>
      <c r="H47" s="272"/>
      <c r="I47" s="272"/>
      <c r="J47" s="272"/>
      <c r="K47" s="272"/>
      <c r="L47" s="227"/>
      <c r="M47" s="272"/>
      <c r="N47" s="272"/>
      <c r="O47" s="272"/>
      <c r="P47" s="272"/>
      <c r="Q47" s="272"/>
      <c r="R47" s="272"/>
    </row>
    <row r="48" spans="1:18" ht="15" customHeight="1" thickBot="1" x14ac:dyDescent="0.25">
      <c r="A48" s="83">
        <f t="shared" si="0"/>
        <v>40</v>
      </c>
      <c r="C48" s="184" t="s">
        <v>485</v>
      </c>
      <c r="E48" s="83" t="s">
        <v>940</v>
      </c>
      <c r="F48" s="272"/>
      <c r="G48" s="226">
        <f>(G46+G42)/2</f>
        <v>61.5</v>
      </c>
      <c r="H48" s="226">
        <f>(H46+H42)/2*0</f>
        <v>0</v>
      </c>
      <c r="I48" s="272"/>
      <c r="J48" s="226">
        <f>(J46+J42)/2</f>
        <v>123</v>
      </c>
      <c r="K48" s="226">
        <f>(K46+K42)/2*0</f>
        <v>0</v>
      </c>
      <c r="L48" s="227"/>
      <c r="M48" s="226">
        <f>(M46+M42)/2</f>
        <v>127</v>
      </c>
      <c r="N48" s="226">
        <f>(N42+N46)/2*0</f>
        <v>0</v>
      </c>
      <c r="O48" s="97"/>
      <c r="P48" s="226">
        <f>(P42+P46)/2</f>
        <v>188.75</v>
      </c>
      <c r="Q48" s="97"/>
      <c r="R48" s="226">
        <f>(R42+R46)/2</f>
        <v>123.25</v>
      </c>
    </row>
    <row r="49" spans="1:19" ht="15" customHeight="1" thickTop="1" x14ac:dyDescent="0.2">
      <c r="A49" s="83">
        <f t="shared" si="0"/>
        <v>41</v>
      </c>
      <c r="C49" s="253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</row>
    <row r="50" spans="1:19" ht="15" customHeight="1" x14ac:dyDescent="0.2">
      <c r="A50" s="83">
        <f t="shared" si="0"/>
        <v>42</v>
      </c>
      <c r="C50" s="151" t="s">
        <v>410</v>
      </c>
      <c r="L50" s="227"/>
      <c r="M50" s="227"/>
      <c r="N50" s="227"/>
      <c r="O50" s="227"/>
      <c r="P50" s="227"/>
      <c r="Q50" s="227"/>
      <c r="R50" s="227"/>
    </row>
    <row r="51" spans="1:19" ht="15" customHeight="1" x14ac:dyDescent="0.25">
      <c r="A51" s="83">
        <f t="shared" si="0"/>
        <v>43</v>
      </c>
      <c r="C51" s="292" t="s">
        <v>443</v>
      </c>
      <c r="F51" s="272"/>
      <c r="G51" s="272">
        <f>+H51</f>
        <v>33</v>
      </c>
      <c r="H51" s="272">
        <v>33</v>
      </c>
      <c r="I51" s="272"/>
      <c r="J51" s="272">
        <f>+G54</f>
        <v>22</v>
      </c>
      <c r="K51" s="272">
        <f>+H54</f>
        <v>22</v>
      </c>
      <c r="L51" s="288"/>
      <c r="M51" s="272">
        <f>+J54</f>
        <v>11</v>
      </c>
      <c r="N51" s="66">
        <f>+K54</f>
        <v>11</v>
      </c>
      <c r="O51" s="66"/>
      <c r="P51" s="66">
        <f>+M54</f>
        <v>0</v>
      </c>
      <c r="Q51" s="66"/>
      <c r="R51" s="66">
        <f>+P54</f>
        <v>0</v>
      </c>
    </row>
    <row r="52" spans="1:19" ht="15" customHeight="1" x14ac:dyDescent="0.2">
      <c r="A52" s="83">
        <f t="shared" si="0"/>
        <v>44</v>
      </c>
      <c r="C52" s="515" t="s">
        <v>402</v>
      </c>
      <c r="F52" s="272"/>
      <c r="G52" s="272">
        <v>0</v>
      </c>
      <c r="H52" s="272">
        <v>0</v>
      </c>
      <c r="I52" s="272"/>
      <c r="J52" s="272">
        <v>0</v>
      </c>
      <c r="K52" s="272">
        <v>0</v>
      </c>
      <c r="L52" s="227"/>
      <c r="M52" s="272">
        <v>0</v>
      </c>
      <c r="N52" s="66">
        <v>0</v>
      </c>
      <c r="O52" s="66"/>
      <c r="P52" s="66">
        <v>0</v>
      </c>
      <c r="Q52" s="66"/>
      <c r="R52" s="66">
        <v>0</v>
      </c>
    </row>
    <row r="53" spans="1:19" ht="15" customHeight="1" x14ac:dyDescent="0.2">
      <c r="A53" s="83">
        <f t="shared" si="0"/>
        <v>45</v>
      </c>
      <c r="C53" s="515" t="s">
        <v>403</v>
      </c>
      <c r="F53" s="66"/>
      <c r="G53" s="66">
        <v>-11</v>
      </c>
      <c r="H53" s="66">
        <v>-11</v>
      </c>
      <c r="I53" s="66"/>
      <c r="J53" s="66">
        <v>-11</v>
      </c>
      <c r="K53" s="66">
        <v>-11</v>
      </c>
      <c r="L53" s="227"/>
      <c r="M53" s="66">
        <v>-11</v>
      </c>
      <c r="N53" s="70">
        <v>-11</v>
      </c>
      <c r="O53" s="66"/>
      <c r="P53" s="70">
        <v>0</v>
      </c>
      <c r="Q53" s="66"/>
      <c r="R53" s="70">
        <v>0</v>
      </c>
    </row>
    <row r="54" spans="1:19" ht="15" customHeight="1" x14ac:dyDescent="0.2">
      <c r="A54" s="83">
        <f t="shared" si="0"/>
        <v>46</v>
      </c>
      <c r="C54" s="184" t="s">
        <v>473</v>
      </c>
      <c r="F54" s="272"/>
      <c r="G54" s="371">
        <f>SUM(G51:G53)</f>
        <v>22</v>
      </c>
      <c r="H54" s="371">
        <f>H53+H52+H51</f>
        <v>22</v>
      </c>
      <c r="I54" s="272"/>
      <c r="J54" s="371">
        <f>J53+J52+J51</f>
        <v>11</v>
      </c>
      <c r="K54" s="371">
        <f>K53+K52+K51</f>
        <v>11</v>
      </c>
      <c r="L54" s="227"/>
      <c r="M54" s="371">
        <f>M53+M52+M51</f>
        <v>0</v>
      </c>
      <c r="N54" s="98">
        <f>+N51+N52+N53</f>
        <v>0</v>
      </c>
      <c r="O54" s="97"/>
      <c r="P54" s="98">
        <f>SUM(P51:P53)</f>
        <v>0</v>
      </c>
      <c r="Q54" s="97"/>
      <c r="R54" s="98">
        <f>SUM(R51:R53)</f>
        <v>0</v>
      </c>
    </row>
    <row r="55" spans="1:19" ht="15" customHeight="1" x14ac:dyDescent="0.2">
      <c r="A55" s="83">
        <f t="shared" si="0"/>
        <v>47</v>
      </c>
      <c r="C55" s="184"/>
      <c r="F55" s="272"/>
      <c r="G55" s="272"/>
      <c r="H55" s="272"/>
      <c r="I55" s="272"/>
      <c r="J55" s="272"/>
      <c r="K55" s="272"/>
      <c r="L55" s="227"/>
      <c r="M55" s="272"/>
      <c r="N55" s="272"/>
      <c r="O55" s="272"/>
      <c r="P55" s="272"/>
      <c r="Q55" s="272"/>
      <c r="R55" s="272"/>
    </row>
    <row r="56" spans="1:19" ht="15" customHeight="1" thickBot="1" x14ac:dyDescent="0.25">
      <c r="A56" s="83">
        <f t="shared" si="0"/>
        <v>48</v>
      </c>
      <c r="C56" s="184" t="s">
        <v>485</v>
      </c>
      <c r="E56" s="83" t="s">
        <v>941</v>
      </c>
      <c r="F56" s="272"/>
      <c r="G56" s="226">
        <f>(G54+G51)/2</f>
        <v>27.5</v>
      </c>
      <c r="H56" s="226">
        <f>(H54+H51)/2</f>
        <v>27.5</v>
      </c>
      <c r="I56" s="272"/>
      <c r="J56" s="226">
        <f>(J54+J51)/2</f>
        <v>16.5</v>
      </c>
      <c r="K56" s="226">
        <f>(K54+K51)/2</f>
        <v>16.5</v>
      </c>
      <c r="L56" s="227"/>
      <c r="M56" s="226">
        <f>(M54+M51)/2</f>
        <v>5.5</v>
      </c>
      <c r="N56" s="226">
        <f>(N51+N54)/2</f>
        <v>5.5</v>
      </c>
      <c r="O56" s="97"/>
      <c r="P56" s="226">
        <f>(P51+P54)/2</f>
        <v>0</v>
      </c>
      <c r="Q56" s="97"/>
      <c r="R56" s="226">
        <f>(R51+R54)/2</f>
        <v>0</v>
      </c>
    </row>
    <row r="57" spans="1:19" ht="15" customHeight="1" thickTop="1" x14ac:dyDescent="0.2">
      <c r="A57" s="83">
        <f t="shared" si="0"/>
        <v>49</v>
      </c>
      <c r="C57" s="253"/>
      <c r="F57" s="97"/>
      <c r="G57" s="97"/>
      <c r="H57" s="97"/>
      <c r="I57" s="97"/>
      <c r="J57" s="97"/>
      <c r="K57" s="272"/>
      <c r="L57" s="227"/>
      <c r="M57" s="227"/>
      <c r="N57" s="227"/>
      <c r="O57" s="227"/>
      <c r="P57" s="227"/>
      <c r="Q57" s="227"/>
      <c r="R57" s="227"/>
    </row>
    <row r="58" spans="1:19" ht="15.75" x14ac:dyDescent="0.25">
      <c r="A58" s="261" t="s">
        <v>1006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58" t="s">
        <v>560</v>
      </c>
    </row>
    <row r="59" spans="1:19" ht="15.75" x14ac:dyDescent="0.25">
      <c r="A59" s="261" t="s">
        <v>555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58" t="s">
        <v>548</v>
      </c>
    </row>
    <row r="60" spans="1:19" ht="15.75" x14ac:dyDescent="0.25">
      <c r="A60" s="261" t="s">
        <v>209</v>
      </c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</row>
    <row r="61" spans="1:19" ht="15.75" x14ac:dyDescent="0.25">
      <c r="A61" s="261" t="s">
        <v>18</v>
      </c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</row>
    <row r="62" spans="1:19" ht="15.75" x14ac:dyDescent="0.25">
      <c r="A62" s="261"/>
      <c r="B62" s="245"/>
      <c r="C62" s="245"/>
      <c r="D62" s="245"/>
      <c r="M62" s="239"/>
      <c r="N62" s="582"/>
      <c r="O62" s="239"/>
      <c r="P62" s="582"/>
      <c r="Q62" s="239"/>
      <c r="R62" s="582"/>
      <c r="S62" s="289"/>
    </row>
    <row r="63" spans="1:19" ht="15.75" x14ac:dyDescent="0.25">
      <c r="A63" s="582" t="s">
        <v>19</v>
      </c>
      <c r="B63" s="582"/>
      <c r="C63" s="582"/>
      <c r="D63" s="582"/>
      <c r="E63" s="582" t="s">
        <v>20</v>
      </c>
      <c r="F63" s="582"/>
      <c r="G63" s="582" t="s">
        <v>11</v>
      </c>
      <c r="H63" s="240" t="s">
        <v>4</v>
      </c>
      <c r="I63" s="582"/>
      <c r="J63" s="582" t="s">
        <v>11</v>
      </c>
      <c r="K63" s="240" t="s">
        <v>4</v>
      </c>
      <c r="L63" s="582"/>
      <c r="M63" s="582" t="s">
        <v>11</v>
      </c>
      <c r="N63" s="240" t="s">
        <v>4</v>
      </c>
      <c r="O63" s="557"/>
      <c r="P63" s="605" t="s">
        <v>293</v>
      </c>
      <c r="Q63" s="605"/>
      <c r="R63" s="605"/>
      <c r="S63" s="289"/>
    </row>
    <row r="64" spans="1:19" ht="15.75" x14ac:dyDescent="0.25">
      <c r="A64" s="589" t="s">
        <v>21</v>
      </c>
      <c r="B64" s="582"/>
      <c r="C64" s="589" t="s">
        <v>149</v>
      </c>
      <c r="D64" s="582"/>
      <c r="E64" s="589" t="s">
        <v>22</v>
      </c>
      <c r="F64" s="582"/>
      <c r="G64" s="589">
        <v>2013</v>
      </c>
      <c r="H64" s="589">
        <v>2013</v>
      </c>
      <c r="I64" s="582"/>
      <c r="J64" s="589">
        <v>2014</v>
      </c>
      <c r="K64" s="589">
        <v>2014</v>
      </c>
      <c r="L64" s="240"/>
      <c r="M64" s="589">
        <v>2015</v>
      </c>
      <c r="N64" s="589">
        <v>2015</v>
      </c>
      <c r="O64" s="240"/>
      <c r="P64" s="589">
        <v>2016</v>
      </c>
      <c r="Q64" s="240"/>
      <c r="R64" s="589">
        <v>2017</v>
      </c>
      <c r="S64" s="289"/>
    </row>
    <row r="65" spans="1:18" ht="15" customHeight="1" x14ac:dyDescent="0.2">
      <c r="A65" s="83"/>
      <c r="C65" s="253"/>
      <c r="F65" s="97"/>
      <c r="G65" s="97"/>
      <c r="H65" s="97"/>
      <c r="I65" s="97"/>
      <c r="J65" s="97"/>
      <c r="K65" s="272"/>
      <c r="L65" s="227"/>
      <c r="M65" s="227"/>
      <c r="N65" s="227"/>
      <c r="O65" s="227"/>
      <c r="P65" s="227"/>
      <c r="Q65" s="227"/>
      <c r="R65" s="227"/>
    </row>
    <row r="66" spans="1:18" ht="15" customHeight="1" x14ac:dyDescent="0.2">
      <c r="A66" s="83">
        <f>A57+1</f>
        <v>50</v>
      </c>
      <c r="C66" s="151" t="s">
        <v>447</v>
      </c>
      <c r="L66" s="272"/>
      <c r="M66" s="272"/>
      <c r="N66" s="272"/>
      <c r="O66" s="272"/>
      <c r="P66" s="272"/>
      <c r="Q66" s="272"/>
      <c r="R66" s="272"/>
    </row>
    <row r="67" spans="1:18" ht="15" customHeight="1" x14ac:dyDescent="0.2">
      <c r="A67" s="83">
        <f t="shared" si="0"/>
        <v>51</v>
      </c>
      <c r="C67" s="292" t="s">
        <v>443</v>
      </c>
      <c r="F67" s="272"/>
      <c r="G67" s="272">
        <v>0</v>
      </c>
      <c r="H67" s="272">
        <v>0</v>
      </c>
      <c r="I67" s="272"/>
      <c r="J67" s="272">
        <f>+G70</f>
        <v>13</v>
      </c>
      <c r="K67" s="97">
        <f>+H70</f>
        <v>13</v>
      </c>
      <c r="L67" s="97"/>
      <c r="M67" s="66">
        <f>+J70</f>
        <v>6</v>
      </c>
      <c r="N67" s="66">
        <f>+K70</f>
        <v>6</v>
      </c>
      <c r="O67" s="66"/>
      <c r="P67" s="66">
        <f>M70</f>
        <v>0</v>
      </c>
      <c r="Q67" s="97"/>
      <c r="R67" s="66">
        <f>P70</f>
        <v>0</v>
      </c>
    </row>
    <row r="68" spans="1:18" ht="15" customHeight="1" x14ac:dyDescent="0.2">
      <c r="A68" s="83">
        <f t="shared" si="0"/>
        <v>52</v>
      </c>
      <c r="B68" s="83"/>
      <c r="C68" s="515" t="s">
        <v>402</v>
      </c>
      <c r="F68" s="272"/>
      <c r="G68" s="272">
        <v>20</v>
      </c>
      <c r="H68" s="272">
        <v>20</v>
      </c>
      <c r="I68" s="272"/>
      <c r="J68" s="272">
        <v>0</v>
      </c>
      <c r="K68" s="97">
        <v>0</v>
      </c>
      <c r="L68" s="272"/>
      <c r="M68" s="66">
        <v>0</v>
      </c>
      <c r="N68" s="66">
        <v>0</v>
      </c>
      <c r="O68" s="66"/>
      <c r="P68" s="66">
        <v>0</v>
      </c>
      <c r="Q68" s="272"/>
      <c r="R68" s="66">
        <v>0</v>
      </c>
    </row>
    <row r="69" spans="1:18" ht="15" customHeight="1" x14ac:dyDescent="0.2">
      <c r="A69" s="83">
        <f t="shared" si="0"/>
        <v>53</v>
      </c>
      <c r="C69" s="515" t="s">
        <v>403</v>
      </c>
      <c r="E69" s="292"/>
      <c r="F69" s="66"/>
      <c r="G69" s="66">
        <v>-7</v>
      </c>
      <c r="H69" s="66">
        <v>-7</v>
      </c>
      <c r="I69" s="66"/>
      <c r="J69" s="66">
        <v>-7</v>
      </c>
      <c r="K69" s="98">
        <v>-7</v>
      </c>
      <c r="L69" s="97"/>
      <c r="M69" s="70">
        <f>-M67</f>
        <v>-6</v>
      </c>
      <c r="N69" s="70">
        <v>-6</v>
      </c>
      <c r="O69" s="66"/>
      <c r="P69" s="70">
        <v>0</v>
      </c>
      <c r="Q69" s="97"/>
      <c r="R69" s="70">
        <v>0</v>
      </c>
    </row>
    <row r="70" spans="1:18" ht="15" customHeight="1" x14ac:dyDescent="0.2">
      <c r="A70" s="83">
        <f t="shared" si="0"/>
        <v>54</v>
      </c>
      <c r="C70" s="184" t="s">
        <v>473</v>
      </c>
      <c r="E70" s="292"/>
      <c r="F70" s="272"/>
      <c r="G70" s="371">
        <f>SUM(G67:G69)</f>
        <v>13</v>
      </c>
      <c r="H70" s="371">
        <f>H69+H68+H67</f>
        <v>13</v>
      </c>
      <c r="I70" s="272"/>
      <c r="J70" s="371">
        <f>J69+J68+J67</f>
        <v>6</v>
      </c>
      <c r="K70" s="98">
        <f>SUM(K67:K69)</f>
        <v>6</v>
      </c>
      <c r="L70" s="97"/>
      <c r="M70" s="98">
        <f>+M67+M68+M69</f>
        <v>0</v>
      </c>
      <c r="N70" s="98">
        <f>+N67+N68+N69</f>
        <v>0</v>
      </c>
      <c r="O70" s="97"/>
      <c r="P70" s="98">
        <f>SUM(P67:P69)</f>
        <v>0</v>
      </c>
      <c r="Q70" s="97"/>
      <c r="R70" s="98">
        <f>SUM(R67:R69)</f>
        <v>0</v>
      </c>
    </row>
    <row r="71" spans="1:18" ht="15" customHeight="1" x14ac:dyDescent="0.2">
      <c r="A71" s="83">
        <f t="shared" si="0"/>
        <v>55</v>
      </c>
      <c r="C71" s="184"/>
      <c r="F71" s="272"/>
      <c r="G71" s="272"/>
      <c r="H71" s="272"/>
      <c r="I71" s="272"/>
      <c r="J71" s="272"/>
      <c r="K71" s="97"/>
      <c r="L71" s="272"/>
      <c r="M71" s="272"/>
      <c r="N71" s="272"/>
      <c r="O71" s="272"/>
      <c r="P71" s="272"/>
      <c r="Q71" s="272"/>
      <c r="R71" s="272"/>
    </row>
    <row r="72" spans="1:18" ht="15" customHeight="1" thickBot="1" x14ac:dyDescent="0.25">
      <c r="A72" s="83">
        <f t="shared" si="0"/>
        <v>56</v>
      </c>
      <c r="C72" s="184" t="s">
        <v>485</v>
      </c>
      <c r="E72" s="83" t="s">
        <v>942</v>
      </c>
      <c r="F72" s="272"/>
      <c r="G72" s="226">
        <f>(G70+G67)/2</f>
        <v>6.5</v>
      </c>
      <c r="H72" s="226">
        <f>(H70+H67)/2</f>
        <v>6.5</v>
      </c>
      <c r="I72" s="272"/>
      <c r="J72" s="226">
        <f>(J70+J67)/2</f>
        <v>9.5</v>
      </c>
      <c r="K72" s="226">
        <f>(K70+K67)/2</f>
        <v>9.5</v>
      </c>
      <c r="L72" s="97"/>
      <c r="M72" s="226">
        <f>(M67+M70)/2</f>
        <v>3</v>
      </c>
      <c r="N72" s="226">
        <f>(N67+N70)/2</f>
        <v>3</v>
      </c>
      <c r="O72" s="97"/>
      <c r="P72" s="226">
        <f>(P67+P70)/2</f>
        <v>0</v>
      </c>
      <c r="Q72" s="97"/>
      <c r="R72" s="226">
        <f>(R67+R70)/2</f>
        <v>0</v>
      </c>
    </row>
    <row r="73" spans="1:18" ht="15.75" thickTop="1" x14ac:dyDescent="0.2">
      <c r="A73" s="83">
        <f t="shared" si="0"/>
        <v>57</v>
      </c>
      <c r="C73" s="184"/>
      <c r="K73" s="97"/>
      <c r="L73" s="97"/>
      <c r="M73" s="97"/>
      <c r="N73" s="97"/>
      <c r="O73" s="97"/>
      <c r="P73" s="97"/>
      <c r="Q73" s="97"/>
      <c r="R73" s="97"/>
    </row>
    <row r="74" spans="1:18" ht="15" customHeight="1" x14ac:dyDescent="0.2">
      <c r="A74" s="83">
        <f t="shared" si="0"/>
        <v>58</v>
      </c>
      <c r="C74" s="151" t="s">
        <v>543</v>
      </c>
      <c r="L74" s="272"/>
      <c r="M74" s="272"/>
      <c r="N74" s="272"/>
      <c r="O74" s="272"/>
      <c r="P74" s="272"/>
      <c r="Q74" s="272"/>
      <c r="R74" s="272"/>
    </row>
    <row r="75" spans="1:18" ht="15" customHeight="1" x14ac:dyDescent="0.2">
      <c r="A75" s="83">
        <f t="shared" si="0"/>
        <v>59</v>
      </c>
      <c r="C75" s="292" t="s">
        <v>443</v>
      </c>
      <c r="F75" s="272"/>
      <c r="G75" s="272">
        <v>0</v>
      </c>
      <c r="H75" s="272">
        <v>0</v>
      </c>
      <c r="I75" s="272"/>
      <c r="J75" s="272">
        <f>+H79</f>
        <v>0</v>
      </c>
      <c r="K75" s="272">
        <v>0</v>
      </c>
      <c r="L75" s="97"/>
      <c r="M75" s="66">
        <f>+J79</f>
        <v>220</v>
      </c>
      <c r="N75" s="66">
        <f>+K79</f>
        <v>251</v>
      </c>
      <c r="O75" s="66"/>
      <c r="P75" s="66">
        <f>+M79</f>
        <v>398.24</v>
      </c>
      <c r="Q75" s="97"/>
      <c r="R75" s="66">
        <f>P79</f>
        <v>0</v>
      </c>
    </row>
    <row r="76" spans="1:18" ht="15" customHeight="1" x14ac:dyDescent="0.2">
      <c r="A76" s="83">
        <f t="shared" si="0"/>
        <v>60</v>
      </c>
      <c r="B76" s="83"/>
      <c r="C76" s="515" t="s">
        <v>402</v>
      </c>
      <c r="F76" s="272"/>
      <c r="G76" s="272">
        <v>0</v>
      </c>
      <c r="H76" s="272">
        <v>0</v>
      </c>
      <c r="I76" s="272"/>
      <c r="J76" s="272">
        <v>220</v>
      </c>
      <c r="K76" s="97">
        <v>251</v>
      </c>
      <c r="L76" s="272"/>
      <c r="M76" s="66">
        <v>178.24</v>
      </c>
      <c r="N76" s="66">
        <v>283</v>
      </c>
      <c r="O76" s="66"/>
      <c r="P76" s="66">
        <f>+N79-P75</f>
        <v>135.76</v>
      </c>
      <c r="Q76" s="272"/>
      <c r="R76" s="66">
        <v>0</v>
      </c>
    </row>
    <row r="77" spans="1:18" ht="15" customHeight="1" x14ac:dyDescent="0.2">
      <c r="A77" s="83">
        <f t="shared" si="0"/>
        <v>61</v>
      </c>
      <c r="B77" s="83"/>
      <c r="C77" s="515" t="s">
        <v>812</v>
      </c>
      <c r="F77" s="272"/>
      <c r="G77" s="272"/>
      <c r="H77" s="272"/>
      <c r="I77" s="272"/>
      <c r="J77" s="272"/>
      <c r="K77" s="97"/>
      <c r="L77" s="272"/>
      <c r="M77" s="66"/>
      <c r="N77" s="66"/>
      <c r="O77" s="66"/>
      <c r="P77" s="66">
        <v>-534</v>
      </c>
      <c r="Q77" s="272"/>
      <c r="R77" s="66"/>
    </row>
    <row r="78" spans="1:18" ht="15" customHeight="1" x14ac:dyDescent="0.2">
      <c r="A78" s="83">
        <f t="shared" si="0"/>
        <v>62</v>
      </c>
      <c r="B78" s="83"/>
      <c r="C78" s="515" t="s">
        <v>599</v>
      </c>
      <c r="F78" s="272"/>
      <c r="G78" s="272"/>
      <c r="H78" s="272"/>
      <c r="I78" s="272"/>
      <c r="J78" s="272"/>
      <c r="K78" s="97"/>
      <c r="L78" s="272"/>
      <c r="M78" s="66"/>
      <c r="N78" s="66"/>
      <c r="O78" s="66"/>
      <c r="P78" s="66">
        <v>0</v>
      </c>
      <c r="Q78" s="272"/>
      <c r="R78" s="66">
        <f>+P78</f>
        <v>0</v>
      </c>
    </row>
    <row r="79" spans="1:18" ht="15" customHeight="1" x14ac:dyDescent="0.2">
      <c r="A79" s="83">
        <f t="shared" si="0"/>
        <v>63</v>
      </c>
      <c r="C79" s="184" t="s">
        <v>473</v>
      </c>
      <c r="E79" s="292"/>
      <c r="F79" s="272"/>
      <c r="G79" s="371">
        <f>SUM(G75:G76)</f>
        <v>0</v>
      </c>
      <c r="H79" s="371">
        <f>SUM(H75:H76)</f>
        <v>0</v>
      </c>
      <c r="I79" s="272"/>
      <c r="J79" s="371">
        <f>SUM(J75:J76)</f>
        <v>220</v>
      </c>
      <c r="K79" s="371">
        <f>SUM(K75:K76)</f>
        <v>251</v>
      </c>
      <c r="L79" s="97"/>
      <c r="M79" s="371">
        <f>SUM(M75:M76)</f>
        <v>398.24</v>
      </c>
      <c r="N79" s="371">
        <f>SUM(N75:N76)</f>
        <v>534</v>
      </c>
      <c r="O79" s="97"/>
      <c r="P79" s="371">
        <f>SUM(P75:P78)</f>
        <v>0</v>
      </c>
      <c r="Q79" s="97"/>
      <c r="R79" s="371">
        <f>SUM(R75:R78)</f>
        <v>0</v>
      </c>
    </row>
    <row r="80" spans="1:18" ht="15" customHeight="1" x14ac:dyDescent="0.2">
      <c r="A80" s="83">
        <f t="shared" si="0"/>
        <v>64</v>
      </c>
      <c r="C80" s="184"/>
      <c r="F80" s="272"/>
      <c r="G80" s="272"/>
      <c r="H80" s="272"/>
      <c r="I80" s="272"/>
      <c r="J80" s="272"/>
      <c r="K80" s="97"/>
      <c r="L80" s="272"/>
      <c r="M80" s="272"/>
      <c r="N80" s="272"/>
      <c r="O80" s="272"/>
      <c r="P80" s="272"/>
      <c r="Q80" s="272"/>
      <c r="R80" s="272"/>
    </row>
    <row r="81" spans="1:18" ht="15" customHeight="1" thickBot="1" x14ac:dyDescent="0.25">
      <c r="A81" s="83">
        <f t="shared" si="0"/>
        <v>65</v>
      </c>
      <c r="C81" s="184" t="s">
        <v>485</v>
      </c>
      <c r="E81" s="83" t="s">
        <v>943</v>
      </c>
      <c r="F81" s="272"/>
      <c r="G81" s="226">
        <f>(G79+G75)/2</f>
        <v>0</v>
      </c>
      <c r="H81" s="226">
        <f>(H79+H75)/2</f>
        <v>0</v>
      </c>
      <c r="I81" s="272"/>
      <c r="J81" s="226">
        <f>(J79+J75)/2</f>
        <v>110</v>
      </c>
      <c r="K81" s="226">
        <f>(K79+K75)/2</f>
        <v>125.5</v>
      </c>
      <c r="L81" s="97"/>
      <c r="M81" s="226">
        <f>(M75+M79)/2</f>
        <v>309.12</v>
      </c>
      <c r="N81" s="226">
        <f>(N75+N79)/2</f>
        <v>392.5</v>
      </c>
      <c r="O81" s="97"/>
      <c r="P81" s="226">
        <f>(P75+P79)/2</f>
        <v>199.12</v>
      </c>
      <c r="Q81" s="97"/>
      <c r="R81" s="226">
        <f>(R75+R79)/2</f>
        <v>0</v>
      </c>
    </row>
    <row r="82" spans="1:18" ht="15" customHeight="1" thickTop="1" x14ac:dyDescent="0.2">
      <c r="A82" s="83">
        <f t="shared" si="0"/>
        <v>66</v>
      </c>
      <c r="C82" s="184"/>
      <c r="F82" s="272"/>
      <c r="G82" s="97"/>
      <c r="H82" s="97"/>
      <c r="I82" s="272"/>
      <c r="J82" s="97"/>
      <c r="K82" s="97"/>
      <c r="L82" s="97"/>
      <c r="M82" s="97"/>
      <c r="N82" s="97"/>
      <c r="O82" s="97"/>
      <c r="P82" s="97"/>
      <c r="Q82" s="97"/>
      <c r="R82" s="97"/>
    </row>
    <row r="83" spans="1:18" ht="15" customHeight="1" x14ac:dyDescent="0.2">
      <c r="A83" s="83">
        <f t="shared" ref="A83:A105" si="26">A82+1</f>
        <v>67</v>
      </c>
      <c r="C83" s="151" t="s">
        <v>808</v>
      </c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</row>
    <row r="84" spans="1:18" ht="15" customHeight="1" x14ac:dyDescent="0.2">
      <c r="A84" s="83">
        <f t="shared" si="26"/>
        <v>68</v>
      </c>
      <c r="C84" s="292" t="s">
        <v>443</v>
      </c>
      <c r="F84" s="97"/>
      <c r="G84" s="97">
        <v>0</v>
      </c>
      <c r="H84" s="97">
        <v>0</v>
      </c>
      <c r="I84" s="97"/>
      <c r="J84" s="97">
        <f>+H87</f>
        <v>0</v>
      </c>
      <c r="K84" s="97">
        <f>+H87</f>
        <v>0</v>
      </c>
      <c r="L84" s="97"/>
      <c r="M84" s="272">
        <f>+K87</f>
        <v>0</v>
      </c>
      <c r="N84" s="272">
        <v>0</v>
      </c>
      <c r="O84" s="97"/>
      <c r="P84" s="272">
        <v>0</v>
      </c>
      <c r="Q84" s="97"/>
      <c r="R84" s="272">
        <f>+P87</f>
        <v>150</v>
      </c>
    </row>
    <row r="85" spans="1:18" ht="15" customHeight="1" x14ac:dyDescent="0.2">
      <c r="A85" s="83">
        <f t="shared" si="26"/>
        <v>69</v>
      </c>
      <c r="C85" s="515" t="s">
        <v>402</v>
      </c>
      <c r="F85" s="272"/>
      <c r="G85" s="272">
        <v>0</v>
      </c>
      <c r="H85" s="272">
        <v>0</v>
      </c>
      <c r="I85" s="272"/>
      <c r="J85" s="272">
        <v>0</v>
      </c>
      <c r="K85" s="97">
        <v>0</v>
      </c>
      <c r="L85" s="272"/>
      <c r="M85" s="272">
        <v>0</v>
      </c>
      <c r="N85" s="272">
        <v>0</v>
      </c>
      <c r="O85" s="272"/>
      <c r="P85" s="272">
        <v>300</v>
      </c>
      <c r="Q85" s="272"/>
      <c r="R85" s="272">
        <v>200</v>
      </c>
    </row>
    <row r="86" spans="1:18" ht="15" customHeight="1" x14ac:dyDescent="0.2">
      <c r="A86" s="83">
        <f t="shared" si="26"/>
        <v>70</v>
      </c>
      <c r="C86" s="515" t="s">
        <v>809</v>
      </c>
      <c r="E86" s="292"/>
      <c r="F86" s="97"/>
      <c r="G86" s="97">
        <v>0</v>
      </c>
      <c r="H86" s="97">
        <v>0</v>
      </c>
      <c r="I86" s="97"/>
      <c r="J86" s="97">
        <v>0</v>
      </c>
      <c r="K86" s="97">
        <v>0</v>
      </c>
      <c r="L86" s="97"/>
      <c r="M86" s="70">
        <v>0</v>
      </c>
      <c r="N86" s="70">
        <v>0</v>
      </c>
      <c r="O86" s="97"/>
      <c r="P86" s="70">
        <v>-150</v>
      </c>
      <c r="Q86" s="97"/>
      <c r="R86" s="70">
        <v>-350</v>
      </c>
    </row>
    <row r="87" spans="1:18" ht="15" customHeight="1" x14ac:dyDescent="0.2">
      <c r="A87" s="83">
        <f t="shared" si="26"/>
        <v>71</v>
      </c>
      <c r="C87" s="184" t="s">
        <v>473</v>
      </c>
      <c r="E87" s="292"/>
      <c r="F87" s="272"/>
      <c r="G87" s="371">
        <f>G84+G85+G86:G86</f>
        <v>0</v>
      </c>
      <c r="H87" s="371">
        <f>H84+H85+H86:H86</f>
        <v>0</v>
      </c>
      <c r="I87" s="272"/>
      <c r="J87" s="371">
        <f>SUM(J84:J86)</f>
        <v>0</v>
      </c>
      <c r="K87" s="371">
        <f>SUM(K84:K86)</f>
        <v>0</v>
      </c>
      <c r="L87" s="97"/>
      <c r="M87" s="98">
        <f>SUM(M84:M86)</f>
        <v>0</v>
      </c>
      <c r="N87" s="98">
        <f>SUM(N84:N86)</f>
        <v>0</v>
      </c>
      <c r="O87" s="97"/>
      <c r="P87" s="98">
        <f>SUM(P84:P86)</f>
        <v>150</v>
      </c>
      <c r="Q87" s="97"/>
      <c r="R87" s="98">
        <f>SUM(R84:R86)</f>
        <v>0</v>
      </c>
    </row>
    <row r="88" spans="1:18" ht="15" customHeight="1" x14ac:dyDescent="0.2">
      <c r="A88" s="83">
        <f t="shared" si="26"/>
        <v>72</v>
      </c>
      <c r="C88" s="184"/>
      <c r="F88" s="272"/>
      <c r="G88" s="272"/>
      <c r="H88" s="272"/>
      <c r="I88" s="272"/>
      <c r="J88" s="272"/>
      <c r="K88" s="97"/>
      <c r="L88" s="272"/>
      <c r="M88" s="272"/>
      <c r="N88" s="272"/>
      <c r="O88" s="272"/>
      <c r="P88" s="272"/>
      <c r="Q88" s="272"/>
      <c r="R88" s="272"/>
    </row>
    <row r="89" spans="1:18" ht="15" customHeight="1" thickBot="1" x14ac:dyDescent="0.25">
      <c r="A89" s="83">
        <f t="shared" si="26"/>
        <v>73</v>
      </c>
      <c r="C89" s="184" t="s">
        <v>485</v>
      </c>
      <c r="E89" s="83" t="s">
        <v>547</v>
      </c>
      <c r="F89" s="272"/>
      <c r="G89" s="226">
        <f>(G87+G84)/2</f>
        <v>0</v>
      </c>
      <c r="H89" s="226">
        <f>(H87+H84)/2</f>
        <v>0</v>
      </c>
      <c r="I89" s="272"/>
      <c r="J89" s="226">
        <f>(J87+J84)/2</f>
        <v>0</v>
      </c>
      <c r="K89" s="226">
        <v>0</v>
      </c>
      <c r="L89" s="97"/>
      <c r="M89" s="226">
        <f>(M84+M87)/2</f>
        <v>0</v>
      </c>
      <c r="N89" s="226">
        <f>(N84+N87)/2</f>
        <v>0</v>
      </c>
      <c r="O89" s="97"/>
      <c r="P89" s="226">
        <f>(P84+P87)/2</f>
        <v>75</v>
      </c>
      <c r="Q89" s="97"/>
      <c r="R89" s="226">
        <f>(R84+R87)/2</f>
        <v>75</v>
      </c>
    </row>
    <row r="90" spans="1:18" ht="15.75" thickTop="1" x14ac:dyDescent="0.2">
      <c r="A90" s="83">
        <f t="shared" si="26"/>
        <v>74</v>
      </c>
      <c r="C90" s="184"/>
      <c r="K90" s="97"/>
      <c r="L90" s="97"/>
      <c r="M90" s="97"/>
      <c r="N90" s="97"/>
      <c r="O90" s="97"/>
      <c r="P90" s="97"/>
      <c r="Q90" s="97"/>
      <c r="R90" s="97"/>
    </row>
    <row r="91" spans="1:18" ht="15" customHeight="1" x14ac:dyDescent="0.2">
      <c r="A91" s="83">
        <f t="shared" si="26"/>
        <v>75</v>
      </c>
      <c r="C91" s="151" t="s">
        <v>862</v>
      </c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</row>
    <row r="92" spans="1:18" ht="15" customHeight="1" x14ac:dyDescent="0.2">
      <c r="A92" s="83">
        <f t="shared" si="26"/>
        <v>76</v>
      </c>
      <c r="C92" s="292" t="s">
        <v>443</v>
      </c>
      <c r="F92" s="97"/>
      <c r="G92" s="97">
        <v>0</v>
      </c>
      <c r="H92" s="97">
        <v>0</v>
      </c>
      <c r="I92" s="97"/>
      <c r="J92" s="97">
        <f>+H95</f>
        <v>0</v>
      </c>
      <c r="K92" s="97">
        <f>+H95</f>
        <v>0</v>
      </c>
      <c r="L92" s="97"/>
      <c r="M92" s="272">
        <f>+K95</f>
        <v>0</v>
      </c>
      <c r="N92" s="272">
        <v>0</v>
      </c>
      <c r="O92" s="97"/>
      <c r="P92" s="272">
        <v>0</v>
      </c>
      <c r="Q92" s="97"/>
      <c r="R92" s="272">
        <f>+P95</f>
        <v>0</v>
      </c>
    </row>
    <row r="93" spans="1:18" ht="15" customHeight="1" x14ac:dyDescent="0.2">
      <c r="A93" s="83">
        <f t="shared" si="26"/>
        <v>77</v>
      </c>
      <c r="C93" s="515" t="s">
        <v>402</v>
      </c>
      <c r="F93" s="272"/>
      <c r="G93" s="272">
        <v>0</v>
      </c>
      <c r="H93" s="272">
        <v>0</v>
      </c>
      <c r="I93" s="272"/>
      <c r="J93" s="272">
        <v>0</v>
      </c>
      <c r="K93" s="97">
        <v>0</v>
      </c>
      <c r="L93" s="272"/>
      <c r="M93" s="272">
        <v>0</v>
      </c>
      <c r="N93" s="272">
        <v>0</v>
      </c>
      <c r="O93" s="272"/>
      <c r="P93" s="272">
        <v>0</v>
      </c>
      <c r="Q93" s="272"/>
      <c r="R93" s="272">
        <v>100</v>
      </c>
    </row>
    <row r="94" spans="1:18" ht="15" customHeight="1" x14ac:dyDescent="0.2">
      <c r="A94" s="83">
        <f t="shared" si="26"/>
        <v>78</v>
      </c>
      <c r="C94" s="515" t="s">
        <v>809</v>
      </c>
      <c r="E94" s="292"/>
      <c r="F94" s="97"/>
      <c r="G94" s="97">
        <v>0</v>
      </c>
      <c r="H94" s="97">
        <v>0</v>
      </c>
      <c r="I94" s="97"/>
      <c r="J94" s="97">
        <v>0</v>
      </c>
      <c r="K94" s="97">
        <v>0</v>
      </c>
      <c r="L94" s="97"/>
      <c r="M94" s="70">
        <v>0</v>
      </c>
      <c r="N94" s="70">
        <v>0</v>
      </c>
      <c r="O94" s="97"/>
      <c r="P94" s="70">
        <v>0</v>
      </c>
      <c r="Q94" s="97"/>
      <c r="R94" s="70">
        <v>0</v>
      </c>
    </row>
    <row r="95" spans="1:18" ht="15" customHeight="1" x14ac:dyDescent="0.2">
      <c r="A95" s="83">
        <f t="shared" si="26"/>
        <v>79</v>
      </c>
      <c r="C95" s="184" t="s">
        <v>473</v>
      </c>
      <c r="E95" s="292"/>
      <c r="F95" s="272"/>
      <c r="G95" s="371">
        <f>G92+G93+G94:G94</f>
        <v>0</v>
      </c>
      <c r="H95" s="371">
        <f>H92+H93+H94:H94</f>
        <v>0</v>
      </c>
      <c r="I95" s="272"/>
      <c r="J95" s="371">
        <f>SUM(J92:J94)</f>
        <v>0</v>
      </c>
      <c r="K95" s="371">
        <f>SUM(K92:K94)</f>
        <v>0</v>
      </c>
      <c r="L95" s="97"/>
      <c r="M95" s="98">
        <f>SUM(M92:M94)</f>
        <v>0</v>
      </c>
      <c r="N95" s="98">
        <f>SUM(N92:N94)</f>
        <v>0</v>
      </c>
      <c r="O95" s="97"/>
      <c r="P95" s="98">
        <f>SUM(P92:P94)</f>
        <v>0</v>
      </c>
      <c r="Q95" s="97"/>
      <c r="R95" s="98">
        <f>SUM(R92:R94)</f>
        <v>100</v>
      </c>
    </row>
    <row r="96" spans="1:18" ht="15" customHeight="1" x14ac:dyDescent="0.2">
      <c r="A96" s="83">
        <f t="shared" si="26"/>
        <v>80</v>
      </c>
      <c r="C96" s="184"/>
      <c r="F96" s="272"/>
      <c r="G96" s="272"/>
      <c r="H96" s="272"/>
      <c r="I96" s="272"/>
      <c r="J96" s="272"/>
      <c r="K96" s="97"/>
      <c r="L96" s="272"/>
      <c r="M96" s="272"/>
      <c r="N96" s="272"/>
      <c r="O96" s="272"/>
      <c r="P96" s="272"/>
      <c r="Q96" s="272"/>
      <c r="R96" s="272"/>
    </row>
    <row r="97" spans="1:18" ht="15" customHeight="1" thickBot="1" x14ac:dyDescent="0.25">
      <c r="A97" s="83">
        <f t="shared" si="26"/>
        <v>81</v>
      </c>
      <c r="C97" s="184" t="s">
        <v>485</v>
      </c>
      <c r="E97" s="83" t="s">
        <v>944</v>
      </c>
      <c r="F97" s="272"/>
      <c r="G97" s="226">
        <f>(G95+G92)/2</f>
        <v>0</v>
      </c>
      <c r="H97" s="226">
        <f>(H95+H92)/2</f>
        <v>0</v>
      </c>
      <c r="I97" s="272"/>
      <c r="J97" s="226">
        <f>(J95+J92)/2</f>
        <v>0</v>
      </c>
      <c r="K97" s="226">
        <v>0</v>
      </c>
      <c r="L97" s="97"/>
      <c r="M97" s="226">
        <f>(M92+M95)/2</f>
        <v>0</v>
      </c>
      <c r="N97" s="226">
        <f>(N92+N95)/2</f>
        <v>0</v>
      </c>
      <c r="O97" s="97"/>
      <c r="P97" s="226">
        <f>(P92+P95)/2</f>
        <v>0</v>
      </c>
      <c r="Q97" s="97"/>
      <c r="R97" s="226">
        <f>(R92+R95)/2</f>
        <v>50</v>
      </c>
    </row>
    <row r="98" spans="1:18" ht="15.75" thickTop="1" x14ac:dyDescent="0.2">
      <c r="A98" s="83">
        <f t="shared" si="26"/>
        <v>82</v>
      </c>
    </row>
    <row r="99" spans="1:18" ht="15" customHeight="1" x14ac:dyDescent="0.2">
      <c r="A99" s="83">
        <f t="shared" si="26"/>
        <v>83</v>
      </c>
      <c r="C99" s="151" t="s">
        <v>872</v>
      </c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</row>
    <row r="100" spans="1:18" ht="15" customHeight="1" x14ac:dyDescent="0.2">
      <c r="A100" s="83">
        <f t="shared" si="26"/>
        <v>84</v>
      </c>
      <c r="C100" s="292" t="s">
        <v>443</v>
      </c>
      <c r="F100" s="97"/>
      <c r="G100" s="97">
        <v>0</v>
      </c>
      <c r="H100" s="97">
        <v>0</v>
      </c>
      <c r="I100" s="97"/>
      <c r="J100" s="97">
        <f>+H103</f>
        <v>0</v>
      </c>
      <c r="K100" s="97">
        <f>+H103</f>
        <v>0</v>
      </c>
      <c r="L100" s="97"/>
      <c r="M100" s="97">
        <f>J103</f>
        <v>0</v>
      </c>
      <c r="N100" s="97">
        <f>+K103</f>
        <v>0</v>
      </c>
      <c r="O100" s="97"/>
      <c r="P100" s="272">
        <v>0</v>
      </c>
      <c r="Q100" s="97"/>
      <c r="R100" s="272">
        <f>+P103</f>
        <v>-77</v>
      </c>
    </row>
    <row r="101" spans="1:18" ht="15" customHeight="1" x14ac:dyDescent="0.2">
      <c r="A101" s="83">
        <f t="shared" si="26"/>
        <v>85</v>
      </c>
      <c r="C101" s="515" t="s">
        <v>402</v>
      </c>
      <c r="F101" s="272"/>
      <c r="G101" s="272">
        <v>0</v>
      </c>
      <c r="H101" s="272">
        <v>0</v>
      </c>
      <c r="I101" s="272"/>
      <c r="J101" s="272">
        <v>0</v>
      </c>
      <c r="K101" s="97">
        <v>0</v>
      </c>
      <c r="L101" s="272"/>
      <c r="M101" s="272">
        <v>0</v>
      </c>
      <c r="N101" s="97">
        <v>0</v>
      </c>
      <c r="O101" s="272"/>
      <c r="P101" s="272">
        <v>-154</v>
      </c>
      <c r="Q101" s="272"/>
      <c r="R101" s="272">
        <v>0</v>
      </c>
    </row>
    <row r="102" spans="1:18" ht="15" customHeight="1" x14ac:dyDescent="0.2">
      <c r="A102" s="83">
        <f t="shared" si="26"/>
        <v>86</v>
      </c>
      <c r="C102" s="515" t="s">
        <v>809</v>
      </c>
      <c r="E102" s="292"/>
      <c r="F102" s="97"/>
      <c r="G102" s="272">
        <v>0</v>
      </c>
      <c r="H102" s="272" t="s">
        <v>13</v>
      </c>
      <c r="I102" s="272"/>
      <c r="J102" s="272">
        <v>0</v>
      </c>
      <c r="K102" s="97">
        <v>0</v>
      </c>
      <c r="L102" s="272"/>
      <c r="M102" s="272">
        <v>0</v>
      </c>
      <c r="N102" s="97">
        <v>0</v>
      </c>
      <c r="O102" s="272"/>
      <c r="P102" s="272">
        <f>-P101/2</f>
        <v>77</v>
      </c>
      <c r="Q102" s="272"/>
      <c r="R102" s="272">
        <f>P102</f>
        <v>77</v>
      </c>
    </row>
    <row r="103" spans="1:18" ht="15" customHeight="1" x14ac:dyDescent="0.2">
      <c r="A103" s="83">
        <f t="shared" si="26"/>
        <v>87</v>
      </c>
      <c r="C103" s="184" t="s">
        <v>473</v>
      </c>
      <c r="E103" s="292"/>
      <c r="F103" s="272"/>
      <c r="G103" s="371">
        <f>SUM(G100:G102)</f>
        <v>0</v>
      </c>
      <c r="H103" s="371">
        <f>SUM(H100:H102)</f>
        <v>0</v>
      </c>
      <c r="I103" s="272"/>
      <c r="J103" s="371">
        <f>SUM(J100:J102)</f>
        <v>0</v>
      </c>
      <c r="K103" s="371">
        <f>SUM(K100:K102)</f>
        <v>0</v>
      </c>
      <c r="L103" s="97"/>
      <c r="M103" s="371">
        <f>SUM(M100:M102)</f>
        <v>0</v>
      </c>
      <c r="N103" s="371">
        <f>SUM(N100:N102)</f>
        <v>0</v>
      </c>
      <c r="O103" s="97"/>
      <c r="P103" s="371">
        <f>SUM(P100:P102)</f>
        <v>-77</v>
      </c>
      <c r="Q103" s="97"/>
      <c r="R103" s="371">
        <f>SUM(R100:R102)</f>
        <v>0</v>
      </c>
    </row>
    <row r="104" spans="1:18" ht="15" customHeight="1" x14ac:dyDescent="0.2">
      <c r="A104" s="83">
        <f t="shared" si="26"/>
        <v>88</v>
      </c>
      <c r="C104" s="184"/>
      <c r="F104" s="272"/>
      <c r="G104" s="272"/>
      <c r="H104" s="272"/>
      <c r="I104" s="272"/>
      <c r="J104" s="272"/>
      <c r="K104" s="97"/>
      <c r="L104" s="272"/>
      <c r="M104" s="272"/>
      <c r="N104" s="272"/>
      <c r="O104" s="272"/>
      <c r="P104" s="272"/>
      <c r="Q104" s="272"/>
      <c r="R104" s="272"/>
    </row>
    <row r="105" spans="1:18" ht="15" customHeight="1" thickBot="1" x14ac:dyDescent="0.25">
      <c r="A105" s="83">
        <f t="shared" si="26"/>
        <v>89</v>
      </c>
      <c r="C105" s="184" t="s">
        <v>485</v>
      </c>
      <c r="E105" s="83" t="s">
        <v>945</v>
      </c>
      <c r="F105" s="272"/>
      <c r="G105" s="226">
        <f>(G103+G100)/2</f>
        <v>0</v>
      </c>
      <c r="H105" s="226">
        <f>(H103+H100)/2</f>
        <v>0</v>
      </c>
      <c r="I105" s="272"/>
      <c r="J105" s="226">
        <f>(J103+J100)/2</f>
        <v>0</v>
      </c>
      <c r="K105" s="226">
        <v>0</v>
      </c>
      <c r="L105" s="97"/>
      <c r="M105" s="226">
        <f>(M100+M103)/2</f>
        <v>0</v>
      </c>
      <c r="N105" s="226">
        <f>(N100+N103)/2</f>
        <v>0</v>
      </c>
      <c r="O105" s="97"/>
      <c r="P105" s="226">
        <f>(P100+P103)/2</f>
        <v>-38.5</v>
      </c>
      <c r="Q105" s="97"/>
      <c r="R105" s="226">
        <f>(R100+R103)/2</f>
        <v>-38.5</v>
      </c>
    </row>
    <row r="106" spans="1:18" ht="15.75" thickTop="1" x14ac:dyDescent="0.2"/>
  </sheetData>
  <customSheetViews>
    <customSheetView guid="{275E5119-9E8C-43ED-ACD2-DF40CF10B219}" scale="70">
      <selection activeCell="M22" sqref="M22"/>
      <pageMargins left="0.69" right="1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2" sqref="M22"/>
      <pageMargins left="0.69" right="1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2">
    <mergeCell ref="P6:R6"/>
    <mergeCell ref="P63:R63"/>
  </mergeCells>
  <phoneticPr fontId="9" type="noConversion"/>
  <printOptions horizontalCentered="1"/>
  <pageMargins left="0.5" right="0.5" top="0.75" bottom="0.75" header="0.25" footer="0.5"/>
  <pageSetup scale="60" fitToHeight="0" orientation="landscape" r:id="rId3"/>
  <headerFooter alignWithMargins="0">
    <oddHeader>&amp;RUndertaking 17 - Page 527, Lines 15-17, Attachment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15" zoomScaleSheetLayoutView="100" workbookViewId="0">
      <selection activeCell="R16" sqref="R16"/>
    </sheetView>
  </sheetViews>
  <sheetFormatPr defaultColWidth="7.5703125" defaultRowHeight="15" x14ac:dyDescent="0.2"/>
  <cols>
    <col min="1" max="1" width="6" style="326" bestFit="1" customWidth="1"/>
    <col min="2" max="2" width="2.28515625" style="326" customWidth="1"/>
    <col min="3" max="3" width="58.85546875" style="326" customWidth="1"/>
    <col min="4" max="4" width="2.28515625" style="326" customWidth="1"/>
    <col min="5" max="5" width="15" style="327" bestFit="1" customWidth="1"/>
    <col min="6" max="7" width="2.28515625" style="326" customWidth="1"/>
    <col min="8" max="8" width="12.7109375" style="326" customWidth="1"/>
    <col min="9" max="9" width="2.28515625" style="326" customWidth="1"/>
    <col min="10" max="10" width="12.7109375" style="326" customWidth="1"/>
    <col min="11" max="11" width="2.28515625" style="326" customWidth="1"/>
    <col min="12" max="16384" width="7.5703125" style="326"/>
  </cols>
  <sheetData>
    <row r="1" spans="1:11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48" t="s">
        <v>559</v>
      </c>
    </row>
    <row r="2" spans="1:11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48" t="s">
        <v>888</v>
      </c>
    </row>
    <row r="3" spans="1:11" ht="15.75" x14ac:dyDescent="0.25">
      <c r="A3" s="29" t="s">
        <v>267</v>
      </c>
      <c r="B3" s="29"/>
      <c r="C3" s="29"/>
      <c r="D3" s="29"/>
      <c r="E3" s="29"/>
      <c r="F3" s="29"/>
      <c r="G3" s="29"/>
      <c r="H3" s="29"/>
      <c r="I3" s="29"/>
      <c r="J3" s="29"/>
      <c r="K3" s="384"/>
    </row>
    <row r="4" spans="1:11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384"/>
    </row>
    <row r="5" spans="1:11" ht="15.75" x14ac:dyDescent="0.25">
      <c r="A5" s="29"/>
      <c r="B5" s="30"/>
      <c r="C5" s="30"/>
      <c r="D5" s="30"/>
      <c r="F5" s="30"/>
      <c r="G5" s="239"/>
      <c r="H5" s="330"/>
      <c r="I5" s="239"/>
      <c r="J5" s="330"/>
      <c r="K5" s="239"/>
    </row>
    <row r="6" spans="1:11" ht="15.75" x14ac:dyDescent="0.25">
      <c r="A6" s="330" t="s">
        <v>19</v>
      </c>
      <c r="B6" s="330"/>
      <c r="C6" s="330"/>
      <c r="D6" s="330"/>
      <c r="E6" s="330" t="s">
        <v>20</v>
      </c>
      <c r="F6" s="330"/>
      <c r="G6" s="330"/>
      <c r="H6" s="607" t="s">
        <v>293</v>
      </c>
      <c r="I6" s="607"/>
      <c r="J6" s="607"/>
      <c r="K6" s="153"/>
    </row>
    <row r="7" spans="1:11" ht="15.75" x14ac:dyDescent="0.25">
      <c r="A7" s="329" t="s">
        <v>21</v>
      </c>
      <c r="B7" s="330"/>
      <c r="C7" s="329" t="s">
        <v>149</v>
      </c>
      <c r="D7" s="330"/>
      <c r="E7" s="329" t="s">
        <v>22</v>
      </c>
      <c r="F7" s="330"/>
      <c r="G7" s="240"/>
      <c r="H7" s="329">
        <v>2016</v>
      </c>
      <c r="I7" s="240"/>
      <c r="J7" s="329">
        <v>2017</v>
      </c>
      <c r="K7" s="153"/>
    </row>
    <row r="9" spans="1:11" ht="15.75" x14ac:dyDescent="0.25">
      <c r="A9" s="327">
        <v>1</v>
      </c>
      <c r="C9" s="271" t="s">
        <v>412</v>
      </c>
      <c r="G9" s="85"/>
      <c r="H9" s="85"/>
      <c r="I9" s="85"/>
      <c r="J9" s="85"/>
      <c r="K9" s="85"/>
    </row>
    <row r="10" spans="1:11" x14ac:dyDescent="0.2">
      <c r="A10" s="327">
        <f t="shared" ref="A10:A16" si="0">A9+1</f>
        <v>2</v>
      </c>
      <c r="C10" s="72" t="s">
        <v>413</v>
      </c>
      <c r="G10" s="97"/>
      <c r="H10" s="97">
        <v>119</v>
      </c>
      <c r="I10" s="97"/>
      <c r="J10" s="97">
        <v>0</v>
      </c>
      <c r="K10" s="270"/>
    </row>
    <row r="11" spans="1:11" x14ac:dyDescent="0.2">
      <c r="A11" s="327">
        <f t="shared" si="0"/>
        <v>3</v>
      </c>
      <c r="C11" s="72" t="s">
        <v>613</v>
      </c>
      <c r="G11" s="97"/>
      <c r="H11" s="97">
        <v>113.05000000000001</v>
      </c>
      <c r="I11" s="97"/>
      <c r="J11" s="97">
        <v>0</v>
      </c>
      <c r="K11" s="270"/>
    </row>
    <row r="12" spans="1:11" x14ac:dyDescent="0.2">
      <c r="A12" s="327">
        <f t="shared" si="0"/>
        <v>4</v>
      </c>
      <c r="C12" s="72" t="s">
        <v>414</v>
      </c>
      <c r="G12" s="66"/>
      <c r="H12" s="66">
        <v>1</v>
      </c>
      <c r="I12" s="66"/>
      <c r="J12" s="66">
        <v>0</v>
      </c>
      <c r="K12" s="32"/>
    </row>
    <row r="13" spans="1:11" x14ac:dyDescent="0.2">
      <c r="A13" s="327">
        <f t="shared" si="0"/>
        <v>5</v>
      </c>
      <c r="C13" s="72" t="s">
        <v>415</v>
      </c>
      <c r="G13" s="66"/>
      <c r="H13" s="66">
        <v>12</v>
      </c>
      <c r="I13" s="66"/>
      <c r="J13" s="66">
        <v>0</v>
      </c>
      <c r="K13" s="32"/>
    </row>
    <row r="14" spans="1:11" x14ac:dyDescent="0.2">
      <c r="A14" s="327">
        <f t="shared" si="0"/>
        <v>6</v>
      </c>
      <c r="C14" s="72" t="s">
        <v>508</v>
      </c>
      <c r="G14" s="66"/>
      <c r="H14" s="66">
        <v>108</v>
      </c>
      <c r="I14" s="66"/>
      <c r="J14" s="66">
        <v>0</v>
      </c>
      <c r="K14" s="32"/>
    </row>
    <row r="15" spans="1:11" x14ac:dyDescent="0.2">
      <c r="A15" s="327">
        <f t="shared" si="0"/>
        <v>7</v>
      </c>
      <c r="C15" s="72" t="s">
        <v>416</v>
      </c>
      <c r="G15" s="66"/>
      <c r="H15" s="66">
        <v>233</v>
      </c>
      <c r="I15" s="66"/>
      <c r="J15" s="66">
        <v>0</v>
      </c>
      <c r="K15" s="32"/>
    </row>
    <row r="16" spans="1:11" ht="16.5" thickBot="1" x14ac:dyDescent="0.3">
      <c r="A16" s="327">
        <f t="shared" si="0"/>
        <v>8</v>
      </c>
      <c r="C16" s="192" t="s">
        <v>188</v>
      </c>
      <c r="E16" s="327" t="s">
        <v>938</v>
      </c>
      <c r="G16" s="66"/>
      <c r="H16" s="232">
        <f>SUM(H10:H15)</f>
        <v>586.04999999999995</v>
      </c>
      <c r="I16" s="66"/>
      <c r="J16" s="232">
        <f>SUM(J10:J15)</f>
        <v>0</v>
      </c>
      <c r="K16" s="28"/>
    </row>
    <row r="17" ht="15.75" thickTop="1" x14ac:dyDescent="0.2"/>
  </sheetData>
  <mergeCells count="1">
    <mergeCell ref="H6:J6"/>
  </mergeCells>
  <printOptions horizontalCentered="1"/>
  <pageMargins left="0.5" right="0.5" top="0.75" bottom="0.75" header="0.25" footer="0.5"/>
  <pageSetup scale="63" fitToHeight="0" orientation="landscape" r:id="rId1"/>
  <headerFooter alignWithMargins="0">
    <oddHeader>&amp;RUndertaking 17 - Page 527, Lines 15-17, Attachment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pageSetUpPr fitToPage="1"/>
  </sheetPr>
  <dimension ref="A1:S47"/>
  <sheetViews>
    <sheetView view="pageBreakPreview" zoomScale="85" zoomScaleNormal="70" zoomScaleSheetLayoutView="85" workbookViewId="0">
      <selection activeCell="R47" sqref="R47"/>
    </sheetView>
  </sheetViews>
  <sheetFormatPr defaultColWidth="8" defaultRowHeight="15" x14ac:dyDescent="0.2"/>
  <cols>
    <col min="1" max="1" width="6.140625" style="292" bestFit="1" customWidth="1"/>
    <col min="2" max="2" width="2.28515625" style="292" customWidth="1"/>
    <col min="3" max="3" width="55.42578125" style="292" customWidth="1"/>
    <col min="4" max="4" width="2.28515625" style="292" customWidth="1"/>
    <col min="5" max="5" width="12.85546875" style="292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8" style="292"/>
  </cols>
  <sheetData>
    <row r="1" spans="1:19" s="517" customFormat="1" ht="15.75" x14ac:dyDescent="0.25">
      <c r="A1" s="516" t="s">
        <v>1006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8" t="s">
        <v>558</v>
      </c>
    </row>
    <row r="2" spans="1:19" ht="15.75" x14ac:dyDescent="0.25">
      <c r="A2" s="516" t="s">
        <v>555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8" t="s">
        <v>888</v>
      </c>
    </row>
    <row r="3" spans="1:19" ht="15.75" x14ac:dyDescent="0.25">
      <c r="A3" s="516" t="s">
        <v>43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0"/>
    </row>
    <row r="4" spans="1:19" ht="15.75" x14ac:dyDescent="0.25">
      <c r="A4" s="516" t="s">
        <v>18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0"/>
    </row>
    <row r="5" spans="1:19" ht="15.75" x14ac:dyDescent="0.25">
      <c r="A5" s="510"/>
      <c r="B5" s="510"/>
      <c r="C5" s="510"/>
      <c r="D5" s="510"/>
      <c r="E5" s="510"/>
      <c r="M5" s="239"/>
      <c r="N5" s="510"/>
      <c r="O5" s="239"/>
      <c r="P5" s="510"/>
      <c r="Q5" s="239"/>
      <c r="R5" s="510"/>
      <c r="S5" s="510"/>
    </row>
    <row r="6" spans="1:19" ht="15.75" x14ac:dyDescent="0.25">
      <c r="A6" s="510" t="s">
        <v>19</v>
      </c>
      <c r="B6" s="510"/>
      <c r="C6" s="510"/>
      <c r="D6" s="510"/>
      <c r="E6" s="510" t="s">
        <v>20</v>
      </c>
      <c r="F6" s="510"/>
      <c r="G6" s="544" t="s">
        <v>11</v>
      </c>
      <c r="H6" s="164" t="s">
        <v>4</v>
      </c>
      <c r="I6" s="544"/>
      <c r="J6" s="544" t="s">
        <v>11</v>
      </c>
      <c r="K6" s="164" t="s">
        <v>4</v>
      </c>
      <c r="L6" s="544"/>
      <c r="M6" s="544" t="s">
        <v>11</v>
      </c>
      <c r="N6" s="164" t="s">
        <v>4</v>
      </c>
      <c r="O6" s="164"/>
      <c r="P6" s="607" t="s">
        <v>293</v>
      </c>
      <c r="Q6" s="607"/>
      <c r="R6" s="607"/>
      <c r="S6" s="510"/>
    </row>
    <row r="7" spans="1:19" ht="15.75" x14ac:dyDescent="0.25">
      <c r="A7" s="509" t="s">
        <v>21</v>
      </c>
      <c r="B7" s="510"/>
      <c r="C7" s="509" t="s">
        <v>149</v>
      </c>
      <c r="D7" s="510"/>
      <c r="E7" s="509" t="s">
        <v>22</v>
      </c>
      <c r="F7" s="510"/>
      <c r="G7" s="509">
        <v>2013</v>
      </c>
      <c r="H7" s="509">
        <v>2013</v>
      </c>
      <c r="I7" s="510"/>
      <c r="J7" s="509">
        <v>2014</v>
      </c>
      <c r="K7" s="509">
        <v>2014</v>
      </c>
      <c r="L7" s="510"/>
      <c r="M7" s="509">
        <v>2015</v>
      </c>
      <c r="N7" s="509">
        <v>2015</v>
      </c>
      <c r="O7" s="240"/>
      <c r="P7" s="509">
        <v>2016</v>
      </c>
      <c r="Q7" s="240"/>
      <c r="R7" s="509">
        <v>2017</v>
      </c>
      <c r="S7" s="240"/>
    </row>
    <row r="8" spans="1:19" ht="7.5" customHeight="1" x14ac:dyDescent="0.2"/>
    <row r="9" spans="1:19" x14ac:dyDescent="0.2">
      <c r="A9" s="83">
        <v>1</v>
      </c>
      <c r="C9" s="372" t="s">
        <v>422</v>
      </c>
      <c r="E9" s="83" t="s">
        <v>252</v>
      </c>
      <c r="F9" s="106"/>
      <c r="G9" s="106">
        <f>+S1.1!G17</f>
        <v>11717.904240000002</v>
      </c>
      <c r="H9" s="106">
        <f>+S1.1!H17</f>
        <v>11604.296718754196</v>
      </c>
      <c r="I9" s="106"/>
      <c r="J9" s="106">
        <f>+S1.1!J17</f>
        <v>11697.75274</v>
      </c>
      <c r="K9" s="106">
        <f>+S1.1!K17</f>
        <v>11882.143152692197</v>
      </c>
      <c r="L9" s="106"/>
      <c r="M9" s="106">
        <f>+S1.1!M17</f>
        <v>11616.160360000002</v>
      </c>
      <c r="N9" s="106">
        <f>+S1.1!N17</f>
        <v>11944.303537895001</v>
      </c>
      <c r="O9" s="106"/>
      <c r="P9" s="106">
        <f>+S1.1!P17</f>
        <v>11947.924019782222</v>
      </c>
      <c r="Q9" s="106"/>
      <c r="R9" s="106">
        <f>+S1.1!R17</f>
        <v>12134.372661023186</v>
      </c>
      <c r="S9" s="106"/>
    </row>
    <row r="10" spans="1:19" x14ac:dyDescent="0.2">
      <c r="A10" s="83">
        <v>2</v>
      </c>
      <c r="C10" s="292" t="s">
        <v>421</v>
      </c>
      <c r="E10" s="83" t="s">
        <v>247</v>
      </c>
      <c r="F10" s="106"/>
      <c r="G10" s="106">
        <f>+S1.1!G15</f>
        <v>31270.34446</v>
      </c>
      <c r="H10" s="106">
        <f>+S1.1!H15</f>
        <v>24857.873488240668</v>
      </c>
      <c r="I10" s="106"/>
      <c r="J10" s="106">
        <f>+S1.1!J15</f>
        <v>31176.66632</v>
      </c>
      <c r="K10" s="106">
        <f>+S1.1!K15</f>
        <v>26066.066994949357</v>
      </c>
      <c r="L10" s="106"/>
      <c r="M10" s="106">
        <f>+S1.1!M15</f>
        <v>30372.8021204</v>
      </c>
      <c r="N10" s="106">
        <f>+S1.1!N15</f>
        <v>26633.64227260906</v>
      </c>
      <c r="O10" s="106"/>
      <c r="P10" s="106">
        <f>+S1.1!P15</f>
        <v>24755.609072638894</v>
      </c>
      <c r="Q10" s="106"/>
      <c r="R10" s="106">
        <f>+S1.1!R15</f>
        <v>25249.520521268041</v>
      </c>
      <c r="S10" s="105"/>
    </row>
    <row r="11" spans="1:19" x14ac:dyDescent="0.2">
      <c r="A11" s="83">
        <v>3</v>
      </c>
      <c r="C11" s="292" t="s">
        <v>210</v>
      </c>
      <c r="E11" s="83" t="s">
        <v>250</v>
      </c>
      <c r="F11" s="106"/>
      <c r="G11" s="106">
        <f>+S1.1!G16</f>
        <v>6707.91</v>
      </c>
      <c r="H11" s="106">
        <f>+S1.1!H16</f>
        <v>6610.9961069884821</v>
      </c>
      <c r="I11" s="106"/>
      <c r="J11" s="106">
        <f>+S1.1!J16</f>
        <v>6760</v>
      </c>
      <c r="K11" s="106">
        <f>+S1.1!K16</f>
        <v>6700.5623420348602</v>
      </c>
      <c r="L11" s="106"/>
      <c r="M11" s="106">
        <f>+S1.1!M16</f>
        <v>6621</v>
      </c>
      <c r="N11" s="106">
        <f>+S1.1!N16</f>
        <v>6703.6940606104627</v>
      </c>
      <c r="O11" s="106"/>
      <c r="P11" s="106">
        <f>+S1.1!P16</f>
        <v>5225.0175830104836</v>
      </c>
      <c r="Q11" s="106"/>
      <c r="R11" s="106">
        <f>+S1.1!R16</f>
        <v>5267.6775811613197</v>
      </c>
      <c r="S11" s="105"/>
    </row>
    <row r="12" spans="1:19" x14ac:dyDescent="0.2">
      <c r="A12" s="83">
        <v>5</v>
      </c>
      <c r="C12" s="292" t="s">
        <v>238</v>
      </c>
      <c r="E12" s="83" t="s">
        <v>948</v>
      </c>
      <c r="F12" s="106"/>
      <c r="G12" s="183">
        <f>+S1.1!G18</f>
        <v>273</v>
      </c>
      <c r="H12" s="183">
        <f>+S1.1!H18</f>
        <v>257.19099999999997</v>
      </c>
      <c r="I12" s="106"/>
      <c r="J12" s="183">
        <f>+S1.1!J18</f>
        <v>251</v>
      </c>
      <c r="K12" s="183">
        <f>+S1.1!K18</f>
        <v>264.90672999999998</v>
      </c>
      <c r="L12" s="106"/>
      <c r="M12" s="183">
        <f>+S1.1!M18</f>
        <v>256.06900000000002</v>
      </c>
      <c r="N12" s="183">
        <f>+S1.1!N18</f>
        <v>272.85393189999996</v>
      </c>
      <c r="O12" s="106"/>
      <c r="P12" s="183">
        <f>+S1.1!P18</f>
        <v>261.702518</v>
      </c>
      <c r="Q12" s="106"/>
      <c r="R12" s="183">
        <f>+S1.1!R18</f>
        <v>267.45997339600001</v>
      </c>
      <c r="S12" s="108"/>
    </row>
    <row r="13" spans="1:19" x14ac:dyDescent="0.2">
      <c r="A13" s="83">
        <v>6</v>
      </c>
      <c r="C13" s="292" t="s">
        <v>160</v>
      </c>
      <c r="E13" s="83"/>
      <c r="F13" s="106"/>
      <c r="G13" s="106">
        <f>SUM(G9:G12)</f>
        <v>49969.1587</v>
      </c>
      <c r="H13" s="106">
        <f>SUM(H9:H12)</f>
        <v>43330.357313983346</v>
      </c>
      <c r="I13" s="106"/>
      <c r="J13" s="106">
        <f>SUM(J9:J12)</f>
        <v>49885.41906</v>
      </c>
      <c r="K13" s="106">
        <f>SUM(K9:K12)</f>
        <v>44913.679219676415</v>
      </c>
      <c r="L13" s="106"/>
      <c r="M13" s="106">
        <f>SUM(M9:M12)</f>
        <v>48866.031480400008</v>
      </c>
      <c r="N13" s="106">
        <f>SUM(N9:N12)</f>
        <v>45554.49380301452</v>
      </c>
      <c r="O13" s="106"/>
      <c r="P13" s="106">
        <f>SUM(P9:P12)</f>
        <v>42190.253193431599</v>
      </c>
      <c r="Q13" s="106"/>
      <c r="R13" s="106">
        <f>SUM(R9:R12)</f>
        <v>42919.030736848545</v>
      </c>
      <c r="S13" s="106"/>
    </row>
    <row r="14" spans="1:19" x14ac:dyDescent="0.2">
      <c r="A14" s="83">
        <v>7</v>
      </c>
      <c r="C14" s="292" t="s">
        <v>163</v>
      </c>
      <c r="E14" s="83"/>
      <c r="F14" s="106"/>
      <c r="G14" s="106">
        <f>+H14</f>
        <v>7</v>
      </c>
      <c r="H14" s="106">
        <v>7</v>
      </c>
      <c r="I14" s="106"/>
      <c r="J14" s="106">
        <f>+K14</f>
        <v>7</v>
      </c>
      <c r="K14" s="106">
        <v>7</v>
      </c>
      <c r="L14" s="106"/>
      <c r="M14" s="106">
        <v>7</v>
      </c>
      <c r="N14" s="106">
        <v>7</v>
      </c>
      <c r="O14" s="106"/>
      <c r="P14" s="106">
        <v>4.1585765049261383</v>
      </c>
      <c r="Q14" s="106"/>
      <c r="R14" s="106">
        <v>4.1585765049261383</v>
      </c>
      <c r="S14" s="106"/>
    </row>
    <row r="15" spans="1:19" x14ac:dyDescent="0.2">
      <c r="A15" s="83">
        <v>8</v>
      </c>
      <c r="C15" s="292" t="s">
        <v>268</v>
      </c>
      <c r="E15" s="83"/>
      <c r="F15" s="106"/>
      <c r="G15" s="107">
        <f>G14/365*G13</f>
        <v>958.31263260273977</v>
      </c>
      <c r="H15" s="107">
        <f>H14/365*H13</f>
        <v>830.9931539668039</v>
      </c>
      <c r="I15" s="106"/>
      <c r="J15" s="107">
        <f>J14/365*J13</f>
        <v>956.70666690410962</v>
      </c>
      <c r="K15" s="107">
        <f>K14/365*K13</f>
        <v>861.35823161023268</v>
      </c>
      <c r="L15" s="106"/>
      <c r="M15" s="107">
        <f>M14/365*M13</f>
        <v>937.15676811726053</v>
      </c>
      <c r="N15" s="107">
        <f>N14/365*N13</f>
        <v>873.64782635918266</v>
      </c>
      <c r="O15" s="106"/>
      <c r="P15" s="107">
        <f>P14/365*P13</f>
        <v>480.68875525230033</v>
      </c>
      <c r="Q15" s="106"/>
      <c r="R15" s="107">
        <f>R14/365*R13</f>
        <v>488.99198037386606</v>
      </c>
      <c r="S15" s="108"/>
    </row>
    <row r="16" spans="1:19" ht="7.5" customHeight="1" x14ac:dyDescent="0.2">
      <c r="A16" s="83"/>
      <c r="E16" s="83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pans="1:19" x14ac:dyDescent="0.2">
      <c r="A17" s="83">
        <v>9</v>
      </c>
      <c r="C17" s="292" t="s">
        <v>434</v>
      </c>
      <c r="E17" s="83"/>
      <c r="F17" s="106"/>
      <c r="G17" s="106">
        <v>0</v>
      </c>
      <c r="H17" s="106">
        <v>0</v>
      </c>
      <c r="I17" s="106"/>
      <c r="J17" s="106">
        <v>0</v>
      </c>
      <c r="K17" s="106">
        <v>0</v>
      </c>
      <c r="L17" s="106"/>
      <c r="M17" s="106">
        <v>0</v>
      </c>
      <c r="N17" s="106">
        <v>160</v>
      </c>
      <c r="O17" s="106"/>
      <c r="P17" s="106">
        <v>0</v>
      </c>
      <c r="Q17" s="106"/>
      <c r="R17" s="106">
        <v>0</v>
      </c>
      <c r="S17" s="106"/>
    </row>
    <row r="18" spans="1:19" x14ac:dyDescent="0.2">
      <c r="A18" s="83">
        <v>10</v>
      </c>
      <c r="C18" s="292" t="s">
        <v>306</v>
      </c>
      <c r="E18" s="83"/>
      <c r="F18" s="106"/>
      <c r="G18" s="106">
        <v>22</v>
      </c>
      <c r="H18" s="106">
        <v>22</v>
      </c>
      <c r="I18" s="106"/>
      <c r="J18" s="106">
        <v>22</v>
      </c>
      <c r="K18" s="106">
        <v>22</v>
      </c>
      <c r="L18" s="106"/>
      <c r="M18" s="106">
        <v>22</v>
      </c>
      <c r="N18" s="106">
        <v>22</v>
      </c>
      <c r="O18" s="106"/>
      <c r="P18" s="106">
        <v>22</v>
      </c>
      <c r="Q18" s="106"/>
      <c r="R18" s="106">
        <v>22</v>
      </c>
      <c r="S18" s="106"/>
    </row>
    <row r="19" spans="1:19" x14ac:dyDescent="0.2">
      <c r="A19" s="83">
        <v>11</v>
      </c>
      <c r="C19" s="292" t="s">
        <v>307</v>
      </c>
      <c r="E19" s="83"/>
      <c r="F19" s="106"/>
      <c r="G19" s="107">
        <f>G18/365*G17</f>
        <v>0</v>
      </c>
      <c r="H19" s="107">
        <f>H18/365*H17</f>
        <v>0</v>
      </c>
      <c r="I19" s="106"/>
      <c r="J19" s="107">
        <f>J18/365*J17</f>
        <v>0</v>
      </c>
      <c r="K19" s="107">
        <f>K18/365*K17</f>
        <v>0</v>
      </c>
      <c r="L19" s="106"/>
      <c r="M19" s="107">
        <f>M18/365*M17</f>
        <v>0</v>
      </c>
      <c r="N19" s="107">
        <f>N18/365*N17</f>
        <v>9.6438356164383556</v>
      </c>
      <c r="O19" s="106"/>
      <c r="P19" s="107">
        <f>P18/365*P17</f>
        <v>0</v>
      </c>
      <c r="Q19" s="106"/>
      <c r="R19" s="107">
        <f>R18/365*R17</f>
        <v>0</v>
      </c>
      <c r="S19" s="108"/>
    </row>
    <row r="20" spans="1:19" ht="6" customHeight="1" x14ac:dyDescent="0.2">
      <c r="A20" s="83"/>
      <c r="E20" s="83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x14ac:dyDescent="0.2">
      <c r="A21" s="83">
        <v>12</v>
      </c>
      <c r="C21" s="292" t="s">
        <v>435</v>
      </c>
      <c r="E21" s="83"/>
      <c r="F21" s="105"/>
      <c r="G21" s="105">
        <v>0</v>
      </c>
      <c r="H21" s="105">
        <v>416</v>
      </c>
      <c r="I21" s="105"/>
      <c r="J21" s="105">
        <v>0</v>
      </c>
      <c r="K21" s="105">
        <v>256</v>
      </c>
      <c r="L21" s="105"/>
      <c r="M21" s="105">
        <v>0</v>
      </c>
      <c r="N21" s="105">
        <v>103</v>
      </c>
      <c r="O21" s="105"/>
      <c r="P21" s="105">
        <v>0</v>
      </c>
      <c r="Q21" s="105"/>
      <c r="R21" s="105">
        <v>0</v>
      </c>
      <c r="S21" s="106"/>
    </row>
    <row r="22" spans="1:19" x14ac:dyDescent="0.2">
      <c r="A22" s="83">
        <v>13</v>
      </c>
      <c r="C22" s="292" t="s">
        <v>217</v>
      </c>
      <c r="E22" s="83"/>
      <c r="F22" s="106"/>
      <c r="G22" s="106">
        <v>204</v>
      </c>
      <c r="H22" s="106">
        <v>204</v>
      </c>
      <c r="I22" s="106"/>
      <c r="J22" s="106">
        <v>204</v>
      </c>
      <c r="K22" s="106">
        <v>204</v>
      </c>
      <c r="L22" s="106"/>
      <c r="M22" s="106">
        <v>204</v>
      </c>
      <c r="N22" s="106">
        <v>204</v>
      </c>
      <c r="O22" s="106"/>
      <c r="P22" s="106">
        <v>204</v>
      </c>
      <c r="Q22" s="106"/>
      <c r="R22" s="106">
        <v>204</v>
      </c>
      <c r="S22" s="106"/>
    </row>
    <row r="23" spans="1:19" x14ac:dyDescent="0.2">
      <c r="A23" s="83">
        <v>14</v>
      </c>
      <c r="C23" s="292" t="s">
        <v>269</v>
      </c>
      <c r="E23" s="83"/>
      <c r="F23" s="106"/>
      <c r="G23" s="107">
        <f>G22/365*G21</f>
        <v>0</v>
      </c>
      <c r="H23" s="107">
        <f>H22/365*H21</f>
        <v>232.50410958904112</v>
      </c>
      <c r="I23" s="106"/>
      <c r="J23" s="107">
        <f>J22/365*J21</f>
        <v>0</v>
      </c>
      <c r="K23" s="107">
        <f>K22/365*K21</f>
        <v>143.07945205479453</v>
      </c>
      <c r="L23" s="106"/>
      <c r="M23" s="107">
        <f>M22/365*M21</f>
        <v>0</v>
      </c>
      <c r="N23" s="107">
        <f>N22/365*N21</f>
        <v>57.567123287671237</v>
      </c>
      <c r="O23" s="106"/>
      <c r="P23" s="107">
        <f>P22/365*P21</f>
        <v>0</v>
      </c>
      <c r="Q23" s="106"/>
      <c r="R23" s="107">
        <f>R22/365*R21</f>
        <v>0</v>
      </c>
      <c r="S23" s="108"/>
    </row>
    <row r="24" spans="1:19" ht="9" customHeight="1" x14ac:dyDescent="0.2">
      <c r="A24" s="83"/>
      <c r="E24" s="83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</row>
    <row r="25" spans="1:19" x14ac:dyDescent="0.2">
      <c r="A25" s="83">
        <v>15</v>
      </c>
      <c r="C25" s="292" t="s">
        <v>539</v>
      </c>
      <c r="E25" s="83"/>
      <c r="F25" s="106"/>
      <c r="G25" s="106">
        <v>2081</v>
      </c>
      <c r="H25" s="106">
        <v>1938.3333333333333</v>
      </c>
      <c r="I25" s="106"/>
      <c r="J25" s="106">
        <v>2141</v>
      </c>
      <c r="K25" s="106">
        <v>1938.3333333333333</v>
      </c>
      <c r="L25" s="106"/>
      <c r="M25" s="106">
        <v>2147</v>
      </c>
      <c r="N25" s="106">
        <v>1938.3333333333333</v>
      </c>
      <c r="O25" s="106"/>
      <c r="P25" s="106">
        <v>2123</v>
      </c>
      <c r="Q25" s="106"/>
      <c r="R25" s="106">
        <v>2123</v>
      </c>
      <c r="S25" s="106"/>
    </row>
    <row r="26" spans="1:19" ht="8.25" customHeight="1" x14ac:dyDescent="0.2">
      <c r="A26" s="83"/>
      <c r="E26" s="83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</row>
    <row r="27" spans="1:19" x14ac:dyDescent="0.2">
      <c r="A27" s="83">
        <v>16</v>
      </c>
      <c r="C27" s="292" t="s">
        <v>436</v>
      </c>
      <c r="E27" s="83" t="s">
        <v>949</v>
      </c>
      <c r="F27" s="106"/>
      <c r="G27" s="183">
        <f>+S8.11!G44</f>
        <v>149.46654872309793</v>
      </c>
      <c r="H27" s="183">
        <f>+S8.11!H44</f>
        <v>152.32520654304926</v>
      </c>
      <c r="I27" s="106"/>
      <c r="J27" s="183">
        <f>+S8.11!J44</f>
        <v>162.18394932346737</v>
      </c>
      <c r="K27" s="183">
        <f>+S8.11!K44</f>
        <v>164.89528832605723</v>
      </c>
      <c r="L27" s="106"/>
      <c r="M27" s="183">
        <f>+S8.11!M44</f>
        <v>133.81594110891382</v>
      </c>
      <c r="N27" s="183">
        <f>+S8.11!N44</f>
        <v>144.44362994599936</v>
      </c>
      <c r="O27" s="106"/>
      <c r="P27" s="183">
        <f>+S8.11!P44</f>
        <v>135.66396952897318</v>
      </c>
      <c r="Q27" s="106"/>
      <c r="R27" s="183">
        <f>+S8.11!R44</f>
        <v>141.12547588718496</v>
      </c>
      <c r="S27" s="108"/>
    </row>
    <row r="28" spans="1:19" ht="9" customHeight="1" x14ac:dyDescent="0.2">
      <c r="A28" s="83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8"/>
    </row>
    <row r="29" spans="1:19" x14ac:dyDescent="0.2">
      <c r="A29" s="83">
        <v>17</v>
      </c>
      <c r="C29" s="292" t="s">
        <v>161</v>
      </c>
      <c r="F29" s="106"/>
      <c r="G29" s="106">
        <f>+S8.1!O13</f>
        <v>2477</v>
      </c>
      <c r="H29" s="106">
        <f>+S8.1!O23</f>
        <v>2557</v>
      </c>
      <c r="I29" s="106"/>
      <c r="J29" s="106">
        <f>+S8.1!O33</f>
        <v>2834</v>
      </c>
      <c r="K29" s="106">
        <f>S8.1!O43</f>
        <v>2954.7972711286261</v>
      </c>
      <c r="L29" s="106"/>
      <c r="M29" s="106">
        <f>S8.1!O63</f>
        <v>3094.7708622195173</v>
      </c>
      <c r="N29" s="106">
        <f>S8.1!O73</f>
        <v>3245.128387931506</v>
      </c>
      <c r="O29" s="106"/>
      <c r="P29" s="106">
        <f>S8.1!O83</f>
        <v>3234.6896978657355</v>
      </c>
      <c r="Q29" s="106"/>
      <c r="R29" s="106">
        <f>S8.1!O93</f>
        <v>3369.0281629649553</v>
      </c>
      <c r="S29" s="108"/>
    </row>
    <row r="30" spans="1:19" x14ac:dyDescent="0.2">
      <c r="A30" s="83">
        <v>18</v>
      </c>
      <c r="C30" s="292" t="s">
        <v>162</v>
      </c>
      <c r="F30" s="106"/>
      <c r="G30" s="108">
        <v>-52</v>
      </c>
      <c r="H30" s="108">
        <v>-52</v>
      </c>
      <c r="I30" s="106"/>
      <c r="J30" s="108">
        <v>-52</v>
      </c>
      <c r="K30" s="108">
        <v>-52</v>
      </c>
      <c r="L30" s="106"/>
      <c r="M30" s="108">
        <v>-52</v>
      </c>
      <c r="N30" s="108">
        <v>-52</v>
      </c>
      <c r="O30" s="106"/>
      <c r="P30" s="108">
        <v>-52</v>
      </c>
      <c r="Q30" s="106"/>
      <c r="R30" s="108">
        <v>-52</v>
      </c>
      <c r="S30" s="108"/>
    </row>
    <row r="31" spans="1:19" x14ac:dyDescent="0.2">
      <c r="A31" s="83">
        <v>19</v>
      </c>
      <c r="C31" s="292" t="s">
        <v>270</v>
      </c>
      <c r="F31" s="106"/>
      <c r="G31" s="107">
        <f>G30/365*G29</f>
        <v>-352.8876712328767</v>
      </c>
      <c r="H31" s="107">
        <f>H30/365*H29</f>
        <v>-364.28493150684932</v>
      </c>
      <c r="I31" s="106"/>
      <c r="J31" s="107">
        <f>J30/365*J29</f>
        <v>-403.74794520547943</v>
      </c>
      <c r="K31" s="107">
        <f>K30/365*K29</f>
        <v>-420.95741944846179</v>
      </c>
      <c r="L31" s="106"/>
      <c r="M31" s="107">
        <f>M30/365*M29</f>
        <v>-440.89886256278055</v>
      </c>
      <c r="N31" s="107">
        <f>N30/365*N29</f>
        <v>-462.31966074640633</v>
      </c>
      <c r="O31" s="106"/>
      <c r="P31" s="107">
        <f>P30/365*P29</f>
        <v>-460.83250490141984</v>
      </c>
      <c r="Q31" s="106"/>
      <c r="R31" s="107">
        <f>R30/365*R29</f>
        <v>-479.97113554569228</v>
      </c>
      <c r="S31" s="108"/>
    </row>
    <row r="32" spans="1:19" ht="7.5" customHeight="1" x14ac:dyDescent="0.2">
      <c r="A32" s="83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</row>
    <row r="33" spans="1:19" x14ac:dyDescent="0.2">
      <c r="A33" s="83">
        <v>20</v>
      </c>
      <c r="C33" s="292" t="s">
        <v>164</v>
      </c>
      <c r="F33" s="108"/>
      <c r="G33" s="108">
        <f>+S8.1!O15/2</f>
        <v>1536.5</v>
      </c>
      <c r="H33" s="108">
        <f>S8.1!O25/2</f>
        <v>1261.5</v>
      </c>
      <c r="I33" s="108"/>
      <c r="J33" s="108">
        <f>S8.1!O35/2</f>
        <v>1474.0500000000002</v>
      </c>
      <c r="K33" s="108">
        <f>S8.1!O45/2</f>
        <v>1490.6013644356869</v>
      </c>
      <c r="L33" s="108"/>
      <c r="M33" s="108">
        <f>+S8.1!O65/2</f>
        <v>1371.6145688902413</v>
      </c>
      <c r="N33" s="108">
        <f>+S8.1!O75/2</f>
        <v>1649.935806034247</v>
      </c>
      <c r="O33" s="108"/>
      <c r="P33" s="108">
        <f>+S8.1!O85/2</f>
        <v>1855.2306387365823</v>
      </c>
      <c r="Q33" s="108"/>
      <c r="R33" s="108">
        <f>+S8.1!O95/2</f>
        <v>2015.5824660469475</v>
      </c>
      <c r="S33" s="108"/>
    </row>
    <row r="34" spans="1:19" x14ac:dyDescent="0.2">
      <c r="A34" s="83">
        <v>21</v>
      </c>
      <c r="C34" s="292" t="s">
        <v>165</v>
      </c>
      <c r="F34" s="105"/>
      <c r="G34" s="105">
        <v>-4</v>
      </c>
      <c r="H34" s="105">
        <v>-4</v>
      </c>
      <c r="I34" s="105"/>
      <c r="J34" s="105">
        <v>-4</v>
      </c>
      <c r="K34" s="105">
        <v>-4</v>
      </c>
      <c r="L34" s="105"/>
      <c r="M34" s="105">
        <v>-4</v>
      </c>
      <c r="N34" s="105">
        <v>-4</v>
      </c>
      <c r="O34" s="105"/>
      <c r="P34" s="105">
        <v>-4</v>
      </c>
      <c r="Q34" s="105"/>
      <c r="R34" s="105">
        <v>-4</v>
      </c>
      <c r="S34" s="105"/>
    </row>
    <row r="35" spans="1:19" x14ac:dyDescent="0.2">
      <c r="A35" s="83">
        <v>22</v>
      </c>
      <c r="C35" s="292" t="s">
        <v>166</v>
      </c>
      <c r="F35" s="106"/>
      <c r="G35" s="107">
        <f>G34/365*G33</f>
        <v>-16.838356164383562</v>
      </c>
      <c r="H35" s="107">
        <f>H34/365*H33</f>
        <v>-13.824657534246576</v>
      </c>
      <c r="I35" s="106"/>
      <c r="J35" s="107">
        <f>J34/365*J33</f>
        <v>-16.153972602739728</v>
      </c>
      <c r="K35" s="107">
        <f>K34/365*K33</f>
        <v>-16.335357418473283</v>
      </c>
      <c r="L35" s="106"/>
      <c r="M35" s="107">
        <f>M34/365*M33</f>
        <v>-15.031392535783468</v>
      </c>
      <c r="N35" s="107">
        <f>N34/365*N33</f>
        <v>-18.081488285306815</v>
      </c>
      <c r="O35" s="106"/>
      <c r="P35" s="107">
        <f>P34/365*P33</f>
        <v>-20.331294671085832</v>
      </c>
      <c r="Q35" s="106"/>
      <c r="R35" s="107">
        <f>R34/365*R33</f>
        <v>-22.088574970377508</v>
      </c>
      <c r="S35" s="108"/>
    </row>
    <row r="36" spans="1:19" ht="7.5" customHeight="1" x14ac:dyDescent="0.2">
      <c r="A36" s="83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x14ac:dyDescent="0.2">
      <c r="A37" s="83">
        <v>23</v>
      </c>
      <c r="C37" s="292" t="s">
        <v>164</v>
      </c>
      <c r="F37" s="108"/>
      <c r="G37" s="108">
        <f>G33</f>
        <v>1536.5</v>
      </c>
      <c r="H37" s="108">
        <f>H33</f>
        <v>1261.5</v>
      </c>
      <c r="I37" s="108"/>
      <c r="J37" s="108">
        <f>J33</f>
        <v>1474.0500000000002</v>
      </c>
      <c r="K37" s="108">
        <f>K33</f>
        <v>1490.6013644356869</v>
      </c>
      <c r="L37" s="108"/>
      <c r="M37" s="108">
        <f>M33</f>
        <v>1371.6145688902413</v>
      </c>
      <c r="N37" s="108">
        <f>N33</f>
        <v>1649.935806034247</v>
      </c>
      <c r="O37" s="108"/>
      <c r="P37" s="108">
        <f>P33</f>
        <v>1855.2306387365823</v>
      </c>
      <c r="Q37" s="108"/>
      <c r="R37" s="108">
        <f>R33</f>
        <v>2015.5824660469475</v>
      </c>
      <c r="S37" s="108"/>
    </row>
    <row r="38" spans="1:19" x14ac:dyDescent="0.2">
      <c r="A38" s="83">
        <v>24</v>
      </c>
      <c r="C38" s="292" t="s">
        <v>167</v>
      </c>
      <c r="F38" s="105"/>
      <c r="G38" s="105">
        <v>42</v>
      </c>
      <c r="H38" s="105">
        <v>42</v>
      </c>
      <c r="I38" s="105"/>
      <c r="J38" s="105">
        <v>42</v>
      </c>
      <c r="K38" s="105">
        <v>42</v>
      </c>
      <c r="L38" s="105"/>
      <c r="M38" s="105">
        <v>42</v>
      </c>
      <c r="N38" s="105">
        <v>42</v>
      </c>
      <c r="O38" s="105"/>
      <c r="P38" s="105">
        <v>42</v>
      </c>
      <c r="Q38" s="105"/>
      <c r="R38" s="105">
        <v>42</v>
      </c>
      <c r="S38" s="105"/>
    </row>
    <row r="39" spans="1:19" x14ac:dyDescent="0.2">
      <c r="A39" s="83">
        <v>25</v>
      </c>
      <c r="C39" s="292" t="s">
        <v>168</v>
      </c>
      <c r="F39" s="106"/>
      <c r="G39" s="107">
        <f>G38/365*G37</f>
        <v>176.8027397260274</v>
      </c>
      <c r="H39" s="107">
        <f>H38/365*H37</f>
        <v>145.15890410958903</v>
      </c>
      <c r="I39" s="106"/>
      <c r="J39" s="107">
        <f>J38/365*J37</f>
        <v>169.61671232876714</v>
      </c>
      <c r="K39" s="107">
        <f>K38/365*K37</f>
        <v>171.52125289396946</v>
      </c>
      <c r="L39" s="106"/>
      <c r="M39" s="107">
        <f>M38/365*M37</f>
        <v>157.82962162572639</v>
      </c>
      <c r="N39" s="107">
        <f>N38/365*N37</f>
        <v>189.85562699572156</v>
      </c>
      <c r="O39" s="106"/>
      <c r="P39" s="107">
        <f>P38/365*P37</f>
        <v>213.47859404640124</v>
      </c>
      <c r="Q39" s="106"/>
      <c r="R39" s="107">
        <f>R38/365*R37</f>
        <v>231.93003718896381</v>
      </c>
      <c r="S39" s="108"/>
    </row>
    <row r="40" spans="1:19" ht="7.5" customHeight="1" x14ac:dyDescent="0.2">
      <c r="A40" s="83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8"/>
    </row>
    <row r="41" spans="1:19" x14ac:dyDescent="0.2">
      <c r="A41" s="83">
        <v>26</v>
      </c>
      <c r="C41" s="292" t="s">
        <v>169</v>
      </c>
      <c r="F41" s="106"/>
      <c r="G41" s="108">
        <f>+S1.1!G19+S1.1!G20</f>
        <v>2836.9739999999993</v>
      </c>
      <c r="H41" s="108">
        <f>+S1.1!H19+S1.1!H20</f>
        <v>3076.2757681999997</v>
      </c>
      <c r="I41" s="106"/>
      <c r="J41" s="108">
        <f>+S1.1!J19+S1.1!J20</f>
        <v>3436</v>
      </c>
      <c r="K41" s="108">
        <f>+S1.1!K19+S1.1!K20</f>
        <v>3694.8170721999995</v>
      </c>
      <c r="L41" s="106"/>
      <c r="M41" s="108">
        <f>+S1.1!M19+S1.1!M20</f>
        <v>3951.5720200000001</v>
      </c>
      <c r="N41" s="108">
        <f>+S1.1!N19+S1.1!N20</f>
        <v>4028.9225517999994</v>
      </c>
      <c r="O41" s="106"/>
      <c r="P41" s="108">
        <f>+S1.1!P19+S1.1!P20</f>
        <v>4287.3099370386672</v>
      </c>
      <c r="Q41" s="106"/>
      <c r="R41" s="108">
        <f>+S1.1!R19+S1.1!R20</f>
        <v>4712.6317395003334</v>
      </c>
      <c r="S41" s="108"/>
    </row>
    <row r="42" spans="1:19" x14ac:dyDescent="0.2">
      <c r="A42" s="83">
        <v>27</v>
      </c>
      <c r="C42" s="292" t="s">
        <v>167</v>
      </c>
      <c r="F42" s="105"/>
      <c r="G42" s="105">
        <v>42</v>
      </c>
      <c r="H42" s="105">
        <v>42</v>
      </c>
      <c r="I42" s="105"/>
      <c r="J42" s="105">
        <v>42</v>
      </c>
      <c r="K42" s="105">
        <v>42</v>
      </c>
      <c r="L42" s="105"/>
      <c r="M42" s="105">
        <v>42</v>
      </c>
      <c r="N42" s="105">
        <v>42</v>
      </c>
      <c r="O42" s="105"/>
      <c r="P42" s="105">
        <v>42</v>
      </c>
      <c r="Q42" s="105"/>
      <c r="R42" s="105">
        <v>42</v>
      </c>
      <c r="S42" s="105"/>
    </row>
    <row r="43" spans="1:19" x14ac:dyDescent="0.2">
      <c r="A43" s="83">
        <v>28</v>
      </c>
      <c r="C43" s="292" t="s">
        <v>170</v>
      </c>
      <c r="F43" s="106"/>
      <c r="G43" s="107">
        <f>G42/365*G41</f>
        <v>326.44632328767113</v>
      </c>
      <c r="H43" s="107">
        <f>H42/365*H41</f>
        <v>353.98241716273969</v>
      </c>
      <c r="I43" s="106"/>
      <c r="J43" s="107">
        <f>J42/365*J41</f>
        <v>395.37534246575342</v>
      </c>
      <c r="K43" s="107">
        <f>K42/365*K41</f>
        <v>425.1570329654794</v>
      </c>
      <c r="L43" s="106"/>
      <c r="M43" s="107">
        <f>M42/365*M41</f>
        <v>454.70143791780822</v>
      </c>
      <c r="N43" s="107">
        <f>N42/365*N41</f>
        <v>463.60204705643827</v>
      </c>
      <c r="O43" s="106"/>
      <c r="P43" s="107">
        <f>P42/365*P41</f>
        <v>493.33429412499731</v>
      </c>
      <c r="Q43" s="106"/>
      <c r="R43" s="107">
        <f>R42/365*R41</f>
        <v>542.27543303839457</v>
      </c>
      <c r="S43" s="108"/>
    </row>
    <row r="44" spans="1:19" ht="8.25" customHeight="1" x14ac:dyDescent="0.2">
      <c r="A44" s="83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</row>
    <row r="45" spans="1:19" ht="15.75" thickBot="1" x14ac:dyDescent="0.25">
      <c r="A45" s="83">
        <v>29</v>
      </c>
      <c r="C45" s="292" t="s">
        <v>437</v>
      </c>
      <c r="E45" s="83" t="s">
        <v>244</v>
      </c>
      <c r="F45" s="106"/>
      <c r="G45" s="207">
        <v>3322</v>
      </c>
      <c r="H45" s="207">
        <v>3275</v>
      </c>
      <c r="I45" s="106"/>
      <c r="J45" s="207">
        <v>3405</v>
      </c>
      <c r="K45" s="207">
        <v>3267</v>
      </c>
      <c r="L45" s="106"/>
      <c r="M45" s="207">
        <v>3375</v>
      </c>
      <c r="N45" s="207">
        <v>3601</v>
      </c>
      <c r="O45" s="106"/>
      <c r="P45" s="207">
        <v>2965</v>
      </c>
      <c r="Q45" s="106"/>
      <c r="R45" s="207">
        <v>3025</v>
      </c>
      <c r="S45" s="108"/>
    </row>
    <row r="47" spans="1:19" x14ac:dyDescent="0.2">
      <c r="P47" s="106"/>
      <c r="R47" s="106"/>
    </row>
  </sheetData>
  <customSheetViews>
    <customSheetView guid="{275E5119-9E8C-43ED-ACD2-DF40CF10B219}" scale="70">
      <selection activeCell="M26" sqref="M26"/>
      <pageMargins left="0.59" right="0.72" top="0.64" bottom="0.7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46" sqref="M46"/>
      <pageMargins left="0.59" right="0.72" top="0.64" bottom="0.7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7" fitToHeight="0" orientation="landscape" r:id="rId3"/>
  <headerFooter alignWithMargins="0">
    <oddHeader>&amp;RUndertaking 17 - Page 527, Lines 15-17, Attachment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pageSetUpPr fitToPage="1"/>
  </sheetPr>
  <dimension ref="A1:S44"/>
  <sheetViews>
    <sheetView view="pageBreakPreview" zoomScale="85" zoomScaleNormal="75" zoomScaleSheetLayoutView="85" workbookViewId="0">
      <selection activeCell="M3" sqref="M3"/>
    </sheetView>
  </sheetViews>
  <sheetFormatPr defaultColWidth="8" defaultRowHeight="15" x14ac:dyDescent="0.2"/>
  <cols>
    <col min="1" max="1" width="6.140625" style="292" bestFit="1" customWidth="1"/>
    <col min="2" max="2" width="2.28515625" style="292" customWidth="1"/>
    <col min="3" max="3" width="56" style="292" customWidth="1"/>
    <col min="4" max="4" width="2.28515625" style="292" customWidth="1"/>
    <col min="5" max="5" width="19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8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557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ht="15.75" x14ac:dyDescent="0.25">
      <c r="A3" s="261" t="s">
        <v>310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344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344"/>
    </row>
    <row r="5" spans="1:19" ht="15.75" x14ac:dyDescent="0.25">
      <c r="A5" s="344"/>
      <c r="B5" s="344"/>
      <c r="C5" s="344"/>
      <c r="D5" s="344"/>
      <c r="E5" s="344"/>
      <c r="L5" s="239"/>
      <c r="M5" s="239"/>
      <c r="N5" s="342"/>
      <c r="O5" s="239"/>
      <c r="P5" s="342"/>
      <c r="Q5" s="239"/>
      <c r="R5" s="342"/>
    </row>
    <row r="6" spans="1:19" ht="15.75" x14ac:dyDescent="0.25">
      <c r="A6" s="344" t="s">
        <v>19</v>
      </c>
      <c r="B6" s="344"/>
      <c r="C6" s="344"/>
      <c r="D6" s="344"/>
      <c r="E6" s="344" t="s">
        <v>20</v>
      </c>
      <c r="G6" s="543" t="s">
        <v>11</v>
      </c>
      <c r="H6" s="164" t="s">
        <v>4</v>
      </c>
      <c r="J6" s="543" t="s">
        <v>11</v>
      </c>
      <c r="K6" s="164" t="s">
        <v>4</v>
      </c>
      <c r="L6" s="342"/>
      <c r="M6" s="342" t="s">
        <v>11</v>
      </c>
      <c r="N6" s="164" t="s">
        <v>4</v>
      </c>
      <c r="O6" s="542"/>
      <c r="P6" s="607" t="s">
        <v>293</v>
      </c>
      <c r="Q6" s="607"/>
      <c r="R6" s="607"/>
      <c r="S6" s="344"/>
    </row>
    <row r="7" spans="1:19" ht="15.75" x14ac:dyDescent="0.25">
      <c r="A7" s="343" t="s">
        <v>21</v>
      </c>
      <c r="B7" s="344"/>
      <c r="C7" s="343" t="s">
        <v>149</v>
      </c>
      <c r="D7" s="344"/>
      <c r="E7" s="343" t="s">
        <v>22</v>
      </c>
      <c r="G7" s="343">
        <v>2013</v>
      </c>
      <c r="H7" s="343">
        <v>2013</v>
      </c>
      <c r="J7" s="343">
        <v>2014</v>
      </c>
      <c r="K7" s="343">
        <v>2014</v>
      </c>
      <c r="L7" s="240"/>
      <c r="M7" s="341">
        <v>2015</v>
      </c>
      <c r="N7" s="341">
        <v>2015</v>
      </c>
      <c r="O7" s="240"/>
      <c r="P7" s="341">
        <v>2016</v>
      </c>
      <c r="Q7" s="240"/>
      <c r="R7" s="341">
        <v>2017</v>
      </c>
    </row>
    <row r="9" spans="1:19" ht="15.75" x14ac:dyDescent="0.25">
      <c r="A9" s="83">
        <v>1</v>
      </c>
      <c r="C9" s="251" t="s">
        <v>171</v>
      </c>
    </row>
    <row r="10" spans="1:19" x14ac:dyDescent="0.2">
      <c r="A10" s="83">
        <f>A9+1</f>
        <v>2</v>
      </c>
      <c r="C10" s="292" t="s">
        <v>175</v>
      </c>
      <c r="E10" s="225" t="s">
        <v>887</v>
      </c>
      <c r="G10" s="252">
        <f>+S2.1!G74</f>
        <v>56309.562000000005</v>
      </c>
      <c r="H10" s="252">
        <f>+S2.1!H74</f>
        <v>49811.56</v>
      </c>
      <c r="J10" s="252">
        <f>+S2.1!J74</f>
        <v>57687.000000000007</v>
      </c>
      <c r="K10" s="252">
        <f>+S2.1!K74</f>
        <v>53472.67</v>
      </c>
      <c r="L10" s="252"/>
      <c r="M10" s="252">
        <f>+S2.1!M74</f>
        <v>57475.979320000006</v>
      </c>
      <c r="N10" s="252">
        <f>+S2.1!N74</f>
        <v>55183.199999999997</v>
      </c>
      <c r="O10" s="252"/>
      <c r="P10" s="252">
        <f>+S2.1!Q74</f>
        <v>52328.351369389165</v>
      </c>
      <c r="Q10" s="252"/>
      <c r="R10" s="252">
        <f>+S2.1!T74</f>
        <v>55047.366854786487</v>
      </c>
    </row>
    <row r="11" spans="1:19" x14ac:dyDescent="0.2">
      <c r="A11" s="83">
        <f t="shared" ref="A11:A44" si="0">A10+1</f>
        <v>3</v>
      </c>
      <c r="C11" s="292" t="s">
        <v>173</v>
      </c>
      <c r="G11" s="177">
        <v>0.05</v>
      </c>
      <c r="H11" s="177">
        <v>0.05</v>
      </c>
      <c r="J11" s="177">
        <v>0.05</v>
      </c>
      <c r="K11" s="177">
        <v>0.05</v>
      </c>
      <c r="L11" s="193"/>
      <c r="M11" s="177">
        <v>0.05</v>
      </c>
      <c r="N11" s="177">
        <v>0.05</v>
      </c>
      <c r="O11" s="193"/>
      <c r="P11" s="177">
        <v>0.05</v>
      </c>
      <c r="Q11" s="193"/>
      <c r="R11" s="177">
        <v>0.05</v>
      </c>
    </row>
    <row r="12" spans="1:19" x14ac:dyDescent="0.2">
      <c r="A12" s="83">
        <f t="shared" si="0"/>
        <v>4</v>
      </c>
      <c r="C12" s="292" t="s">
        <v>174</v>
      </c>
      <c r="F12" s="57"/>
      <c r="G12" s="57">
        <f>G10*G11</f>
        <v>2815.4781000000003</v>
      </c>
      <c r="H12" s="57">
        <f>H10*H11</f>
        <v>2490.578</v>
      </c>
      <c r="I12" s="57"/>
      <c r="J12" s="57">
        <f>J10*J11</f>
        <v>2884.3500000000004</v>
      </c>
      <c r="K12" s="57">
        <f>K10*K11</f>
        <v>2673.6334999999999</v>
      </c>
      <c r="L12" s="57"/>
      <c r="M12" s="57">
        <f>M10*M11</f>
        <v>2873.7989660000003</v>
      </c>
      <c r="N12" s="57">
        <f>N10*N11</f>
        <v>2759.16</v>
      </c>
      <c r="O12" s="57"/>
      <c r="P12" s="57">
        <f>P10*P11</f>
        <v>2616.4175684694583</v>
      </c>
      <c r="Q12" s="57"/>
      <c r="R12" s="57">
        <f>R10*R11</f>
        <v>2752.3683427393244</v>
      </c>
      <c r="S12" s="57"/>
    </row>
    <row r="13" spans="1:19" x14ac:dyDescent="0.2">
      <c r="A13" s="83">
        <f t="shared" si="0"/>
        <v>5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</row>
    <row r="14" spans="1:19" x14ac:dyDescent="0.2">
      <c r="A14" s="83">
        <f t="shared" si="0"/>
        <v>6</v>
      </c>
      <c r="C14" s="292" t="s">
        <v>176</v>
      </c>
      <c r="F14" s="178"/>
      <c r="G14" s="178">
        <v>41.85</v>
      </c>
      <c r="H14" s="178">
        <v>41.85</v>
      </c>
      <c r="I14" s="178"/>
      <c r="J14" s="178">
        <v>41.85</v>
      </c>
      <c r="K14" s="178">
        <v>41.85</v>
      </c>
      <c r="L14" s="178"/>
      <c r="M14" s="178">
        <v>41.9</v>
      </c>
      <c r="N14" s="178">
        <v>41.85</v>
      </c>
      <c r="O14" s="178"/>
      <c r="P14" s="178">
        <v>41.87</v>
      </c>
      <c r="Q14" s="178"/>
      <c r="R14" s="178">
        <v>41.87</v>
      </c>
      <c r="S14" s="178"/>
    </row>
    <row r="15" spans="1:19" x14ac:dyDescent="0.2">
      <c r="A15" s="83">
        <f t="shared" si="0"/>
        <v>7</v>
      </c>
      <c r="C15" s="292" t="s">
        <v>177</v>
      </c>
      <c r="F15" s="178"/>
      <c r="G15" s="179">
        <v>56.593281923785369</v>
      </c>
      <c r="H15" s="179">
        <v>56.593281923785369</v>
      </c>
      <c r="I15" s="178"/>
      <c r="J15" s="179">
        <f>H15</f>
        <v>56.593281923785369</v>
      </c>
      <c r="K15" s="179">
        <v>56.593281923785369</v>
      </c>
      <c r="L15" s="185"/>
      <c r="M15" s="179">
        <f>J15</f>
        <v>56.593281923785369</v>
      </c>
      <c r="N15" s="179">
        <v>56.593281923785369</v>
      </c>
      <c r="O15" s="185"/>
      <c r="P15" s="179">
        <f>M15</f>
        <v>56.593281923785369</v>
      </c>
      <c r="Q15" s="185"/>
      <c r="R15" s="179">
        <f>N15</f>
        <v>56.593281923785369</v>
      </c>
      <c r="S15" s="178"/>
    </row>
    <row r="16" spans="1:19" x14ac:dyDescent="0.2">
      <c r="A16" s="83">
        <f t="shared" si="0"/>
        <v>8</v>
      </c>
      <c r="F16" s="181"/>
      <c r="G16" s="180">
        <f>G14-G15</f>
        <v>-14.743281923785368</v>
      </c>
      <c r="H16" s="180">
        <f>H14-H15</f>
        <v>-14.743281923785368</v>
      </c>
      <c r="I16" s="181"/>
      <c r="J16" s="180">
        <f>J14-J15</f>
        <v>-14.743281923785368</v>
      </c>
      <c r="K16" s="180">
        <f>K14-K15</f>
        <v>-14.743281923785368</v>
      </c>
      <c r="L16" s="180"/>
      <c r="M16" s="180">
        <f>M14-M15</f>
        <v>-14.693281923785371</v>
      </c>
      <c r="N16" s="180">
        <f>N14-N15</f>
        <v>-14.743281923785368</v>
      </c>
      <c r="O16" s="180"/>
      <c r="P16" s="180">
        <f>P14-P15</f>
        <v>-14.723281923785372</v>
      </c>
      <c r="Q16" s="180"/>
      <c r="R16" s="180">
        <f>R14-R15</f>
        <v>-14.723281923785372</v>
      </c>
      <c r="S16" s="181"/>
    </row>
    <row r="17" spans="1:19" x14ac:dyDescent="0.2">
      <c r="A17" s="83">
        <f t="shared" si="0"/>
        <v>9</v>
      </c>
    </row>
    <row r="18" spans="1:19" x14ac:dyDescent="0.2">
      <c r="A18" s="83">
        <f t="shared" si="0"/>
        <v>10</v>
      </c>
      <c r="C18" s="292" t="s">
        <v>178</v>
      </c>
      <c r="E18" s="83" t="s">
        <v>439</v>
      </c>
      <c r="G18" s="70">
        <f>G12*G16/365</f>
        <v>-113.72434898231117</v>
      </c>
      <c r="H18" s="70">
        <f>H12*H16/365</f>
        <v>-100.60080440322606</v>
      </c>
      <c r="J18" s="70">
        <f>J12*J16/365</f>
        <v>-116.5062608681379</v>
      </c>
      <c r="K18" s="70">
        <f>K12*K16/365</f>
        <v>-107.99488342843014</v>
      </c>
      <c r="L18" s="66"/>
      <c r="M18" s="70">
        <f>M12*M16/365</f>
        <v>-115.68640657457779</v>
      </c>
      <c r="N18" s="70">
        <f>N12*N16/365</f>
        <v>-111.44951713104557</v>
      </c>
      <c r="O18" s="66"/>
      <c r="P18" s="70">
        <f>P12*P16/365</f>
        <v>-105.54042052307082</v>
      </c>
      <c r="Q18" s="66"/>
      <c r="R18" s="70">
        <f>R12*R16/365</f>
        <v>-111.02437005000822</v>
      </c>
    </row>
    <row r="19" spans="1:19" x14ac:dyDescent="0.2">
      <c r="A19" s="83">
        <f t="shared" si="0"/>
        <v>11</v>
      </c>
    </row>
    <row r="20" spans="1:19" ht="15.75" x14ac:dyDescent="0.25">
      <c r="A20" s="83">
        <f t="shared" si="0"/>
        <v>12</v>
      </c>
      <c r="C20" s="251" t="s">
        <v>172</v>
      </c>
    </row>
    <row r="21" spans="1:19" x14ac:dyDescent="0.2">
      <c r="A21" s="83">
        <f t="shared" si="0"/>
        <v>13</v>
      </c>
      <c r="C21" s="292" t="s">
        <v>156</v>
      </c>
      <c r="E21" s="83" t="s">
        <v>254</v>
      </c>
      <c r="F21" s="57"/>
      <c r="G21" s="57">
        <f>+S1.1!G24</f>
        <v>57660.132700000002</v>
      </c>
      <c r="H21" s="57">
        <f>+S1.1!H24</f>
        <v>51088.633082183347</v>
      </c>
      <c r="I21" s="57"/>
      <c r="J21" s="57">
        <f>+S1.1!J24</f>
        <v>59001.519059999999</v>
      </c>
      <c r="K21" s="57">
        <f>+S1.1!K24</f>
        <v>54722.496291876414</v>
      </c>
      <c r="L21" s="57"/>
      <c r="M21" s="57">
        <f>+S1.1!M24</f>
        <v>58746.6035004</v>
      </c>
      <c r="N21" s="57">
        <f>+S1.1!N24</f>
        <v>56458.416354814522</v>
      </c>
      <c r="O21" s="57"/>
      <c r="P21" s="57">
        <f>+S1.1!P24</f>
        <v>53627.714105809166</v>
      </c>
      <c r="Q21" s="57"/>
      <c r="R21" s="57">
        <f>+S1.1!R24</f>
        <v>56375.315571407729</v>
      </c>
      <c r="S21" s="57"/>
    </row>
    <row r="22" spans="1:19" x14ac:dyDescent="0.2">
      <c r="A22" s="83">
        <f t="shared" si="0"/>
        <v>14</v>
      </c>
      <c r="C22" s="292" t="s">
        <v>238</v>
      </c>
      <c r="E22" s="83" t="s">
        <v>948</v>
      </c>
      <c r="F22" s="57"/>
      <c r="G22" s="57">
        <f>-S1.1!G18</f>
        <v>-273</v>
      </c>
      <c r="H22" s="57">
        <f>-S1.1!H18</f>
        <v>-257.19099999999997</v>
      </c>
      <c r="I22" s="57"/>
      <c r="J22" s="57">
        <f>-S1.1!J18</f>
        <v>-251</v>
      </c>
      <c r="K22" s="57">
        <f>-S1.1!K18</f>
        <v>-264.90672999999998</v>
      </c>
      <c r="L22" s="57"/>
      <c r="M22" s="57">
        <f>-S1.1!M18</f>
        <v>-256.06900000000002</v>
      </c>
      <c r="N22" s="57">
        <f>-S1.1!N18</f>
        <v>-272.85393189999996</v>
      </c>
      <c r="O22" s="57"/>
      <c r="P22" s="57">
        <f>-S1.1!P18</f>
        <v>-261.702518</v>
      </c>
      <c r="Q22" s="57"/>
      <c r="R22" s="57">
        <f>-S1.1!R18</f>
        <v>-267.45997339600001</v>
      </c>
      <c r="S22" s="57"/>
    </row>
    <row r="23" spans="1:19" x14ac:dyDescent="0.2">
      <c r="A23" s="83">
        <f t="shared" si="0"/>
        <v>15</v>
      </c>
      <c r="C23" s="292" t="s">
        <v>157</v>
      </c>
      <c r="F23" s="57"/>
      <c r="G23" s="57">
        <v>-5994</v>
      </c>
      <c r="H23" s="57">
        <v>-5929.4028775670959</v>
      </c>
      <c r="I23" s="57"/>
      <c r="J23" s="57">
        <v>-5947</v>
      </c>
      <c r="K23" s="57">
        <v>-6208.2682410498119</v>
      </c>
      <c r="L23" s="57"/>
      <c r="M23" s="57">
        <v>-6209</v>
      </c>
      <c r="N23" s="57">
        <v>-6411.5977953652364</v>
      </c>
      <c r="O23" s="57"/>
      <c r="P23" s="57">
        <v>-6333.18</v>
      </c>
      <c r="Q23" s="57"/>
      <c r="R23" s="57">
        <v>-6459.8436000000002</v>
      </c>
      <c r="S23" s="57"/>
    </row>
    <row r="24" spans="1:19" x14ac:dyDescent="0.2">
      <c r="A24" s="83">
        <f t="shared" si="0"/>
        <v>16</v>
      </c>
      <c r="C24" s="292" t="s">
        <v>15</v>
      </c>
      <c r="E24" s="83" t="s">
        <v>283</v>
      </c>
      <c r="F24" s="57"/>
      <c r="G24" s="57">
        <f>-S1.1!G19</f>
        <v>-4381.9739999999993</v>
      </c>
      <c r="H24" s="57">
        <f>-S1.1!H19</f>
        <v>-4520.1229999999996</v>
      </c>
      <c r="I24" s="57"/>
      <c r="J24" s="57">
        <f>-S1.1!J19</f>
        <v>-4895</v>
      </c>
      <c r="K24" s="57">
        <f>-S1.1!K19</f>
        <v>-5252.1229999999996</v>
      </c>
      <c r="L24" s="57"/>
      <c r="M24" s="57">
        <f>-S1.1!M19</f>
        <v>-5412</v>
      </c>
      <c r="N24" s="57">
        <f>-S1.1!N19</f>
        <v>-5778.1229999999996</v>
      </c>
      <c r="O24" s="57"/>
      <c r="P24" s="57">
        <f>-S1.1!P19</f>
        <v>-5791.7673333333332</v>
      </c>
      <c r="Q24" s="57"/>
      <c r="R24" s="57">
        <f>-S1.1!R19</f>
        <v>-6283.0002199999999</v>
      </c>
      <c r="S24" s="57"/>
    </row>
    <row r="25" spans="1:19" x14ac:dyDescent="0.2">
      <c r="A25" s="83">
        <f t="shared" si="0"/>
        <v>17</v>
      </c>
      <c r="C25" s="292" t="s">
        <v>423</v>
      </c>
      <c r="E25" s="83" t="s">
        <v>281</v>
      </c>
      <c r="F25" s="57"/>
      <c r="G25" s="57">
        <f>-S1.1!G20</f>
        <v>1545</v>
      </c>
      <c r="H25" s="57">
        <f>-S1.1!H20</f>
        <v>1443.8472317999999</v>
      </c>
      <c r="I25" s="57"/>
      <c r="J25" s="57">
        <f>-S1.1!J20</f>
        <v>1459</v>
      </c>
      <c r="K25" s="57">
        <f>-S1.1!K20</f>
        <v>1557.3059278000001</v>
      </c>
      <c r="L25" s="57"/>
      <c r="M25" s="57">
        <f>-S1.1!M20</f>
        <v>1460.4279799999999</v>
      </c>
      <c r="N25" s="57">
        <f>-S1.1!N20</f>
        <v>1749.2004482</v>
      </c>
      <c r="O25" s="57"/>
      <c r="P25" s="57">
        <f>-S1.1!P20</f>
        <v>1504.4573962946663</v>
      </c>
      <c r="Q25" s="57"/>
      <c r="R25" s="57">
        <f>-S1.1!R20</f>
        <v>1570.3684804996662</v>
      </c>
      <c r="S25" s="57"/>
    </row>
    <row r="26" spans="1:19" x14ac:dyDescent="0.2">
      <c r="A26" s="83">
        <f t="shared" si="0"/>
        <v>18</v>
      </c>
      <c r="C26" s="292" t="s">
        <v>159</v>
      </c>
      <c r="E26" s="83" t="s">
        <v>251</v>
      </c>
      <c r="F26" s="57"/>
      <c r="G26" s="57">
        <f>S1.1!G23</f>
        <v>-714</v>
      </c>
      <c r="H26" s="57">
        <f>S1.1!H23</f>
        <v>-416</v>
      </c>
      <c r="I26" s="57"/>
      <c r="J26" s="57">
        <f>S1.1!J23</f>
        <v>-120</v>
      </c>
      <c r="K26" s="57">
        <f>S1.1!K23</f>
        <v>160</v>
      </c>
      <c r="L26" s="57"/>
      <c r="M26" s="57">
        <f>+S1.1!M23</f>
        <v>74</v>
      </c>
      <c r="N26" s="57">
        <f>+S1.1!N23</f>
        <v>313</v>
      </c>
      <c r="O26" s="57"/>
      <c r="P26" s="57">
        <f>+S1.1!P23</f>
        <v>-427</v>
      </c>
      <c r="Q26" s="57"/>
      <c r="R26" s="57">
        <f>+S1.1!R23</f>
        <v>511</v>
      </c>
      <c r="S26" s="57"/>
    </row>
    <row r="27" spans="1:19" x14ac:dyDescent="0.2">
      <c r="A27" s="83">
        <f t="shared" si="0"/>
        <v>19</v>
      </c>
      <c r="C27" s="184" t="s">
        <v>255</v>
      </c>
      <c r="F27" s="57"/>
      <c r="G27" s="57">
        <f>+'S8.4 '!G39</f>
        <v>-1528</v>
      </c>
      <c r="H27" s="57">
        <f>+'S8.4 '!H39</f>
        <v>-1584</v>
      </c>
      <c r="I27" s="57"/>
      <c r="J27" s="57">
        <f>+'S8.4 '!J39</f>
        <v>-72</v>
      </c>
      <c r="K27" s="57">
        <f>+'S8.4 '!K39</f>
        <v>-100</v>
      </c>
      <c r="L27" s="57"/>
      <c r="M27" s="57">
        <f>+'S8.4 '!M39</f>
        <v>-208</v>
      </c>
      <c r="N27" s="57">
        <f>+'S8.4 '!N39</f>
        <v>-100</v>
      </c>
      <c r="O27" s="57"/>
      <c r="P27" s="57">
        <f>+'S8.4 '!P39</f>
        <v>-100</v>
      </c>
      <c r="Q27" s="57"/>
      <c r="R27" s="57">
        <f>+'S8.4 '!R39</f>
        <v>-100</v>
      </c>
      <c r="S27" s="57"/>
    </row>
    <row r="28" spans="1:19" x14ac:dyDescent="0.2">
      <c r="A28" s="83">
        <f t="shared" si="0"/>
        <v>20</v>
      </c>
      <c r="C28" s="184" t="s">
        <v>258</v>
      </c>
      <c r="F28" s="57"/>
      <c r="G28" s="57">
        <f>+'S8.4 '!G38</f>
        <v>618</v>
      </c>
      <c r="H28" s="57">
        <f>+'S8.4 '!H38</f>
        <v>617.66666666666663</v>
      </c>
      <c r="I28" s="57"/>
      <c r="J28" s="57">
        <f>+'S8.4 '!J38</f>
        <v>618</v>
      </c>
      <c r="K28" s="57">
        <f>+'S8.4 '!K38</f>
        <v>617.66666666666663</v>
      </c>
      <c r="L28" s="57"/>
      <c r="M28" s="57">
        <f>+'S8.4 '!M38</f>
        <v>618</v>
      </c>
      <c r="N28" s="57">
        <f>+'S8.4 '!N38</f>
        <v>617.66666666666663</v>
      </c>
      <c r="O28" s="57"/>
      <c r="P28" s="57">
        <f>+'S8.4 '!P38</f>
        <v>111.5</v>
      </c>
      <c r="Q28" s="57"/>
      <c r="R28" s="57">
        <f>+'S8.4 '!R38</f>
        <v>111.5</v>
      </c>
      <c r="S28" s="57"/>
    </row>
    <row r="29" spans="1:19" x14ac:dyDescent="0.2">
      <c r="A29" s="83">
        <f t="shared" si="0"/>
        <v>21</v>
      </c>
      <c r="C29" s="292" t="s">
        <v>267</v>
      </c>
      <c r="F29" s="57"/>
      <c r="G29" s="57">
        <f>+'S8.8 '!G34</f>
        <v>386</v>
      </c>
      <c r="H29" s="57">
        <f>+'S8.8 '!H34</f>
        <v>417.25</v>
      </c>
      <c r="I29" s="57"/>
      <c r="J29" s="57">
        <f>+'S8.8 '!J34</f>
        <v>-113</v>
      </c>
      <c r="K29" s="57">
        <f>+'S8.8 '!K34</f>
        <v>193.25</v>
      </c>
      <c r="L29" s="57"/>
      <c r="M29" s="57">
        <f>+'S8.8 '!M34</f>
        <v>35.909999999999997</v>
      </c>
      <c r="N29" s="57">
        <f>+'S8.8 '!N34</f>
        <v>0</v>
      </c>
      <c r="O29" s="57"/>
      <c r="P29" s="57">
        <f>+'S8.8 '!P34</f>
        <v>586.04999999999995</v>
      </c>
      <c r="Q29" s="57"/>
      <c r="R29" s="57">
        <f>+'S8.8 '!R34</f>
        <v>0</v>
      </c>
      <c r="S29" s="57"/>
    </row>
    <row r="30" spans="1:19" x14ac:dyDescent="0.2">
      <c r="A30" s="83">
        <f t="shared" si="0"/>
        <v>22</v>
      </c>
      <c r="C30" s="292" t="s">
        <v>67</v>
      </c>
      <c r="F30" s="57"/>
      <c r="G30" s="57">
        <f>+'S8.8 '!G35</f>
        <v>0</v>
      </c>
      <c r="H30" s="57">
        <f>+'S8.8 '!H35</f>
        <v>0</v>
      </c>
      <c r="I30" s="57"/>
      <c r="J30" s="57">
        <f>+'S8.8 '!J35</f>
        <v>0</v>
      </c>
      <c r="K30" s="57">
        <f>+'S8.8 '!K35</f>
        <v>0</v>
      </c>
      <c r="L30" s="57"/>
      <c r="M30" s="57">
        <f>+'S8.8 '!M35</f>
        <v>0</v>
      </c>
      <c r="N30" s="57">
        <f>+'S8.8 '!N35</f>
        <v>0</v>
      </c>
      <c r="O30" s="57"/>
      <c r="P30" s="57">
        <f>+'S8.8 '!P35</f>
        <v>-312.5</v>
      </c>
      <c r="Q30" s="57"/>
      <c r="R30" s="57">
        <f>+'S8.8 '!R35</f>
        <v>-312.95999999999992</v>
      </c>
      <c r="S30" s="57"/>
    </row>
    <row r="31" spans="1:19" x14ac:dyDescent="0.2">
      <c r="A31" s="83">
        <f t="shared" si="0"/>
        <v>23</v>
      </c>
      <c r="C31" s="292" t="s">
        <v>456</v>
      </c>
      <c r="E31" s="83" t="s">
        <v>1003</v>
      </c>
      <c r="F31" s="57"/>
      <c r="G31" s="57">
        <f>+'S8.8 '!G43+'S8.8 '!G52+'S8.8 '!G68+'S8.8 '!G85+'S8.8 '!G93</f>
        <v>143</v>
      </c>
      <c r="H31" s="57">
        <f>+'S8.8 '!H43+'S8.8 '!H52+'S8.8 '!H68+'S8.8 '!H85+'S8.8 '!H93</f>
        <v>250</v>
      </c>
      <c r="I31" s="57"/>
      <c r="J31" s="57">
        <f>+'S8.8 '!J43+'S8.8 '!J52+'S8.8 '!J68+'S8.8 '!J85+'S8.8 '!J93</f>
        <v>0</v>
      </c>
      <c r="K31" s="57">
        <f>+'S8.8 '!K43+'S8.8 '!K52+'S8.8 '!K68+'S8.8 '!K85+'S8.8 '!K93</f>
        <v>16</v>
      </c>
      <c r="L31" s="57"/>
      <c r="M31" s="57">
        <f>+'S8.8 '!M43+'S8.8 '!M52+'S8.8 '!M68+'S8.8 '!M85+'S8.8 '!M93</f>
        <v>8</v>
      </c>
      <c r="N31" s="57">
        <f>+'S8.8 '!N43+'S8.8 '!N52+'S8.8 '!N68+'S8.8 '!N85+'S8.8 '!N93</f>
        <v>17</v>
      </c>
      <c r="O31" s="57"/>
      <c r="P31" s="57">
        <f>+'S8.8 '!P43+'S8.8 '!P52+'S8.8 '!P68+'S8.8 '!P85+'S8.8 '!P93</f>
        <v>300</v>
      </c>
      <c r="Q31" s="57"/>
      <c r="R31" s="57">
        <f>+'S8.8 '!R43+'S8.8 '!R52+'S8.8 '!R68+'S8.8 '!R85+'S8.8 '!R93</f>
        <v>300</v>
      </c>
      <c r="S31" s="57"/>
    </row>
    <row r="32" spans="1:19" x14ac:dyDescent="0.2">
      <c r="A32" s="83">
        <f t="shared" si="0"/>
        <v>24</v>
      </c>
      <c r="C32" s="292" t="s">
        <v>811</v>
      </c>
      <c r="E32" s="83" t="s">
        <v>1004</v>
      </c>
      <c r="F32" s="57"/>
      <c r="G32" s="57">
        <f>+'S8.8 '!G45+'S8.8 '!G53+'S8.8 '!G69+'S8.8 '!G86+'S8.8 '!G94</f>
        <v>-18</v>
      </c>
      <c r="H32" s="57">
        <f>+'S8.8 '!H45+'S8.8 '!H53+'S8.8 '!H69+'S8.8 '!H86+'S8.8 '!H94</f>
        <v>-18</v>
      </c>
      <c r="I32" s="57"/>
      <c r="J32" s="57">
        <f>+'S8.8 '!J45+'S8.8 '!J53+'S8.8 '!J69+'S8.8 '!J86+'S8.8 '!J94</f>
        <v>-18</v>
      </c>
      <c r="K32" s="57">
        <f>+'S8.8 '!K45+'S8.8 '!K53+'S8.8 '!K69+'S8.8 '!K86+'S8.8 '!K94</f>
        <v>-18</v>
      </c>
      <c r="L32" s="57"/>
      <c r="M32" s="57">
        <f>+'S8.8 '!M45+'S8.8 '!M53+'S8.8 '!M69+'S8.8 '!M86+'S8.8 '!M94</f>
        <v>-17</v>
      </c>
      <c r="N32" s="57">
        <f>+'S8.8 '!N45+'S8.8 '!N53+'S8.8 '!N69+'S8.8 '!N86+'S8.8 '!N94</f>
        <v>-17</v>
      </c>
      <c r="O32" s="57"/>
      <c r="P32" s="57">
        <f>+'S8.8 '!P45+'S8.8 '!P53+'S8.8 '!P69+'S8.8 '!P86+'S8.8 '!P94</f>
        <v>-396.5</v>
      </c>
      <c r="Q32" s="57"/>
      <c r="R32" s="57">
        <f>+'S8.8 '!R45+'S8.8 '!R53+'S8.8 '!R69+'S8.8 '!R86+'S8.8 '!R94</f>
        <v>-596.5</v>
      </c>
      <c r="S32" s="57"/>
    </row>
    <row r="33" spans="1:19" x14ac:dyDescent="0.2">
      <c r="A33" s="83">
        <f t="shared" si="0"/>
        <v>25</v>
      </c>
      <c r="C33" s="292" t="s">
        <v>308</v>
      </c>
      <c r="E33" s="83" t="s">
        <v>1023</v>
      </c>
      <c r="F33" s="57"/>
      <c r="G33" s="70">
        <f>S9.1!G36</f>
        <v>15358</v>
      </c>
      <c r="H33" s="70">
        <f>+S9.1!H36</f>
        <v>19259.127999999997</v>
      </c>
      <c r="I33" s="57"/>
      <c r="J33" s="70">
        <f>S9.1!J36</f>
        <v>16837</v>
      </c>
      <c r="K33" s="70">
        <f>+S9.1!K36</f>
        <v>19692.125</v>
      </c>
      <c r="L33" s="66"/>
      <c r="M33" s="70">
        <f>+S9.1!M36</f>
        <v>10694</v>
      </c>
      <c r="N33" s="70">
        <f>+S9.1!N36</f>
        <v>14484.100999999999</v>
      </c>
      <c r="O33" s="66"/>
      <c r="P33" s="70">
        <f>+S9.1!P36</f>
        <v>15047.788</v>
      </c>
      <c r="Q33" s="66"/>
      <c r="R33" s="70">
        <f>+S9.1!R36</f>
        <v>15318.183636000002</v>
      </c>
      <c r="S33" s="57"/>
    </row>
    <row r="34" spans="1:19" x14ac:dyDescent="0.2">
      <c r="A34" s="83">
        <f t="shared" si="0"/>
        <v>26</v>
      </c>
      <c r="C34" s="292" t="s">
        <v>158</v>
      </c>
      <c r="G34" s="252">
        <f>SUM(G21:G33)</f>
        <v>62801.1587</v>
      </c>
      <c r="H34" s="252">
        <f>SUM(H21:H33)</f>
        <v>60351.808103082913</v>
      </c>
      <c r="J34" s="252">
        <f>SUM(J21:J33)</f>
        <v>66499.519059999991</v>
      </c>
      <c r="K34" s="252">
        <f>SUM(K21:K33)</f>
        <v>65115.545915293267</v>
      </c>
      <c r="L34" s="252"/>
      <c r="M34" s="252">
        <f>SUM(M21:M33)</f>
        <v>59534.872480400001</v>
      </c>
      <c r="N34" s="252">
        <f>SUM(N21:N33)</f>
        <v>61059.80974241595</v>
      </c>
      <c r="O34" s="252"/>
      <c r="P34" s="252">
        <f>SUM(P21:P33)</f>
        <v>57554.859650770501</v>
      </c>
      <c r="Q34" s="252"/>
      <c r="R34" s="252">
        <f>SUM(R21:R33)</f>
        <v>60166.603894511398</v>
      </c>
    </row>
    <row r="35" spans="1:19" x14ac:dyDescent="0.2">
      <c r="A35" s="83">
        <f t="shared" si="0"/>
        <v>27</v>
      </c>
      <c r="C35" s="292" t="s">
        <v>151</v>
      </c>
      <c r="G35" s="177">
        <v>0.05</v>
      </c>
      <c r="H35" s="177">
        <v>0.05</v>
      </c>
      <c r="J35" s="177">
        <v>0.05</v>
      </c>
      <c r="K35" s="177">
        <v>0.05</v>
      </c>
      <c r="L35" s="193"/>
      <c r="M35" s="177">
        <v>0.05</v>
      </c>
      <c r="N35" s="177">
        <v>0.05</v>
      </c>
      <c r="O35" s="193"/>
      <c r="P35" s="177">
        <v>0.05</v>
      </c>
      <c r="Q35" s="193"/>
      <c r="R35" s="177">
        <v>0.05</v>
      </c>
    </row>
    <row r="36" spans="1:19" x14ac:dyDescent="0.2">
      <c r="A36" s="83">
        <f t="shared" si="0"/>
        <v>28</v>
      </c>
      <c r="C36" s="292" t="s">
        <v>179</v>
      </c>
      <c r="F36" s="281"/>
      <c r="G36" s="257">
        <f>G35*G34</f>
        <v>3140.0579350000003</v>
      </c>
      <c r="H36" s="257">
        <f>H35*H34</f>
        <v>3017.5904051541456</v>
      </c>
      <c r="I36" s="281"/>
      <c r="J36" s="257">
        <f>J35*J34</f>
        <v>3324.9759529999997</v>
      </c>
      <c r="K36" s="257">
        <f>K35*K34</f>
        <v>3255.7772957646634</v>
      </c>
      <c r="L36" s="257"/>
      <c r="M36" s="257">
        <f>M35*M34</f>
        <v>2976.7436240200004</v>
      </c>
      <c r="N36" s="257">
        <f>N35*N34</f>
        <v>3052.9904871207978</v>
      </c>
      <c r="O36" s="257"/>
      <c r="P36" s="257">
        <f>P35*P34</f>
        <v>2877.7429825385252</v>
      </c>
      <c r="Q36" s="257"/>
      <c r="R36" s="257">
        <f>R35*R34</f>
        <v>3008.33019472557</v>
      </c>
      <c r="S36" s="281"/>
    </row>
    <row r="37" spans="1:19" x14ac:dyDescent="0.2">
      <c r="A37" s="83">
        <f t="shared" si="0"/>
        <v>29</v>
      </c>
    </row>
    <row r="38" spans="1:19" x14ac:dyDescent="0.2">
      <c r="A38" s="83">
        <f t="shared" si="0"/>
        <v>30</v>
      </c>
      <c r="C38" s="292" t="s">
        <v>180</v>
      </c>
      <c r="F38" s="185"/>
      <c r="G38" s="185">
        <v>26</v>
      </c>
      <c r="H38" s="185">
        <v>26</v>
      </c>
      <c r="I38" s="185"/>
      <c r="J38" s="185">
        <f>H38</f>
        <v>26</v>
      </c>
      <c r="K38" s="185">
        <v>26</v>
      </c>
      <c r="L38" s="185"/>
      <c r="M38" s="185">
        <f>J38</f>
        <v>26</v>
      </c>
      <c r="N38" s="185">
        <v>26</v>
      </c>
      <c r="O38" s="185"/>
      <c r="P38" s="185">
        <f>M38</f>
        <v>26</v>
      </c>
      <c r="Q38" s="185"/>
      <c r="R38" s="185">
        <f>N38</f>
        <v>26</v>
      </c>
      <c r="S38" s="185"/>
    </row>
    <row r="39" spans="1:19" x14ac:dyDescent="0.2">
      <c r="A39" s="83">
        <f t="shared" si="0"/>
        <v>31</v>
      </c>
      <c r="C39" s="292" t="s">
        <v>177</v>
      </c>
      <c r="F39" s="178"/>
      <c r="G39" s="179">
        <v>56.593281923785369</v>
      </c>
      <c r="H39" s="179">
        <v>56.593281923785369</v>
      </c>
      <c r="I39" s="178"/>
      <c r="J39" s="179">
        <f>H39</f>
        <v>56.593281923785369</v>
      </c>
      <c r="K39" s="179">
        <v>56.593281923785369</v>
      </c>
      <c r="L39" s="185"/>
      <c r="M39" s="179">
        <f>J39</f>
        <v>56.593281923785369</v>
      </c>
      <c r="N39" s="179">
        <v>56.593281923785369</v>
      </c>
      <c r="O39" s="185"/>
      <c r="P39" s="179">
        <f>M39</f>
        <v>56.593281923785369</v>
      </c>
      <c r="Q39" s="185"/>
      <c r="R39" s="179">
        <f>N39</f>
        <v>56.593281923785369</v>
      </c>
      <c r="S39" s="178"/>
    </row>
    <row r="40" spans="1:19" x14ac:dyDescent="0.2">
      <c r="A40" s="83">
        <f t="shared" si="0"/>
        <v>32</v>
      </c>
      <c r="F40" s="186"/>
      <c r="G40" s="186">
        <f>G39-G38</f>
        <v>30.593281923785369</v>
      </c>
      <c r="H40" s="186">
        <f>H39-H38</f>
        <v>30.593281923785369</v>
      </c>
      <c r="I40" s="186"/>
      <c r="J40" s="186">
        <f>J39-J38</f>
        <v>30.593281923785369</v>
      </c>
      <c r="K40" s="186">
        <f>K39-K38</f>
        <v>30.593281923785369</v>
      </c>
      <c r="L40" s="186"/>
      <c r="M40" s="186">
        <f>M39-M38</f>
        <v>30.593281923785369</v>
      </c>
      <c r="N40" s="186">
        <f>N39-N38</f>
        <v>30.593281923785369</v>
      </c>
      <c r="O40" s="186"/>
      <c r="P40" s="186">
        <f>P39-P38</f>
        <v>30.593281923785369</v>
      </c>
      <c r="Q40" s="186"/>
      <c r="R40" s="186">
        <f>R39-R38</f>
        <v>30.593281923785369</v>
      </c>
      <c r="S40" s="186"/>
    </row>
    <row r="41" spans="1:19" x14ac:dyDescent="0.2">
      <c r="A41" s="83">
        <f t="shared" si="0"/>
        <v>33</v>
      </c>
    </row>
    <row r="42" spans="1:19" x14ac:dyDescent="0.2">
      <c r="A42" s="83">
        <f t="shared" si="0"/>
        <v>34</v>
      </c>
      <c r="C42" s="292" t="s">
        <v>178</v>
      </c>
      <c r="E42" s="83" t="s">
        <v>950</v>
      </c>
      <c r="G42" s="234">
        <f>G36*G40/365</f>
        <v>263.1908977054091</v>
      </c>
      <c r="H42" s="234">
        <f>H36*H40/365</f>
        <v>252.92601094627534</v>
      </c>
      <c r="J42" s="234">
        <f>J36*J40/365</f>
        <v>278.69021019160527</v>
      </c>
      <c r="K42" s="234">
        <f>K36*K40/365</f>
        <v>272.89017175448737</v>
      </c>
      <c r="L42" s="257"/>
      <c r="M42" s="234">
        <f>M36*M40/365</f>
        <v>249.50234768349159</v>
      </c>
      <c r="N42" s="234">
        <f>N36*N40/365</f>
        <v>255.89314707704492</v>
      </c>
      <c r="O42" s="257"/>
      <c r="P42" s="234">
        <f>P36*P40/365</f>
        <v>241.204390052044</v>
      </c>
      <c r="Q42" s="257"/>
      <c r="R42" s="234">
        <f>R36*R40/365</f>
        <v>252.14984593719316</v>
      </c>
    </row>
    <row r="43" spans="1:19" x14ac:dyDescent="0.2">
      <c r="A43" s="83">
        <f t="shared" si="0"/>
        <v>35</v>
      </c>
    </row>
    <row r="44" spans="1:19" ht="15.75" thickBot="1" x14ac:dyDescent="0.25">
      <c r="A44" s="83">
        <f t="shared" si="0"/>
        <v>36</v>
      </c>
      <c r="C44" s="292" t="s">
        <v>309</v>
      </c>
      <c r="E44" s="83" t="s">
        <v>440</v>
      </c>
      <c r="G44" s="187">
        <f>G18+G42</f>
        <v>149.46654872309793</v>
      </c>
      <c r="H44" s="187">
        <f>H18+H42</f>
        <v>152.32520654304926</v>
      </c>
      <c r="J44" s="187">
        <f>J18+J42</f>
        <v>162.18394932346737</v>
      </c>
      <c r="K44" s="187">
        <f>K18+K42</f>
        <v>164.89528832605723</v>
      </c>
      <c r="L44" s="257"/>
      <c r="M44" s="187">
        <f>M18+M42</f>
        <v>133.81594110891382</v>
      </c>
      <c r="N44" s="187">
        <f>N18+N42</f>
        <v>144.44362994599936</v>
      </c>
      <c r="O44" s="257"/>
      <c r="P44" s="187">
        <f>P18+P42</f>
        <v>135.66396952897318</v>
      </c>
      <c r="Q44" s="257"/>
      <c r="R44" s="187">
        <f>R18+R42</f>
        <v>141.12547588718496</v>
      </c>
    </row>
  </sheetData>
  <customSheetViews>
    <customSheetView guid="{275E5119-9E8C-43ED-ACD2-DF40CF10B219}" scale="70" fitToPage="1">
      <selection activeCell="M47" sqref="M47"/>
      <pageMargins left="0.5" right="0.47" top="0.55000000000000004" bottom="1" header="0.5" footer="0.5"/>
      <pageSetup scale="64" orientation="landscape" horizontalDpi="4294967292" verticalDpi="4294967292" r:id="rId1"/>
      <headerFooter alignWithMargins="0"/>
    </customSheetView>
    <customSheetView guid="{D346ECD1-ED60-4F74-8B02-572F89E41ACB}" scale="70" showPageBreaks="1" fitToPage="1" showRuler="0">
      <selection activeCell="M47" sqref="M47"/>
      <pageMargins left="0.5" right="0.47" top="0.55000000000000004" bottom="1" header="0.5" footer="0.5"/>
      <pageSetup scale="52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4" orientation="landscape" r:id="rId3"/>
  <headerFooter alignWithMargins="0">
    <oddHeader>&amp;RUndertaking 17 - Page 527, Lines 15-17, Attachment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pageSetUpPr fitToPage="1"/>
  </sheetPr>
  <dimension ref="A1:S27"/>
  <sheetViews>
    <sheetView view="pageBreakPreview" zoomScale="85" zoomScaleNormal="75" zoomScaleSheetLayoutView="85" workbookViewId="0">
      <selection activeCell="R13" sqref="R13"/>
    </sheetView>
  </sheetViews>
  <sheetFormatPr defaultRowHeight="15" x14ac:dyDescent="0.2"/>
  <cols>
    <col min="1" max="1" width="6.140625" style="326" bestFit="1" customWidth="1"/>
    <col min="2" max="2" width="2.28515625" style="326" customWidth="1"/>
    <col min="3" max="3" width="46.7109375" style="326" bestFit="1" customWidth="1"/>
    <col min="4" max="4" width="2.28515625" style="277" customWidth="1"/>
    <col min="5" max="5" width="12.140625" style="327" customWidth="1"/>
    <col min="6" max="6" width="2.28515625" style="326" customWidth="1"/>
    <col min="7" max="8" width="12.7109375" style="326" customWidth="1"/>
    <col min="9" max="9" width="2.28515625" style="326" customWidth="1"/>
    <col min="10" max="11" width="12.7109375" style="326" customWidth="1"/>
    <col min="12" max="12" width="2.28515625" style="326" customWidth="1"/>
    <col min="13" max="14" width="12.7109375" style="326" customWidth="1"/>
    <col min="15" max="15" width="2.28515625" style="326" customWidth="1"/>
    <col min="16" max="16" width="12.7109375" style="326" customWidth="1"/>
    <col min="17" max="17" width="2.28515625" style="326" customWidth="1"/>
    <col min="18" max="18" width="12.7109375" style="326" customWidth="1"/>
    <col min="19" max="19" width="2.28515625" style="326" customWidth="1"/>
    <col min="20" max="16384" width="9.140625" style="326"/>
  </cols>
  <sheetData>
    <row r="1" spans="1:19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48" t="s">
        <v>556</v>
      </c>
    </row>
    <row r="2" spans="1:19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8" t="s">
        <v>888</v>
      </c>
    </row>
    <row r="3" spans="1:19" ht="15.75" x14ac:dyDescent="0.25">
      <c r="A3" s="29" t="s">
        <v>143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9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9" ht="15.75" x14ac:dyDescent="0.25">
      <c r="F5" s="292"/>
      <c r="G5" s="292"/>
      <c r="H5" s="292"/>
      <c r="I5" s="292"/>
      <c r="J5" s="292"/>
      <c r="K5" s="292"/>
      <c r="L5" s="292"/>
      <c r="M5" s="239"/>
      <c r="N5" s="342"/>
      <c r="O5" s="239"/>
      <c r="P5" s="342"/>
      <c r="Q5" s="239"/>
      <c r="R5" s="342"/>
    </row>
    <row r="6" spans="1:19" ht="15.75" x14ac:dyDescent="0.25">
      <c r="A6" s="342" t="s">
        <v>19</v>
      </c>
      <c r="B6" s="539"/>
      <c r="E6" s="342" t="s">
        <v>20</v>
      </c>
      <c r="F6" s="292"/>
      <c r="G6" s="543" t="s">
        <v>11</v>
      </c>
      <c r="H6" s="164" t="s">
        <v>4</v>
      </c>
      <c r="I6" s="292"/>
      <c r="J6" s="543" t="s">
        <v>11</v>
      </c>
      <c r="K6" s="164" t="s">
        <v>4</v>
      </c>
      <c r="L6" s="155"/>
      <c r="M6" s="342" t="s">
        <v>11</v>
      </c>
      <c r="N6" s="164" t="s">
        <v>4</v>
      </c>
      <c r="O6" s="542"/>
      <c r="P6" s="607" t="s">
        <v>293</v>
      </c>
      <c r="Q6" s="607"/>
      <c r="R6" s="607"/>
    </row>
    <row r="7" spans="1:19" ht="15.75" x14ac:dyDescent="0.25">
      <c r="A7" s="341" t="s">
        <v>21</v>
      </c>
      <c r="B7" s="538"/>
      <c r="C7" s="276" t="s">
        <v>149</v>
      </c>
      <c r="D7" s="50"/>
      <c r="E7" s="341" t="s">
        <v>22</v>
      </c>
      <c r="F7" s="292"/>
      <c r="G7" s="315">
        <v>2013</v>
      </c>
      <c r="H7" s="315">
        <v>2013</v>
      </c>
      <c r="I7" s="324"/>
      <c r="J7" s="315">
        <v>2014</v>
      </c>
      <c r="K7" s="315">
        <v>2014</v>
      </c>
      <c r="L7" s="320"/>
      <c r="M7" s="318">
        <v>2015</v>
      </c>
      <c r="N7" s="318">
        <v>2015</v>
      </c>
      <c r="O7" s="320"/>
      <c r="P7" s="318">
        <v>2016</v>
      </c>
      <c r="Q7" s="320"/>
      <c r="R7" s="318">
        <v>2017</v>
      </c>
      <c r="S7" s="323"/>
    </row>
    <row r="8" spans="1:19" x14ac:dyDescent="0.2"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</row>
    <row r="9" spans="1:19" ht="15.75" x14ac:dyDescent="0.25">
      <c r="A9" s="316">
        <f>A8+1</f>
        <v>1</v>
      </c>
      <c r="B9" s="316"/>
      <c r="C9" s="263" t="s">
        <v>56</v>
      </c>
      <c r="D9" s="50"/>
      <c r="E9" s="34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</row>
    <row r="10" spans="1:19" ht="7.5" customHeight="1" x14ac:dyDescent="0.25">
      <c r="A10" s="316"/>
      <c r="B10" s="316"/>
      <c r="C10" s="263"/>
      <c r="D10" s="50"/>
      <c r="E10" s="34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</row>
    <row r="11" spans="1:19" x14ac:dyDescent="0.2">
      <c r="A11" s="316">
        <v>2</v>
      </c>
      <c r="B11" s="316"/>
      <c r="C11" s="326" t="s">
        <v>138</v>
      </c>
      <c r="F11" s="292"/>
      <c r="G11" s="57">
        <f>+H11</f>
        <v>54075</v>
      </c>
      <c r="H11" s="57">
        <v>54075</v>
      </c>
      <c r="I11" s="292"/>
      <c r="J11" s="57">
        <f>+G16</f>
        <v>56094</v>
      </c>
      <c r="K11" s="57">
        <f>+H16</f>
        <v>57851.142</v>
      </c>
      <c r="L11" s="57"/>
      <c r="M11" s="57">
        <f>+J16</f>
        <v>57091</v>
      </c>
      <c r="N11" s="57">
        <f>+K16</f>
        <v>62404.142</v>
      </c>
      <c r="O11" s="57"/>
      <c r="P11" s="57">
        <f>+M16</f>
        <v>58177.424079999997</v>
      </c>
      <c r="Q11" s="57"/>
      <c r="R11" s="57">
        <f>+P16</f>
        <v>59726.770966666663</v>
      </c>
    </row>
    <row r="12" spans="1:19" ht="7.5" customHeight="1" x14ac:dyDescent="0.2">
      <c r="A12" s="316"/>
      <c r="B12" s="316"/>
      <c r="E12" s="83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</row>
    <row r="13" spans="1:19" x14ac:dyDescent="0.2">
      <c r="A13" s="316">
        <v>3</v>
      </c>
      <c r="B13" s="316"/>
      <c r="C13" s="326" t="s">
        <v>513</v>
      </c>
      <c r="E13" s="83"/>
      <c r="F13" s="292"/>
      <c r="G13" s="57">
        <v>2153</v>
      </c>
      <c r="H13" s="57">
        <v>3918.1419999999998</v>
      </c>
      <c r="I13" s="292"/>
      <c r="J13" s="57">
        <v>1544</v>
      </c>
      <c r="K13" s="57">
        <v>4695</v>
      </c>
      <c r="L13" s="57"/>
      <c r="M13" s="57">
        <v>1169.27871</v>
      </c>
      <c r="N13" s="57">
        <v>4426</v>
      </c>
      <c r="O13" s="57"/>
      <c r="P13" s="57">
        <v>1804</v>
      </c>
      <c r="Q13" s="57"/>
      <c r="R13" s="57">
        <v>3159.8706999999999</v>
      </c>
    </row>
    <row r="14" spans="1:19" x14ac:dyDescent="0.2">
      <c r="A14" s="316">
        <v>4</v>
      </c>
      <c r="B14" s="316"/>
      <c r="C14" s="326" t="s">
        <v>139</v>
      </c>
      <c r="E14" s="83"/>
      <c r="F14" s="292"/>
      <c r="G14" s="70">
        <v>-134</v>
      </c>
      <c r="H14" s="70">
        <v>-142</v>
      </c>
      <c r="I14" s="292"/>
      <c r="J14" s="70">
        <v>-547</v>
      </c>
      <c r="K14" s="70">
        <v>-142</v>
      </c>
      <c r="L14" s="66"/>
      <c r="M14" s="70">
        <v>-82.85463</v>
      </c>
      <c r="N14" s="70">
        <v>-142</v>
      </c>
      <c r="O14" s="66"/>
      <c r="P14" s="70">
        <v>-254.65311333333332</v>
      </c>
      <c r="Q14" s="66"/>
      <c r="R14" s="70">
        <v>-254.65311333333332</v>
      </c>
    </row>
    <row r="15" spans="1:19" ht="7.5" customHeight="1" x14ac:dyDescent="0.2">
      <c r="A15" s="316"/>
      <c r="B15" s="316"/>
      <c r="E15" s="83"/>
      <c r="F15" s="292"/>
      <c r="G15" s="57"/>
      <c r="H15" s="57"/>
      <c r="I15" s="292"/>
      <c r="J15" s="57"/>
      <c r="K15" s="57"/>
      <c r="L15" s="57"/>
      <c r="M15" s="57"/>
      <c r="N15" s="57"/>
      <c r="O15" s="57"/>
      <c r="P15" s="57"/>
      <c r="Q15" s="57"/>
      <c r="R15" s="57"/>
    </row>
    <row r="16" spans="1:19" x14ac:dyDescent="0.2">
      <c r="A16" s="316">
        <v>5</v>
      </c>
      <c r="B16" s="316"/>
      <c r="C16" s="326" t="s">
        <v>140</v>
      </c>
      <c r="E16" s="83"/>
      <c r="F16" s="292"/>
      <c r="G16" s="57">
        <f>SUM(G11:G14)</f>
        <v>56094</v>
      </c>
      <c r="H16" s="57">
        <f>SUM(H11:H14)</f>
        <v>57851.142</v>
      </c>
      <c r="I16" s="292"/>
      <c r="J16" s="57">
        <f>SUM(J11:J14)</f>
        <v>57091</v>
      </c>
      <c r="K16" s="57">
        <f>SUM(K11:K14)</f>
        <v>62404.142</v>
      </c>
      <c r="L16" s="57"/>
      <c r="M16" s="57">
        <f>SUM(M11:M14)</f>
        <v>58177.424079999997</v>
      </c>
      <c r="N16" s="57">
        <f>SUM(N11:N14)</f>
        <v>66688.141999999993</v>
      </c>
      <c r="O16" s="57"/>
      <c r="P16" s="57">
        <f>SUM(P11:P14)</f>
        <v>59726.770966666663</v>
      </c>
      <c r="Q16" s="57"/>
      <c r="R16" s="57">
        <f>SUM(R11:R14)</f>
        <v>62631.988553333329</v>
      </c>
    </row>
    <row r="17" spans="1:18" ht="7.5" customHeight="1" x14ac:dyDescent="0.2">
      <c r="A17" s="316"/>
      <c r="B17" s="316"/>
      <c r="E17" s="83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</row>
    <row r="18" spans="1:18" ht="15.75" x14ac:dyDescent="0.25">
      <c r="A18" s="316">
        <v>6</v>
      </c>
      <c r="B18" s="316"/>
      <c r="C18" s="263" t="s">
        <v>55</v>
      </c>
      <c r="D18" s="50"/>
      <c r="E18" s="344"/>
      <c r="F18" s="292"/>
      <c r="G18" s="292"/>
      <c r="H18" s="292"/>
      <c r="I18" s="292"/>
      <c r="J18" s="292"/>
      <c r="K18" s="292"/>
      <c r="L18" s="292"/>
      <c r="M18" s="272"/>
      <c r="N18" s="292"/>
      <c r="O18" s="292"/>
      <c r="P18" s="292"/>
      <c r="Q18" s="292"/>
      <c r="R18" s="292"/>
    </row>
    <row r="19" spans="1:18" ht="7.5" customHeight="1" x14ac:dyDescent="0.2">
      <c r="A19" s="316"/>
      <c r="B19" s="316"/>
      <c r="E19" s="83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</row>
    <row r="20" spans="1:18" x14ac:dyDescent="0.2">
      <c r="A20" s="316">
        <v>7</v>
      </c>
      <c r="B20" s="316"/>
      <c r="C20" s="326" t="s">
        <v>271</v>
      </c>
      <c r="E20" s="83"/>
      <c r="F20" s="292"/>
      <c r="G20" s="57">
        <f>+H20</f>
        <v>19247</v>
      </c>
      <c r="H20" s="57">
        <v>19247</v>
      </c>
      <c r="I20" s="292"/>
      <c r="J20" s="57">
        <f>+G25</f>
        <v>20658</v>
      </c>
      <c r="K20" s="57">
        <f>+H25</f>
        <v>20548.847231799999</v>
      </c>
      <c r="L20" s="57"/>
      <c r="M20" s="57">
        <f>+J25</f>
        <v>21570</v>
      </c>
      <c r="N20" s="57">
        <f>+K25</f>
        <v>21964.153159599999</v>
      </c>
      <c r="O20" s="57"/>
      <c r="P20" s="57">
        <f>+M25</f>
        <v>22947.573349999999</v>
      </c>
      <c r="Q20" s="57"/>
      <c r="R20" s="57">
        <f>+P25</f>
        <v>24197.377632961332</v>
      </c>
    </row>
    <row r="21" spans="1:18" ht="7.5" customHeight="1" x14ac:dyDescent="0.2">
      <c r="A21" s="316"/>
      <c r="B21" s="316"/>
      <c r="C21" s="326" t="s">
        <v>13</v>
      </c>
      <c r="E21" s="83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</row>
    <row r="22" spans="1:18" x14ac:dyDescent="0.2">
      <c r="A22" s="316">
        <v>8</v>
      </c>
      <c r="B22" s="316"/>
      <c r="C22" s="326" t="s">
        <v>141</v>
      </c>
      <c r="E22" s="83" t="s">
        <v>281</v>
      </c>
      <c r="F22" s="292"/>
      <c r="G22" s="57">
        <v>1545</v>
      </c>
      <c r="H22" s="57">
        <v>1443.8472317999999</v>
      </c>
      <c r="I22" s="292"/>
      <c r="J22" s="57">
        <v>1459</v>
      </c>
      <c r="K22" s="57">
        <v>1557.3059278000001</v>
      </c>
      <c r="L22" s="57"/>
      <c r="M22" s="57">
        <v>1460.4279799999999</v>
      </c>
      <c r="N22" s="57">
        <v>1749.2004482</v>
      </c>
      <c r="O22" s="57"/>
      <c r="P22" s="57">
        <v>1504.4573962946663</v>
      </c>
      <c r="Q22" s="57"/>
      <c r="R22" s="57">
        <v>1570.3684804996662</v>
      </c>
    </row>
    <row r="23" spans="1:18" x14ac:dyDescent="0.2">
      <c r="A23" s="316">
        <v>9</v>
      </c>
      <c r="B23" s="316"/>
      <c r="C23" s="326" t="s">
        <v>139</v>
      </c>
      <c r="E23" s="83"/>
      <c r="F23" s="292"/>
      <c r="G23" s="70">
        <f>G14</f>
        <v>-134</v>
      </c>
      <c r="H23" s="70">
        <f>H14</f>
        <v>-142</v>
      </c>
      <c r="I23" s="292"/>
      <c r="J23" s="70">
        <f>J14</f>
        <v>-547</v>
      </c>
      <c r="K23" s="70">
        <f>K14</f>
        <v>-142</v>
      </c>
      <c r="L23" s="66"/>
      <c r="M23" s="70">
        <f>M14</f>
        <v>-82.85463</v>
      </c>
      <c r="N23" s="70">
        <f>N14</f>
        <v>-142</v>
      </c>
      <c r="O23" s="66"/>
      <c r="P23" s="70">
        <f>P14</f>
        <v>-254.65311333333332</v>
      </c>
      <c r="Q23" s="66"/>
      <c r="R23" s="70">
        <f>R14</f>
        <v>-254.65311333333332</v>
      </c>
    </row>
    <row r="24" spans="1:18" ht="7.5" customHeight="1" x14ac:dyDescent="0.2">
      <c r="A24" s="316"/>
      <c r="B24" s="316"/>
      <c r="E24" s="83"/>
      <c r="F24" s="292"/>
      <c r="G24" s="57"/>
      <c r="H24" s="57"/>
      <c r="I24" s="292"/>
      <c r="J24" s="57"/>
      <c r="K24" s="57"/>
      <c r="L24" s="57"/>
      <c r="M24" s="57"/>
      <c r="N24" s="57"/>
      <c r="O24" s="57"/>
      <c r="P24" s="57"/>
      <c r="Q24" s="57"/>
      <c r="R24" s="57"/>
    </row>
    <row r="25" spans="1:18" x14ac:dyDescent="0.2">
      <c r="A25" s="316">
        <v>10</v>
      </c>
      <c r="B25" s="316"/>
      <c r="C25" s="326" t="s">
        <v>272</v>
      </c>
      <c r="E25" s="83"/>
      <c r="F25" s="292"/>
      <c r="G25" s="57">
        <f>SUM(G20:G23)</f>
        <v>20658</v>
      </c>
      <c r="H25" s="57">
        <f>SUM(H20:H23)</f>
        <v>20548.847231799999</v>
      </c>
      <c r="I25" s="292"/>
      <c r="J25" s="57">
        <f>SUM(J20:J23)</f>
        <v>21570</v>
      </c>
      <c r="K25" s="57">
        <f>SUM(K20:K23)</f>
        <v>21964.153159599999</v>
      </c>
      <c r="L25" s="57"/>
      <c r="M25" s="57">
        <f>SUM(M20:M23)</f>
        <v>22947.573349999999</v>
      </c>
      <c r="N25" s="57">
        <f>SUM(N20:N23)</f>
        <v>23571.3536078</v>
      </c>
      <c r="O25" s="57"/>
      <c r="P25" s="57">
        <f>SUM(P20:P23)</f>
        <v>24197.377632961332</v>
      </c>
      <c r="Q25" s="57"/>
      <c r="R25" s="57">
        <f>SUM(R20:R23)</f>
        <v>25513.093000127665</v>
      </c>
    </row>
    <row r="26" spans="1:18" ht="7.5" customHeight="1" x14ac:dyDescent="0.2">
      <c r="A26" s="316"/>
      <c r="B26" s="316"/>
      <c r="E26" s="83"/>
      <c r="F26" s="292"/>
      <c r="G26" s="57"/>
      <c r="H26" s="57"/>
      <c r="I26" s="292"/>
      <c r="J26" s="57"/>
      <c r="K26" s="57"/>
      <c r="L26" s="57"/>
      <c r="M26" s="57"/>
      <c r="N26" s="57"/>
      <c r="O26" s="57"/>
      <c r="P26" s="57"/>
      <c r="Q26" s="57"/>
      <c r="R26" s="57"/>
    </row>
    <row r="27" spans="1:18" ht="15.75" x14ac:dyDescent="0.25">
      <c r="A27" s="316">
        <v>11</v>
      </c>
      <c r="B27" s="316"/>
      <c r="C27" s="263" t="s">
        <v>142</v>
      </c>
      <c r="D27" s="50"/>
      <c r="E27" s="83" t="s">
        <v>245</v>
      </c>
      <c r="F27" s="292"/>
      <c r="G27" s="347">
        <f>+G16-G25</f>
        <v>35436</v>
      </c>
      <c r="H27" s="347">
        <f>+H16-H25</f>
        <v>37302.294768200001</v>
      </c>
      <c r="I27" s="292"/>
      <c r="J27" s="347">
        <f>+J16-J25</f>
        <v>35521</v>
      </c>
      <c r="K27" s="347">
        <f>+K16-K25</f>
        <v>40439.988840400001</v>
      </c>
      <c r="L27" s="97"/>
      <c r="M27" s="347">
        <f>+M16-M25</f>
        <v>35229.850729999998</v>
      </c>
      <c r="N27" s="347">
        <f>+N16-N25</f>
        <v>43116.788392199989</v>
      </c>
      <c r="O27" s="97"/>
      <c r="P27" s="347">
        <f>+P16-P25</f>
        <v>35529.393333705331</v>
      </c>
      <c r="Q27" s="97"/>
      <c r="R27" s="347">
        <f>+R16-R25</f>
        <v>37118.895553205664</v>
      </c>
    </row>
  </sheetData>
  <customSheetViews>
    <customSheetView guid="{275E5119-9E8C-43ED-ACD2-DF40CF10B219}" scale="75">
      <selection activeCell="J23" sqref="J23"/>
      <pageMargins left="0.57999999999999996" right="0.56999999999999995" top="1" bottom="1" header="0.5" footer="0.5"/>
      <pageSetup scale="80" fitToHeight="2" orientation="landscape" r:id="rId1"/>
      <headerFooter alignWithMargins="0"/>
    </customSheetView>
    <customSheetView guid="{D346ECD1-ED60-4F74-8B02-572F89E41ACB}" scale="75" showPageBreaks="1" showRuler="0">
      <selection activeCell="J23" sqref="J23"/>
      <pageMargins left="0.57999999999999996" right="0.56999999999999995" top="1" bottom="1" header="0.5" footer="0.5"/>
      <pageSetup scale="80" fitToHeight="2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70" orientation="landscape" r:id="rId3"/>
  <headerFooter alignWithMargins="0">
    <oddHeader>&amp;RUndertaking 17 - Page 527, Lines 15-17, Attachment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:S44"/>
  <sheetViews>
    <sheetView view="pageBreakPreview" zoomScale="85" zoomScaleNormal="70" zoomScaleSheetLayoutView="85" workbookViewId="0">
      <selection activeCell="E36" sqref="E36"/>
    </sheetView>
  </sheetViews>
  <sheetFormatPr defaultRowHeight="15" x14ac:dyDescent="0.2"/>
  <cols>
    <col min="1" max="1" width="6.140625" style="327" bestFit="1" customWidth="1"/>
    <col min="2" max="2" width="2.28515625" style="327" customWidth="1"/>
    <col min="3" max="3" width="40" style="298" bestFit="1" customWidth="1"/>
    <col min="4" max="4" width="2.28515625" style="298" customWidth="1"/>
    <col min="5" max="5" width="12.5703125" style="298" bestFit="1" customWidth="1"/>
    <col min="6" max="6" width="2.28515625" style="298" customWidth="1"/>
    <col min="7" max="8" width="12.7109375" style="298" customWidth="1"/>
    <col min="9" max="9" width="2.28515625" style="298" customWidth="1"/>
    <col min="10" max="11" width="12.7109375" style="298" customWidth="1"/>
    <col min="12" max="12" width="2.28515625" style="298" customWidth="1"/>
    <col min="13" max="14" width="12.7109375" style="298" customWidth="1"/>
    <col min="15" max="15" width="2.28515625" style="298" customWidth="1"/>
    <col min="16" max="16" width="12.7109375" style="298" customWidth="1"/>
    <col min="17" max="17" width="2.28515625" style="298" customWidth="1"/>
    <col min="18" max="18" width="12.7109375" style="298" customWidth="1"/>
    <col min="19" max="19" width="2.28515625" style="298" customWidth="1"/>
    <col min="20" max="16384" width="9.140625" style="297"/>
  </cols>
  <sheetData>
    <row r="1" spans="1:19" s="51" customFormat="1" ht="15.75" x14ac:dyDescent="0.25">
      <c r="A1" s="29" t="s">
        <v>1006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48" t="s">
        <v>553</v>
      </c>
    </row>
    <row r="2" spans="1:19" s="51" customFormat="1" ht="15.75" x14ac:dyDescent="0.25">
      <c r="A2" s="29" t="s">
        <v>555</v>
      </c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48" t="s">
        <v>888</v>
      </c>
    </row>
    <row r="3" spans="1:19" s="302" customFormat="1" ht="15.75" x14ac:dyDescent="0.25">
      <c r="A3" s="611" t="s">
        <v>204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304"/>
    </row>
    <row r="4" spans="1:19" ht="15.75" x14ac:dyDescent="0.25">
      <c r="A4" s="612" t="s">
        <v>18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297"/>
    </row>
    <row r="5" spans="1:19" s="530" customFormat="1" ht="15.75" x14ac:dyDescent="0.25">
      <c r="A5" s="519"/>
      <c r="B5" s="546"/>
      <c r="C5" s="326"/>
      <c r="D5" s="326"/>
      <c r="E5" s="326"/>
      <c r="F5" s="304"/>
      <c r="G5" s="304"/>
      <c r="H5" s="304"/>
      <c r="I5" s="304"/>
      <c r="J5" s="304"/>
      <c r="K5" s="304"/>
      <c r="L5" s="304"/>
      <c r="M5" s="292"/>
      <c r="N5" s="519"/>
      <c r="O5" s="292"/>
      <c r="P5" s="519"/>
      <c r="Q5" s="292"/>
      <c r="R5" s="519"/>
      <c r="S5" s="304"/>
    </row>
    <row r="6" spans="1:19" s="530" customFormat="1" ht="15.75" x14ac:dyDescent="0.25">
      <c r="A6" s="519" t="s">
        <v>19</v>
      </c>
      <c r="B6" s="546"/>
      <c r="C6" s="326"/>
      <c r="D6" s="326"/>
      <c r="E6" s="519" t="s">
        <v>20</v>
      </c>
      <c r="F6" s="154"/>
      <c r="G6" s="539" t="s">
        <v>11</v>
      </c>
      <c r="H6" s="164" t="s">
        <v>4</v>
      </c>
      <c r="I6" s="154"/>
      <c r="J6" s="539" t="s">
        <v>11</v>
      </c>
      <c r="K6" s="164" t="s">
        <v>4</v>
      </c>
      <c r="L6" s="154"/>
      <c r="M6" s="519" t="s">
        <v>11</v>
      </c>
      <c r="N6" s="164" t="s">
        <v>4</v>
      </c>
      <c r="O6" s="542"/>
      <c r="P6" s="607" t="s">
        <v>293</v>
      </c>
      <c r="Q6" s="607"/>
      <c r="R6" s="607"/>
      <c r="S6" s="414"/>
    </row>
    <row r="7" spans="1:19" s="530" customFormat="1" ht="15.75" x14ac:dyDescent="0.25">
      <c r="A7" s="518" t="s">
        <v>21</v>
      </c>
      <c r="B7" s="545"/>
      <c r="C7" s="276" t="s">
        <v>149</v>
      </c>
      <c r="D7" s="50"/>
      <c r="E7" s="518" t="s">
        <v>22</v>
      </c>
      <c r="F7" s="326"/>
      <c r="G7" s="518">
        <v>2013</v>
      </c>
      <c r="H7" s="518">
        <v>2013</v>
      </c>
      <c r="I7" s="326"/>
      <c r="J7" s="518">
        <v>2014</v>
      </c>
      <c r="K7" s="518">
        <v>2014</v>
      </c>
      <c r="L7" s="326"/>
      <c r="M7" s="518">
        <v>2015</v>
      </c>
      <c r="N7" s="518">
        <v>2015</v>
      </c>
      <c r="O7" s="240"/>
      <c r="P7" s="518">
        <v>2016</v>
      </c>
      <c r="Q7" s="240"/>
      <c r="R7" s="518">
        <v>2017</v>
      </c>
      <c r="S7" s="414"/>
    </row>
    <row r="8" spans="1:19" s="530" customFormat="1" ht="15.75" x14ac:dyDescent="0.25">
      <c r="A8" s="519"/>
      <c r="B8" s="546"/>
      <c r="C8" s="326"/>
      <c r="D8" s="326"/>
      <c r="E8" s="326"/>
      <c r="F8" s="414"/>
      <c r="G8" s="414"/>
      <c r="H8" s="414"/>
      <c r="I8" s="414"/>
      <c r="J8" s="414"/>
      <c r="K8" s="414"/>
      <c r="L8" s="414"/>
      <c r="M8" s="263"/>
      <c r="N8" s="263"/>
      <c r="O8" s="263"/>
      <c r="P8" s="263"/>
      <c r="Q8" s="263"/>
      <c r="R8" s="263"/>
      <c r="S8" s="414"/>
    </row>
    <row r="9" spans="1:19" s="530" customFormat="1" x14ac:dyDescent="0.2">
      <c r="A9" s="327">
        <v>1</v>
      </c>
      <c r="B9" s="327"/>
      <c r="C9" s="326" t="s">
        <v>467</v>
      </c>
      <c r="D9" s="326"/>
      <c r="E9" s="326"/>
      <c r="F9" s="531"/>
      <c r="G9" s="211">
        <f>+H9</f>
        <v>2093.5720799999999</v>
      </c>
      <c r="H9" s="89">
        <v>2093.5720799999999</v>
      </c>
      <c r="I9" s="532"/>
      <c r="J9" s="89">
        <f>+G43</f>
        <v>3131</v>
      </c>
      <c r="K9" s="89">
        <f>+H43</f>
        <v>1560.5067059999999</v>
      </c>
      <c r="L9" s="531"/>
      <c r="M9" s="89">
        <f>+J43</f>
        <v>1119</v>
      </c>
      <c r="N9" s="89">
        <f>+K43</f>
        <v>960.50670600000001</v>
      </c>
      <c r="O9" s="531"/>
      <c r="P9" s="89">
        <f>+M43</f>
        <v>1561</v>
      </c>
      <c r="Q9" s="531"/>
      <c r="R9" s="89">
        <f>+P43</f>
        <v>2374.6566969883784</v>
      </c>
      <c r="S9" s="414"/>
    </row>
    <row r="10" spans="1:19" s="530" customFormat="1" x14ac:dyDescent="0.2">
      <c r="A10" s="327">
        <f>A9+1</f>
        <v>2</v>
      </c>
      <c r="B10" s="327"/>
      <c r="C10" s="326"/>
      <c r="D10" s="326"/>
      <c r="E10" s="326"/>
      <c r="F10" s="531"/>
      <c r="G10" s="531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294"/>
    </row>
    <row r="11" spans="1:19" s="530" customFormat="1" ht="15.75" x14ac:dyDescent="0.25">
      <c r="A11" s="327">
        <f t="shared" ref="A11:A43" si="0">A10+1</f>
        <v>3</v>
      </c>
      <c r="B11" s="327"/>
      <c r="C11" s="53" t="s">
        <v>212</v>
      </c>
      <c r="D11" s="326"/>
      <c r="E11" s="326"/>
      <c r="F11" s="531"/>
      <c r="G11" s="531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294"/>
    </row>
    <row r="12" spans="1:19" s="530" customFormat="1" x14ac:dyDescent="0.2">
      <c r="A12" s="327">
        <f t="shared" si="0"/>
        <v>4</v>
      </c>
      <c r="B12" s="327"/>
      <c r="C12" s="176" t="s">
        <v>213</v>
      </c>
      <c r="D12" s="326"/>
      <c r="E12" s="326"/>
      <c r="F12" s="531"/>
      <c r="G12" s="211">
        <v>5574</v>
      </c>
      <c r="H12" s="89">
        <v>5964.4699999999993</v>
      </c>
      <c r="I12" s="532"/>
      <c r="J12" s="89">
        <v>8599</v>
      </c>
      <c r="K12" s="89">
        <v>7386.5</v>
      </c>
      <c r="L12" s="532"/>
      <c r="M12" s="89">
        <v>3060</v>
      </c>
      <c r="N12" s="504">
        <v>2900</v>
      </c>
      <c r="O12" s="532"/>
      <c r="P12" s="89">
        <v>6630.1880000000001</v>
      </c>
      <c r="Q12" s="532"/>
      <c r="R12" s="89">
        <v>5315.8696360000013</v>
      </c>
      <c r="S12" s="294"/>
    </row>
    <row r="13" spans="1:19" s="530" customFormat="1" x14ac:dyDescent="0.2">
      <c r="A13" s="327">
        <f t="shared" si="0"/>
        <v>5</v>
      </c>
      <c r="B13" s="327"/>
      <c r="C13" s="326"/>
      <c r="D13" s="326"/>
      <c r="E13" s="326"/>
      <c r="F13" s="531"/>
      <c r="G13" s="92">
        <f>SUM(G12:G12)</f>
        <v>5574</v>
      </c>
      <c r="H13" s="92">
        <f>SUM(H12:H12)</f>
        <v>5964.4699999999993</v>
      </c>
      <c r="I13" s="532"/>
      <c r="J13" s="92">
        <f>SUM(J12:J12)</f>
        <v>8599</v>
      </c>
      <c r="K13" s="92">
        <f>SUM(K12:K12)</f>
        <v>7386.5</v>
      </c>
      <c r="L13" s="532"/>
      <c r="M13" s="92">
        <f>SUM(M12:M12)</f>
        <v>3060</v>
      </c>
      <c r="N13" s="92">
        <f>SUM(N12:N12)</f>
        <v>2900</v>
      </c>
      <c r="O13" s="532"/>
      <c r="P13" s="92">
        <f>SUM(P12:P12)</f>
        <v>6630.1880000000001</v>
      </c>
      <c r="Q13" s="532"/>
      <c r="R13" s="92">
        <f>SUM(R12:R12)</f>
        <v>5315.8696360000013</v>
      </c>
      <c r="S13" s="294"/>
    </row>
    <row r="14" spans="1:19" ht="15.75" x14ac:dyDescent="0.25">
      <c r="A14" s="327">
        <f t="shared" si="0"/>
        <v>6</v>
      </c>
      <c r="C14" s="558" t="s">
        <v>134</v>
      </c>
      <c r="D14" s="219"/>
      <c r="E14" s="219"/>
      <c r="F14" s="533"/>
      <c r="G14" s="533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296"/>
    </row>
    <row r="15" spans="1:19" x14ac:dyDescent="0.2">
      <c r="A15" s="327">
        <f t="shared" si="0"/>
        <v>7</v>
      </c>
      <c r="C15" s="369" t="s">
        <v>602</v>
      </c>
      <c r="D15" s="219"/>
      <c r="E15" s="74"/>
      <c r="F15" s="533"/>
      <c r="G15" s="211">
        <v>2350</v>
      </c>
      <c r="H15" s="89">
        <v>5033.4279999999999</v>
      </c>
      <c r="I15" s="534"/>
      <c r="J15" s="89">
        <v>1693</v>
      </c>
      <c r="K15" s="89">
        <v>5146.62</v>
      </c>
      <c r="L15" s="534"/>
      <c r="M15" s="89">
        <v>2098</v>
      </c>
      <c r="N15" s="89">
        <v>5300.44</v>
      </c>
      <c r="O15" s="534"/>
      <c r="P15" s="89">
        <v>2160</v>
      </c>
      <c r="Q15" s="534"/>
      <c r="R15" s="89">
        <v>3387.9300000000003</v>
      </c>
      <c r="S15" s="296"/>
    </row>
    <row r="16" spans="1:19" x14ac:dyDescent="0.2">
      <c r="A16" s="327">
        <f t="shared" si="0"/>
        <v>8</v>
      </c>
      <c r="C16" s="369" t="s">
        <v>603</v>
      </c>
      <c r="D16" s="219"/>
      <c r="E16" s="74"/>
      <c r="F16" s="533"/>
      <c r="G16" s="211">
        <v>4002</v>
      </c>
      <c r="H16" s="89">
        <v>4021</v>
      </c>
      <c r="I16" s="534"/>
      <c r="J16" s="89">
        <v>3980</v>
      </c>
      <c r="K16" s="89">
        <v>4456.5</v>
      </c>
      <c r="L16" s="534"/>
      <c r="M16" s="89">
        <v>3326</v>
      </c>
      <c r="N16" s="89">
        <v>3874.53</v>
      </c>
      <c r="O16" s="534"/>
      <c r="P16" s="89">
        <v>4346</v>
      </c>
      <c r="Q16" s="534"/>
      <c r="R16" s="89">
        <v>4177.9871000000003</v>
      </c>
      <c r="S16" s="296"/>
    </row>
    <row r="17" spans="1:19" x14ac:dyDescent="0.2">
      <c r="A17" s="327">
        <f t="shared" si="0"/>
        <v>9</v>
      </c>
      <c r="C17" s="369" t="s">
        <v>604</v>
      </c>
      <c r="D17" s="219"/>
      <c r="E17" s="74"/>
      <c r="F17" s="533"/>
      <c r="G17" s="211">
        <v>536</v>
      </c>
      <c r="H17" s="89">
        <v>420</v>
      </c>
      <c r="I17" s="534"/>
      <c r="J17" s="89">
        <v>322</v>
      </c>
      <c r="K17" s="89">
        <v>945</v>
      </c>
      <c r="L17" s="534"/>
      <c r="M17" s="89">
        <v>466</v>
      </c>
      <c r="N17" s="89">
        <v>813</v>
      </c>
      <c r="O17" s="534"/>
      <c r="P17" s="89">
        <v>585</v>
      </c>
      <c r="Q17" s="534"/>
      <c r="R17" s="89">
        <v>1131.865</v>
      </c>
      <c r="S17" s="296"/>
    </row>
    <row r="18" spans="1:19" x14ac:dyDescent="0.2">
      <c r="A18" s="327">
        <f t="shared" si="0"/>
        <v>10</v>
      </c>
      <c r="C18" s="369" t="s">
        <v>91</v>
      </c>
      <c r="D18" s="219"/>
      <c r="E18" s="74"/>
      <c r="F18" s="533"/>
      <c r="G18" s="211">
        <v>308</v>
      </c>
      <c r="H18" s="89">
        <v>600</v>
      </c>
      <c r="I18" s="534"/>
      <c r="J18" s="89">
        <v>166</v>
      </c>
      <c r="K18" s="89">
        <v>203.52500000000001</v>
      </c>
      <c r="L18" s="534"/>
      <c r="M18" s="89">
        <v>234</v>
      </c>
      <c r="N18" s="89">
        <v>206.596</v>
      </c>
      <c r="O18" s="534"/>
      <c r="P18" s="89">
        <v>200</v>
      </c>
      <c r="Q18" s="534"/>
      <c r="R18" s="89">
        <v>204.4</v>
      </c>
      <c r="S18" s="296"/>
    </row>
    <row r="19" spans="1:19" x14ac:dyDescent="0.2">
      <c r="A19" s="327">
        <f t="shared" si="0"/>
        <v>11</v>
      </c>
      <c r="C19" s="369" t="s">
        <v>605</v>
      </c>
      <c r="D19" s="219"/>
      <c r="E19" s="74"/>
      <c r="F19" s="533"/>
      <c r="G19" s="211">
        <v>0</v>
      </c>
      <c r="H19" s="89">
        <v>0</v>
      </c>
      <c r="I19" s="534"/>
      <c r="J19" s="89">
        <v>0</v>
      </c>
      <c r="K19" s="89">
        <v>0</v>
      </c>
      <c r="L19" s="534"/>
      <c r="M19" s="89">
        <v>0</v>
      </c>
      <c r="N19" s="89">
        <v>0</v>
      </c>
      <c r="O19" s="534"/>
      <c r="P19" s="89">
        <v>0</v>
      </c>
      <c r="Q19" s="534"/>
      <c r="R19" s="89">
        <v>0</v>
      </c>
      <c r="S19" s="296"/>
    </row>
    <row r="20" spans="1:19" x14ac:dyDescent="0.2">
      <c r="A20" s="327">
        <f t="shared" si="0"/>
        <v>12</v>
      </c>
      <c r="C20" s="369" t="s">
        <v>606</v>
      </c>
      <c r="D20" s="219"/>
      <c r="E20" s="74"/>
      <c r="F20" s="533"/>
      <c r="G20" s="211">
        <v>72</v>
      </c>
      <c r="H20" s="89">
        <v>10</v>
      </c>
      <c r="I20" s="534"/>
      <c r="J20" s="89">
        <v>75</v>
      </c>
      <c r="K20" s="89">
        <v>10</v>
      </c>
      <c r="L20" s="534"/>
      <c r="M20" s="89">
        <v>108</v>
      </c>
      <c r="N20" s="89">
        <v>10</v>
      </c>
      <c r="O20" s="534"/>
      <c r="P20" s="89">
        <v>368</v>
      </c>
      <c r="Q20" s="534"/>
      <c r="R20" s="89">
        <v>91.98</v>
      </c>
      <c r="S20" s="296"/>
    </row>
    <row r="21" spans="1:19" ht="15.75" x14ac:dyDescent="0.25">
      <c r="A21" s="327">
        <f t="shared" si="0"/>
        <v>13</v>
      </c>
      <c r="C21" s="251"/>
      <c r="D21" s="263"/>
      <c r="E21" s="263"/>
      <c r="F21" s="533"/>
      <c r="G21" s="92">
        <f>SUM(G15:G20)</f>
        <v>7268</v>
      </c>
      <c r="H21" s="92">
        <f>SUM(H15:H20)</f>
        <v>10084.428</v>
      </c>
      <c r="I21" s="534"/>
      <c r="J21" s="92">
        <f>SUM(J15:J20)</f>
        <v>6236</v>
      </c>
      <c r="K21" s="92">
        <f>SUM(K15:K20)</f>
        <v>10761.644999999999</v>
      </c>
      <c r="L21" s="534"/>
      <c r="M21" s="92">
        <f>SUM(M15:M20)</f>
        <v>6232</v>
      </c>
      <c r="N21" s="92">
        <f>SUM(N15:N20)</f>
        <v>10204.565999999999</v>
      </c>
      <c r="O21" s="534"/>
      <c r="P21" s="92">
        <f>SUM(P15:P20)</f>
        <v>7659</v>
      </c>
      <c r="Q21" s="534"/>
      <c r="R21" s="92">
        <f>SUM(R15:R20)</f>
        <v>8994.1620999999996</v>
      </c>
      <c r="S21" s="296"/>
    </row>
    <row r="22" spans="1:19" ht="15.75" x14ac:dyDescent="0.25">
      <c r="A22" s="327">
        <f t="shared" si="0"/>
        <v>14</v>
      </c>
      <c r="C22" s="251" t="s">
        <v>512</v>
      </c>
      <c r="D22" s="326"/>
      <c r="E22" s="326"/>
      <c r="F22" s="533"/>
      <c r="G22" s="533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296"/>
    </row>
    <row r="23" spans="1:19" x14ac:dyDescent="0.2">
      <c r="A23" s="327">
        <f t="shared" si="0"/>
        <v>15</v>
      </c>
      <c r="C23" s="369" t="s">
        <v>607</v>
      </c>
      <c r="D23" s="219"/>
      <c r="E23" s="74"/>
      <c r="F23" s="533"/>
      <c r="G23" s="211">
        <v>159</v>
      </c>
      <c r="H23" s="89">
        <v>117.33</v>
      </c>
      <c r="I23" s="534"/>
      <c r="J23" s="89">
        <v>142</v>
      </c>
      <c r="K23" s="89">
        <v>167.49</v>
      </c>
      <c r="L23" s="534"/>
      <c r="M23" s="89">
        <v>110</v>
      </c>
      <c r="N23" s="89">
        <v>114.645</v>
      </c>
      <c r="O23" s="534"/>
      <c r="P23" s="89">
        <v>149.25</v>
      </c>
      <c r="Q23" s="534"/>
      <c r="R23" s="89">
        <v>165.81950000000001</v>
      </c>
      <c r="S23" s="296"/>
    </row>
    <row r="24" spans="1:19" x14ac:dyDescent="0.2">
      <c r="A24" s="327">
        <f t="shared" si="0"/>
        <v>16</v>
      </c>
      <c r="C24" s="369" t="s">
        <v>125</v>
      </c>
      <c r="D24" s="219"/>
      <c r="E24" s="74"/>
      <c r="F24" s="533"/>
      <c r="G24" s="211">
        <v>0</v>
      </c>
      <c r="H24" s="89">
        <v>43.6</v>
      </c>
      <c r="I24" s="534"/>
      <c r="J24" s="89">
        <v>20</v>
      </c>
      <c r="K24" s="89">
        <v>41.73</v>
      </c>
      <c r="L24" s="534"/>
      <c r="M24" s="89">
        <v>3</v>
      </c>
      <c r="N24" s="89">
        <v>33.93</v>
      </c>
      <c r="O24" s="534"/>
      <c r="P24" s="89">
        <v>20</v>
      </c>
      <c r="Q24" s="534"/>
      <c r="R24" s="89">
        <v>20.440000000000001</v>
      </c>
      <c r="S24" s="296"/>
    </row>
    <row r="25" spans="1:19" x14ac:dyDescent="0.2">
      <c r="A25" s="327">
        <f t="shared" si="0"/>
        <v>17</v>
      </c>
      <c r="C25" s="369" t="s">
        <v>608</v>
      </c>
      <c r="D25" s="219"/>
      <c r="E25" s="74"/>
      <c r="F25" s="533"/>
      <c r="G25" s="211">
        <v>159</v>
      </c>
      <c r="H25" s="89">
        <v>5</v>
      </c>
      <c r="I25" s="534"/>
      <c r="J25" s="89">
        <v>243</v>
      </c>
      <c r="K25" s="89">
        <v>5</v>
      </c>
      <c r="L25" s="534"/>
      <c r="M25" s="89">
        <v>29</v>
      </c>
      <c r="N25" s="89">
        <v>5</v>
      </c>
      <c r="O25" s="534"/>
      <c r="P25" s="89">
        <v>8.1999999999999993</v>
      </c>
      <c r="Q25" s="534"/>
      <c r="R25" s="89">
        <v>42.106400000000001</v>
      </c>
      <c r="S25" s="535"/>
    </row>
    <row r="26" spans="1:19" x14ac:dyDescent="0.2">
      <c r="A26" s="327">
        <f t="shared" si="0"/>
        <v>18</v>
      </c>
      <c r="C26" s="369" t="s">
        <v>405</v>
      </c>
      <c r="D26" s="219"/>
      <c r="E26" s="74"/>
      <c r="F26" s="533"/>
      <c r="G26" s="211">
        <v>84</v>
      </c>
      <c r="H26" s="89">
        <v>700</v>
      </c>
      <c r="I26" s="534"/>
      <c r="J26" s="89">
        <v>41</v>
      </c>
      <c r="K26" s="89">
        <v>2.2000000000000002</v>
      </c>
      <c r="L26" s="534"/>
      <c r="M26" s="89">
        <v>0</v>
      </c>
      <c r="N26" s="89">
        <v>52.4</v>
      </c>
      <c r="O26" s="534"/>
      <c r="P26" s="89">
        <v>0</v>
      </c>
      <c r="Q26" s="534"/>
      <c r="R26" s="89">
        <v>0</v>
      </c>
      <c r="S26" s="535"/>
    </row>
    <row r="27" spans="1:19" x14ac:dyDescent="0.2">
      <c r="A27" s="327">
        <f t="shared" si="0"/>
        <v>19</v>
      </c>
      <c r="C27" s="369" t="s">
        <v>609</v>
      </c>
      <c r="D27" s="219"/>
      <c r="E27" s="74"/>
      <c r="F27" s="533"/>
      <c r="G27" s="89">
        <v>841</v>
      </c>
      <c r="H27" s="89">
        <v>650</v>
      </c>
      <c r="I27" s="534"/>
      <c r="J27" s="89">
        <v>0</v>
      </c>
      <c r="K27" s="89">
        <v>0</v>
      </c>
      <c r="L27" s="534"/>
      <c r="M27" s="89">
        <v>0</v>
      </c>
      <c r="N27" s="89">
        <v>0</v>
      </c>
      <c r="O27" s="534"/>
      <c r="P27" s="89">
        <v>0</v>
      </c>
      <c r="Q27" s="534"/>
      <c r="R27" s="89">
        <v>0</v>
      </c>
      <c r="S27" s="535"/>
    </row>
    <row r="28" spans="1:19" s="295" customFormat="1" x14ac:dyDescent="0.2">
      <c r="A28" s="83">
        <f t="shared" si="0"/>
        <v>20</v>
      </c>
      <c r="B28" s="83"/>
      <c r="C28" s="369" t="s">
        <v>601</v>
      </c>
      <c r="D28" s="372"/>
      <c r="E28" s="260"/>
      <c r="F28" s="534"/>
      <c r="G28" s="89">
        <v>75</v>
      </c>
      <c r="H28" s="89">
        <v>75</v>
      </c>
      <c r="I28" s="534"/>
      <c r="J28" s="89">
        <v>0</v>
      </c>
      <c r="K28" s="89">
        <v>0</v>
      </c>
      <c r="L28" s="534"/>
      <c r="M28" s="89">
        <v>0</v>
      </c>
      <c r="N28" s="89">
        <v>0</v>
      </c>
      <c r="O28" s="534"/>
      <c r="P28" s="89">
        <v>0</v>
      </c>
      <c r="Q28" s="534"/>
      <c r="R28" s="89">
        <v>0</v>
      </c>
      <c r="S28" s="296"/>
    </row>
    <row r="29" spans="1:19" x14ac:dyDescent="0.2">
      <c r="A29" s="327">
        <f>A28+1</f>
        <v>21</v>
      </c>
      <c r="C29" s="369" t="s">
        <v>610</v>
      </c>
      <c r="D29" s="219"/>
      <c r="E29" s="74"/>
      <c r="F29" s="533"/>
      <c r="G29" s="211">
        <v>34</v>
      </c>
      <c r="H29" s="89">
        <v>64.7</v>
      </c>
      <c r="I29" s="534"/>
      <c r="J29" s="89">
        <v>22</v>
      </c>
      <c r="K29" s="89">
        <v>11.25</v>
      </c>
      <c r="L29" s="534"/>
      <c r="M29" s="89">
        <v>143</v>
      </c>
      <c r="N29" s="89">
        <v>11.7</v>
      </c>
      <c r="O29" s="534"/>
      <c r="P29" s="89">
        <v>117</v>
      </c>
      <c r="Q29" s="534"/>
      <c r="R29" s="89">
        <v>161.476</v>
      </c>
      <c r="S29" s="296"/>
    </row>
    <row r="30" spans="1:19" x14ac:dyDescent="0.2">
      <c r="A30" s="327">
        <f t="shared" si="0"/>
        <v>22</v>
      </c>
      <c r="C30" s="369" t="s">
        <v>611</v>
      </c>
      <c r="D30" s="219"/>
      <c r="E30" s="74"/>
      <c r="F30" s="533"/>
      <c r="G30" s="211">
        <v>471</v>
      </c>
      <c r="H30" s="89">
        <v>424</v>
      </c>
      <c r="I30" s="534"/>
      <c r="J30" s="89">
        <v>858</v>
      </c>
      <c r="K30" s="89">
        <v>995</v>
      </c>
      <c r="L30" s="534"/>
      <c r="M30" s="89">
        <v>1076</v>
      </c>
      <c r="N30" s="89">
        <v>850</v>
      </c>
      <c r="O30" s="534"/>
      <c r="P30" s="89">
        <v>370</v>
      </c>
      <c r="Q30" s="534"/>
      <c r="R30" s="89">
        <v>316.82</v>
      </c>
      <c r="S30" s="296"/>
    </row>
    <row r="31" spans="1:19" x14ac:dyDescent="0.2">
      <c r="A31" s="327">
        <f t="shared" si="0"/>
        <v>23</v>
      </c>
      <c r="C31" s="369" t="s">
        <v>612</v>
      </c>
      <c r="D31" s="219"/>
      <c r="E31" s="74"/>
      <c r="F31" s="533"/>
      <c r="G31" s="211">
        <v>693</v>
      </c>
      <c r="H31" s="89">
        <v>1130.5999999999999</v>
      </c>
      <c r="I31" s="534"/>
      <c r="J31" s="89">
        <v>676</v>
      </c>
      <c r="K31" s="89">
        <v>321.31</v>
      </c>
      <c r="L31" s="534"/>
      <c r="M31" s="89">
        <v>41</v>
      </c>
      <c r="N31" s="89">
        <v>311.86</v>
      </c>
      <c r="O31" s="534"/>
      <c r="P31" s="89">
        <v>94.15</v>
      </c>
      <c r="Q31" s="534"/>
      <c r="R31" s="89">
        <v>301.49</v>
      </c>
      <c r="S31" s="296"/>
    </row>
    <row r="32" spans="1:19" x14ac:dyDescent="0.2">
      <c r="A32" s="327">
        <f t="shared" si="0"/>
        <v>24</v>
      </c>
      <c r="C32" s="292"/>
      <c r="D32" s="326"/>
      <c r="E32" s="327"/>
      <c r="F32" s="533"/>
      <c r="G32" s="92">
        <f>SUM(G23:G31)</f>
        <v>2516</v>
      </c>
      <c r="H32" s="92">
        <f>SUM(H23:H31)</f>
        <v>3210.23</v>
      </c>
      <c r="I32" s="534"/>
      <c r="J32" s="92">
        <f>SUM(J23:J31)</f>
        <v>2002</v>
      </c>
      <c r="K32" s="92">
        <f>SUM(K23:K31)</f>
        <v>1543.98</v>
      </c>
      <c r="L32" s="534"/>
      <c r="M32" s="92">
        <f>SUM(M23:M31)</f>
        <v>1402</v>
      </c>
      <c r="N32" s="92">
        <f>SUM(N23:N31)</f>
        <v>1379.5349999999999</v>
      </c>
      <c r="O32" s="534"/>
      <c r="P32" s="92">
        <f>SUM(P23:P31)</f>
        <v>758.6</v>
      </c>
      <c r="Q32" s="534"/>
      <c r="R32" s="92">
        <f>SUM(R23:R31)</f>
        <v>1008.1519000000001</v>
      </c>
      <c r="S32" s="296"/>
    </row>
    <row r="33" spans="1:19" x14ac:dyDescent="0.2">
      <c r="A33" s="327">
        <f t="shared" si="0"/>
        <v>25</v>
      </c>
      <c r="C33" s="326"/>
      <c r="D33" s="326"/>
      <c r="E33" s="327"/>
      <c r="F33" s="533"/>
      <c r="G33" s="533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296"/>
    </row>
    <row r="34" spans="1:19" x14ac:dyDescent="0.2">
      <c r="A34" s="327">
        <f t="shared" si="0"/>
        <v>26</v>
      </c>
      <c r="C34" s="326" t="s">
        <v>92</v>
      </c>
      <c r="D34" s="326"/>
      <c r="E34" s="327"/>
      <c r="F34" s="533"/>
      <c r="G34" s="89">
        <v>0</v>
      </c>
      <c r="H34" s="89">
        <v>0</v>
      </c>
      <c r="I34" s="89"/>
      <c r="J34" s="89">
        <v>0</v>
      </c>
      <c r="K34" s="89">
        <v>0</v>
      </c>
      <c r="L34" s="89"/>
      <c r="M34" s="89">
        <v>0</v>
      </c>
      <c r="N34" s="89">
        <v>0</v>
      </c>
      <c r="O34" s="89"/>
      <c r="P34" s="89">
        <v>0</v>
      </c>
      <c r="Q34" s="89"/>
      <c r="R34" s="89">
        <v>0</v>
      </c>
      <c r="S34" s="296"/>
    </row>
    <row r="35" spans="1:19" x14ac:dyDescent="0.2">
      <c r="A35" s="327">
        <f t="shared" si="0"/>
        <v>27</v>
      </c>
      <c r="C35" s="326"/>
      <c r="D35" s="326"/>
      <c r="E35" s="327"/>
      <c r="F35" s="533"/>
      <c r="G35" s="533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6" t="s">
        <v>13</v>
      </c>
    </row>
    <row r="36" spans="1:19" ht="15.75" x14ac:dyDescent="0.25">
      <c r="A36" s="327">
        <f t="shared" si="0"/>
        <v>28</v>
      </c>
      <c r="C36" s="263" t="s">
        <v>468</v>
      </c>
      <c r="D36" s="326"/>
      <c r="E36" s="83" t="s">
        <v>971</v>
      </c>
      <c r="F36" s="533"/>
      <c r="G36" s="89">
        <f>SUM(G21,G32,G34,G13)</f>
        <v>15358</v>
      </c>
      <c r="H36" s="89">
        <f>SUM(H21,H32,H34,H13)</f>
        <v>19259.127999999997</v>
      </c>
      <c r="I36" s="534"/>
      <c r="J36" s="89">
        <f>SUM(J21,J32,J34,J13)</f>
        <v>16837</v>
      </c>
      <c r="K36" s="89">
        <f>SUM(K21,K32,K34,K13)</f>
        <v>19692.125</v>
      </c>
      <c r="L36" s="534"/>
      <c r="M36" s="89">
        <f>SUM(M21,M32,M34,M13)</f>
        <v>10694</v>
      </c>
      <c r="N36" s="89">
        <f>SUM(N21,N32,N34,N13)</f>
        <v>14484.100999999999</v>
      </c>
      <c r="O36" s="534"/>
      <c r="P36" s="89">
        <f>SUM(P21,P32,P34,P13)</f>
        <v>15047.788</v>
      </c>
      <c r="Q36" s="534"/>
      <c r="R36" s="89">
        <f>SUM(R21,R32,R34,R13)</f>
        <v>15318.183636000002</v>
      </c>
      <c r="S36" s="296"/>
    </row>
    <row r="37" spans="1:19" x14ac:dyDescent="0.2">
      <c r="A37" s="327">
        <f t="shared" si="0"/>
        <v>29</v>
      </c>
      <c r="C37" s="326"/>
      <c r="D37" s="326"/>
      <c r="E37" s="327"/>
      <c r="F37" s="533"/>
      <c r="G37" s="89"/>
      <c r="H37" s="89"/>
      <c r="I37" s="534"/>
      <c r="J37" s="89"/>
      <c r="K37" s="89"/>
      <c r="L37" s="534"/>
      <c r="M37" s="89"/>
      <c r="N37" s="89"/>
      <c r="O37" s="534"/>
      <c r="P37" s="89"/>
      <c r="Q37" s="534"/>
      <c r="R37" s="89"/>
      <c r="S37" s="296"/>
    </row>
    <row r="38" spans="1:19" x14ac:dyDescent="0.2">
      <c r="A38" s="327">
        <f t="shared" si="0"/>
        <v>30</v>
      </c>
      <c r="C38" s="326" t="s">
        <v>852</v>
      </c>
      <c r="D38" s="326"/>
      <c r="E38" s="327"/>
      <c r="F38" s="533"/>
      <c r="G38" s="89"/>
      <c r="H38" s="89"/>
      <c r="I38" s="534"/>
      <c r="J38" s="89"/>
      <c r="K38" s="89"/>
      <c r="L38" s="534"/>
      <c r="M38" s="89"/>
      <c r="N38" s="89"/>
      <c r="O38" s="534"/>
      <c r="P38" s="89"/>
      <c r="Q38" s="534"/>
      <c r="R38" s="89"/>
      <c r="S38" s="296"/>
    </row>
    <row r="39" spans="1:19" x14ac:dyDescent="0.2">
      <c r="A39" s="327">
        <f t="shared" si="0"/>
        <v>31</v>
      </c>
      <c r="C39" s="326" t="s">
        <v>853</v>
      </c>
      <c r="D39" s="326"/>
      <c r="E39" s="327" t="s">
        <v>470</v>
      </c>
      <c r="F39" s="534"/>
      <c r="G39" s="91">
        <f>G43-G36-G9</f>
        <v>-14320.57208</v>
      </c>
      <c r="H39" s="91">
        <f>H43-H36-H9</f>
        <v>-19792.193373999995</v>
      </c>
      <c r="I39" s="580"/>
      <c r="J39" s="91">
        <f>J43-J36-J9</f>
        <v>-18849</v>
      </c>
      <c r="K39" s="91">
        <f>K43-K36-K9</f>
        <v>-20292.125</v>
      </c>
      <c r="L39" s="580"/>
      <c r="M39" s="91">
        <f>M43-M36-M9</f>
        <v>-10252</v>
      </c>
      <c r="N39" s="91">
        <f>N43-N36-N9</f>
        <v>-14484.100999999999</v>
      </c>
      <c r="O39" s="580"/>
      <c r="P39" s="91">
        <f>P43-P36-P9-P40</f>
        <v>-13872.131303011622</v>
      </c>
      <c r="Q39" s="580"/>
      <c r="R39" s="91">
        <f>R43-R36-R9</f>
        <v>-14907.008300190126</v>
      </c>
      <c r="S39" s="296"/>
    </row>
    <row r="40" spans="1:19" x14ac:dyDescent="0.2">
      <c r="A40" s="327">
        <f t="shared" si="0"/>
        <v>32</v>
      </c>
      <c r="C40" s="326" t="s">
        <v>854</v>
      </c>
      <c r="D40" s="326"/>
      <c r="E40" s="327" t="s">
        <v>951</v>
      </c>
      <c r="F40" s="537"/>
      <c r="G40" s="90">
        <v>0</v>
      </c>
      <c r="H40" s="90">
        <v>0</v>
      </c>
      <c r="I40" s="534"/>
      <c r="J40" s="90">
        <v>0</v>
      </c>
      <c r="K40" s="90">
        <v>0</v>
      </c>
      <c r="L40" s="534"/>
      <c r="M40" s="90">
        <v>0</v>
      </c>
      <c r="N40" s="90">
        <v>0</v>
      </c>
      <c r="O40" s="534"/>
      <c r="P40" s="90">
        <v>-362</v>
      </c>
      <c r="Q40" s="534"/>
      <c r="R40" s="90">
        <v>0</v>
      </c>
      <c r="S40" s="296"/>
    </row>
    <row r="41" spans="1:19" x14ac:dyDescent="0.2">
      <c r="A41" s="327">
        <f t="shared" si="0"/>
        <v>33</v>
      </c>
      <c r="C41" s="326"/>
      <c r="G41" s="91">
        <f>SUM(G39:G40)</f>
        <v>-14320.57208</v>
      </c>
      <c r="H41" s="91">
        <f>SUM(H39:H40)</f>
        <v>-19792.193373999995</v>
      </c>
      <c r="J41" s="91">
        <f>SUM(J39:J40)</f>
        <v>-18849</v>
      </c>
      <c r="K41" s="91">
        <f>SUM(K39:K40)</f>
        <v>-20292.125</v>
      </c>
      <c r="M41" s="91">
        <f>SUM(M39:M40)</f>
        <v>-10252</v>
      </c>
      <c r="N41" s="91">
        <f>SUM(N39:N40)</f>
        <v>-14484.100999999999</v>
      </c>
      <c r="P41" s="91">
        <f>SUM(P39:P40)</f>
        <v>-14234.131303011622</v>
      </c>
      <c r="Q41" s="537"/>
      <c r="R41" s="91">
        <f>SUM(R39:R40)</f>
        <v>-14907.008300190126</v>
      </c>
      <c r="S41" s="296"/>
    </row>
    <row r="42" spans="1:19" x14ac:dyDescent="0.2">
      <c r="A42" s="327">
        <f t="shared" si="0"/>
        <v>34</v>
      </c>
      <c r="C42" s="326"/>
      <c r="D42" s="326"/>
      <c r="E42" s="327"/>
      <c r="F42" s="537"/>
      <c r="G42" s="158"/>
      <c r="H42" s="158"/>
      <c r="I42" s="537"/>
      <c r="J42" s="158"/>
      <c r="K42" s="158"/>
      <c r="L42" s="537"/>
      <c r="M42" s="158"/>
      <c r="N42" s="158"/>
      <c r="O42" s="537"/>
      <c r="P42" s="158"/>
      <c r="Q42" s="537"/>
      <c r="R42" s="158"/>
      <c r="S42" s="296"/>
    </row>
    <row r="43" spans="1:19" ht="15.75" thickBot="1" x14ac:dyDescent="0.25">
      <c r="A43" s="327">
        <f t="shared" si="0"/>
        <v>35</v>
      </c>
      <c r="C43" s="326" t="s">
        <v>469</v>
      </c>
      <c r="D43" s="326"/>
      <c r="E43" s="327" t="s">
        <v>282</v>
      </c>
      <c r="F43" s="537"/>
      <c r="G43" s="159">
        <v>3131</v>
      </c>
      <c r="H43" s="159">
        <v>1560.5067059999999</v>
      </c>
      <c r="I43" s="537"/>
      <c r="J43" s="159">
        <v>1119</v>
      </c>
      <c r="K43" s="159">
        <v>960.50670600000001</v>
      </c>
      <c r="L43" s="537"/>
      <c r="M43" s="159">
        <v>1561</v>
      </c>
      <c r="N43" s="159">
        <v>960.50670600000001</v>
      </c>
      <c r="O43" s="537"/>
      <c r="P43" s="159">
        <v>2374.6566969883784</v>
      </c>
      <c r="Q43" s="537"/>
      <c r="R43" s="159">
        <v>2785.8320327982547</v>
      </c>
      <c r="S43" s="296"/>
    </row>
    <row r="44" spans="1:19" ht="15.75" thickTop="1" x14ac:dyDescent="0.2"/>
  </sheetData>
  <customSheetViews>
    <customSheetView guid="{275E5119-9E8C-43ED-ACD2-DF40CF10B219}" scale="75">
      <selection activeCell="L38" sqref="L38"/>
      <pageMargins left="0.66" right="0.41" top="0.74" bottom="1" header="0.5" footer="0.5"/>
      <pageSetup scale="70" orientation="landscape" horizontalDpi="4294967292" verticalDpi="4294967292" r:id="rId1"/>
      <headerFooter alignWithMargins="0">
        <oddFooter xml:space="preserve">&amp;C&amp;8
</oddFooter>
      </headerFooter>
    </customSheetView>
    <customSheetView guid="{D346ECD1-ED60-4F74-8B02-572F89E41ACB}" scale="75" showPageBreaks="1" showRuler="0">
      <selection activeCell="L38" sqref="L38"/>
      <pageMargins left="0.66" right="0.41" top="0.74" bottom="1" header="0.5" footer="0.5"/>
      <pageSetup scale="70" orientation="landscape" horizontalDpi="4294967292" verticalDpi="4294967292" r:id="rId2"/>
      <headerFooter alignWithMargins="0">
        <oddFooter xml:space="preserve">&amp;C&amp;8
</oddFooter>
      </headerFooter>
    </customSheetView>
  </customSheetViews>
  <mergeCells count="3">
    <mergeCell ref="A3:R3"/>
    <mergeCell ref="A4:R4"/>
    <mergeCell ref="P6:R6"/>
  </mergeCells>
  <phoneticPr fontId="10" type="noConversion"/>
  <printOptions horizontalCentered="1"/>
  <pageMargins left="0.5" right="0.5" top="0.75" bottom="0.75" header="0.25" footer="0.5"/>
  <pageSetup scale="70" orientation="landscape" r:id="rId3"/>
  <headerFooter alignWithMargins="0">
    <oddHeader>&amp;RUndertaking 17 - Page 527, Lines 15-17, Attachment</oddHeader>
    <oddFooter xml:space="preserve">&amp;C&amp;8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5"/>
  <sheetViews>
    <sheetView view="pageBreakPreview" topLeftCell="A221" zoomScale="85" zoomScaleNormal="70" zoomScaleSheetLayoutView="85" workbookViewId="0">
      <selection activeCell="G267" sqref="G267"/>
    </sheetView>
  </sheetViews>
  <sheetFormatPr defaultRowHeight="14.25" x14ac:dyDescent="0.2"/>
  <cols>
    <col min="1" max="1" width="5.140625" style="559" bestFit="1" customWidth="1"/>
    <col min="2" max="2" width="2.5703125" style="559" customWidth="1"/>
    <col min="3" max="3" width="63.28515625" style="559" customWidth="1"/>
    <col min="4" max="4" width="2.7109375" style="559" customWidth="1"/>
    <col min="5" max="5" width="22" style="559" bestFit="1" customWidth="1"/>
    <col min="6" max="6" width="2.42578125" style="559" customWidth="1"/>
    <col min="7" max="8" width="12.85546875" style="559" customWidth="1"/>
    <col min="9" max="9" width="2" style="559" customWidth="1"/>
    <col min="10" max="11" width="12.85546875" style="559" customWidth="1"/>
    <col min="12" max="12" width="2" style="559" customWidth="1"/>
    <col min="13" max="14" width="12.85546875" style="559" customWidth="1"/>
    <col min="15" max="15" width="2" style="559" customWidth="1"/>
    <col min="16" max="16" width="11.140625" style="559" customWidth="1"/>
    <col min="17" max="17" width="2" style="559" customWidth="1"/>
    <col min="18" max="18" width="11.140625" style="559" customWidth="1"/>
    <col min="19" max="19" width="2" style="559" customWidth="1"/>
    <col min="20" max="16384" width="9.140625" style="559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614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965</v>
      </c>
    </row>
    <row r="3" spans="1:19" ht="15.75" x14ac:dyDescent="0.25">
      <c r="A3" s="261" t="s">
        <v>1005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</row>
    <row r="5" spans="1:19" x14ac:dyDescent="0.2">
      <c r="G5" s="560"/>
      <c r="J5" s="560"/>
      <c r="M5" s="561"/>
    </row>
    <row r="6" spans="1:19" ht="15" x14ac:dyDescent="0.25">
      <c r="A6" s="562" t="s">
        <v>19</v>
      </c>
      <c r="B6" s="562"/>
      <c r="E6" s="416" t="s">
        <v>20</v>
      </c>
      <c r="G6" s="579" t="s">
        <v>11</v>
      </c>
      <c r="H6" s="579" t="s">
        <v>4</v>
      </c>
      <c r="I6" s="579"/>
      <c r="J6" s="579" t="s">
        <v>11</v>
      </c>
      <c r="K6" s="579" t="s">
        <v>4</v>
      </c>
      <c r="L6" s="579"/>
      <c r="M6" s="579" t="s">
        <v>11</v>
      </c>
      <c r="N6" s="579" t="s">
        <v>4</v>
      </c>
      <c r="O6" s="579"/>
      <c r="P6" s="613" t="s">
        <v>293</v>
      </c>
      <c r="Q6" s="613"/>
      <c r="R6" s="613"/>
    </row>
    <row r="7" spans="1:19" ht="15" x14ac:dyDescent="0.25">
      <c r="A7" s="563" t="s">
        <v>615</v>
      </c>
      <c r="B7" s="562"/>
      <c r="C7" s="564" t="s">
        <v>616</v>
      </c>
      <c r="D7" s="565"/>
      <c r="E7" s="428" t="s">
        <v>22</v>
      </c>
      <c r="F7" s="565"/>
      <c r="G7" s="578" t="s">
        <v>819</v>
      </c>
      <c r="H7" s="578" t="s">
        <v>819</v>
      </c>
      <c r="I7" s="566"/>
      <c r="J7" s="578" t="s">
        <v>818</v>
      </c>
      <c r="K7" s="578" t="s">
        <v>818</v>
      </c>
      <c r="L7" s="566"/>
      <c r="M7" s="578" t="s">
        <v>817</v>
      </c>
      <c r="N7" s="578" t="s">
        <v>817</v>
      </c>
      <c r="O7" s="566"/>
      <c r="P7" s="577" t="s">
        <v>815</v>
      </c>
      <c r="Q7" s="566"/>
      <c r="R7" s="577" t="s">
        <v>816</v>
      </c>
    </row>
    <row r="8" spans="1:19" ht="15" x14ac:dyDescent="0.25">
      <c r="A8" s="559">
        <v>1</v>
      </c>
      <c r="C8" s="565" t="s">
        <v>215</v>
      </c>
      <c r="D8" s="565"/>
      <c r="G8" s="561"/>
      <c r="H8" s="561"/>
      <c r="I8" s="561"/>
      <c r="J8" s="561"/>
      <c r="K8" s="561"/>
      <c r="L8" s="561"/>
      <c r="M8" s="561"/>
      <c r="N8" s="561"/>
      <c r="O8" s="561"/>
      <c r="P8" s="569"/>
      <c r="Q8" s="569"/>
      <c r="R8" s="569"/>
      <c r="S8" s="561"/>
    </row>
    <row r="9" spans="1:19" ht="15" x14ac:dyDescent="0.25">
      <c r="A9" s="559">
        <f>A8+1</f>
        <v>2</v>
      </c>
      <c r="C9" s="567" t="s">
        <v>755</v>
      </c>
      <c r="D9" s="567"/>
      <c r="E9" s="561"/>
      <c r="G9" s="568">
        <v>1409</v>
      </c>
      <c r="H9" s="568">
        <v>1798</v>
      </c>
      <c r="I9" s="575"/>
      <c r="J9" s="568">
        <v>426</v>
      </c>
      <c r="K9" s="568"/>
      <c r="L9" s="575"/>
      <c r="M9" s="568">
        <v>15</v>
      </c>
      <c r="N9" s="568"/>
      <c r="O9" s="575"/>
      <c r="P9" s="571">
        <v>0</v>
      </c>
      <c r="Q9" s="569"/>
      <c r="R9" s="571">
        <v>0</v>
      </c>
    </row>
    <row r="10" spans="1:19" ht="15" x14ac:dyDescent="0.25">
      <c r="A10" s="559">
        <f>A9+1</f>
        <v>3</v>
      </c>
      <c r="C10" s="567" t="s">
        <v>620</v>
      </c>
      <c r="D10" s="567"/>
      <c r="E10" s="561" t="s">
        <v>1017</v>
      </c>
      <c r="G10" s="568">
        <v>326</v>
      </c>
      <c r="H10" s="568">
        <v>300</v>
      </c>
      <c r="I10" s="575"/>
      <c r="J10" s="568">
        <v>2226</v>
      </c>
      <c r="K10" s="568">
        <v>1420</v>
      </c>
      <c r="L10" s="575"/>
      <c r="M10" s="568"/>
      <c r="N10" s="568"/>
      <c r="O10" s="575"/>
      <c r="P10" s="571">
        <v>0</v>
      </c>
      <c r="Q10" s="569"/>
      <c r="R10" s="571">
        <v>0</v>
      </c>
    </row>
    <row r="11" spans="1:19" ht="15" x14ac:dyDescent="0.25">
      <c r="A11" s="559">
        <f t="shared" ref="A11:A26" si="0">A10+1</f>
        <v>4</v>
      </c>
      <c r="C11" s="567" t="s">
        <v>759</v>
      </c>
      <c r="D11" s="567"/>
      <c r="E11" s="561"/>
      <c r="G11" s="568">
        <v>51</v>
      </c>
      <c r="H11" s="568">
        <v>35</v>
      </c>
      <c r="I11" s="575"/>
      <c r="J11" s="568"/>
      <c r="K11" s="568"/>
      <c r="L11" s="575"/>
      <c r="M11" s="568"/>
      <c r="N11" s="568"/>
      <c r="O11" s="575"/>
      <c r="P11" s="571">
        <v>0</v>
      </c>
      <c r="Q11" s="569"/>
      <c r="R11" s="571">
        <v>0</v>
      </c>
    </row>
    <row r="12" spans="1:19" ht="15" x14ac:dyDescent="0.25">
      <c r="A12" s="559">
        <f t="shared" si="0"/>
        <v>5</v>
      </c>
      <c r="C12" s="567" t="s">
        <v>623</v>
      </c>
      <c r="D12" s="567"/>
      <c r="E12" s="561"/>
      <c r="G12" s="568">
        <v>49</v>
      </c>
      <c r="H12" s="568">
        <v>0</v>
      </c>
      <c r="I12" s="575"/>
      <c r="J12" s="568"/>
      <c r="K12" s="568"/>
      <c r="L12" s="575"/>
      <c r="M12" s="568"/>
      <c r="N12" s="568"/>
      <c r="O12" s="575"/>
      <c r="P12" s="571">
        <v>0</v>
      </c>
      <c r="Q12" s="569"/>
      <c r="R12" s="571">
        <v>0</v>
      </c>
    </row>
    <row r="13" spans="1:19" ht="15" x14ac:dyDescent="0.25">
      <c r="A13" s="559">
        <f t="shared" si="0"/>
        <v>6</v>
      </c>
      <c r="C13" s="567" t="s">
        <v>761</v>
      </c>
      <c r="D13" s="567"/>
      <c r="E13" s="561"/>
      <c r="G13" s="568">
        <v>45</v>
      </c>
      <c r="H13" s="568">
        <v>20</v>
      </c>
      <c r="I13" s="575"/>
      <c r="J13" s="568"/>
      <c r="K13" s="568"/>
      <c r="L13" s="575"/>
      <c r="M13" s="568"/>
      <c r="N13" s="568"/>
      <c r="O13" s="575"/>
      <c r="P13" s="571">
        <v>0</v>
      </c>
      <c r="Q13" s="569"/>
      <c r="R13" s="571">
        <v>0</v>
      </c>
    </row>
    <row r="14" spans="1:19" ht="15" x14ac:dyDescent="0.25">
      <c r="A14" s="559">
        <f t="shared" si="0"/>
        <v>7</v>
      </c>
      <c r="C14" s="567" t="s">
        <v>762</v>
      </c>
      <c r="D14" s="567"/>
      <c r="E14" s="561"/>
      <c r="G14" s="568">
        <v>44</v>
      </c>
      <c r="H14" s="568">
        <v>50</v>
      </c>
      <c r="I14" s="575"/>
      <c r="J14" s="568"/>
      <c r="K14" s="568"/>
      <c r="L14" s="575"/>
      <c r="M14" s="568"/>
      <c r="N14" s="568"/>
      <c r="O14" s="575"/>
      <c r="P14" s="571">
        <v>0</v>
      </c>
      <c r="Q14" s="569"/>
      <c r="R14" s="571">
        <v>0</v>
      </c>
    </row>
    <row r="15" spans="1:19" ht="15" x14ac:dyDescent="0.25">
      <c r="A15" s="559">
        <f t="shared" si="0"/>
        <v>8</v>
      </c>
      <c r="C15" s="567" t="s">
        <v>763</v>
      </c>
      <c r="D15" s="567"/>
      <c r="E15" s="561"/>
      <c r="G15" s="568">
        <v>43</v>
      </c>
      <c r="H15" s="568">
        <v>40</v>
      </c>
      <c r="I15" s="575"/>
      <c r="J15" s="568"/>
      <c r="K15" s="568"/>
      <c r="L15" s="575"/>
      <c r="M15" s="568"/>
      <c r="N15" s="568"/>
      <c r="O15" s="575"/>
      <c r="P15" s="571">
        <v>0</v>
      </c>
      <c r="Q15" s="569"/>
      <c r="R15" s="571">
        <v>0</v>
      </c>
    </row>
    <row r="16" spans="1:19" ht="15" x14ac:dyDescent="0.25">
      <c r="A16" s="559">
        <f t="shared" si="0"/>
        <v>9</v>
      </c>
      <c r="C16" s="567" t="s">
        <v>773</v>
      </c>
      <c r="D16" s="567"/>
      <c r="E16" s="561" t="s">
        <v>976</v>
      </c>
      <c r="G16" s="568">
        <v>22</v>
      </c>
      <c r="H16" s="568">
        <v>20</v>
      </c>
      <c r="I16" s="575"/>
      <c r="J16" s="568"/>
      <c r="K16" s="568">
        <v>100</v>
      </c>
      <c r="L16" s="575"/>
      <c r="M16" s="568"/>
      <c r="N16" s="568"/>
      <c r="O16" s="575"/>
      <c r="P16" s="571">
        <v>0</v>
      </c>
      <c r="Q16" s="569"/>
      <c r="R16" s="571">
        <v>413</v>
      </c>
    </row>
    <row r="17" spans="1:18" ht="15" x14ac:dyDescent="0.25">
      <c r="A17" s="559">
        <f t="shared" si="0"/>
        <v>10</v>
      </c>
      <c r="C17" s="567" t="s">
        <v>764</v>
      </c>
      <c r="D17" s="567"/>
      <c r="E17" s="561"/>
      <c r="G17" s="568">
        <v>20</v>
      </c>
      <c r="H17" s="568">
        <v>20</v>
      </c>
      <c r="I17" s="575"/>
      <c r="J17" s="568"/>
      <c r="K17" s="568"/>
      <c r="L17" s="575"/>
      <c r="M17" s="568"/>
      <c r="N17" s="568"/>
      <c r="O17" s="575"/>
      <c r="P17" s="571">
        <v>0</v>
      </c>
      <c r="Q17" s="569"/>
      <c r="R17" s="571">
        <v>0</v>
      </c>
    </row>
    <row r="18" spans="1:18" ht="15" x14ac:dyDescent="0.25">
      <c r="A18" s="559">
        <f t="shared" si="0"/>
        <v>11</v>
      </c>
      <c r="C18" s="567" t="s">
        <v>765</v>
      </c>
      <c r="D18" s="567"/>
      <c r="E18" s="561"/>
      <c r="G18" s="568">
        <v>19</v>
      </c>
      <c r="H18" s="568">
        <v>20</v>
      </c>
      <c r="I18" s="575"/>
      <c r="J18" s="568"/>
      <c r="K18" s="568"/>
      <c r="L18" s="575"/>
      <c r="M18" s="568"/>
      <c r="N18" s="568"/>
      <c r="O18" s="575"/>
      <c r="P18" s="571">
        <v>0</v>
      </c>
      <c r="Q18" s="569"/>
      <c r="R18" s="571">
        <v>0</v>
      </c>
    </row>
    <row r="19" spans="1:18" ht="15" x14ac:dyDescent="0.25">
      <c r="A19" s="559">
        <f t="shared" si="0"/>
        <v>12</v>
      </c>
      <c r="C19" s="567" t="s">
        <v>706</v>
      </c>
      <c r="D19" s="567"/>
      <c r="E19" s="561" t="s">
        <v>881</v>
      </c>
      <c r="G19" s="561">
        <v>16</v>
      </c>
      <c r="H19" s="561">
        <v>0</v>
      </c>
      <c r="I19" s="575"/>
      <c r="J19" s="561">
        <v>51</v>
      </c>
      <c r="K19" s="561">
        <v>1640</v>
      </c>
      <c r="L19" s="575"/>
      <c r="M19" s="561">
        <v>67</v>
      </c>
      <c r="N19" s="561"/>
      <c r="O19" s="575"/>
      <c r="P19" s="571">
        <v>2915</v>
      </c>
      <c r="Q19" s="569"/>
      <c r="R19" s="571">
        <v>0</v>
      </c>
    </row>
    <row r="20" spans="1:18" ht="15" x14ac:dyDescent="0.25">
      <c r="A20" s="559">
        <f t="shared" si="0"/>
        <v>13</v>
      </c>
      <c r="C20" s="567" t="s">
        <v>774</v>
      </c>
      <c r="D20" s="567"/>
      <c r="E20" s="561"/>
      <c r="G20" s="561"/>
      <c r="H20" s="561"/>
      <c r="I20" s="575"/>
      <c r="J20" s="561"/>
      <c r="K20" s="561">
        <v>30</v>
      </c>
      <c r="L20" s="575"/>
      <c r="M20" s="561"/>
      <c r="N20" s="561"/>
      <c r="O20" s="575"/>
      <c r="P20" s="571">
        <v>0</v>
      </c>
      <c r="Q20" s="569"/>
      <c r="R20" s="571">
        <v>0</v>
      </c>
    </row>
    <row r="21" spans="1:18" ht="15" x14ac:dyDescent="0.25">
      <c r="A21" s="559">
        <f t="shared" si="0"/>
        <v>14</v>
      </c>
      <c r="C21" s="567" t="s">
        <v>629</v>
      </c>
      <c r="D21" s="567"/>
      <c r="E21" s="561"/>
      <c r="G21" s="561"/>
      <c r="H21" s="561"/>
      <c r="I21" s="575"/>
      <c r="J21" s="561"/>
      <c r="K21" s="561"/>
      <c r="L21" s="575"/>
      <c r="M21" s="561">
        <v>21</v>
      </c>
      <c r="N21" s="561"/>
      <c r="O21" s="575"/>
      <c r="P21" s="571">
        <v>0</v>
      </c>
      <c r="Q21" s="569"/>
      <c r="R21" s="571">
        <v>0</v>
      </c>
    </row>
    <row r="22" spans="1:18" ht="15" x14ac:dyDescent="0.25">
      <c r="A22" s="559">
        <f t="shared" si="0"/>
        <v>15</v>
      </c>
      <c r="C22" s="567" t="s">
        <v>715</v>
      </c>
      <c r="D22" s="567"/>
      <c r="E22" s="561" t="s">
        <v>972</v>
      </c>
      <c r="G22" s="561"/>
      <c r="H22" s="561"/>
      <c r="I22" s="575"/>
      <c r="J22" s="561"/>
      <c r="K22" s="561"/>
      <c r="L22" s="575"/>
      <c r="M22" s="561"/>
      <c r="N22" s="561"/>
      <c r="O22" s="575"/>
      <c r="P22" s="571">
        <v>100</v>
      </c>
      <c r="Q22" s="569"/>
      <c r="R22" s="571">
        <v>0</v>
      </c>
    </row>
    <row r="23" spans="1:18" ht="15" x14ac:dyDescent="0.25">
      <c r="A23" s="559">
        <f t="shared" si="0"/>
        <v>16</v>
      </c>
      <c r="C23" s="567" t="s">
        <v>711</v>
      </c>
      <c r="D23" s="567"/>
      <c r="E23" s="561"/>
      <c r="G23" s="561"/>
      <c r="H23" s="561"/>
      <c r="I23" s="575"/>
      <c r="J23" s="561"/>
      <c r="K23" s="561"/>
      <c r="L23" s="575"/>
      <c r="M23" s="561"/>
      <c r="N23" s="561"/>
      <c r="O23" s="575"/>
      <c r="P23" s="571">
        <v>25</v>
      </c>
      <c r="Q23" s="569"/>
      <c r="R23" s="571">
        <v>26</v>
      </c>
    </row>
    <row r="24" spans="1:18" ht="15" x14ac:dyDescent="0.25">
      <c r="A24" s="559">
        <f t="shared" si="0"/>
        <v>17</v>
      </c>
      <c r="C24" s="567" t="s">
        <v>820</v>
      </c>
      <c r="D24" s="567"/>
      <c r="E24" s="561" t="s">
        <v>956</v>
      </c>
      <c r="G24" s="561">
        <v>30</v>
      </c>
      <c r="H24" s="561">
        <v>30</v>
      </c>
      <c r="I24" s="575"/>
      <c r="J24" s="561"/>
      <c r="K24" s="561"/>
      <c r="L24" s="575"/>
      <c r="M24" s="561"/>
      <c r="N24" s="561"/>
      <c r="O24" s="575"/>
      <c r="P24" s="571">
        <v>20</v>
      </c>
      <c r="Q24" s="569"/>
      <c r="R24" s="571">
        <v>593</v>
      </c>
    </row>
    <row r="25" spans="1:18" ht="15" x14ac:dyDescent="0.25">
      <c r="A25" s="559">
        <f t="shared" si="0"/>
        <v>18</v>
      </c>
      <c r="C25" s="567" t="s">
        <v>860</v>
      </c>
      <c r="D25" s="567"/>
      <c r="E25" s="561"/>
      <c r="G25" s="561"/>
      <c r="H25" s="561"/>
      <c r="I25" s="575"/>
      <c r="J25" s="561"/>
      <c r="K25" s="561"/>
      <c r="L25" s="575"/>
      <c r="M25" s="561"/>
      <c r="N25" s="561"/>
      <c r="O25" s="575"/>
      <c r="P25" s="571">
        <v>40</v>
      </c>
      <c r="Q25" s="569"/>
      <c r="R25" s="571">
        <v>0</v>
      </c>
    </row>
    <row r="26" spans="1:18" ht="15" x14ac:dyDescent="0.25">
      <c r="A26" s="559">
        <f t="shared" si="0"/>
        <v>19</v>
      </c>
      <c r="C26" s="567" t="s">
        <v>787</v>
      </c>
      <c r="D26" s="567"/>
      <c r="E26" s="561"/>
      <c r="G26" s="561"/>
      <c r="H26" s="561"/>
      <c r="I26" s="575"/>
      <c r="J26" s="561"/>
      <c r="K26" s="561"/>
      <c r="L26" s="575"/>
      <c r="M26" s="561"/>
      <c r="N26" s="561"/>
      <c r="O26" s="575"/>
      <c r="P26" s="571">
        <v>0</v>
      </c>
      <c r="Q26" s="569"/>
      <c r="R26" s="571">
        <v>31</v>
      </c>
    </row>
    <row r="27" spans="1:18" ht="15" x14ac:dyDescent="0.25">
      <c r="C27" s="567"/>
      <c r="D27" s="567"/>
      <c r="E27" s="561"/>
      <c r="G27" s="561"/>
      <c r="H27" s="561"/>
      <c r="I27" s="575"/>
      <c r="J27" s="561"/>
      <c r="K27" s="561"/>
      <c r="L27" s="575"/>
      <c r="M27" s="561"/>
      <c r="N27" s="561"/>
      <c r="O27" s="575"/>
      <c r="P27" s="571"/>
      <c r="Q27" s="569"/>
      <c r="R27" s="571"/>
    </row>
    <row r="28" spans="1:18" ht="15" x14ac:dyDescent="0.25">
      <c r="A28" s="559">
        <f>A26+1</f>
        <v>20</v>
      </c>
      <c r="C28" s="567" t="s">
        <v>756</v>
      </c>
      <c r="D28" s="567"/>
      <c r="E28" s="561"/>
      <c r="G28" s="568">
        <v>979</v>
      </c>
      <c r="H28" s="568">
        <v>1120</v>
      </c>
      <c r="I28" s="575"/>
      <c r="J28" s="568">
        <v>28</v>
      </c>
      <c r="K28" s="568"/>
      <c r="L28" s="575"/>
      <c r="M28" s="568"/>
      <c r="N28" s="568"/>
      <c r="O28" s="575"/>
      <c r="P28" s="571">
        <v>0</v>
      </c>
      <c r="Q28" s="569"/>
      <c r="R28" s="571">
        <v>0</v>
      </c>
    </row>
    <row r="29" spans="1:18" ht="15" x14ac:dyDescent="0.25">
      <c r="A29" s="559">
        <f>A28+1</f>
        <v>21</v>
      </c>
      <c r="C29" s="567" t="s">
        <v>758</v>
      </c>
      <c r="D29" s="567"/>
      <c r="E29" s="561"/>
      <c r="G29" s="568">
        <v>243</v>
      </c>
      <c r="H29" s="568">
        <v>250</v>
      </c>
      <c r="I29" s="575"/>
      <c r="J29" s="568"/>
      <c r="K29" s="568"/>
      <c r="L29" s="575"/>
      <c r="M29" s="568"/>
      <c r="N29" s="568"/>
      <c r="O29" s="575"/>
      <c r="P29" s="571">
        <v>0</v>
      </c>
      <c r="Q29" s="569"/>
      <c r="R29" s="571">
        <v>0</v>
      </c>
    </row>
    <row r="30" spans="1:18" ht="15" x14ac:dyDescent="0.25">
      <c r="A30" s="559">
        <f t="shared" ref="A30:A36" si="1">A29+1</f>
        <v>22</v>
      </c>
      <c r="C30" s="567" t="s">
        <v>717</v>
      </c>
      <c r="D30" s="567"/>
      <c r="E30" s="561" t="s">
        <v>957</v>
      </c>
      <c r="G30" s="568">
        <v>221</v>
      </c>
      <c r="H30" s="568">
        <v>0</v>
      </c>
      <c r="I30" s="575"/>
      <c r="J30" s="568">
        <v>82</v>
      </c>
      <c r="K30" s="568">
        <v>0</v>
      </c>
      <c r="L30" s="575"/>
      <c r="M30" s="568">
        <v>59</v>
      </c>
      <c r="N30" s="568"/>
      <c r="O30" s="575"/>
      <c r="P30" s="571">
        <v>0</v>
      </c>
      <c r="Q30" s="569"/>
      <c r="R30" s="571">
        <v>2759</v>
      </c>
    </row>
    <row r="31" spans="1:18" ht="15" x14ac:dyDescent="0.25">
      <c r="A31" s="559">
        <f t="shared" si="1"/>
        <v>23</v>
      </c>
      <c r="C31" s="567" t="s">
        <v>766</v>
      </c>
      <c r="D31" s="567"/>
      <c r="E31" s="561"/>
      <c r="G31" s="561"/>
      <c r="H31" s="561"/>
      <c r="I31" s="575"/>
      <c r="J31" s="561">
        <v>239</v>
      </c>
      <c r="K31" s="561">
        <v>200</v>
      </c>
      <c r="L31" s="575"/>
      <c r="M31" s="561"/>
      <c r="N31" s="561"/>
      <c r="O31" s="575"/>
      <c r="P31" s="571">
        <v>0</v>
      </c>
      <c r="Q31" s="569"/>
      <c r="R31" s="571">
        <v>0</v>
      </c>
    </row>
    <row r="32" spans="1:18" ht="15" x14ac:dyDescent="0.25">
      <c r="A32" s="559">
        <f t="shared" si="1"/>
        <v>24</v>
      </c>
      <c r="C32" s="567" t="s">
        <v>626</v>
      </c>
      <c r="D32" s="567"/>
      <c r="E32" s="561"/>
      <c r="G32" s="561"/>
      <c r="H32" s="561"/>
      <c r="I32" s="575"/>
      <c r="J32" s="561">
        <v>187</v>
      </c>
      <c r="K32" s="561">
        <v>180</v>
      </c>
      <c r="L32" s="575"/>
      <c r="M32" s="561">
        <v>220</v>
      </c>
      <c r="N32" s="561">
        <v>200</v>
      </c>
      <c r="O32" s="575"/>
      <c r="P32" s="571">
        <v>0</v>
      </c>
      <c r="Q32" s="569"/>
      <c r="R32" s="571">
        <v>0</v>
      </c>
    </row>
    <row r="33" spans="1:18" ht="15" x14ac:dyDescent="0.25">
      <c r="A33" s="559">
        <f t="shared" si="1"/>
        <v>25</v>
      </c>
      <c r="C33" s="567" t="s">
        <v>771</v>
      </c>
      <c r="D33" s="567"/>
      <c r="E33" s="561"/>
      <c r="G33" s="561"/>
      <c r="H33" s="561"/>
      <c r="I33" s="575"/>
      <c r="J33" s="561"/>
      <c r="K33" s="561"/>
      <c r="L33" s="575"/>
      <c r="M33" s="561">
        <v>278</v>
      </c>
      <c r="N33" s="561">
        <v>250</v>
      </c>
      <c r="O33" s="575"/>
      <c r="P33" s="571">
        <v>0</v>
      </c>
      <c r="Q33" s="569"/>
      <c r="R33" s="571">
        <v>0</v>
      </c>
    </row>
    <row r="34" spans="1:18" ht="15" x14ac:dyDescent="0.25">
      <c r="A34" s="559">
        <f t="shared" si="1"/>
        <v>26</v>
      </c>
      <c r="C34" s="567" t="s">
        <v>709</v>
      </c>
      <c r="D34" s="567"/>
      <c r="E34" s="561" t="s">
        <v>958</v>
      </c>
      <c r="G34" s="561"/>
      <c r="H34" s="561"/>
      <c r="I34" s="575"/>
      <c r="J34" s="561"/>
      <c r="K34" s="561"/>
      <c r="L34" s="575"/>
      <c r="M34" s="561"/>
      <c r="N34" s="561">
        <v>1350</v>
      </c>
      <c r="O34" s="575"/>
      <c r="P34" s="571">
        <v>1390</v>
      </c>
      <c r="Q34" s="569"/>
      <c r="R34" s="571">
        <v>0</v>
      </c>
    </row>
    <row r="35" spans="1:18" ht="15" x14ac:dyDescent="0.25">
      <c r="A35" s="559">
        <f t="shared" si="1"/>
        <v>27</v>
      </c>
      <c r="C35" s="567" t="s">
        <v>855</v>
      </c>
      <c r="D35" s="567"/>
      <c r="E35" s="561" t="s">
        <v>977</v>
      </c>
      <c r="G35" s="561"/>
      <c r="H35" s="561"/>
      <c r="I35" s="575"/>
      <c r="J35" s="561"/>
      <c r="K35" s="561"/>
      <c r="L35" s="575"/>
      <c r="M35" s="561"/>
      <c r="N35" s="561"/>
      <c r="O35" s="575"/>
      <c r="P35" s="571">
        <v>0</v>
      </c>
      <c r="Q35" s="569"/>
      <c r="R35" s="571">
        <v>102</v>
      </c>
    </row>
    <row r="36" spans="1:18" ht="15" x14ac:dyDescent="0.25">
      <c r="A36" s="559">
        <f t="shared" si="1"/>
        <v>28</v>
      </c>
      <c r="C36" s="567" t="s">
        <v>632</v>
      </c>
      <c r="D36" s="567"/>
      <c r="E36" s="561"/>
      <c r="G36" s="561"/>
      <c r="H36" s="561"/>
      <c r="I36" s="575"/>
      <c r="J36" s="561"/>
      <c r="K36" s="561"/>
      <c r="L36" s="575"/>
      <c r="M36" s="561"/>
      <c r="N36" s="561"/>
      <c r="O36" s="575"/>
      <c r="P36" s="571">
        <v>0</v>
      </c>
      <c r="Q36" s="569"/>
      <c r="R36" s="571">
        <v>22</v>
      </c>
    </row>
    <row r="37" spans="1:18" ht="15" x14ac:dyDescent="0.25">
      <c r="C37" s="567"/>
      <c r="D37" s="567"/>
      <c r="E37" s="561"/>
      <c r="G37" s="561"/>
      <c r="H37" s="561"/>
      <c r="I37" s="575"/>
      <c r="J37" s="561"/>
      <c r="K37" s="561"/>
      <c r="L37" s="575"/>
      <c r="M37" s="561"/>
      <c r="N37" s="561"/>
      <c r="O37" s="575"/>
      <c r="P37" s="571"/>
      <c r="Q37" s="569"/>
      <c r="R37" s="571"/>
    </row>
    <row r="38" spans="1:18" ht="15" x14ac:dyDescent="0.25">
      <c r="A38" s="559">
        <f>A36+1</f>
        <v>29</v>
      </c>
      <c r="C38" s="567" t="s">
        <v>617</v>
      </c>
      <c r="D38" s="567"/>
      <c r="E38" s="561" t="s">
        <v>1007</v>
      </c>
      <c r="G38" s="568">
        <v>599</v>
      </c>
      <c r="H38" s="568">
        <v>300</v>
      </c>
      <c r="I38" s="575"/>
      <c r="J38" s="568">
        <v>2707</v>
      </c>
      <c r="K38" s="568">
        <v>1650</v>
      </c>
      <c r="L38" s="575"/>
      <c r="M38" s="568">
        <v>1260</v>
      </c>
      <c r="N38" s="568"/>
      <c r="O38" s="575"/>
      <c r="P38" s="571">
        <v>0</v>
      </c>
      <c r="Q38" s="569"/>
      <c r="R38" s="571">
        <v>0</v>
      </c>
    </row>
    <row r="39" spans="1:18" ht="15" x14ac:dyDescent="0.25">
      <c r="A39" s="559">
        <f t="shared" ref="A39:A44" si="2">A38+1</f>
        <v>30</v>
      </c>
      <c r="C39" s="567" t="s">
        <v>768</v>
      </c>
      <c r="D39" s="567"/>
      <c r="E39" s="561"/>
      <c r="G39" s="561"/>
      <c r="H39" s="561"/>
      <c r="I39" s="575"/>
      <c r="J39" s="561">
        <v>504</v>
      </c>
      <c r="K39" s="561">
        <v>500</v>
      </c>
      <c r="L39" s="575"/>
      <c r="M39" s="561">
        <v>108</v>
      </c>
      <c r="N39" s="561"/>
      <c r="O39" s="575"/>
      <c r="P39" s="571">
        <v>0</v>
      </c>
      <c r="Q39" s="569"/>
      <c r="R39" s="571">
        <v>0</v>
      </c>
    </row>
    <row r="40" spans="1:18" ht="15" x14ac:dyDescent="0.25">
      <c r="A40" s="559">
        <f t="shared" si="2"/>
        <v>31</v>
      </c>
      <c r="C40" s="567" t="s">
        <v>708</v>
      </c>
      <c r="D40" s="567"/>
      <c r="E40" s="561" t="s">
        <v>959</v>
      </c>
      <c r="G40" s="561"/>
      <c r="H40" s="561"/>
      <c r="I40" s="575"/>
      <c r="J40" s="561"/>
      <c r="K40" s="561"/>
      <c r="L40" s="575"/>
      <c r="M40" s="561">
        <v>213</v>
      </c>
      <c r="N40" s="561">
        <v>500</v>
      </c>
      <c r="O40" s="575"/>
      <c r="P40" s="571">
        <v>1049</v>
      </c>
      <c r="Q40" s="569"/>
      <c r="R40" s="571">
        <v>0</v>
      </c>
    </row>
    <row r="41" spans="1:18" ht="15" x14ac:dyDescent="0.25">
      <c r="A41" s="559">
        <f t="shared" si="2"/>
        <v>32</v>
      </c>
      <c r="C41" s="567" t="s">
        <v>770</v>
      </c>
      <c r="D41" s="567"/>
      <c r="E41" s="561" t="s">
        <v>1010</v>
      </c>
      <c r="G41" s="561"/>
      <c r="H41" s="561"/>
      <c r="I41" s="575"/>
      <c r="J41" s="561"/>
      <c r="K41" s="561"/>
      <c r="L41" s="575"/>
      <c r="M41" s="561">
        <v>161</v>
      </c>
      <c r="N41" s="561"/>
      <c r="O41" s="575"/>
      <c r="P41" s="571">
        <v>0</v>
      </c>
      <c r="Q41" s="569"/>
      <c r="R41" s="571">
        <v>0</v>
      </c>
    </row>
    <row r="42" spans="1:18" ht="15" x14ac:dyDescent="0.25">
      <c r="A42" s="559">
        <f t="shared" si="2"/>
        <v>33</v>
      </c>
      <c r="C42" s="567" t="s">
        <v>714</v>
      </c>
      <c r="D42" s="567"/>
      <c r="E42" s="561"/>
      <c r="G42" s="561"/>
      <c r="H42" s="561"/>
      <c r="I42" s="575"/>
      <c r="J42" s="561"/>
      <c r="K42" s="561"/>
      <c r="L42" s="575"/>
      <c r="M42" s="561"/>
      <c r="N42" s="561"/>
      <c r="O42" s="575"/>
      <c r="P42" s="571">
        <v>75</v>
      </c>
      <c r="Q42" s="569"/>
      <c r="R42" s="571">
        <v>0</v>
      </c>
    </row>
    <row r="43" spans="1:18" ht="15" x14ac:dyDescent="0.25">
      <c r="A43" s="559">
        <f t="shared" si="2"/>
        <v>34</v>
      </c>
      <c r="C43" s="567" t="s">
        <v>722</v>
      </c>
      <c r="D43" s="567"/>
      <c r="E43" s="561" t="s">
        <v>976</v>
      </c>
      <c r="G43" s="561"/>
      <c r="H43" s="561"/>
      <c r="I43" s="575"/>
      <c r="J43" s="561"/>
      <c r="K43" s="561"/>
      <c r="L43" s="575"/>
      <c r="M43" s="561">
        <v>90</v>
      </c>
      <c r="N43" s="561"/>
      <c r="O43" s="575"/>
      <c r="P43" s="571">
        <v>0</v>
      </c>
      <c r="Q43" s="569"/>
      <c r="R43" s="571">
        <v>250</v>
      </c>
    </row>
    <row r="44" spans="1:18" ht="15" x14ac:dyDescent="0.25">
      <c r="A44" s="559">
        <f t="shared" si="2"/>
        <v>35</v>
      </c>
      <c r="C44" s="567" t="s">
        <v>772</v>
      </c>
      <c r="D44" s="567"/>
      <c r="E44" s="561"/>
      <c r="G44" s="561"/>
      <c r="H44" s="561"/>
      <c r="I44" s="575"/>
      <c r="J44" s="561"/>
      <c r="K44" s="561"/>
      <c r="L44" s="575"/>
      <c r="M44" s="561"/>
      <c r="N44" s="561"/>
      <c r="O44" s="575"/>
      <c r="P44" s="571">
        <v>0</v>
      </c>
      <c r="Q44" s="569"/>
      <c r="R44" s="571">
        <v>51</v>
      </c>
    </row>
    <row r="45" spans="1:18" ht="15" x14ac:dyDescent="0.25">
      <c r="C45" s="567"/>
      <c r="D45" s="567"/>
      <c r="E45" s="561"/>
      <c r="G45" s="561"/>
      <c r="H45" s="561"/>
      <c r="I45" s="575"/>
      <c r="J45" s="561"/>
      <c r="K45" s="561"/>
      <c r="L45" s="575"/>
      <c r="M45" s="561"/>
      <c r="N45" s="561"/>
      <c r="O45" s="575"/>
      <c r="P45" s="571"/>
      <c r="Q45" s="569"/>
      <c r="R45" s="571"/>
    </row>
    <row r="46" spans="1:18" ht="15" x14ac:dyDescent="0.25">
      <c r="A46" s="559">
        <f>A44+1</f>
        <v>36</v>
      </c>
      <c r="C46" s="567" t="s">
        <v>619</v>
      </c>
      <c r="D46" s="567"/>
      <c r="E46" s="561" t="s">
        <v>1008</v>
      </c>
      <c r="G46" s="568">
        <v>346</v>
      </c>
      <c r="H46" s="568">
        <v>180</v>
      </c>
      <c r="I46" s="575"/>
      <c r="J46" s="568">
        <v>31</v>
      </c>
      <c r="K46" s="568"/>
      <c r="L46" s="575"/>
      <c r="M46" s="568"/>
      <c r="N46" s="568"/>
      <c r="O46" s="575"/>
      <c r="P46" s="571">
        <v>0</v>
      </c>
      <c r="Q46" s="569"/>
      <c r="R46" s="571">
        <v>0</v>
      </c>
    </row>
    <row r="47" spans="1:18" ht="15" x14ac:dyDescent="0.25">
      <c r="A47" s="559">
        <f t="shared" ref="A47:A49" si="3">A46+1</f>
        <v>37</v>
      </c>
      <c r="C47" s="567" t="s">
        <v>757</v>
      </c>
      <c r="D47" s="567"/>
      <c r="E47" s="561"/>
      <c r="G47" s="568">
        <v>271</v>
      </c>
      <c r="H47" s="568">
        <v>600</v>
      </c>
      <c r="I47" s="575"/>
      <c r="J47" s="568">
        <v>455</v>
      </c>
      <c r="K47" s="568"/>
      <c r="L47" s="575"/>
      <c r="M47" s="568"/>
      <c r="N47" s="568"/>
      <c r="O47" s="575"/>
      <c r="P47" s="571">
        <v>0</v>
      </c>
      <c r="Q47" s="569"/>
      <c r="R47" s="571">
        <v>0</v>
      </c>
    </row>
    <row r="48" spans="1:18" ht="15" x14ac:dyDescent="0.25">
      <c r="A48" s="559">
        <f t="shared" si="3"/>
        <v>38</v>
      </c>
      <c r="C48" s="567" t="s">
        <v>767</v>
      </c>
      <c r="D48" s="567"/>
      <c r="E48" s="561"/>
      <c r="G48" s="561"/>
      <c r="H48" s="561"/>
      <c r="I48" s="575"/>
      <c r="J48" s="561">
        <v>397</v>
      </c>
      <c r="K48" s="561">
        <v>600</v>
      </c>
      <c r="L48" s="575"/>
      <c r="M48" s="561">
        <v>260</v>
      </c>
      <c r="N48" s="561"/>
      <c r="O48" s="575"/>
      <c r="P48" s="571">
        <v>0</v>
      </c>
      <c r="Q48" s="569"/>
      <c r="R48" s="571">
        <v>0</v>
      </c>
    </row>
    <row r="49" spans="1:19" ht="15" x14ac:dyDescent="0.25">
      <c r="A49" s="559">
        <f t="shared" si="3"/>
        <v>39</v>
      </c>
      <c r="C49" s="567" t="s">
        <v>630</v>
      </c>
      <c r="D49" s="567"/>
      <c r="E49" s="561"/>
      <c r="G49" s="561"/>
      <c r="H49" s="561"/>
      <c r="I49" s="575"/>
      <c r="J49" s="561"/>
      <c r="K49" s="561"/>
      <c r="L49" s="575"/>
      <c r="M49" s="561">
        <v>77</v>
      </c>
      <c r="N49" s="561"/>
      <c r="O49" s="575"/>
      <c r="P49" s="571">
        <v>0</v>
      </c>
      <c r="Q49" s="569"/>
      <c r="R49" s="571">
        <v>0</v>
      </c>
    </row>
    <row r="50" spans="1:19" ht="15" x14ac:dyDescent="0.25">
      <c r="C50" s="567"/>
      <c r="D50" s="567"/>
      <c r="E50" s="561"/>
      <c r="G50" s="568"/>
      <c r="H50" s="568"/>
      <c r="I50" s="575"/>
      <c r="J50" s="568"/>
      <c r="K50" s="568"/>
      <c r="L50" s="575"/>
      <c r="M50" s="568"/>
      <c r="N50" s="568"/>
      <c r="O50" s="575"/>
      <c r="P50" s="571"/>
      <c r="Q50" s="569"/>
      <c r="R50" s="571"/>
    </row>
    <row r="51" spans="1:19" ht="15" x14ac:dyDescent="0.25">
      <c r="A51" s="559">
        <f>+A49+1</f>
        <v>40</v>
      </c>
      <c r="C51" s="567" t="s">
        <v>622</v>
      </c>
      <c r="D51" s="567"/>
      <c r="E51" s="561"/>
      <c r="G51" s="568">
        <v>131</v>
      </c>
      <c r="H51" s="568">
        <v>150</v>
      </c>
      <c r="I51" s="575"/>
      <c r="J51" s="568"/>
      <c r="K51" s="568"/>
      <c r="L51" s="575"/>
      <c r="M51" s="568"/>
      <c r="N51" s="568"/>
      <c r="O51" s="575"/>
      <c r="P51" s="571">
        <v>0</v>
      </c>
      <c r="Q51" s="569"/>
      <c r="R51" s="571">
        <v>0</v>
      </c>
    </row>
    <row r="52" spans="1:19" ht="15" x14ac:dyDescent="0.25">
      <c r="A52" s="559">
        <f t="shared" ref="A52:A55" si="4">A51+1</f>
        <v>41</v>
      </c>
      <c r="C52" s="567" t="s">
        <v>769</v>
      </c>
      <c r="D52" s="567"/>
      <c r="E52" s="561" t="s">
        <v>886</v>
      </c>
      <c r="G52" s="561"/>
      <c r="H52" s="561"/>
      <c r="I52" s="575"/>
      <c r="J52" s="561">
        <v>616</v>
      </c>
      <c r="K52" s="561">
        <v>450</v>
      </c>
      <c r="L52" s="575"/>
      <c r="M52" s="561">
        <v>18</v>
      </c>
      <c r="N52" s="561"/>
      <c r="O52" s="575"/>
      <c r="P52" s="571">
        <v>0</v>
      </c>
      <c r="Q52" s="569"/>
      <c r="R52" s="571">
        <v>0</v>
      </c>
    </row>
    <row r="53" spans="1:19" ht="15" x14ac:dyDescent="0.25">
      <c r="A53" s="559">
        <f t="shared" si="4"/>
        <v>42</v>
      </c>
      <c r="C53" s="567" t="s">
        <v>625</v>
      </c>
      <c r="D53" s="567"/>
      <c r="E53" s="561" t="s">
        <v>976</v>
      </c>
      <c r="G53" s="561"/>
      <c r="H53" s="561"/>
      <c r="I53" s="575"/>
      <c r="J53" s="561">
        <v>83</v>
      </c>
      <c r="K53" s="561">
        <v>300</v>
      </c>
      <c r="L53" s="575"/>
      <c r="M53" s="561">
        <v>26</v>
      </c>
      <c r="N53" s="561"/>
      <c r="O53" s="575"/>
      <c r="P53" s="571">
        <v>0</v>
      </c>
      <c r="Q53" s="569"/>
      <c r="R53" s="571">
        <v>307</v>
      </c>
    </row>
    <row r="54" spans="1:19" ht="15" x14ac:dyDescent="0.25">
      <c r="A54" s="559">
        <f t="shared" si="4"/>
        <v>43</v>
      </c>
      <c r="C54" s="567" t="s">
        <v>707</v>
      </c>
      <c r="D54" s="567"/>
      <c r="E54" s="561" t="s">
        <v>960</v>
      </c>
      <c r="G54" s="561"/>
      <c r="H54" s="561"/>
      <c r="I54" s="575"/>
      <c r="J54" s="561"/>
      <c r="K54" s="561">
        <v>0</v>
      </c>
      <c r="L54" s="575"/>
      <c r="M54" s="561">
        <v>136</v>
      </c>
      <c r="N54" s="561">
        <v>600</v>
      </c>
      <c r="O54" s="575"/>
      <c r="P54" s="571">
        <v>622</v>
      </c>
      <c r="Q54" s="569"/>
      <c r="R54" s="571">
        <v>0</v>
      </c>
    </row>
    <row r="55" spans="1:19" ht="15" x14ac:dyDescent="0.25">
      <c r="A55" s="559">
        <f t="shared" si="4"/>
        <v>44</v>
      </c>
      <c r="C55" s="567" t="s">
        <v>716</v>
      </c>
      <c r="D55" s="567"/>
      <c r="E55" s="561" t="s">
        <v>972</v>
      </c>
      <c r="G55" s="561"/>
      <c r="H55" s="561"/>
      <c r="I55" s="575"/>
      <c r="J55" s="561"/>
      <c r="K55" s="561"/>
      <c r="L55" s="575"/>
      <c r="M55" s="561"/>
      <c r="N55" s="561"/>
      <c r="O55" s="575"/>
      <c r="P55" s="571">
        <v>106</v>
      </c>
      <c r="Q55" s="569"/>
      <c r="R55" s="571">
        <v>0</v>
      </c>
    </row>
    <row r="56" spans="1:19" ht="15" x14ac:dyDescent="0.25">
      <c r="C56" s="567"/>
      <c r="D56" s="567"/>
      <c r="G56" s="561"/>
      <c r="H56" s="561"/>
      <c r="I56" s="575"/>
      <c r="J56" s="561"/>
      <c r="K56" s="561"/>
      <c r="L56" s="575"/>
      <c r="M56" s="561"/>
      <c r="N56" s="561"/>
      <c r="O56" s="575"/>
      <c r="P56" s="571"/>
      <c r="Q56" s="569"/>
      <c r="R56" s="571"/>
    </row>
    <row r="57" spans="1:19" ht="15.75" x14ac:dyDescent="0.25">
      <c r="A57" s="261" t="s">
        <v>1006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58" t="s">
        <v>614</v>
      </c>
    </row>
    <row r="58" spans="1:19" ht="15.75" x14ac:dyDescent="0.25">
      <c r="A58" s="261" t="s">
        <v>555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58" t="s">
        <v>966</v>
      </c>
    </row>
    <row r="59" spans="1:19" ht="15.75" x14ac:dyDescent="0.25">
      <c r="A59" s="261" t="s">
        <v>1005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</row>
    <row r="60" spans="1:19" ht="15.75" x14ac:dyDescent="0.25">
      <c r="A60" s="261" t="s">
        <v>18</v>
      </c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</row>
    <row r="61" spans="1:19" x14ac:dyDescent="0.2">
      <c r="G61" s="560"/>
      <c r="J61" s="560"/>
      <c r="M61" s="561"/>
    </row>
    <row r="62" spans="1:19" ht="15" x14ac:dyDescent="0.25">
      <c r="A62" s="562" t="s">
        <v>19</v>
      </c>
      <c r="B62" s="562"/>
      <c r="E62" s="416" t="s">
        <v>20</v>
      </c>
      <c r="G62" s="579" t="s">
        <v>11</v>
      </c>
      <c r="H62" s="579" t="s">
        <v>4</v>
      </c>
      <c r="I62" s="579"/>
      <c r="J62" s="579" t="s">
        <v>11</v>
      </c>
      <c r="K62" s="579" t="s">
        <v>4</v>
      </c>
      <c r="L62" s="579"/>
      <c r="M62" s="579" t="s">
        <v>11</v>
      </c>
      <c r="N62" s="579" t="s">
        <v>4</v>
      </c>
      <c r="O62" s="579"/>
      <c r="P62" s="613" t="s">
        <v>293</v>
      </c>
      <c r="Q62" s="613"/>
      <c r="R62" s="613"/>
    </row>
    <row r="63" spans="1:19" ht="15" x14ac:dyDescent="0.25">
      <c r="A63" s="563" t="s">
        <v>615</v>
      </c>
      <c r="B63" s="562"/>
      <c r="C63" s="564" t="s">
        <v>616</v>
      </c>
      <c r="D63" s="565"/>
      <c r="E63" s="428" t="s">
        <v>22</v>
      </c>
      <c r="F63" s="565"/>
      <c r="G63" s="578" t="s">
        <v>819</v>
      </c>
      <c r="H63" s="578" t="s">
        <v>819</v>
      </c>
      <c r="I63" s="566"/>
      <c r="J63" s="578" t="s">
        <v>818</v>
      </c>
      <c r="K63" s="578" t="s">
        <v>818</v>
      </c>
      <c r="L63" s="566"/>
      <c r="M63" s="578" t="s">
        <v>817</v>
      </c>
      <c r="N63" s="578" t="s">
        <v>817</v>
      </c>
      <c r="O63" s="566"/>
      <c r="P63" s="577" t="s">
        <v>815</v>
      </c>
      <c r="Q63" s="566"/>
      <c r="R63" s="577" t="s">
        <v>816</v>
      </c>
    </row>
    <row r="64" spans="1:19" ht="15" x14ac:dyDescent="0.25">
      <c r="A64" s="559">
        <f>+A55+1</f>
        <v>45</v>
      </c>
      <c r="C64" s="565" t="s">
        <v>814</v>
      </c>
      <c r="D64" s="565"/>
      <c r="G64" s="561"/>
      <c r="H64" s="561"/>
      <c r="I64" s="561"/>
      <c r="J64" s="561"/>
      <c r="K64" s="561"/>
      <c r="L64" s="561"/>
      <c r="M64" s="561"/>
      <c r="N64" s="561"/>
      <c r="O64" s="561"/>
      <c r="P64" s="569"/>
      <c r="Q64" s="569"/>
      <c r="R64" s="569"/>
      <c r="S64" s="561"/>
    </row>
    <row r="65" spans="1:18" ht="15" x14ac:dyDescent="0.25">
      <c r="A65" s="559">
        <f>+A64+1</f>
        <v>46</v>
      </c>
      <c r="C65" s="567" t="s">
        <v>633</v>
      </c>
      <c r="D65" s="567"/>
      <c r="E65" s="561" t="s">
        <v>976</v>
      </c>
      <c r="G65" s="561"/>
      <c r="H65" s="561"/>
      <c r="I65" s="575"/>
      <c r="J65" s="561"/>
      <c r="K65" s="561"/>
      <c r="L65" s="575"/>
      <c r="M65" s="561"/>
      <c r="N65" s="561"/>
      <c r="O65" s="575"/>
      <c r="P65" s="571">
        <v>0</v>
      </c>
      <c r="Q65" s="569"/>
      <c r="R65" s="571">
        <v>153</v>
      </c>
    </row>
    <row r="66" spans="1:18" ht="15" x14ac:dyDescent="0.25">
      <c r="A66" s="559">
        <f>A65+1</f>
        <v>47</v>
      </c>
      <c r="C66" s="567" t="s">
        <v>775</v>
      </c>
      <c r="D66" s="567"/>
      <c r="E66" s="561"/>
      <c r="G66" s="561"/>
      <c r="H66" s="561"/>
      <c r="I66" s="575"/>
      <c r="J66" s="561"/>
      <c r="K66" s="561"/>
      <c r="L66" s="575"/>
      <c r="M66" s="561"/>
      <c r="N66" s="561"/>
      <c r="O66" s="575"/>
      <c r="P66" s="571">
        <v>0</v>
      </c>
      <c r="Q66" s="569"/>
      <c r="R66" s="571">
        <v>26</v>
      </c>
    </row>
    <row r="67" spans="1:18" ht="15" x14ac:dyDescent="0.25">
      <c r="A67" s="559">
        <f>A66+1</f>
        <v>48</v>
      </c>
      <c r="C67" s="567" t="s">
        <v>776</v>
      </c>
      <c r="D67" s="567"/>
      <c r="E67" s="561"/>
      <c r="G67" s="561"/>
      <c r="H67" s="561"/>
      <c r="I67" s="575"/>
      <c r="J67" s="561"/>
      <c r="K67" s="561"/>
      <c r="L67" s="575"/>
      <c r="M67" s="561"/>
      <c r="N67" s="561"/>
      <c r="O67" s="575"/>
      <c r="P67" s="571">
        <v>0</v>
      </c>
      <c r="Q67" s="569"/>
      <c r="R67" s="571">
        <v>20</v>
      </c>
    </row>
    <row r="68" spans="1:18" ht="15" x14ac:dyDescent="0.25">
      <c r="C68" s="567"/>
      <c r="D68" s="567"/>
      <c r="E68" s="561"/>
      <c r="G68" s="561"/>
      <c r="H68" s="561"/>
      <c r="I68" s="575"/>
      <c r="J68" s="561"/>
      <c r="K68" s="561"/>
      <c r="L68" s="575"/>
      <c r="M68" s="561"/>
      <c r="N68" s="561"/>
      <c r="O68" s="575"/>
      <c r="P68" s="571"/>
      <c r="Q68" s="569"/>
      <c r="R68" s="571"/>
    </row>
    <row r="69" spans="1:18" ht="15" x14ac:dyDescent="0.25">
      <c r="A69" s="559">
        <f>A67+1</f>
        <v>49</v>
      </c>
      <c r="C69" s="567" t="s">
        <v>627</v>
      </c>
      <c r="D69" s="567"/>
      <c r="E69" s="561"/>
      <c r="G69" s="561"/>
      <c r="H69" s="561"/>
      <c r="I69" s="575"/>
      <c r="J69" s="561"/>
      <c r="K69" s="561">
        <v>45</v>
      </c>
      <c r="L69" s="575"/>
      <c r="M69" s="561"/>
      <c r="N69" s="561"/>
      <c r="O69" s="575"/>
      <c r="P69" s="571">
        <v>95</v>
      </c>
      <c r="Q69" s="569"/>
      <c r="R69" s="571">
        <v>0</v>
      </c>
    </row>
    <row r="70" spans="1:18" ht="15" x14ac:dyDescent="0.25">
      <c r="A70" s="559">
        <f>A69+1</f>
        <v>50</v>
      </c>
      <c r="C70" s="567" t="s">
        <v>710</v>
      </c>
      <c r="D70" s="567"/>
      <c r="E70" s="561"/>
      <c r="G70" s="561"/>
      <c r="H70" s="561"/>
      <c r="I70" s="575"/>
      <c r="J70" s="561"/>
      <c r="K70" s="561"/>
      <c r="L70" s="575"/>
      <c r="M70" s="561"/>
      <c r="N70" s="561"/>
      <c r="O70" s="575"/>
      <c r="P70" s="571">
        <v>25</v>
      </c>
      <c r="Q70" s="569"/>
      <c r="R70" s="571">
        <v>0</v>
      </c>
    </row>
    <row r="71" spans="1:18" ht="15" x14ac:dyDescent="0.25">
      <c r="C71" s="567"/>
      <c r="D71" s="567"/>
      <c r="E71" s="561"/>
      <c r="G71" s="561"/>
      <c r="H71" s="561"/>
      <c r="I71" s="575"/>
      <c r="J71" s="561"/>
      <c r="K71" s="561"/>
      <c r="L71" s="575"/>
      <c r="M71" s="561"/>
      <c r="N71" s="561"/>
      <c r="O71" s="575"/>
      <c r="P71" s="571"/>
      <c r="Q71" s="569"/>
      <c r="R71" s="571"/>
    </row>
    <row r="72" spans="1:18" ht="15" x14ac:dyDescent="0.25">
      <c r="A72" s="559">
        <f>A70+1</f>
        <v>51</v>
      </c>
      <c r="C72" s="567" t="s">
        <v>628</v>
      </c>
      <c r="D72" s="567"/>
      <c r="E72" s="561"/>
      <c r="G72" s="561"/>
      <c r="H72" s="561"/>
      <c r="I72" s="575"/>
      <c r="J72" s="561"/>
      <c r="K72" s="561">
        <v>180</v>
      </c>
      <c r="L72" s="575"/>
      <c r="M72" s="561"/>
      <c r="N72" s="561"/>
      <c r="O72" s="575"/>
      <c r="P72" s="571">
        <v>0</v>
      </c>
      <c r="Q72" s="569"/>
      <c r="R72" s="571">
        <v>0</v>
      </c>
    </row>
    <row r="73" spans="1:18" ht="15" x14ac:dyDescent="0.25">
      <c r="A73" s="559">
        <f>A72+1</f>
        <v>52</v>
      </c>
      <c r="C73" s="567" t="s">
        <v>813</v>
      </c>
      <c r="D73" s="567"/>
      <c r="E73" s="561"/>
      <c r="G73" s="561"/>
      <c r="H73" s="561"/>
      <c r="I73" s="575"/>
      <c r="J73" s="561">
        <v>28</v>
      </c>
      <c r="K73" s="561"/>
      <c r="L73" s="575"/>
      <c r="M73" s="561"/>
      <c r="N73" s="561"/>
      <c r="O73" s="575"/>
      <c r="P73" s="571">
        <v>0</v>
      </c>
      <c r="Q73" s="569"/>
      <c r="R73" s="571">
        <v>0</v>
      </c>
    </row>
    <row r="74" spans="1:18" ht="15" x14ac:dyDescent="0.25">
      <c r="C74" s="567"/>
      <c r="D74" s="567"/>
      <c r="E74" s="561"/>
      <c r="G74" s="561"/>
      <c r="H74" s="561"/>
      <c r="I74" s="575"/>
      <c r="J74" s="561"/>
      <c r="K74" s="561"/>
      <c r="L74" s="575"/>
      <c r="M74" s="561"/>
      <c r="N74" s="561"/>
      <c r="O74" s="575"/>
      <c r="P74" s="571"/>
      <c r="Q74" s="569"/>
      <c r="R74" s="571"/>
    </row>
    <row r="75" spans="1:18" ht="15" x14ac:dyDescent="0.25">
      <c r="A75" s="559">
        <f>A73+1</f>
        <v>53</v>
      </c>
      <c r="C75" s="567" t="s">
        <v>760</v>
      </c>
      <c r="D75" s="567"/>
      <c r="E75" s="561"/>
      <c r="G75" s="568">
        <v>49</v>
      </c>
      <c r="H75" s="568">
        <v>30</v>
      </c>
      <c r="I75" s="575"/>
      <c r="J75" s="568"/>
      <c r="K75" s="568"/>
      <c r="L75" s="575"/>
      <c r="M75" s="568"/>
      <c r="N75" s="568"/>
      <c r="O75" s="575"/>
      <c r="P75" s="571">
        <v>0</v>
      </c>
      <c r="Q75" s="569"/>
      <c r="R75" s="571">
        <v>0</v>
      </c>
    </row>
    <row r="76" spans="1:18" ht="15" x14ac:dyDescent="0.25">
      <c r="A76" s="559">
        <f>A75+1</f>
        <v>54</v>
      </c>
      <c r="C76" s="567" t="s">
        <v>631</v>
      </c>
      <c r="D76" s="567"/>
      <c r="E76" s="561"/>
      <c r="G76" s="561"/>
      <c r="H76" s="561"/>
      <c r="I76" s="575"/>
      <c r="J76" s="561"/>
      <c r="K76" s="561"/>
      <c r="L76" s="575"/>
      <c r="M76" s="561"/>
      <c r="N76" s="561"/>
      <c r="O76" s="575"/>
      <c r="P76" s="571">
        <v>80</v>
      </c>
      <c r="Q76" s="569"/>
      <c r="R76" s="571">
        <v>61</v>
      </c>
    </row>
    <row r="77" spans="1:18" ht="15" x14ac:dyDescent="0.25">
      <c r="C77" s="567"/>
      <c r="D77" s="567"/>
      <c r="E77" s="561"/>
      <c r="G77" s="568"/>
      <c r="H77" s="568"/>
      <c r="I77" s="575"/>
      <c r="J77" s="568"/>
      <c r="K77" s="568"/>
      <c r="L77" s="575"/>
      <c r="M77" s="568"/>
      <c r="N77" s="568"/>
      <c r="O77" s="575"/>
      <c r="P77" s="571"/>
      <c r="Q77" s="569"/>
      <c r="R77" s="571"/>
    </row>
    <row r="78" spans="1:18" ht="15" x14ac:dyDescent="0.25">
      <c r="A78" s="559">
        <f>A76+1</f>
        <v>55</v>
      </c>
      <c r="C78" s="567" t="s">
        <v>720</v>
      </c>
      <c r="D78" s="567"/>
      <c r="E78" s="561" t="s">
        <v>977</v>
      </c>
      <c r="G78" s="561"/>
      <c r="H78" s="561"/>
      <c r="I78" s="575"/>
      <c r="J78" s="561"/>
      <c r="K78" s="561"/>
      <c r="L78" s="575"/>
      <c r="M78" s="561"/>
      <c r="N78" s="561"/>
      <c r="O78" s="575"/>
      <c r="P78" s="571">
        <v>0</v>
      </c>
      <c r="Q78" s="569"/>
      <c r="R78" s="571">
        <v>102</v>
      </c>
    </row>
    <row r="79" spans="1:18" ht="15" x14ac:dyDescent="0.25">
      <c r="A79" s="559">
        <f>A78+1</f>
        <v>56</v>
      </c>
      <c r="C79" s="567" t="s">
        <v>719</v>
      </c>
      <c r="D79" s="567"/>
      <c r="E79" s="561" t="s">
        <v>976</v>
      </c>
      <c r="G79" s="561"/>
      <c r="H79" s="561"/>
      <c r="I79" s="575"/>
      <c r="J79" s="561"/>
      <c r="K79" s="561"/>
      <c r="L79" s="575"/>
      <c r="M79" s="561"/>
      <c r="N79" s="561"/>
      <c r="O79" s="575"/>
      <c r="P79" s="571">
        <v>0</v>
      </c>
      <c r="Q79" s="569"/>
      <c r="R79" s="571">
        <v>105</v>
      </c>
    </row>
    <row r="80" spans="1:18" ht="15" x14ac:dyDescent="0.25">
      <c r="C80" s="567"/>
      <c r="D80" s="567"/>
      <c r="E80" s="561"/>
      <c r="G80" s="561"/>
      <c r="H80" s="561"/>
      <c r="I80" s="575"/>
      <c r="J80" s="561"/>
      <c r="K80" s="561"/>
      <c r="L80" s="575"/>
      <c r="M80" s="561"/>
      <c r="N80" s="561"/>
      <c r="O80" s="575"/>
      <c r="P80" s="571"/>
      <c r="Q80" s="569"/>
      <c r="R80" s="571"/>
    </row>
    <row r="81" spans="1:18" ht="15" x14ac:dyDescent="0.25">
      <c r="A81" s="559">
        <f>A79+1</f>
        <v>57</v>
      </c>
      <c r="C81" s="567" t="s">
        <v>718</v>
      </c>
      <c r="D81" s="567"/>
      <c r="E81" s="561"/>
      <c r="G81" s="561"/>
      <c r="H81" s="561"/>
      <c r="I81" s="575"/>
      <c r="J81" s="561"/>
      <c r="K81" s="561"/>
      <c r="L81" s="575"/>
      <c r="M81" s="561"/>
      <c r="N81" s="561"/>
      <c r="O81" s="575"/>
      <c r="P81" s="571">
        <v>0</v>
      </c>
      <c r="Q81" s="569"/>
      <c r="R81" s="571">
        <v>31</v>
      </c>
    </row>
    <row r="82" spans="1:18" ht="15" x14ac:dyDescent="0.25">
      <c r="C82" s="567"/>
      <c r="D82" s="567"/>
      <c r="E82" s="561"/>
      <c r="G82" s="561"/>
      <c r="H82" s="561"/>
      <c r="I82" s="575"/>
      <c r="J82" s="561"/>
      <c r="K82" s="561"/>
      <c r="L82" s="575"/>
      <c r="M82" s="561"/>
      <c r="N82" s="561"/>
      <c r="O82" s="575"/>
      <c r="P82" s="571"/>
      <c r="Q82" s="569"/>
      <c r="R82" s="571"/>
    </row>
    <row r="83" spans="1:18" ht="15" x14ac:dyDescent="0.25">
      <c r="A83" s="559">
        <f>A81+1</f>
        <v>58</v>
      </c>
      <c r="C83" s="567" t="s">
        <v>618</v>
      </c>
      <c r="D83" s="567"/>
      <c r="E83" s="561"/>
      <c r="G83" s="568">
        <v>361</v>
      </c>
      <c r="H83" s="568">
        <v>750</v>
      </c>
      <c r="I83" s="575"/>
      <c r="J83" s="568">
        <v>514</v>
      </c>
      <c r="K83" s="568"/>
      <c r="L83" s="575"/>
      <c r="M83" s="568">
        <v>25</v>
      </c>
      <c r="N83" s="568"/>
      <c r="O83" s="575"/>
      <c r="P83" s="571">
        <v>0</v>
      </c>
      <c r="Q83" s="569"/>
      <c r="R83" s="571">
        <v>0</v>
      </c>
    </row>
    <row r="84" spans="1:18" ht="15" x14ac:dyDescent="0.25">
      <c r="A84" s="559">
        <f>A83+1</f>
        <v>59</v>
      </c>
      <c r="C84" s="567" t="s">
        <v>621</v>
      </c>
      <c r="D84" s="567"/>
      <c r="E84" s="561"/>
      <c r="G84" s="568">
        <v>211</v>
      </c>
      <c r="H84" s="568">
        <v>175</v>
      </c>
      <c r="I84" s="575"/>
      <c r="J84" s="568"/>
      <c r="K84" s="568"/>
      <c r="L84" s="575"/>
      <c r="M84" s="568"/>
      <c r="N84" s="568"/>
      <c r="O84" s="575"/>
      <c r="P84" s="571">
        <v>0</v>
      </c>
      <c r="Q84" s="569"/>
      <c r="R84" s="571">
        <v>0</v>
      </c>
    </row>
    <row r="85" spans="1:18" ht="15" x14ac:dyDescent="0.25">
      <c r="A85" s="559">
        <f t="shared" ref="A85:A90" si="5">A84+1</f>
        <v>60</v>
      </c>
      <c r="C85" s="567" t="s">
        <v>624</v>
      </c>
      <c r="D85" s="567"/>
      <c r="E85" s="561"/>
      <c r="G85" s="568">
        <v>21</v>
      </c>
      <c r="H85" s="568"/>
      <c r="I85" s="575"/>
      <c r="J85" s="568"/>
      <c r="K85" s="568"/>
      <c r="L85" s="575"/>
      <c r="M85" s="568"/>
      <c r="N85" s="568"/>
      <c r="O85" s="575"/>
      <c r="P85" s="571">
        <v>0</v>
      </c>
      <c r="Q85" s="569"/>
      <c r="R85" s="571">
        <v>0</v>
      </c>
    </row>
    <row r="86" spans="1:18" ht="15" x14ac:dyDescent="0.25">
      <c r="A86" s="559">
        <f t="shared" si="5"/>
        <v>61</v>
      </c>
      <c r="C86" s="567" t="s">
        <v>712</v>
      </c>
      <c r="D86" s="567"/>
      <c r="E86" s="561"/>
      <c r="G86" s="561"/>
      <c r="H86" s="561"/>
      <c r="I86" s="575"/>
      <c r="J86" s="561"/>
      <c r="K86" s="561"/>
      <c r="L86" s="575"/>
      <c r="M86" s="561"/>
      <c r="N86" s="561"/>
      <c r="O86" s="575"/>
      <c r="P86" s="571">
        <v>35</v>
      </c>
      <c r="Q86" s="569"/>
      <c r="R86" s="571">
        <v>0</v>
      </c>
    </row>
    <row r="87" spans="1:18" ht="15" x14ac:dyDescent="0.25">
      <c r="A87" s="559">
        <f t="shared" si="5"/>
        <v>62</v>
      </c>
      <c r="C87" s="567" t="s">
        <v>713</v>
      </c>
      <c r="D87" s="567"/>
      <c r="E87" s="561"/>
      <c r="G87" s="561"/>
      <c r="H87" s="561"/>
      <c r="I87" s="575"/>
      <c r="J87" s="561"/>
      <c r="K87" s="561"/>
      <c r="L87" s="575"/>
      <c r="M87" s="561"/>
      <c r="N87" s="561"/>
      <c r="O87" s="575"/>
      <c r="P87" s="571">
        <v>20</v>
      </c>
      <c r="Q87" s="569"/>
      <c r="R87" s="571">
        <v>0</v>
      </c>
    </row>
    <row r="88" spans="1:18" ht="15" x14ac:dyDescent="0.25">
      <c r="A88" s="559">
        <f t="shared" si="5"/>
        <v>63</v>
      </c>
      <c r="C88" s="567" t="s">
        <v>777</v>
      </c>
      <c r="D88" s="567"/>
      <c r="E88" s="561"/>
      <c r="G88" s="561"/>
      <c r="H88" s="561"/>
      <c r="I88" s="575"/>
      <c r="J88" s="561"/>
      <c r="K88" s="561"/>
      <c r="L88" s="575"/>
      <c r="M88" s="561"/>
      <c r="N88" s="561"/>
      <c r="O88" s="575"/>
      <c r="P88" s="571">
        <v>0</v>
      </c>
      <c r="Q88" s="569"/>
      <c r="R88" s="571">
        <v>99</v>
      </c>
    </row>
    <row r="89" spans="1:18" ht="15" x14ac:dyDescent="0.25">
      <c r="A89" s="559">
        <f t="shared" si="5"/>
        <v>64</v>
      </c>
      <c r="C89" s="567" t="s">
        <v>721</v>
      </c>
      <c r="D89" s="567"/>
      <c r="E89" s="561" t="s">
        <v>977</v>
      </c>
      <c r="G89" s="561"/>
      <c r="H89" s="561"/>
      <c r="I89" s="575"/>
      <c r="J89" s="561"/>
      <c r="K89" s="561"/>
      <c r="L89" s="575"/>
      <c r="M89" s="561"/>
      <c r="N89" s="561"/>
      <c r="O89" s="575"/>
      <c r="P89" s="571">
        <v>0</v>
      </c>
      <c r="Q89" s="569"/>
      <c r="R89" s="571">
        <v>103</v>
      </c>
    </row>
    <row r="90" spans="1:18" ht="15" x14ac:dyDescent="0.25">
      <c r="A90" s="559">
        <f t="shared" si="5"/>
        <v>65</v>
      </c>
      <c r="C90" s="567" t="s">
        <v>788</v>
      </c>
      <c r="D90" s="567"/>
      <c r="E90" s="561"/>
      <c r="G90" s="561"/>
      <c r="H90" s="561"/>
      <c r="I90" s="575"/>
      <c r="J90" s="561"/>
      <c r="K90" s="561"/>
      <c r="L90" s="575"/>
      <c r="M90" s="561"/>
      <c r="N90" s="561"/>
      <c r="O90" s="575"/>
      <c r="P90" s="571">
        <v>0</v>
      </c>
      <c r="Q90" s="569"/>
      <c r="R90" s="571">
        <v>19</v>
      </c>
    </row>
    <row r="91" spans="1:18" ht="15" x14ac:dyDescent="0.25">
      <c r="C91" s="567"/>
      <c r="D91" s="567"/>
      <c r="E91" s="561"/>
      <c r="G91" s="561"/>
      <c r="H91" s="561"/>
      <c r="I91" s="575"/>
      <c r="J91" s="561"/>
      <c r="K91" s="561"/>
      <c r="L91" s="575"/>
      <c r="M91" s="561"/>
      <c r="N91" s="561"/>
      <c r="O91" s="575"/>
      <c r="P91" s="571"/>
      <c r="Q91" s="569"/>
      <c r="R91" s="571"/>
    </row>
    <row r="92" spans="1:18" ht="15" x14ac:dyDescent="0.25">
      <c r="A92" s="559">
        <f>A90+1</f>
        <v>66</v>
      </c>
      <c r="C92" s="567" t="s">
        <v>634</v>
      </c>
      <c r="D92" s="567"/>
      <c r="E92" s="561"/>
      <c r="G92" s="568">
        <v>68</v>
      </c>
      <c r="H92" s="568">
        <v>76</v>
      </c>
      <c r="I92" s="575"/>
      <c r="J92" s="568">
        <v>25</v>
      </c>
      <c r="K92" s="568">
        <v>92</v>
      </c>
      <c r="L92" s="575"/>
      <c r="M92" s="568">
        <v>26</v>
      </c>
      <c r="N92" s="568"/>
      <c r="O92" s="575"/>
      <c r="P92" s="571">
        <v>33</v>
      </c>
      <c r="Q92" s="569"/>
      <c r="R92" s="571">
        <v>43</v>
      </c>
    </row>
    <row r="93" spans="1:18" ht="15" x14ac:dyDescent="0.25">
      <c r="A93" s="559">
        <f>A92+1</f>
        <v>67</v>
      </c>
      <c r="C93" s="565" t="s">
        <v>635</v>
      </c>
      <c r="D93" s="565"/>
      <c r="E93" s="561"/>
      <c r="G93" s="569">
        <f>SUM(G8:G92)</f>
        <v>5574</v>
      </c>
      <c r="H93" s="569">
        <f>SUM(H8:H92)</f>
        <v>5964</v>
      </c>
      <c r="I93" s="569"/>
      <c r="J93" s="569">
        <f>SUM(J8:J92)</f>
        <v>8599</v>
      </c>
      <c r="K93" s="569">
        <f>SUM(K8:K92)</f>
        <v>7387</v>
      </c>
      <c r="L93" s="569"/>
      <c r="M93" s="569">
        <f>SUM(M8:M92)</f>
        <v>3060</v>
      </c>
      <c r="N93" s="569">
        <f>SUM(N8:N92)</f>
        <v>2900</v>
      </c>
      <c r="O93" s="569"/>
      <c r="P93" s="569">
        <f>SUM(P8:P92)</f>
        <v>6630</v>
      </c>
      <c r="Q93" s="569"/>
      <c r="R93" s="569">
        <f>SUM(R8:R92)</f>
        <v>5316</v>
      </c>
    </row>
    <row r="94" spans="1:18" ht="15" x14ac:dyDescent="0.25">
      <c r="C94" s="565"/>
      <c r="D94" s="565"/>
      <c r="E94" s="561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569"/>
      <c r="R94" s="569"/>
    </row>
    <row r="95" spans="1:18" ht="15" x14ac:dyDescent="0.25">
      <c r="A95" s="559">
        <f>A93+1</f>
        <v>68</v>
      </c>
      <c r="C95" s="565" t="s">
        <v>602</v>
      </c>
      <c r="D95" s="565"/>
      <c r="E95" s="561"/>
      <c r="G95" s="569"/>
      <c r="H95" s="569"/>
      <c r="I95" s="569"/>
      <c r="J95" s="569"/>
      <c r="K95" s="569"/>
      <c r="L95" s="569"/>
      <c r="M95" s="569"/>
      <c r="N95" s="569"/>
      <c r="O95" s="569"/>
      <c r="P95" s="571"/>
      <c r="Q95" s="569"/>
      <c r="R95" s="571"/>
    </row>
    <row r="96" spans="1:18" ht="15" x14ac:dyDescent="0.25">
      <c r="A96" s="559">
        <f>A95+1</f>
        <v>69</v>
      </c>
      <c r="C96" s="567" t="s">
        <v>778</v>
      </c>
      <c r="D96" s="567"/>
      <c r="E96" s="561" t="s">
        <v>978</v>
      </c>
      <c r="G96" s="568">
        <v>811</v>
      </c>
      <c r="H96" s="568">
        <v>3509</v>
      </c>
      <c r="I96" s="575"/>
      <c r="J96" s="568">
        <v>699</v>
      </c>
      <c r="K96" s="568">
        <v>2900</v>
      </c>
      <c r="L96" s="575"/>
      <c r="M96" s="568">
        <v>826</v>
      </c>
      <c r="N96" s="568">
        <v>4030</v>
      </c>
      <c r="O96" s="575"/>
      <c r="P96" s="571">
        <v>987</v>
      </c>
      <c r="Q96" s="569"/>
      <c r="R96" s="571">
        <v>1009</v>
      </c>
    </row>
    <row r="97" spans="1:18" ht="15" x14ac:dyDescent="0.25">
      <c r="A97" s="559">
        <f t="shared" ref="A97:A99" si="6">A96+1</f>
        <v>70</v>
      </c>
      <c r="C97" s="567" t="s">
        <v>723</v>
      </c>
      <c r="D97" s="567"/>
      <c r="E97" s="561" t="s">
        <v>978</v>
      </c>
      <c r="G97" s="568">
        <v>834</v>
      </c>
      <c r="H97" s="568">
        <v>600</v>
      </c>
      <c r="I97" s="575"/>
      <c r="J97" s="568">
        <v>712</v>
      </c>
      <c r="K97" s="568">
        <v>1000</v>
      </c>
      <c r="L97" s="575"/>
      <c r="M97" s="568">
        <v>852</v>
      </c>
      <c r="N97" s="568">
        <v>1000</v>
      </c>
      <c r="O97" s="575"/>
      <c r="P97" s="571">
        <v>1013</v>
      </c>
      <c r="Q97" s="569"/>
      <c r="R97" s="571">
        <v>1035</v>
      </c>
    </row>
    <row r="98" spans="1:18" ht="15" x14ac:dyDescent="0.25">
      <c r="A98" s="559">
        <f t="shared" si="6"/>
        <v>71</v>
      </c>
      <c r="C98" s="567" t="s">
        <v>724</v>
      </c>
      <c r="D98" s="567"/>
      <c r="E98" s="561" t="s">
        <v>978</v>
      </c>
      <c r="G98" s="568">
        <v>45</v>
      </c>
      <c r="H98" s="568">
        <v>190</v>
      </c>
      <c r="I98" s="575"/>
      <c r="J98" s="568">
        <v>64</v>
      </c>
      <c r="K98" s="568">
        <v>190</v>
      </c>
      <c r="L98" s="575"/>
      <c r="M98" s="568">
        <v>121</v>
      </c>
      <c r="N98" s="568">
        <v>190</v>
      </c>
      <c r="O98" s="575"/>
      <c r="P98" s="571">
        <v>120</v>
      </c>
      <c r="Q98" s="569"/>
      <c r="R98" s="571">
        <v>123</v>
      </c>
    </row>
    <row r="99" spans="1:18" ht="15" x14ac:dyDescent="0.25">
      <c r="A99" s="559">
        <f t="shared" si="6"/>
        <v>72</v>
      </c>
      <c r="C99" s="567" t="s">
        <v>637</v>
      </c>
      <c r="D99" s="567"/>
      <c r="E99" s="561"/>
      <c r="G99" s="568">
        <v>44</v>
      </c>
      <c r="H99" s="568">
        <v>80</v>
      </c>
      <c r="I99" s="575"/>
      <c r="J99" s="568">
        <v>66</v>
      </c>
      <c r="K99" s="568"/>
      <c r="L99" s="575"/>
      <c r="M99" s="568">
        <v>34</v>
      </c>
      <c r="N99" s="568"/>
      <c r="O99" s="575"/>
      <c r="P99" s="571">
        <v>40</v>
      </c>
      <c r="Q99" s="569"/>
      <c r="R99" s="571">
        <v>41</v>
      </c>
    </row>
    <row r="100" spans="1:18" ht="15" x14ac:dyDescent="0.25">
      <c r="C100" s="567"/>
      <c r="D100" s="567"/>
      <c r="E100" s="561"/>
      <c r="G100" s="568"/>
      <c r="H100" s="568"/>
      <c r="I100" s="575"/>
      <c r="J100" s="568"/>
      <c r="K100" s="568"/>
      <c r="L100" s="575"/>
      <c r="M100" s="568"/>
      <c r="N100" s="568"/>
      <c r="O100" s="575"/>
      <c r="P100" s="571"/>
      <c r="Q100" s="569"/>
      <c r="R100" s="571"/>
    </row>
    <row r="101" spans="1:18" ht="15" x14ac:dyDescent="0.25">
      <c r="A101" s="559">
        <f>A99+1</f>
        <v>73</v>
      </c>
      <c r="C101" s="567" t="s">
        <v>642</v>
      </c>
      <c r="D101" s="567"/>
      <c r="E101" s="561" t="s">
        <v>1016</v>
      </c>
      <c r="G101" s="561">
        <v>273</v>
      </c>
      <c r="H101" s="561">
        <v>0</v>
      </c>
      <c r="I101" s="575"/>
      <c r="J101" s="561">
        <v>138</v>
      </c>
      <c r="K101" s="561"/>
      <c r="L101" s="575"/>
      <c r="M101" s="561">
        <v>102</v>
      </c>
      <c r="N101" s="561"/>
      <c r="O101" s="575"/>
      <c r="P101" s="571">
        <v>0</v>
      </c>
      <c r="Q101" s="569"/>
      <c r="R101" s="571">
        <v>0</v>
      </c>
    </row>
    <row r="102" spans="1:18" ht="15" x14ac:dyDescent="0.25">
      <c r="A102" s="559">
        <f>A101+1</f>
        <v>74</v>
      </c>
      <c r="C102" s="567" t="s">
        <v>780</v>
      </c>
      <c r="D102" s="567"/>
      <c r="E102" s="561" t="s">
        <v>1011</v>
      </c>
      <c r="G102" s="561"/>
      <c r="H102" s="561"/>
      <c r="I102" s="575"/>
      <c r="J102" s="561"/>
      <c r="K102" s="561"/>
      <c r="L102" s="575"/>
      <c r="M102" s="561">
        <v>116</v>
      </c>
      <c r="N102" s="561"/>
      <c r="O102" s="575"/>
      <c r="P102" s="571">
        <v>0</v>
      </c>
      <c r="Q102" s="569"/>
      <c r="R102" s="571">
        <v>0</v>
      </c>
    </row>
    <row r="103" spans="1:18" ht="15" x14ac:dyDescent="0.25">
      <c r="A103" s="559">
        <f>A102+1</f>
        <v>75</v>
      </c>
      <c r="C103" s="567" t="s">
        <v>641</v>
      </c>
      <c r="D103" s="567"/>
      <c r="E103" s="561" t="s">
        <v>961</v>
      </c>
      <c r="G103" s="561"/>
      <c r="H103" s="561"/>
      <c r="I103" s="575"/>
      <c r="J103" s="561"/>
      <c r="K103" s="561">
        <v>977</v>
      </c>
      <c r="L103" s="575"/>
      <c r="M103" s="561"/>
      <c r="N103" s="561"/>
      <c r="O103" s="575"/>
      <c r="P103" s="571">
        <v>0</v>
      </c>
      <c r="Q103" s="569"/>
      <c r="R103" s="571">
        <v>1180</v>
      </c>
    </row>
    <row r="104" spans="1:18" ht="15" x14ac:dyDescent="0.25">
      <c r="C104" s="567"/>
      <c r="D104" s="567"/>
      <c r="E104" s="561"/>
      <c r="G104" s="561"/>
      <c r="H104" s="561"/>
      <c r="I104" s="575"/>
      <c r="J104" s="561"/>
      <c r="K104" s="561"/>
      <c r="L104" s="575"/>
      <c r="M104" s="561"/>
      <c r="N104" s="561"/>
      <c r="O104" s="575"/>
      <c r="P104" s="571"/>
      <c r="Q104" s="569"/>
      <c r="R104" s="571"/>
    </row>
    <row r="105" spans="1:18" ht="15" x14ac:dyDescent="0.25">
      <c r="A105" s="559">
        <f>A103+1</f>
        <v>76</v>
      </c>
      <c r="C105" s="567" t="s">
        <v>643</v>
      </c>
      <c r="D105" s="567"/>
      <c r="E105" s="561" t="s">
        <v>1012</v>
      </c>
      <c r="G105" s="561">
        <v>188</v>
      </c>
      <c r="H105" s="561">
        <v>0</v>
      </c>
      <c r="I105" s="575"/>
      <c r="J105" s="561"/>
      <c r="K105" s="561"/>
      <c r="L105" s="575"/>
      <c r="M105" s="561"/>
      <c r="N105" s="561"/>
      <c r="O105" s="575"/>
      <c r="P105" s="571">
        <v>0</v>
      </c>
      <c r="Q105" s="569"/>
      <c r="R105" s="571">
        <v>0</v>
      </c>
    </row>
    <row r="106" spans="1:18" ht="15" x14ac:dyDescent="0.25">
      <c r="A106" s="559">
        <f>A105+1</f>
        <v>77</v>
      </c>
      <c r="C106" s="567" t="s">
        <v>638</v>
      </c>
      <c r="D106" s="567"/>
      <c r="E106" s="561"/>
      <c r="G106" s="568">
        <v>132</v>
      </c>
      <c r="H106" s="568">
        <v>75</v>
      </c>
      <c r="I106" s="575"/>
      <c r="J106" s="568"/>
      <c r="K106" s="568"/>
      <c r="L106" s="575"/>
      <c r="M106" s="568"/>
      <c r="N106" s="568"/>
      <c r="O106" s="575"/>
      <c r="P106" s="571">
        <v>0</v>
      </c>
      <c r="Q106" s="569"/>
      <c r="R106" s="571">
        <v>0</v>
      </c>
    </row>
    <row r="107" spans="1:18" ht="15" x14ac:dyDescent="0.25">
      <c r="A107" s="559">
        <f t="shared" ref="A107:A111" si="7">A106+1</f>
        <v>78</v>
      </c>
      <c r="C107" s="567" t="s">
        <v>636</v>
      </c>
      <c r="D107" s="567"/>
      <c r="E107" s="561"/>
      <c r="G107" s="568"/>
      <c r="H107" s="568">
        <v>420</v>
      </c>
      <c r="I107" s="575"/>
      <c r="J107" s="568"/>
      <c r="K107" s="568"/>
      <c r="L107" s="575"/>
      <c r="M107" s="568"/>
      <c r="N107" s="568"/>
      <c r="O107" s="575"/>
      <c r="P107" s="571">
        <v>0</v>
      </c>
      <c r="Q107" s="569"/>
      <c r="R107" s="571">
        <v>0</v>
      </c>
    </row>
    <row r="108" spans="1:18" ht="15" x14ac:dyDescent="0.25">
      <c r="A108" s="559">
        <f t="shared" si="7"/>
        <v>79</v>
      </c>
      <c r="C108" s="567" t="s">
        <v>639</v>
      </c>
      <c r="D108" s="567"/>
      <c r="E108" s="561"/>
      <c r="G108" s="568"/>
      <c r="H108" s="568">
        <v>53</v>
      </c>
      <c r="I108" s="575"/>
      <c r="J108" s="568"/>
      <c r="K108" s="568"/>
      <c r="L108" s="575"/>
      <c r="M108" s="568"/>
      <c r="N108" s="568"/>
      <c r="O108" s="575"/>
      <c r="P108" s="571">
        <v>0</v>
      </c>
      <c r="Q108" s="569"/>
      <c r="R108" s="571">
        <v>0</v>
      </c>
    </row>
    <row r="109" spans="1:18" ht="15" x14ac:dyDescent="0.25">
      <c r="A109" s="559">
        <f t="shared" si="7"/>
        <v>80</v>
      </c>
      <c r="C109" s="567" t="s">
        <v>640</v>
      </c>
      <c r="D109" s="567"/>
      <c r="E109" s="561"/>
      <c r="G109" s="568"/>
      <c r="H109" s="568">
        <v>53</v>
      </c>
      <c r="I109" s="575"/>
      <c r="J109" s="568"/>
      <c r="K109" s="568"/>
      <c r="L109" s="575"/>
      <c r="M109" s="568"/>
      <c r="N109" s="568"/>
      <c r="O109" s="575"/>
      <c r="P109" s="571">
        <v>0</v>
      </c>
      <c r="Q109" s="569"/>
      <c r="R109" s="571">
        <v>0</v>
      </c>
    </row>
    <row r="110" spans="1:18" ht="15" x14ac:dyDescent="0.25">
      <c r="A110" s="559">
        <f t="shared" si="7"/>
        <v>81</v>
      </c>
      <c r="C110" s="567" t="s">
        <v>634</v>
      </c>
      <c r="D110" s="567"/>
      <c r="E110" s="561"/>
      <c r="G110" s="568">
        <v>23</v>
      </c>
      <c r="H110" s="568">
        <v>53</v>
      </c>
      <c r="I110" s="575"/>
      <c r="J110" s="568">
        <v>14</v>
      </c>
      <c r="K110" s="568">
        <v>80</v>
      </c>
      <c r="L110" s="575"/>
      <c r="M110" s="568">
        <v>47</v>
      </c>
      <c r="N110" s="568">
        <v>80</v>
      </c>
      <c r="O110" s="575"/>
      <c r="P110" s="571">
        <v>0</v>
      </c>
      <c r="Q110" s="569"/>
      <c r="R110" s="571">
        <v>0</v>
      </c>
    </row>
    <row r="111" spans="1:18" ht="15" x14ac:dyDescent="0.25">
      <c r="A111" s="559">
        <f t="shared" si="7"/>
        <v>82</v>
      </c>
      <c r="C111" s="565" t="s">
        <v>644</v>
      </c>
      <c r="D111" s="565"/>
      <c r="E111" s="561"/>
      <c r="G111" s="569">
        <f>SUM(G96:G110)</f>
        <v>2350</v>
      </c>
      <c r="H111" s="569">
        <f>SUM(H96:H110)</f>
        <v>5033</v>
      </c>
      <c r="I111" s="575"/>
      <c r="J111" s="569">
        <f>SUM(J96:J110)</f>
        <v>1693</v>
      </c>
      <c r="K111" s="569">
        <f>SUM(K96:K110)</f>
        <v>5147</v>
      </c>
      <c r="L111" s="575"/>
      <c r="M111" s="569">
        <f>SUM(M96:M110)</f>
        <v>2098</v>
      </c>
      <c r="N111" s="569">
        <f>SUM(N96:N110)</f>
        <v>5300</v>
      </c>
      <c r="O111" s="575"/>
      <c r="P111" s="569">
        <f>SUM(P96:P110)</f>
        <v>2160</v>
      </c>
      <c r="Q111" s="569"/>
      <c r="R111" s="569">
        <f>SUM(R96:R110)</f>
        <v>3388</v>
      </c>
    </row>
    <row r="112" spans="1:18" ht="15" x14ac:dyDescent="0.25">
      <c r="C112" s="565"/>
      <c r="D112" s="565"/>
      <c r="G112" s="569"/>
      <c r="H112" s="569"/>
      <c r="I112" s="575"/>
      <c r="J112" s="569"/>
      <c r="K112" s="569"/>
      <c r="L112" s="575"/>
      <c r="M112" s="569"/>
      <c r="N112" s="569"/>
      <c r="O112" s="575"/>
      <c r="P112" s="569"/>
      <c r="Q112" s="569"/>
      <c r="R112" s="569"/>
    </row>
    <row r="113" spans="1:19" ht="15.75" x14ac:dyDescent="0.25">
      <c r="A113" s="261" t="s">
        <v>1006</v>
      </c>
      <c r="B113" s="261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58" t="s">
        <v>614</v>
      </c>
    </row>
    <row r="114" spans="1:19" ht="15.75" x14ac:dyDescent="0.25">
      <c r="A114" s="261" t="s">
        <v>555</v>
      </c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1"/>
      <c r="S114" s="58" t="s">
        <v>967</v>
      </c>
    </row>
    <row r="115" spans="1:19" ht="15.75" x14ac:dyDescent="0.25">
      <c r="A115" s="261" t="s">
        <v>1005</v>
      </c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1"/>
    </row>
    <row r="116" spans="1:19" ht="15.75" x14ac:dyDescent="0.25">
      <c r="A116" s="261" t="s">
        <v>18</v>
      </c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</row>
    <row r="117" spans="1:19" x14ac:dyDescent="0.2">
      <c r="G117" s="560"/>
      <c r="J117" s="560"/>
      <c r="M117" s="561"/>
    </row>
    <row r="118" spans="1:19" ht="15" x14ac:dyDescent="0.25">
      <c r="A118" s="562" t="s">
        <v>19</v>
      </c>
      <c r="B118" s="562"/>
      <c r="E118" s="416" t="s">
        <v>20</v>
      </c>
      <c r="G118" s="579" t="s">
        <v>11</v>
      </c>
      <c r="H118" s="579" t="s">
        <v>4</v>
      </c>
      <c r="I118" s="579"/>
      <c r="J118" s="579" t="s">
        <v>11</v>
      </c>
      <c r="K118" s="579" t="s">
        <v>4</v>
      </c>
      <c r="L118" s="579"/>
      <c r="M118" s="579" t="s">
        <v>11</v>
      </c>
      <c r="N118" s="579" t="s">
        <v>4</v>
      </c>
      <c r="O118" s="579"/>
      <c r="P118" s="613" t="s">
        <v>293</v>
      </c>
      <c r="Q118" s="613"/>
      <c r="R118" s="613"/>
    </row>
    <row r="119" spans="1:19" ht="15" x14ac:dyDescent="0.25">
      <c r="A119" s="563" t="s">
        <v>615</v>
      </c>
      <c r="B119" s="562"/>
      <c r="C119" s="564" t="s">
        <v>616</v>
      </c>
      <c r="D119" s="565"/>
      <c r="E119" s="428" t="s">
        <v>22</v>
      </c>
      <c r="F119" s="565"/>
      <c r="G119" s="578" t="s">
        <v>819</v>
      </c>
      <c r="H119" s="578" t="s">
        <v>819</v>
      </c>
      <c r="I119" s="566"/>
      <c r="J119" s="578" t="s">
        <v>818</v>
      </c>
      <c r="K119" s="578" t="s">
        <v>818</v>
      </c>
      <c r="L119" s="566"/>
      <c r="M119" s="578" t="s">
        <v>817</v>
      </c>
      <c r="N119" s="578" t="s">
        <v>817</v>
      </c>
      <c r="O119" s="566"/>
      <c r="P119" s="577" t="s">
        <v>815</v>
      </c>
      <c r="Q119" s="566"/>
      <c r="R119" s="577" t="s">
        <v>816</v>
      </c>
    </row>
    <row r="120" spans="1:19" ht="15" x14ac:dyDescent="0.25">
      <c r="A120" s="559">
        <f>A111+1</f>
        <v>83</v>
      </c>
      <c r="C120" s="565" t="s">
        <v>603</v>
      </c>
      <c r="D120" s="565"/>
      <c r="G120" s="569"/>
      <c r="H120" s="569"/>
      <c r="I120" s="575"/>
      <c r="J120" s="569"/>
      <c r="K120" s="569"/>
      <c r="L120" s="575"/>
      <c r="M120" s="569"/>
      <c r="N120" s="569"/>
      <c r="O120" s="575"/>
      <c r="P120" s="571"/>
      <c r="Q120" s="569"/>
      <c r="R120" s="571"/>
    </row>
    <row r="121" spans="1:19" ht="15" x14ac:dyDescent="0.25">
      <c r="A121" s="559">
        <f>A120+1</f>
        <v>84</v>
      </c>
      <c r="C121" s="567" t="s">
        <v>725</v>
      </c>
      <c r="D121" s="567"/>
      <c r="E121" s="561" t="s">
        <v>979</v>
      </c>
      <c r="G121" s="568">
        <v>364</v>
      </c>
      <c r="H121" s="568">
        <v>374</v>
      </c>
      <c r="I121" s="575"/>
      <c r="J121" s="568">
        <v>403</v>
      </c>
      <c r="K121" s="568">
        <v>389</v>
      </c>
      <c r="L121" s="575"/>
      <c r="M121" s="568">
        <v>402</v>
      </c>
      <c r="N121" s="568">
        <v>405</v>
      </c>
      <c r="O121" s="575"/>
      <c r="P121" s="571">
        <v>440</v>
      </c>
      <c r="Q121" s="569"/>
      <c r="R121" s="571">
        <v>450</v>
      </c>
    </row>
    <row r="122" spans="1:19" ht="15" x14ac:dyDescent="0.25">
      <c r="A122" s="559">
        <f>A121+1</f>
        <v>85</v>
      </c>
      <c r="C122" s="567" t="s">
        <v>726</v>
      </c>
      <c r="D122" s="567"/>
      <c r="E122" s="561" t="s">
        <v>979</v>
      </c>
      <c r="G122" s="568">
        <v>147</v>
      </c>
      <c r="H122" s="568">
        <v>260</v>
      </c>
      <c r="I122" s="575"/>
      <c r="J122" s="568">
        <v>96</v>
      </c>
      <c r="K122" s="568">
        <v>260</v>
      </c>
      <c r="L122" s="575"/>
      <c r="M122" s="568">
        <v>111</v>
      </c>
      <c r="N122" s="568">
        <v>260</v>
      </c>
      <c r="O122" s="575"/>
      <c r="P122" s="571">
        <v>298</v>
      </c>
      <c r="Q122" s="569"/>
      <c r="R122" s="571">
        <v>286</v>
      </c>
    </row>
    <row r="123" spans="1:19" ht="15" x14ac:dyDescent="0.25">
      <c r="A123" s="559">
        <f>A122+1</f>
        <v>86</v>
      </c>
      <c r="C123" s="567" t="s">
        <v>645</v>
      </c>
      <c r="D123" s="567"/>
      <c r="E123" s="561" t="s">
        <v>973</v>
      </c>
      <c r="G123" s="568">
        <v>103</v>
      </c>
      <c r="H123" s="568">
        <v>175</v>
      </c>
      <c r="I123" s="575"/>
      <c r="J123" s="568">
        <v>29</v>
      </c>
      <c r="K123" s="568">
        <v>100</v>
      </c>
      <c r="L123" s="575"/>
      <c r="M123" s="568">
        <v>101</v>
      </c>
      <c r="N123" s="568">
        <v>100</v>
      </c>
      <c r="O123" s="575"/>
      <c r="P123" s="571">
        <v>150</v>
      </c>
      <c r="Q123" s="569"/>
      <c r="R123" s="571">
        <v>51</v>
      </c>
    </row>
    <row r="124" spans="1:19" ht="15" x14ac:dyDescent="0.25">
      <c r="A124" s="559">
        <f t="shared" ref="A124:A126" si="8">A123+1</f>
        <v>87</v>
      </c>
      <c r="C124" s="567" t="s">
        <v>833</v>
      </c>
      <c r="D124" s="567"/>
      <c r="E124" s="561" t="s">
        <v>981</v>
      </c>
      <c r="G124" s="568"/>
      <c r="H124" s="568"/>
      <c r="I124" s="575"/>
      <c r="J124" s="568">
        <v>20</v>
      </c>
      <c r="K124" s="568"/>
      <c r="L124" s="575"/>
      <c r="M124" s="568">
        <v>21</v>
      </c>
      <c r="N124" s="568"/>
      <c r="O124" s="575"/>
      <c r="P124" s="571">
        <v>40</v>
      </c>
      <c r="Q124" s="569"/>
      <c r="R124" s="571">
        <v>102</v>
      </c>
    </row>
    <row r="125" spans="1:19" ht="15" x14ac:dyDescent="0.25">
      <c r="A125" s="559">
        <f t="shared" si="8"/>
        <v>88</v>
      </c>
      <c r="C125" s="567" t="s">
        <v>830</v>
      </c>
      <c r="D125" s="567"/>
      <c r="E125" s="561"/>
      <c r="G125" s="568">
        <v>26</v>
      </c>
      <c r="H125" s="568">
        <v>65</v>
      </c>
      <c r="I125" s="575"/>
      <c r="J125" s="568">
        <v>78</v>
      </c>
      <c r="K125" s="568">
        <v>70</v>
      </c>
      <c r="L125" s="575"/>
      <c r="M125" s="568">
        <v>20</v>
      </c>
      <c r="N125" s="568"/>
      <c r="O125" s="575"/>
      <c r="P125" s="571">
        <v>50</v>
      </c>
      <c r="Q125" s="569"/>
      <c r="R125" s="571">
        <v>51</v>
      </c>
    </row>
    <row r="126" spans="1:19" ht="15" x14ac:dyDescent="0.25">
      <c r="A126" s="559">
        <f t="shared" si="8"/>
        <v>89</v>
      </c>
      <c r="C126" s="567" t="s">
        <v>646</v>
      </c>
      <c r="D126" s="567"/>
      <c r="E126" s="561"/>
      <c r="G126" s="568">
        <v>0</v>
      </c>
      <c r="H126" s="568">
        <v>110</v>
      </c>
      <c r="I126" s="575"/>
      <c r="J126" s="568"/>
      <c r="K126" s="568">
        <v>120</v>
      </c>
      <c r="L126" s="575"/>
      <c r="M126" s="568"/>
      <c r="N126" s="568">
        <v>130</v>
      </c>
      <c r="O126" s="575"/>
      <c r="P126" s="571">
        <v>0</v>
      </c>
      <c r="Q126" s="569"/>
      <c r="R126" s="571">
        <v>0</v>
      </c>
    </row>
    <row r="127" spans="1:19" ht="15" x14ac:dyDescent="0.25">
      <c r="C127" s="567"/>
      <c r="D127" s="567"/>
      <c r="E127" s="561"/>
      <c r="G127" s="568"/>
      <c r="H127" s="568"/>
      <c r="I127" s="575"/>
      <c r="J127" s="568"/>
      <c r="K127" s="568"/>
      <c r="L127" s="575"/>
      <c r="M127" s="568"/>
      <c r="N127" s="568"/>
      <c r="O127" s="575"/>
      <c r="P127" s="571"/>
      <c r="Q127" s="569"/>
      <c r="R127" s="571"/>
    </row>
    <row r="128" spans="1:19" ht="15" x14ac:dyDescent="0.25">
      <c r="A128" s="559">
        <f>+A126</f>
        <v>89</v>
      </c>
      <c r="C128" s="567" t="s">
        <v>727</v>
      </c>
      <c r="D128" s="567"/>
      <c r="E128" s="561" t="s">
        <v>1018</v>
      </c>
      <c r="G128" s="568">
        <v>656</v>
      </c>
      <c r="H128" s="568">
        <v>475</v>
      </c>
      <c r="I128" s="575"/>
      <c r="J128" s="568">
        <v>418</v>
      </c>
      <c r="K128" s="568">
        <v>250</v>
      </c>
      <c r="L128" s="575"/>
      <c r="M128" s="568">
        <v>379</v>
      </c>
      <c r="N128" s="568"/>
      <c r="O128" s="575"/>
      <c r="P128" s="571">
        <v>565</v>
      </c>
      <c r="Q128" s="569"/>
      <c r="R128" s="571">
        <v>930</v>
      </c>
    </row>
    <row r="129" spans="1:18" ht="15" x14ac:dyDescent="0.25">
      <c r="A129" s="559">
        <f>+A128+1</f>
        <v>90</v>
      </c>
      <c r="C129" s="567" t="s">
        <v>660</v>
      </c>
      <c r="D129" s="567"/>
      <c r="E129" s="561" t="s">
        <v>963</v>
      </c>
      <c r="G129" s="561"/>
      <c r="H129" s="561"/>
      <c r="I129" s="575"/>
      <c r="J129" s="561">
        <v>361</v>
      </c>
      <c r="K129" s="561">
        <v>450</v>
      </c>
      <c r="L129" s="575"/>
      <c r="M129" s="561">
        <v>519</v>
      </c>
      <c r="N129" s="561">
        <v>450</v>
      </c>
      <c r="O129" s="575"/>
      <c r="P129" s="571">
        <v>0</v>
      </c>
      <c r="Q129" s="569"/>
      <c r="R129" s="571">
        <v>0</v>
      </c>
    </row>
    <row r="130" spans="1:18" ht="15" x14ac:dyDescent="0.25">
      <c r="A130" s="559">
        <f t="shared" ref="A130:A131" si="9">+A129+1</f>
        <v>91</v>
      </c>
      <c r="C130" s="567" t="s">
        <v>661</v>
      </c>
      <c r="D130" s="567"/>
      <c r="E130" s="561" t="s">
        <v>963</v>
      </c>
      <c r="G130" s="561"/>
      <c r="H130" s="561"/>
      <c r="I130" s="575"/>
      <c r="J130" s="561"/>
      <c r="K130" s="561"/>
      <c r="L130" s="575"/>
      <c r="M130" s="561"/>
      <c r="N130" s="561"/>
      <c r="O130" s="575"/>
      <c r="P130" s="571">
        <v>1455</v>
      </c>
      <c r="Q130" s="569"/>
      <c r="R130" s="571">
        <v>368</v>
      </c>
    </row>
    <row r="131" spans="1:18" ht="15" x14ac:dyDescent="0.25">
      <c r="A131" s="559">
        <f t="shared" si="9"/>
        <v>92</v>
      </c>
      <c r="C131" s="567" t="s">
        <v>650</v>
      </c>
      <c r="D131" s="567"/>
      <c r="E131" s="561" t="s">
        <v>980</v>
      </c>
      <c r="G131" s="568">
        <v>337</v>
      </c>
      <c r="H131" s="568">
        <v>275</v>
      </c>
      <c r="I131" s="575"/>
      <c r="J131" s="568">
        <v>29</v>
      </c>
      <c r="K131" s="568">
        <v>250</v>
      </c>
      <c r="L131" s="575"/>
      <c r="M131" s="568">
        <v>314</v>
      </c>
      <c r="N131" s="568"/>
      <c r="O131" s="575"/>
      <c r="P131" s="571">
        <v>0</v>
      </c>
      <c r="Q131" s="569"/>
      <c r="R131" s="571">
        <v>153</v>
      </c>
    </row>
    <row r="132" spans="1:18" ht="15" x14ac:dyDescent="0.25">
      <c r="C132" s="567"/>
      <c r="D132" s="567"/>
      <c r="E132" s="561"/>
      <c r="G132" s="561"/>
      <c r="H132" s="561"/>
      <c r="I132" s="575"/>
      <c r="J132" s="561"/>
      <c r="K132" s="561"/>
      <c r="L132" s="575"/>
      <c r="M132" s="561"/>
      <c r="N132" s="561"/>
      <c r="O132" s="575"/>
      <c r="P132" s="571"/>
      <c r="Q132" s="569"/>
      <c r="R132" s="571"/>
    </row>
    <row r="133" spans="1:18" ht="15" x14ac:dyDescent="0.25">
      <c r="A133" s="559">
        <f>+A131+1</f>
        <v>93</v>
      </c>
      <c r="C133" s="567" t="s">
        <v>864</v>
      </c>
      <c r="D133" s="567"/>
      <c r="E133" s="561" t="s">
        <v>1013</v>
      </c>
      <c r="G133" s="568">
        <v>483</v>
      </c>
      <c r="H133" s="568">
        <v>0</v>
      </c>
      <c r="I133" s="575"/>
      <c r="J133" s="568"/>
      <c r="K133" s="568"/>
      <c r="L133" s="575"/>
      <c r="M133" s="568"/>
      <c r="N133" s="568"/>
      <c r="O133" s="575"/>
      <c r="P133" s="571">
        <v>0</v>
      </c>
      <c r="Q133" s="569"/>
      <c r="R133" s="571">
        <v>0</v>
      </c>
    </row>
    <row r="134" spans="1:18" ht="15" x14ac:dyDescent="0.25">
      <c r="A134" s="559">
        <f>+A133+1</f>
        <v>94</v>
      </c>
      <c r="C134" s="567" t="s">
        <v>647</v>
      </c>
      <c r="D134" s="567"/>
      <c r="E134" s="561"/>
      <c r="G134" s="568"/>
      <c r="H134" s="568">
        <v>424</v>
      </c>
      <c r="I134" s="575"/>
      <c r="J134" s="568"/>
      <c r="K134" s="568"/>
      <c r="L134" s="575"/>
      <c r="M134" s="568"/>
      <c r="N134" s="568"/>
      <c r="O134" s="575"/>
      <c r="P134" s="571">
        <v>0</v>
      </c>
      <c r="Q134" s="569"/>
      <c r="R134" s="571">
        <v>0</v>
      </c>
    </row>
    <row r="135" spans="1:18" ht="15" x14ac:dyDescent="0.25">
      <c r="A135" s="559">
        <f t="shared" ref="A135:A154" si="10">+A134+1</f>
        <v>95</v>
      </c>
      <c r="C135" s="567" t="s">
        <v>652</v>
      </c>
      <c r="D135" s="567"/>
      <c r="E135" s="561"/>
      <c r="G135" s="568">
        <v>364</v>
      </c>
      <c r="H135" s="568">
        <v>250</v>
      </c>
      <c r="I135" s="575"/>
      <c r="J135" s="568"/>
      <c r="K135" s="568"/>
      <c r="L135" s="575"/>
      <c r="M135" s="568"/>
      <c r="N135" s="568"/>
      <c r="O135" s="575"/>
      <c r="P135" s="571">
        <v>0</v>
      </c>
      <c r="Q135" s="569"/>
      <c r="R135" s="571">
        <v>0</v>
      </c>
    </row>
    <row r="136" spans="1:18" ht="15" x14ac:dyDescent="0.25">
      <c r="A136" s="559">
        <f t="shared" si="10"/>
        <v>96</v>
      </c>
      <c r="C136" s="567" t="s">
        <v>648</v>
      </c>
      <c r="D136" s="567"/>
      <c r="E136" s="561"/>
      <c r="G136" s="568">
        <v>338</v>
      </c>
      <c r="H136" s="568">
        <v>325</v>
      </c>
      <c r="I136" s="575"/>
      <c r="J136" s="568"/>
      <c r="K136" s="568"/>
      <c r="L136" s="575"/>
      <c r="M136" s="568"/>
      <c r="N136" s="568"/>
      <c r="O136" s="575"/>
      <c r="P136" s="571">
        <v>0</v>
      </c>
      <c r="Q136" s="569"/>
      <c r="R136" s="571">
        <v>0</v>
      </c>
    </row>
    <row r="137" spans="1:18" ht="15" x14ac:dyDescent="0.25">
      <c r="A137" s="559">
        <f t="shared" si="10"/>
        <v>97</v>
      </c>
      <c r="C137" s="567" t="s">
        <v>653</v>
      </c>
      <c r="D137" s="567"/>
      <c r="E137" s="561"/>
      <c r="G137" s="568">
        <v>212</v>
      </c>
      <c r="H137" s="568">
        <v>248</v>
      </c>
      <c r="I137" s="575"/>
      <c r="J137" s="568"/>
      <c r="K137" s="568"/>
      <c r="L137" s="575"/>
      <c r="M137" s="568"/>
      <c r="N137" s="568"/>
      <c r="O137" s="575"/>
      <c r="P137" s="571">
        <v>0</v>
      </c>
      <c r="Q137" s="569"/>
      <c r="R137" s="571">
        <v>0</v>
      </c>
    </row>
    <row r="138" spans="1:18" ht="15" x14ac:dyDescent="0.25">
      <c r="A138" s="559">
        <f t="shared" si="10"/>
        <v>98</v>
      </c>
      <c r="C138" s="567" t="s">
        <v>649</v>
      </c>
      <c r="D138" s="567"/>
      <c r="E138" s="561"/>
      <c r="G138" s="568">
        <v>151</v>
      </c>
      <c r="H138" s="568">
        <v>300</v>
      </c>
      <c r="I138" s="575"/>
      <c r="J138" s="568"/>
      <c r="K138" s="568"/>
      <c r="L138" s="575"/>
      <c r="M138" s="568">
        <v>184</v>
      </c>
      <c r="N138" s="568">
        <v>276</v>
      </c>
      <c r="O138" s="575"/>
      <c r="P138" s="571">
        <v>0</v>
      </c>
      <c r="Q138" s="569"/>
      <c r="R138" s="571">
        <v>0</v>
      </c>
    </row>
    <row r="139" spans="1:18" ht="15" x14ac:dyDescent="0.25">
      <c r="A139" s="559">
        <f t="shared" si="10"/>
        <v>99</v>
      </c>
      <c r="C139" s="567" t="s">
        <v>655</v>
      </c>
      <c r="D139" s="567"/>
      <c r="E139" s="561"/>
      <c r="G139" s="568">
        <v>135</v>
      </c>
      <c r="H139" s="568">
        <v>100</v>
      </c>
      <c r="I139" s="575"/>
      <c r="J139" s="568"/>
      <c r="K139" s="568"/>
      <c r="L139" s="575"/>
      <c r="M139" s="568"/>
      <c r="N139" s="568"/>
      <c r="O139" s="575"/>
      <c r="P139" s="571">
        <v>0</v>
      </c>
      <c r="Q139" s="569"/>
      <c r="R139" s="571">
        <v>0</v>
      </c>
    </row>
    <row r="140" spans="1:18" ht="15" x14ac:dyDescent="0.25">
      <c r="A140" s="559">
        <f t="shared" si="10"/>
        <v>100</v>
      </c>
      <c r="C140" s="567" t="s">
        <v>656</v>
      </c>
      <c r="D140" s="567"/>
      <c r="E140" s="561"/>
      <c r="G140" s="568">
        <v>93</v>
      </c>
      <c r="H140" s="568">
        <v>53</v>
      </c>
      <c r="I140" s="575"/>
      <c r="J140" s="568"/>
      <c r="K140" s="568"/>
      <c r="L140" s="575"/>
      <c r="M140" s="568"/>
      <c r="N140" s="568"/>
      <c r="O140" s="575"/>
      <c r="P140" s="571">
        <v>0</v>
      </c>
      <c r="Q140" s="569"/>
      <c r="R140" s="571">
        <v>0</v>
      </c>
    </row>
    <row r="141" spans="1:18" ht="15" x14ac:dyDescent="0.25">
      <c r="A141" s="559">
        <f t="shared" si="10"/>
        <v>101</v>
      </c>
      <c r="C141" s="567" t="s">
        <v>828</v>
      </c>
      <c r="D141" s="567"/>
      <c r="E141" s="561"/>
      <c r="G141" s="568">
        <v>60</v>
      </c>
      <c r="H141" s="568"/>
      <c r="I141" s="575"/>
      <c r="J141" s="568"/>
      <c r="K141" s="568"/>
      <c r="L141" s="575"/>
      <c r="M141" s="568"/>
      <c r="N141" s="568"/>
      <c r="O141" s="575"/>
      <c r="P141" s="571">
        <v>0</v>
      </c>
      <c r="Q141" s="569"/>
      <c r="R141" s="571">
        <v>0</v>
      </c>
    </row>
    <row r="142" spans="1:18" ht="15" x14ac:dyDescent="0.25">
      <c r="A142" s="559">
        <f t="shared" si="10"/>
        <v>102</v>
      </c>
      <c r="C142" s="567" t="s">
        <v>792</v>
      </c>
      <c r="D142" s="567"/>
      <c r="E142" s="561"/>
      <c r="G142" s="568">
        <v>45</v>
      </c>
      <c r="H142" s="568"/>
      <c r="I142" s="575"/>
      <c r="J142" s="568"/>
      <c r="K142" s="568"/>
      <c r="L142" s="575"/>
      <c r="M142" s="568"/>
      <c r="N142" s="568"/>
      <c r="O142" s="575"/>
      <c r="P142" s="571">
        <v>0</v>
      </c>
      <c r="Q142" s="569"/>
      <c r="R142" s="571">
        <v>0</v>
      </c>
    </row>
    <row r="143" spans="1:18" ht="15" x14ac:dyDescent="0.25">
      <c r="A143" s="559">
        <f t="shared" si="10"/>
        <v>103</v>
      </c>
      <c r="C143" s="567" t="s">
        <v>803</v>
      </c>
      <c r="D143" s="567"/>
      <c r="E143" s="561"/>
      <c r="G143" s="568">
        <v>45</v>
      </c>
      <c r="H143" s="568"/>
      <c r="I143" s="575"/>
      <c r="J143" s="568"/>
      <c r="K143" s="568"/>
      <c r="L143" s="575"/>
      <c r="M143" s="568"/>
      <c r="N143" s="568"/>
      <c r="O143" s="575"/>
      <c r="P143" s="571">
        <v>0</v>
      </c>
      <c r="Q143" s="569"/>
      <c r="R143" s="571">
        <v>0</v>
      </c>
    </row>
    <row r="144" spans="1:18" ht="15" x14ac:dyDescent="0.25">
      <c r="A144" s="559">
        <f t="shared" si="10"/>
        <v>104</v>
      </c>
      <c r="C144" s="567" t="s">
        <v>793</v>
      </c>
      <c r="D144" s="567"/>
      <c r="E144" s="561"/>
      <c r="G144" s="568">
        <v>39</v>
      </c>
      <c r="H144" s="568"/>
      <c r="I144" s="575"/>
      <c r="J144" s="568"/>
      <c r="K144" s="568"/>
      <c r="L144" s="575"/>
      <c r="M144" s="568"/>
      <c r="N144" s="568"/>
      <c r="O144" s="575"/>
      <c r="P144" s="571">
        <v>0</v>
      </c>
      <c r="Q144" s="569"/>
      <c r="R144" s="571">
        <v>0</v>
      </c>
    </row>
    <row r="145" spans="1:18" ht="15" x14ac:dyDescent="0.25">
      <c r="A145" s="559">
        <f t="shared" si="10"/>
        <v>105</v>
      </c>
      <c r="C145" s="567" t="s">
        <v>657</v>
      </c>
      <c r="D145" s="567"/>
      <c r="E145" s="561"/>
      <c r="G145" s="568">
        <v>37</v>
      </c>
      <c r="H145" s="568">
        <v>34</v>
      </c>
      <c r="I145" s="575"/>
      <c r="J145" s="568"/>
      <c r="K145" s="568"/>
      <c r="L145" s="575"/>
      <c r="M145" s="568"/>
      <c r="N145" s="568"/>
      <c r="O145" s="575"/>
      <c r="P145" s="571">
        <v>0</v>
      </c>
      <c r="Q145" s="569"/>
      <c r="R145" s="571">
        <v>0</v>
      </c>
    </row>
    <row r="146" spans="1:18" ht="15" x14ac:dyDescent="0.25">
      <c r="A146" s="559">
        <f t="shared" si="10"/>
        <v>106</v>
      </c>
      <c r="C146" s="567" t="s">
        <v>794</v>
      </c>
      <c r="D146" s="567"/>
      <c r="E146" s="561"/>
      <c r="G146" s="568">
        <v>29</v>
      </c>
      <c r="H146" s="568"/>
      <c r="I146" s="575"/>
      <c r="J146" s="568"/>
      <c r="K146" s="568"/>
      <c r="L146" s="575"/>
      <c r="M146" s="568"/>
      <c r="N146" s="568"/>
      <c r="O146" s="575"/>
      <c r="P146" s="571">
        <v>0</v>
      </c>
      <c r="Q146" s="569"/>
      <c r="R146" s="571">
        <v>0</v>
      </c>
    </row>
    <row r="147" spans="1:18" ht="15" x14ac:dyDescent="0.25">
      <c r="A147" s="559">
        <f t="shared" si="10"/>
        <v>107</v>
      </c>
      <c r="C147" s="567" t="s">
        <v>795</v>
      </c>
      <c r="D147" s="567"/>
      <c r="E147" s="561"/>
      <c r="G147" s="568">
        <v>29</v>
      </c>
      <c r="H147" s="568"/>
      <c r="I147" s="575"/>
      <c r="J147" s="568"/>
      <c r="K147" s="568"/>
      <c r="L147" s="575"/>
      <c r="M147" s="568"/>
      <c r="N147" s="568"/>
      <c r="O147" s="575"/>
      <c r="P147" s="571">
        <v>0</v>
      </c>
      <c r="Q147" s="569"/>
      <c r="R147" s="571">
        <v>0</v>
      </c>
    </row>
    <row r="148" spans="1:18" ht="15" x14ac:dyDescent="0.25">
      <c r="A148" s="559">
        <f t="shared" si="10"/>
        <v>108</v>
      </c>
      <c r="C148" s="567" t="s">
        <v>796</v>
      </c>
      <c r="D148" s="567"/>
      <c r="E148" s="561"/>
      <c r="G148" s="568">
        <v>28</v>
      </c>
      <c r="H148" s="568"/>
      <c r="I148" s="575"/>
      <c r="J148" s="568"/>
      <c r="K148" s="568"/>
      <c r="L148" s="575"/>
      <c r="M148" s="568"/>
      <c r="N148" s="568"/>
      <c r="O148" s="575"/>
      <c r="P148" s="571">
        <v>0</v>
      </c>
      <c r="Q148" s="569"/>
      <c r="R148" s="571">
        <v>0</v>
      </c>
    </row>
    <row r="149" spans="1:18" ht="15" x14ac:dyDescent="0.25">
      <c r="A149" s="559">
        <f t="shared" si="10"/>
        <v>109</v>
      </c>
      <c r="C149" s="567" t="s">
        <v>797</v>
      </c>
      <c r="D149" s="567"/>
      <c r="E149" s="561"/>
      <c r="G149" s="568">
        <v>22</v>
      </c>
      <c r="H149" s="568"/>
      <c r="I149" s="575"/>
      <c r="J149" s="568"/>
      <c r="K149" s="568"/>
      <c r="L149" s="575"/>
      <c r="M149" s="568"/>
      <c r="N149" s="568"/>
      <c r="O149" s="575"/>
      <c r="P149" s="571">
        <v>0</v>
      </c>
      <c r="Q149" s="569"/>
      <c r="R149" s="571">
        <v>0</v>
      </c>
    </row>
    <row r="150" spans="1:18" ht="15" x14ac:dyDescent="0.25">
      <c r="A150" s="559">
        <f t="shared" si="10"/>
        <v>110</v>
      </c>
      <c r="C150" s="567" t="s">
        <v>798</v>
      </c>
      <c r="D150" s="567"/>
      <c r="E150" s="561"/>
      <c r="G150" s="568">
        <v>22</v>
      </c>
      <c r="H150" s="568"/>
      <c r="I150" s="575"/>
      <c r="J150" s="568"/>
      <c r="K150" s="568"/>
      <c r="L150" s="575"/>
      <c r="M150" s="568"/>
      <c r="N150" s="568"/>
      <c r="O150" s="575"/>
      <c r="P150" s="571">
        <v>0</v>
      </c>
      <c r="Q150" s="569"/>
      <c r="R150" s="571">
        <v>0</v>
      </c>
    </row>
    <row r="151" spans="1:18" ht="15" x14ac:dyDescent="0.25">
      <c r="A151" s="559">
        <f t="shared" si="10"/>
        <v>111</v>
      </c>
      <c r="C151" s="567" t="s">
        <v>651</v>
      </c>
      <c r="D151" s="567"/>
      <c r="E151" s="561"/>
      <c r="G151" s="568"/>
      <c r="H151" s="568">
        <v>250</v>
      </c>
      <c r="I151" s="575"/>
      <c r="J151" s="568"/>
      <c r="K151" s="568">
        <v>300</v>
      </c>
      <c r="L151" s="575"/>
      <c r="M151" s="568"/>
      <c r="N151" s="568"/>
      <c r="O151" s="575"/>
      <c r="P151" s="571">
        <v>0</v>
      </c>
      <c r="Q151" s="569"/>
      <c r="R151" s="571">
        <v>0</v>
      </c>
    </row>
    <row r="152" spans="1:18" ht="15" x14ac:dyDescent="0.25">
      <c r="A152" s="559">
        <f t="shared" si="10"/>
        <v>112</v>
      </c>
      <c r="C152" s="567" t="s">
        <v>654</v>
      </c>
      <c r="D152" s="567"/>
      <c r="E152" s="561"/>
      <c r="G152" s="568"/>
      <c r="H152" s="568">
        <v>100</v>
      </c>
      <c r="I152" s="575"/>
      <c r="J152" s="568"/>
      <c r="K152" s="568"/>
      <c r="L152" s="575"/>
      <c r="M152" s="568"/>
      <c r="N152" s="568"/>
      <c r="O152" s="575"/>
      <c r="P152" s="571">
        <v>0</v>
      </c>
      <c r="Q152" s="569"/>
      <c r="R152" s="571">
        <v>0</v>
      </c>
    </row>
    <row r="153" spans="1:18" ht="15" x14ac:dyDescent="0.25">
      <c r="A153" s="559">
        <f t="shared" si="10"/>
        <v>113</v>
      </c>
      <c r="C153" s="567" t="s">
        <v>821</v>
      </c>
      <c r="D153" s="567"/>
      <c r="E153" s="561"/>
      <c r="G153" s="568"/>
      <c r="H153" s="568">
        <v>75</v>
      </c>
      <c r="I153" s="575"/>
      <c r="J153" s="568">
        <v>28</v>
      </c>
      <c r="K153" s="568">
        <v>75</v>
      </c>
      <c r="L153" s="575"/>
      <c r="M153" s="568">
        <v>73</v>
      </c>
      <c r="N153" s="568"/>
      <c r="O153" s="575"/>
      <c r="P153" s="571">
        <v>0</v>
      </c>
      <c r="Q153" s="569"/>
      <c r="R153" s="571">
        <v>0</v>
      </c>
    </row>
    <row r="154" spans="1:18" ht="15" x14ac:dyDescent="0.25">
      <c r="A154" s="559">
        <f t="shared" si="10"/>
        <v>114</v>
      </c>
      <c r="C154" s="567" t="s">
        <v>658</v>
      </c>
      <c r="D154" s="567"/>
      <c r="E154" s="561"/>
      <c r="G154" s="568"/>
      <c r="H154" s="568">
        <v>30</v>
      </c>
      <c r="I154" s="575"/>
      <c r="J154" s="568"/>
      <c r="K154" s="568"/>
      <c r="L154" s="575"/>
      <c r="M154" s="568"/>
      <c r="N154" s="568"/>
      <c r="O154" s="575"/>
      <c r="P154" s="571">
        <v>0</v>
      </c>
      <c r="Q154" s="569"/>
      <c r="R154" s="571">
        <v>0</v>
      </c>
    </row>
    <row r="155" spans="1:18" ht="15" x14ac:dyDescent="0.25">
      <c r="C155" s="567"/>
      <c r="D155" s="567"/>
      <c r="E155" s="561"/>
      <c r="G155" s="568"/>
      <c r="H155" s="568"/>
      <c r="I155" s="575"/>
      <c r="J155" s="568"/>
      <c r="K155" s="568"/>
      <c r="L155" s="575"/>
      <c r="M155" s="568"/>
      <c r="N155" s="568"/>
      <c r="O155" s="575"/>
      <c r="P155" s="571"/>
      <c r="Q155" s="569"/>
      <c r="R155" s="571"/>
    </row>
    <row r="156" spans="1:18" ht="15" x14ac:dyDescent="0.25">
      <c r="A156" s="559">
        <f>A154+1</f>
        <v>115</v>
      </c>
      <c r="C156" s="567" t="s">
        <v>659</v>
      </c>
      <c r="D156" s="567"/>
      <c r="E156" s="561"/>
      <c r="G156" s="561">
        <v>156</v>
      </c>
      <c r="H156" s="561"/>
      <c r="I156" s="575"/>
      <c r="J156" s="561">
        <v>1790</v>
      </c>
      <c r="K156" s="561">
        <v>1890</v>
      </c>
      <c r="L156" s="575"/>
      <c r="M156" s="561"/>
      <c r="N156" s="561"/>
      <c r="O156" s="575"/>
      <c r="P156" s="571">
        <v>0</v>
      </c>
      <c r="Q156" s="569"/>
      <c r="R156" s="571">
        <v>0</v>
      </c>
    </row>
    <row r="157" spans="1:18" ht="15" x14ac:dyDescent="0.25">
      <c r="A157" s="559">
        <f>A156+1</f>
        <v>116</v>
      </c>
      <c r="C157" s="567" t="s">
        <v>829</v>
      </c>
      <c r="D157" s="567"/>
      <c r="E157" s="561"/>
      <c r="G157" s="561"/>
      <c r="H157" s="561"/>
      <c r="I157" s="575"/>
      <c r="J157" s="561">
        <v>263</v>
      </c>
      <c r="K157" s="561">
        <v>250</v>
      </c>
      <c r="L157" s="575"/>
      <c r="M157" s="568">
        <v>71</v>
      </c>
      <c r="N157" s="561">
        <v>350</v>
      </c>
      <c r="O157" s="575"/>
      <c r="P157" s="571">
        <v>0</v>
      </c>
      <c r="Q157" s="569"/>
      <c r="R157" s="571">
        <v>0</v>
      </c>
    </row>
    <row r="158" spans="1:18" ht="15" x14ac:dyDescent="0.25">
      <c r="A158" s="559">
        <f>A157+1</f>
        <v>117</v>
      </c>
      <c r="C158" s="567" t="s">
        <v>671</v>
      </c>
      <c r="D158" s="567"/>
      <c r="E158" s="561" t="s">
        <v>1019</v>
      </c>
      <c r="G158" s="561"/>
      <c r="H158" s="561"/>
      <c r="I158" s="575"/>
      <c r="J158" s="561">
        <v>182</v>
      </c>
      <c r="K158" s="561"/>
      <c r="L158" s="575"/>
      <c r="M158" s="561">
        <v>31</v>
      </c>
      <c r="N158" s="561">
        <v>60</v>
      </c>
      <c r="O158" s="575"/>
      <c r="P158" s="571">
        <v>0</v>
      </c>
      <c r="Q158" s="569"/>
      <c r="R158" s="571">
        <v>0</v>
      </c>
    </row>
    <row r="159" spans="1:18" ht="15" x14ac:dyDescent="0.25">
      <c r="A159" s="559">
        <f>A158+1</f>
        <v>118</v>
      </c>
      <c r="C159" s="567" t="s">
        <v>799</v>
      </c>
      <c r="D159" s="567"/>
      <c r="E159" s="561"/>
      <c r="G159" s="561"/>
      <c r="H159" s="561"/>
      <c r="I159" s="575"/>
      <c r="J159" s="568">
        <v>97</v>
      </c>
      <c r="K159" s="561"/>
      <c r="L159" s="575"/>
      <c r="M159" s="568"/>
      <c r="N159" s="561"/>
      <c r="O159" s="575"/>
      <c r="P159" s="571">
        <v>0</v>
      </c>
      <c r="Q159" s="569"/>
      <c r="R159" s="571">
        <v>0</v>
      </c>
    </row>
    <row r="160" spans="1:18" ht="15" x14ac:dyDescent="0.25">
      <c r="A160" s="559">
        <f>A159+1</f>
        <v>119</v>
      </c>
      <c r="C160" s="567" t="s">
        <v>810</v>
      </c>
      <c r="D160" s="567"/>
      <c r="E160" s="561"/>
      <c r="G160" s="561"/>
      <c r="H160" s="561"/>
      <c r="I160" s="575"/>
      <c r="J160" s="568">
        <v>68</v>
      </c>
      <c r="K160" s="561"/>
      <c r="L160" s="575"/>
      <c r="M160" s="568"/>
      <c r="N160" s="561"/>
      <c r="O160" s="575"/>
      <c r="P160" s="571">
        <v>0</v>
      </c>
      <c r="Q160" s="569"/>
      <c r="R160" s="571">
        <v>0</v>
      </c>
    </row>
    <row r="161" spans="1:19" ht="15" x14ac:dyDescent="0.25">
      <c r="A161" s="559">
        <f>A160+1</f>
        <v>120</v>
      </c>
      <c r="C161" s="567" t="s">
        <v>800</v>
      </c>
      <c r="D161" s="567"/>
      <c r="E161" s="561"/>
      <c r="G161" s="561"/>
      <c r="H161" s="561"/>
      <c r="I161" s="575"/>
      <c r="J161" s="568">
        <v>54</v>
      </c>
      <c r="K161" s="561"/>
      <c r="L161" s="575"/>
      <c r="M161" s="568"/>
      <c r="N161" s="561"/>
      <c r="O161" s="575"/>
      <c r="P161" s="571">
        <v>0</v>
      </c>
      <c r="Q161" s="569"/>
      <c r="R161" s="571">
        <v>0</v>
      </c>
    </row>
    <row r="162" spans="1:19" ht="15" x14ac:dyDescent="0.25">
      <c r="C162" s="567"/>
      <c r="D162" s="567"/>
      <c r="E162" s="561"/>
      <c r="G162" s="561"/>
      <c r="H162" s="561"/>
      <c r="I162" s="575"/>
      <c r="J162" s="568"/>
      <c r="K162" s="561"/>
      <c r="L162" s="575"/>
      <c r="M162" s="568"/>
      <c r="N162" s="561"/>
      <c r="O162" s="575"/>
      <c r="P162" s="571"/>
      <c r="Q162" s="569"/>
      <c r="R162" s="571"/>
    </row>
    <row r="163" spans="1:19" ht="15.75" x14ac:dyDescent="0.25">
      <c r="A163" s="261" t="s">
        <v>1006</v>
      </c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1"/>
      <c r="S163" s="58" t="s">
        <v>614</v>
      </c>
    </row>
    <row r="164" spans="1:19" ht="15.75" x14ac:dyDescent="0.25">
      <c r="A164" s="261" t="s">
        <v>555</v>
      </c>
      <c r="B164" s="261"/>
      <c r="C164" s="261"/>
      <c r="D164" s="261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58" t="s">
        <v>968</v>
      </c>
    </row>
    <row r="165" spans="1:19" ht="15.75" x14ac:dyDescent="0.25">
      <c r="A165" s="261" t="s">
        <v>1005</v>
      </c>
      <c r="B165" s="261"/>
      <c r="C165" s="261"/>
      <c r="D165" s="261"/>
      <c r="E165" s="261"/>
      <c r="F165" s="261"/>
      <c r="G165" s="261"/>
      <c r="H165" s="261"/>
      <c r="I165" s="261"/>
      <c r="J165" s="261"/>
      <c r="K165" s="261"/>
      <c r="L165" s="261"/>
      <c r="M165" s="261"/>
      <c r="N165" s="261"/>
      <c r="O165" s="261"/>
      <c r="P165" s="261"/>
      <c r="Q165" s="261"/>
      <c r="R165" s="261"/>
    </row>
    <row r="166" spans="1:19" ht="15.75" x14ac:dyDescent="0.25">
      <c r="A166" s="261" t="s">
        <v>18</v>
      </c>
      <c r="B166" s="261"/>
      <c r="C166" s="261"/>
      <c r="D166" s="261"/>
      <c r="E166" s="261"/>
      <c r="F166" s="261"/>
      <c r="G166" s="261"/>
      <c r="H166" s="261"/>
      <c r="I166" s="261"/>
      <c r="J166" s="261"/>
      <c r="K166" s="261"/>
      <c r="L166" s="261"/>
      <c r="M166" s="261"/>
      <c r="N166" s="261"/>
      <c r="O166" s="261"/>
      <c r="P166" s="261"/>
      <c r="Q166" s="261"/>
      <c r="R166" s="261"/>
    </row>
    <row r="167" spans="1:19" x14ac:dyDescent="0.2">
      <c r="G167" s="560"/>
      <c r="J167" s="560"/>
      <c r="M167" s="561"/>
    </row>
    <row r="168" spans="1:19" ht="15" x14ac:dyDescent="0.25">
      <c r="A168" s="562" t="s">
        <v>19</v>
      </c>
      <c r="B168" s="562"/>
      <c r="E168" s="416" t="s">
        <v>20</v>
      </c>
      <c r="G168" s="579" t="s">
        <v>11</v>
      </c>
      <c r="H168" s="579" t="s">
        <v>4</v>
      </c>
      <c r="I168" s="579"/>
      <c r="J168" s="579" t="s">
        <v>11</v>
      </c>
      <c r="K168" s="579" t="s">
        <v>4</v>
      </c>
      <c r="L168" s="579"/>
      <c r="M168" s="579" t="s">
        <v>11</v>
      </c>
      <c r="N168" s="579" t="s">
        <v>4</v>
      </c>
      <c r="O168" s="579"/>
      <c r="P168" s="613" t="s">
        <v>293</v>
      </c>
      <c r="Q168" s="613"/>
      <c r="R168" s="613"/>
    </row>
    <row r="169" spans="1:19" ht="15" x14ac:dyDescent="0.25">
      <c r="A169" s="563" t="s">
        <v>615</v>
      </c>
      <c r="B169" s="562"/>
      <c r="C169" s="564" t="s">
        <v>616</v>
      </c>
      <c r="D169" s="565"/>
      <c r="E169" s="428" t="s">
        <v>22</v>
      </c>
      <c r="F169" s="565"/>
      <c r="G169" s="578" t="s">
        <v>819</v>
      </c>
      <c r="H169" s="578" t="s">
        <v>819</v>
      </c>
      <c r="I169" s="566"/>
      <c r="J169" s="578" t="s">
        <v>818</v>
      </c>
      <c r="K169" s="578" t="s">
        <v>818</v>
      </c>
      <c r="L169" s="566"/>
      <c r="M169" s="578" t="s">
        <v>817</v>
      </c>
      <c r="N169" s="578" t="s">
        <v>817</v>
      </c>
      <c r="O169" s="566"/>
      <c r="P169" s="577" t="s">
        <v>815</v>
      </c>
      <c r="Q169" s="566"/>
      <c r="R169" s="577" t="s">
        <v>816</v>
      </c>
    </row>
    <row r="170" spans="1:19" ht="15" x14ac:dyDescent="0.25">
      <c r="A170" s="559">
        <f>A161+1</f>
        <v>121</v>
      </c>
      <c r="C170" s="565" t="s">
        <v>823</v>
      </c>
      <c r="D170" s="565"/>
      <c r="G170" s="569"/>
      <c r="H170" s="569"/>
      <c r="I170" s="575"/>
      <c r="J170" s="569"/>
      <c r="K170" s="569"/>
      <c r="L170" s="575"/>
      <c r="M170" s="569"/>
      <c r="N170" s="569"/>
      <c r="O170" s="575"/>
      <c r="P170" s="571"/>
      <c r="Q170" s="569"/>
      <c r="R170" s="571"/>
    </row>
    <row r="171" spans="1:19" ht="15" x14ac:dyDescent="0.25">
      <c r="A171" s="559">
        <f>+A170+1</f>
        <v>122</v>
      </c>
      <c r="C171" s="567" t="s">
        <v>666</v>
      </c>
      <c r="D171" s="567"/>
      <c r="E171" s="561"/>
      <c r="G171" s="561"/>
      <c r="H171" s="561"/>
      <c r="I171" s="575"/>
      <c r="J171" s="561"/>
      <c r="K171" s="561"/>
      <c r="L171" s="575"/>
      <c r="M171" s="561">
        <v>157</v>
      </c>
      <c r="N171" s="561">
        <v>146</v>
      </c>
      <c r="O171" s="575"/>
      <c r="P171" s="571">
        <v>0</v>
      </c>
      <c r="Q171" s="569"/>
      <c r="R171" s="571">
        <v>0</v>
      </c>
    </row>
    <row r="172" spans="1:19" ht="15" x14ac:dyDescent="0.25">
      <c r="A172" s="559">
        <f t="shared" ref="A172:A188" si="11">+A171+1</f>
        <v>123</v>
      </c>
      <c r="C172" s="567" t="s">
        <v>674</v>
      </c>
      <c r="D172" s="567"/>
      <c r="E172" s="561" t="s">
        <v>1014</v>
      </c>
      <c r="G172" s="561"/>
      <c r="H172" s="561"/>
      <c r="I172" s="575"/>
      <c r="J172" s="561"/>
      <c r="K172" s="561"/>
      <c r="L172" s="575"/>
      <c r="M172" s="561">
        <v>151</v>
      </c>
      <c r="N172" s="561"/>
      <c r="O172" s="575"/>
      <c r="P172" s="571">
        <v>0</v>
      </c>
      <c r="Q172" s="569"/>
      <c r="R172" s="571">
        <v>0</v>
      </c>
    </row>
    <row r="173" spans="1:19" ht="15" x14ac:dyDescent="0.25">
      <c r="A173" s="559">
        <f t="shared" si="11"/>
        <v>124</v>
      </c>
      <c r="C173" s="567" t="s">
        <v>781</v>
      </c>
      <c r="D173" s="567"/>
      <c r="E173" s="561"/>
      <c r="G173" s="561"/>
      <c r="H173" s="568">
        <v>38</v>
      </c>
      <c r="I173" s="575"/>
      <c r="J173" s="561"/>
      <c r="K173" s="561"/>
      <c r="L173" s="575"/>
      <c r="M173" s="568">
        <v>130</v>
      </c>
      <c r="N173" s="561"/>
      <c r="O173" s="575"/>
      <c r="P173" s="571">
        <v>0</v>
      </c>
      <c r="Q173" s="569"/>
      <c r="R173" s="571">
        <v>0</v>
      </c>
    </row>
    <row r="174" spans="1:19" ht="15" x14ac:dyDescent="0.25">
      <c r="A174" s="559">
        <f t="shared" si="11"/>
        <v>125</v>
      </c>
      <c r="C174" s="567" t="s">
        <v>880</v>
      </c>
      <c r="D174" s="567"/>
      <c r="E174" s="561" t="s">
        <v>1015</v>
      </c>
      <c r="G174" s="561"/>
      <c r="H174" s="561"/>
      <c r="I174" s="575"/>
      <c r="J174" s="568"/>
      <c r="K174" s="561"/>
      <c r="L174" s="575"/>
      <c r="M174" s="568">
        <v>115</v>
      </c>
      <c r="N174" s="561"/>
      <c r="O174" s="575"/>
      <c r="P174" s="571">
        <v>0</v>
      </c>
      <c r="Q174" s="569"/>
      <c r="R174" s="571">
        <v>0</v>
      </c>
    </row>
    <row r="175" spans="1:19" ht="15" x14ac:dyDescent="0.25">
      <c r="A175" s="559">
        <f t="shared" si="11"/>
        <v>126</v>
      </c>
      <c r="C175" s="567" t="s">
        <v>664</v>
      </c>
      <c r="D175" s="567"/>
      <c r="E175" s="561"/>
      <c r="G175" s="561"/>
      <c r="H175" s="561"/>
      <c r="I175" s="575"/>
      <c r="J175" s="561"/>
      <c r="K175" s="561"/>
      <c r="L175" s="575"/>
      <c r="M175" s="561">
        <v>103</v>
      </c>
      <c r="N175" s="561">
        <v>250</v>
      </c>
      <c r="O175" s="575"/>
      <c r="P175" s="571">
        <v>0</v>
      </c>
      <c r="Q175" s="569"/>
      <c r="R175" s="571">
        <v>0</v>
      </c>
    </row>
    <row r="176" spans="1:19" ht="15" x14ac:dyDescent="0.25">
      <c r="A176" s="559">
        <f t="shared" si="11"/>
        <v>127</v>
      </c>
      <c r="C176" s="567" t="s">
        <v>782</v>
      </c>
      <c r="D176" s="567"/>
      <c r="E176" s="561"/>
      <c r="G176" s="561"/>
      <c r="H176" s="561"/>
      <c r="I176" s="575"/>
      <c r="J176" s="561"/>
      <c r="K176" s="561"/>
      <c r="L176" s="575"/>
      <c r="M176" s="568">
        <v>78</v>
      </c>
      <c r="N176" s="561"/>
      <c r="O176" s="575"/>
      <c r="P176" s="571">
        <v>0</v>
      </c>
      <c r="Q176" s="569"/>
      <c r="R176" s="571">
        <v>0</v>
      </c>
    </row>
    <row r="177" spans="1:18" ht="15" x14ac:dyDescent="0.25">
      <c r="A177" s="559">
        <f t="shared" si="11"/>
        <v>128</v>
      </c>
      <c r="C177" s="567" t="s">
        <v>668</v>
      </c>
      <c r="D177" s="567"/>
      <c r="E177" s="561"/>
      <c r="G177" s="561"/>
      <c r="H177" s="561"/>
      <c r="I177" s="575"/>
      <c r="J177" s="561"/>
      <c r="K177" s="561"/>
      <c r="L177" s="575"/>
      <c r="M177" s="561">
        <v>76</v>
      </c>
      <c r="N177" s="561">
        <v>90</v>
      </c>
      <c r="O177" s="575"/>
      <c r="P177" s="571">
        <v>0</v>
      </c>
      <c r="Q177" s="569"/>
      <c r="R177" s="571">
        <v>0</v>
      </c>
    </row>
    <row r="178" spans="1:18" ht="15" x14ac:dyDescent="0.25">
      <c r="A178" s="559">
        <f t="shared" si="11"/>
        <v>129</v>
      </c>
      <c r="C178" s="567" t="s">
        <v>669</v>
      </c>
      <c r="D178" s="567"/>
      <c r="E178" s="561"/>
      <c r="G178" s="561"/>
      <c r="H178" s="561"/>
      <c r="I178" s="575"/>
      <c r="J178" s="561"/>
      <c r="K178" s="561"/>
      <c r="L178" s="575"/>
      <c r="M178" s="561">
        <v>70</v>
      </c>
      <c r="N178" s="561">
        <v>88</v>
      </c>
      <c r="O178" s="575"/>
      <c r="P178" s="571">
        <v>0</v>
      </c>
      <c r="Q178" s="569"/>
      <c r="R178" s="571">
        <v>0</v>
      </c>
    </row>
    <row r="179" spans="1:18" ht="15" x14ac:dyDescent="0.25">
      <c r="A179" s="559">
        <f t="shared" si="11"/>
        <v>130</v>
      </c>
      <c r="C179" s="567" t="s">
        <v>783</v>
      </c>
      <c r="D179" s="567"/>
      <c r="E179" s="561"/>
      <c r="G179" s="561"/>
      <c r="H179" s="561"/>
      <c r="I179" s="575"/>
      <c r="J179" s="561"/>
      <c r="K179" s="561"/>
      <c r="L179" s="575"/>
      <c r="M179" s="568">
        <v>70</v>
      </c>
      <c r="N179" s="561"/>
      <c r="O179" s="575"/>
      <c r="P179" s="571">
        <v>0</v>
      </c>
      <c r="Q179" s="569"/>
      <c r="R179" s="571">
        <v>0</v>
      </c>
    </row>
    <row r="180" spans="1:18" ht="15" x14ac:dyDescent="0.25">
      <c r="A180" s="559">
        <f t="shared" si="11"/>
        <v>131</v>
      </c>
      <c r="C180" s="567" t="s">
        <v>663</v>
      </c>
      <c r="D180" s="567"/>
      <c r="E180" s="561"/>
      <c r="G180" s="561"/>
      <c r="H180" s="561"/>
      <c r="I180" s="575"/>
      <c r="J180" s="561"/>
      <c r="K180" s="561"/>
      <c r="L180" s="575"/>
      <c r="M180" s="561">
        <v>67</v>
      </c>
      <c r="N180" s="561">
        <v>300</v>
      </c>
      <c r="O180" s="575"/>
      <c r="P180" s="571">
        <v>0</v>
      </c>
      <c r="Q180" s="569"/>
      <c r="R180" s="571">
        <v>0</v>
      </c>
    </row>
    <row r="181" spans="1:18" ht="15" x14ac:dyDescent="0.25">
      <c r="A181" s="559">
        <f t="shared" si="11"/>
        <v>132</v>
      </c>
      <c r="C181" s="567" t="s">
        <v>801</v>
      </c>
      <c r="D181" s="567"/>
      <c r="E181" s="561"/>
      <c r="G181" s="561"/>
      <c r="H181" s="561"/>
      <c r="I181" s="575"/>
      <c r="J181" s="561"/>
      <c r="K181" s="561"/>
      <c r="L181" s="575"/>
      <c r="M181" s="568">
        <v>31</v>
      </c>
      <c r="N181" s="561"/>
      <c r="O181" s="575"/>
      <c r="P181" s="571">
        <v>0</v>
      </c>
      <c r="Q181" s="569"/>
      <c r="R181" s="571">
        <v>0</v>
      </c>
    </row>
    <row r="182" spans="1:18" ht="15" x14ac:dyDescent="0.25">
      <c r="A182" s="559">
        <f t="shared" si="11"/>
        <v>133</v>
      </c>
      <c r="C182" s="567" t="s">
        <v>802</v>
      </c>
      <c r="D182" s="567"/>
      <c r="E182" s="561"/>
      <c r="G182" s="561"/>
      <c r="H182" s="561"/>
      <c r="I182" s="575"/>
      <c r="J182" s="561"/>
      <c r="K182" s="561"/>
      <c r="L182" s="575"/>
      <c r="M182" s="568">
        <v>28</v>
      </c>
      <c r="N182" s="561"/>
      <c r="O182" s="575"/>
      <c r="P182" s="571">
        <v>0</v>
      </c>
      <c r="Q182" s="569"/>
      <c r="R182" s="571">
        <v>0</v>
      </c>
    </row>
    <row r="183" spans="1:18" ht="15" x14ac:dyDescent="0.25">
      <c r="A183" s="559">
        <f t="shared" si="11"/>
        <v>134</v>
      </c>
      <c r="C183" s="567" t="s">
        <v>662</v>
      </c>
      <c r="D183" s="567"/>
      <c r="E183" s="561"/>
      <c r="G183" s="561"/>
      <c r="H183" s="561"/>
      <c r="I183" s="575"/>
      <c r="J183" s="561"/>
      <c r="K183" s="561"/>
      <c r="L183" s="575"/>
      <c r="M183" s="561">
        <v>20</v>
      </c>
      <c r="N183" s="561">
        <v>363</v>
      </c>
      <c r="O183" s="575"/>
      <c r="P183" s="571">
        <v>0</v>
      </c>
      <c r="Q183" s="569"/>
      <c r="R183" s="571">
        <v>0</v>
      </c>
    </row>
    <row r="184" spans="1:18" ht="15" x14ac:dyDescent="0.25">
      <c r="A184" s="559">
        <f t="shared" si="11"/>
        <v>135</v>
      </c>
      <c r="C184" s="567" t="s">
        <v>665</v>
      </c>
      <c r="D184" s="567"/>
      <c r="E184" s="561"/>
      <c r="G184" s="561"/>
      <c r="H184" s="561"/>
      <c r="I184" s="575"/>
      <c r="J184" s="561"/>
      <c r="K184" s="561"/>
      <c r="L184" s="575"/>
      <c r="M184" s="561"/>
      <c r="N184" s="561">
        <v>250</v>
      </c>
      <c r="O184" s="575"/>
      <c r="P184" s="571">
        <v>0</v>
      </c>
      <c r="Q184" s="569"/>
      <c r="R184" s="571">
        <v>0</v>
      </c>
    </row>
    <row r="185" spans="1:18" ht="15" x14ac:dyDescent="0.25">
      <c r="A185" s="559">
        <f t="shared" si="11"/>
        <v>136</v>
      </c>
      <c r="C185" s="567" t="s">
        <v>667</v>
      </c>
      <c r="D185" s="567"/>
      <c r="E185" s="561" t="s">
        <v>981</v>
      </c>
      <c r="G185" s="561"/>
      <c r="H185" s="561"/>
      <c r="I185" s="575"/>
      <c r="J185" s="561"/>
      <c r="K185" s="561"/>
      <c r="L185" s="575"/>
      <c r="M185" s="561"/>
      <c r="N185" s="561">
        <v>140</v>
      </c>
      <c r="O185" s="575"/>
      <c r="P185" s="571">
        <v>0</v>
      </c>
      <c r="Q185" s="569"/>
      <c r="R185" s="571">
        <v>143</v>
      </c>
    </row>
    <row r="186" spans="1:18" ht="15" x14ac:dyDescent="0.25">
      <c r="A186" s="559">
        <f t="shared" si="11"/>
        <v>137</v>
      </c>
      <c r="C186" s="567" t="s">
        <v>670</v>
      </c>
      <c r="D186" s="567"/>
      <c r="E186" s="561"/>
      <c r="G186" s="561"/>
      <c r="H186" s="561"/>
      <c r="I186" s="575"/>
      <c r="J186" s="561"/>
      <c r="K186" s="561"/>
      <c r="L186" s="575"/>
      <c r="M186" s="561"/>
      <c r="N186" s="561">
        <v>65</v>
      </c>
      <c r="O186" s="575"/>
      <c r="P186" s="571">
        <v>0</v>
      </c>
      <c r="Q186" s="569"/>
      <c r="R186" s="571">
        <v>0</v>
      </c>
    </row>
    <row r="187" spans="1:18" ht="15" x14ac:dyDescent="0.25">
      <c r="A187" s="559">
        <f t="shared" si="11"/>
        <v>138</v>
      </c>
      <c r="C187" s="567" t="s">
        <v>672</v>
      </c>
      <c r="D187" s="567"/>
      <c r="E187" s="561"/>
      <c r="G187" s="561"/>
      <c r="H187" s="561"/>
      <c r="I187" s="575"/>
      <c r="J187" s="561"/>
      <c r="K187" s="561"/>
      <c r="L187" s="575"/>
      <c r="M187" s="561"/>
      <c r="N187" s="561">
        <v>60</v>
      </c>
      <c r="O187" s="575"/>
      <c r="P187" s="571">
        <v>0</v>
      </c>
      <c r="Q187" s="569"/>
      <c r="R187" s="571">
        <v>0</v>
      </c>
    </row>
    <row r="188" spans="1:18" ht="15" x14ac:dyDescent="0.25">
      <c r="A188" s="559">
        <f t="shared" si="11"/>
        <v>139</v>
      </c>
      <c r="C188" s="567" t="s">
        <v>673</v>
      </c>
      <c r="D188" s="567"/>
      <c r="E188" s="561"/>
      <c r="G188" s="561"/>
      <c r="H188" s="561"/>
      <c r="I188" s="575"/>
      <c r="J188" s="561"/>
      <c r="K188" s="561"/>
      <c r="L188" s="575"/>
      <c r="M188" s="561"/>
      <c r="N188" s="561">
        <v>45</v>
      </c>
      <c r="O188" s="575"/>
      <c r="P188" s="571">
        <v>0</v>
      </c>
      <c r="Q188" s="569"/>
      <c r="R188" s="571">
        <v>0</v>
      </c>
    </row>
    <row r="189" spans="1:18" ht="15" x14ac:dyDescent="0.25">
      <c r="C189" s="567"/>
      <c r="D189" s="567"/>
      <c r="E189" s="561"/>
      <c r="G189" s="561"/>
      <c r="H189" s="561"/>
      <c r="I189" s="575"/>
      <c r="J189" s="561"/>
      <c r="K189" s="561"/>
      <c r="L189" s="575"/>
      <c r="M189" s="561"/>
      <c r="N189" s="561"/>
      <c r="O189" s="575"/>
      <c r="P189" s="571"/>
      <c r="Q189" s="569"/>
      <c r="R189" s="571"/>
    </row>
    <row r="190" spans="1:18" ht="15" x14ac:dyDescent="0.25">
      <c r="A190" s="559">
        <f>A188+1</f>
        <v>140</v>
      </c>
      <c r="C190" s="567" t="s">
        <v>728</v>
      </c>
      <c r="D190" s="567"/>
      <c r="E190" s="561" t="s">
        <v>974</v>
      </c>
      <c r="G190" s="561"/>
      <c r="H190" s="561"/>
      <c r="I190" s="575"/>
      <c r="J190" s="561"/>
      <c r="K190" s="561"/>
      <c r="L190" s="575"/>
      <c r="M190" s="568"/>
      <c r="N190" s="561"/>
      <c r="O190" s="575"/>
      <c r="P190" s="571">
        <v>110</v>
      </c>
      <c r="Q190" s="569"/>
      <c r="R190" s="571">
        <v>0</v>
      </c>
    </row>
    <row r="191" spans="1:18" ht="15" x14ac:dyDescent="0.25">
      <c r="A191" s="559">
        <f t="shared" ref="A191:A197" si="12">A190+1</f>
        <v>141</v>
      </c>
      <c r="C191" s="567" t="s">
        <v>729</v>
      </c>
      <c r="D191" s="567"/>
      <c r="E191" s="561" t="s">
        <v>974</v>
      </c>
      <c r="G191" s="561"/>
      <c r="H191" s="561"/>
      <c r="I191" s="575"/>
      <c r="J191" s="561"/>
      <c r="K191" s="561"/>
      <c r="L191" s="575"/>
      <c r="M191" s="568"/>
      <c r="N191" s="561"/>
      <c r="O191" s="575"/>
      <c r="P191" s="571">
        <v>102</v>
      </c>
      <c r="Q191" s="569"/>
      <c r="R191" s="571">
        <v>0</v>
      </c>
    </row>
    <row r="192" spans="1:18" ht="15" x14ac:dyDescent="0.25">
      <c r="A192" s="559">
        <f t="shared" si="12"/>
        <v>142</v>
      </c>
      <c r="C192" s="567" t="s">
        <v>730</v>
      </c>
      <c r="D192" s="567"/>
      <c r="E192" s="561" t="s">
        <v>973</v>
      </c>
      <c r="G192" s="561"/>
      <c r="H192" s="561"/>
      <c r="I192" s="575"/>
      <c r="J192" s="561"/>
      <c r="K192" s="561"/>
      <c r="L192" s="575"/>
      <c r="M192" s="568"/>
      <c r="N192" s="561"/>
      <c r="O192" s="575"/>
      <c r="P192" s="571">
        <v>415</v>
      </c>
      <c r="Q192" s="569"/>
      <c r="R192" s="571">
        <v>0</v>
      </c>
    </row>
    <row r="193" spans="1:18" ht="15" x14ac:dyDescent="0.25">
      <c r="A193" s="559">
        <f t="shared" si="12"/>
        <v>143</v>
      </c>
      <c r="C193" s="567" t="s">
        <v>731</v>
      </c>
      <c r="D193" s="567"/>
      <c r="E193" s="561" t="s">
        <v>973</v>
      </c>
      <c r="G193" s="561"/>
      <c r="H193" s="561"/>
      <c r="I193" s="575"/>
      <c r="J193" s="561"/>
      <c r="K193" s="561"/>
      <c r="L193" s="575"/>
      <c r="M193" s="568"/>
      <c r="N193" s="561"/>
      <c r="O193" s="575"/>
      <c r="P193" s="571">
        <v>298</v>
      </c>
      <c r="Q193" s="569"/>
      <c r="R193" s="571">
        <v>0</v>
      </c>
    </row>
    <row r="194" spans="1:18" ht="15" x14ac:dyDescent="0.25">
      <c r="A194" s="559">
        <f t="shared" si="12"/>
        <v>144</v>
      </c>
      <c r="C194" s="567" t="s">
        <v>784</v>
      </c>
      <c r="D194" s="567"/>
      <c r="E194" s="561" t="s">
        <v>974</v>
      </c>
      <c r="G194" s="561"/>
      <c r="H194" s="561"/>
      <c r="I194" s="575"/>
      <c r="J194" s="561"/>
      <c r="K194" s="561"/>
      <c r="L194" s="575"/>
      <c r="M194" s="568"/>
      <c r="N194" s="561"/>
      <c r="O194" s="575"/>
      <c r="P194" s="571">
        <v>140</v>
      </c>
      <c r="Q194" s="569"/>
      <c r="R194" s="571">
        <v>0</v>
      </c>
    </row>
    <row r="195" spans="1:18" ht="15" x14ac:dyDescent="0.25">
      <c r="A195" s="559">
        <f t="shared" si="12"/>
        <v>145</v>
      </c>
      <c r="C195" s="567" t="s">
        <v>732</v>
      </c>
      <c r="D195" s="567"/>
      <c r="E195" s="561"/>
      <c r="G195" s="561"/>
      <c r="H195" s="561"/>
      <c r="I195" s="575"/>
      <c r="J195" s="561"/>
      <c r="K195" s="561"/>
      <c r="L195" s="575"/>
      <c r="M195" s="568"/>
      <c r="N195" s="561"/>
      <c r="O195" s="575"/>
      <c r="P195" s="571">
        <v>90</v>
      </c>
      <c r="Q195" s="569"/>
      <c r="R195" s="571">
        <v>0</v>
      </c>
    </row>
    <row r="196" spans="1:18" ht="15" x14ac:dyDescent="0.25">
      <c r="A196" s="559">
        <f t="shared" si="12"/>
        <v>146</v>
      </c>
      <c r="C196" s="567" t="s">
        <v>733</v>
      </c>
      <c r="D196" s="567"/>
      <c r="E196" s="561"/>
      <c r="G196" s="561"/>
      <c r="H196" s="561"/>
      <c r="I196" s="575"/>
      <c r="J196" s="561"/>
      <c r="K196" s="561"/>
      <c r="L196" s="575"/>
      <c r="M196" s="568"/>
      <c r="N196" s="561"/>
      <c r="O196" s="575"/>
      <c r="P196" s="571">
        <v>60</v>
      </c>
      <c r="Q196" s="569"/>
      <c r="R196" s="571">
        <v>0</v>
      </c>
    </row>
    <row r="197" spans="1:18" ht="15" x14ac:dyDescent="0.25">
      <c r="A197" s="559">
        <f t="shared" si="12"/>
        <v>147</v>
      </c>
      <c r="C197" s="567" t="s">
        <v>785</v>
      </c>
      <c r="D197" s="567"/>
      <c r="E197" s="561"/>
      <c r="G197" s="561"/>
      <c r="H197" s="561"/>
      <c r="I197" s="575"/>
      <c r="J197" s="561"/>
      <c r="K197" s="561"/>
      <c r="L197" s="575"/>
      <c r="M197" s="568"/>
      <c r="N197" s="561"/>
      <c r="O197" s="575"/>
      <c r="P197" s="571">
        <v>50</v>
      </c>
      <c r="Q197" s="569"/>
      <c r="R197" s="571">
        <v>0</v>
      </c>
    </row>
    <row r="198" spans="1:18" ht="15" x14ac:dyDescent="0.25">
      <c r="C198" s="567"/>
      <c r="D198" s="567"/>
      <c r="E198" s="561"/>
      <c r="G198" s="561"/>
      <c r="H198" s="561"/>
      <c r="I198" s="575"/>
      <c r="J198" s="561"/>
      <c r="K198" s="561"/>
      <c r="L198" s="575"/>
      <c r="M198" s="568"/>
      <c r="N198" s="561"/>
      <c r="O198" s="575"/>
      <c r="P198" s="571"/>
      <c r="Q198" s="569"/>
      <c r="R198" s="571"/>
    </row>
    <row r="199" spans="1:18" ht="15" x14ac:dyDescent="0.25">
      <c r="A199" s="559">
        <f>A197+1</f>
        <v>148</v>
      </c>
      <c r="C199" s="567" t="s">
        <v>734</v>
      </c>
      <c r="D199" s="567"/>
      <c r="E199" s="561" t="s">
        <v>964</v>
      </c>
      <c r="G199" s="561"/>
      <c r="H199" s="561"/>
      <c r="I199" s="575"/>
      <c r="J199" s="561"/>
      <c r="K199" s="561"/>
      <c r="L199" s="575"/>
      <c r="M199" s="568"/>
      <c r="N199" s="561"/>
      <c r="O199" s="575"/>
      <c r="P199" s="571">
        <v>0</v>
      </c>
      <c r="Q199" s="569"/>
      <c r="R199" s="571">
        <v>562</v>
      </c>
    </row>
    <row r="200" spans="1:18" ht="15" x14ac:dyDescent="0.25">
      <c r="A200" s="559">
        <f t="shared" ref="A200:A211" si="13">A199+1</f>
        <v>149</v>
      </c>
      <c r="C200" s="567" t="s">
        <v>735</v>
      </c>
      <c r="D200" s="567"/>
      <c r="E200" s="561" t="s">
        <v>980</v>
      </c>
      <c r="G200" s="561"/>
      <c r="H200" s="561"/>
      <c r="I200" s="575"/>
      <c r="J200" s="561"/>
      <c r="K200" s="561"/>
      <c r="L200" s="575"/>
      <c r="M200" s="568"/>
      <c r="N200" s="561"/>
      <c r="O200" s="575"/>
      <c r="P200" s="571">
        <v>0</v>
      </c>
      <c r="Q200" s="569"/>
      <c r="R200" s="571">
        <v>358</v>
      </c>
    </row>
    <row r="201" spans="1:18" ht="15" x14ac:dyDescent="0.25">
      <c r="A201" s="559">
        <f t="shared" si="13"/>
        <v>150</v>
      </c>
      <c r="C201" s="567" t="s">
        <v>804</v>
      </c>
      <c r="D201" s="567"/>
      <c r="E201" s="561" t="s">
        <v>981</v>
      </c>
      <c r="G201" s="561"/>
      <c r="H201" s="561"/>
      <c r="I201" s="575"/>
      <c r="J201" s="561"/>
      <c r="K201" s="561"/>
      <c r="L201" s="575"/>
      <c r="M201" s="568"/>
      <c r="N201" s="561"/>
      <c r="O201" s="575"/>
      <c r="P201" s="571">
        <v>0</v>
      </c>
      <c r="Q201" s="569"/>
      <c r="R201" s="571">
        <v>123</v>
      </c>
    </row>
    <row r="202" spans="1:18" ht="15" x14ac:dyDescent="0.25">
      <c r="A202" s="559">
        <f t="shared" si="13"/>
        <v>151</v>
      </c>
      <c r="C202" s="567" t="s">
        <v>805</v>
      </c>
      <c r="D202" s="567"/>
      <c r="E202" s="561" t="s">
        <v>981</v>
      </c>
      <c r="G202" s="561"/>
      <c r="H202" s="561"/>
      <c r="I202" s="575"/>
      <c r="J202" s="561"/>
      <c r="K202" s="561"/>
      <c r="L202" s="575"/>
      <c r="M202" s="568"/>
      <c r="N202" s="561"/>
      <c r="O202" s="575"/>
      <c r="P202" s="571">
        <v>0</v>
      </c>
      <c r="Q202" s="569"/>
      <c r="R202" s="571">
        <v>123</v>
      </c>
    </row>
    <row r="203" spans="1:18" ht="15" x14ac:dyDescent="0.25">
      <c r="A203" s="559">
        <f t="shared" si="13"/>
        <v>152</v>
      </c>
      <c r="C203" s="567" t="s">
        <v>736</v>
      </c>
      <c r="D203" s="567"/>
      <c r="E203" s="561" t="s">
        <v>981</v>
      </c>
      <c r="G203" s="561"/>
      <c r="H203" s="561"/>
      <c r="I203" s="575"/>
      <c r="J203" s="561"/>
      <c r="K203" s="561"/>
      <c r="L203" s="575"/>
      <c r="M203" s="568"/>
      <c r="N203" s="561"/>
      <c r="O203" s="575"/>
      <c r="P203" s="571">
        <v>0</v>
      </c>
      <c r="Q203" s="569"/>
      <c r="R203" s="571">
        <v>102</v>
      </c>
    </row>
    <row r="204" spans="1:18" ht="15" x14ac:dyDescent="0.25">
      <c r="A204" s="559">
        <f t="shared" si="13"/>
        <v>153</v>
      </c>
      <c r="C204" s="567" t="s">
        <v>737</v>
      </c>
      <c r="D204" s="567"/>
      <c r="E204" s="561"/>
      <c r="G204" s="561"/>
      <c r="H204" s="561"/>
      <c r="I204" s="575"/>
      <c r="J204" s="561"/>
      <c r="K204" s="561"/>
      <c r="L204" s="575"/>
      <c r="M204" s="568"/>
      <c r="N204" s="561"/>
      <c r="O204" s="575"/>
      <c r="P204" s="571">
        <v>0</v>
      </c>
      <c r="Q204" s="569"/>
      <c r="R204" s="571">
        <v>85</v>
      </c>
    </row>
    <row r="205" spans="1:18" ht="15" x14ac:dyDescent="0.25">
      <c r="A205" s="559">
        <f t="shared" si="13"/>
        <v>154</v>
      </c>
      <c r="C205" s="567" t="s">
        <v>738</v>
      </c>
      <c r="D205" s="567"/>
      <c r="E205" s="561"/>
      <c r="G205" s="561"/>
      <c r="H205" s="561"/>
      <c r="I205" s="575"/>
      <c r="J205" s="561"/>
      <c r="K205" s="561"/>
      <c r="L205" s="575"/>
      <c r="M205" s="568"/>
      <c r="N205" s="561"/>
      <c r="O205" s="575"/>
      <c r="P205" s="571">
        <v>0</v>
      </c>
      <c r="Q205" s="569"/>
      <c r="R205" s="571">
        <v>82</v>
      </c>
    </row>
    <row r="206" spans="1:18" ht="15" x14ac:dyDescent="0.25">
      <c r="A206" s="559">
        <f t="shared" si="13"/>
        <v>155</v>
      </c>
      <c r="C206" s="567" t="s">
        <v>739</v>
      </c>
      <c r="D206" s="567"/>
      <c r="E206" s="561"/>
      <c r="G206" s="561"/>
      <c r="H206" s="561"/>
      <c r="I206" s="575"/>
      <c r="J206" s="561"/>
      <c r="K206" s="561"/>
      <c r="L206" s="575"/>
      <c r="M206" s="568"/>
      <c r="N206" s="561"/>
      <c r="O206" s="575"/>
      <c r="P206" s="571">
        <v>0</v>
      </c>
      <c r="Q206" s="569"/>
      <c r="R206" s="571">
        <v>51</v>
      </c>
    </row>
    <row r="207" spans="1:18" ht="15" x14ac:dyDescent="0.25">
      <c r="A207" s="559">
        <f t="shared" si="13"/>
        <v>156</v>
      </c>
      <c r="C207" s="567" t="s">
        <v>740</v>
      </c>
      <c r="D207" s="567"/>
      <c r="E207" s="561"/>
      <c r="G207" s="561"/>
      <c r="H207" s="561"/>
      <c r="I207" s="575"/>
      <c r="J207" s="561"/>
      <c r="K207" s="561"/>
      <c r="L207" s="575"/>
      <c r="M207" s="568"/>
      <c r="N207" s="561"/>
      <c r="O207" s="575"/>
      <c r="P207" s="571">
        <v>0</v>
      </c>
      <c r="Q207" s="569"/>
      <c r="R207" s="571">
        <v>31</v>
      </c>
    </row>
    <row r="208" spans="1:18" ht="15" x14ac:dyDescent="0.25">
      <c r="A208" s="559">
        <f t="shared" si="13"/>
        <v>157</v>
      </c>
      <c r="C208" s="567" t="s">
        <v>741</v>
      </c>
      <c r="D208" s="567"/>
      <c r="E208" s="561"/>
      <c r="G208" s="561"/>
      <c r="H208" s="561"/>
      <c r="I208" s="575"/>
      <c r="J208" s="561"/>
      <c r="K208" s="561"/>
      <c r="L208" s="575"/>
      <c r="M208" s="568"/>
      <c r="N208" s="561"/>
      <c r="O208" s="575"/>
      <c r="P208" s="571">
        <v>0</v>
      </c>
      <c r="Q208" s="569"/>
      <c r="R208" s="571">
        <v>31</v>
      </c>
    </row>
    <row r="209" spans="1:19" ht="15" x14ac:dyDescent="0.25">
      <c r="A209" s="559">
        <f t="shared" si="13"/>
        <v>158</v>
      </c>
      <c r="C209" s="567" t="s">
        <v>742</v>
      </c>
      <c r="D209" s="567"/>
      <c r="E209" s="561"/>
      <c r="G209" s="561"/>
      <c r="H209" s="561"/>
      <c r="I209" s="575"/>
      <c r="J209" s="561"/>
      <c r="K209" s="561"/>
      <c r="L209" s="575"/>
      <c r="M209" s="568"/>
      <c r="N209" s="561"/>
      <c r="O209" s="575"/>
      <c r="P209" s="571">
        <v>0</v>
      </c>
      <c r="Q209" s="569"/>
      <c r="R209" s="571">
        <v>20</v>
      </c>
    </row>
    <row r="210" spans="1:19" ht="15" x14ac:dyDescent="0.25">
      <c r="A210" s="559">
        <f t="shared" si="13"/>
        <v>159</v>
      </c>
      <c r="C210" s="567" t="s">
        <v>634</v>
      </c>
      <c r="D210" s="567"/>
      <c r="E210" s="561"/>
      <c r="G210" s="568">
        <v>81</v>
      </c>
      <c r="H210" s="568">
        <v>60</v>
      </c>
      <c r="I210" s="575"/>
      <c r="J210" s="568">
        <v>92</v>
      </c>
      <c r="K210" s="568">
        <v>53</v>
      </c>
      <c r="L210" s="575"/>
      <c r="M210" s="568">
        <v>77</v>
      </c>
      <c r="N210" s="568">
        <v>47</v>
      </c>
      <c r="O210" s="575"/>
      <c r="P210" s="571">
        <v>83</v>
      </c>
      <c r="Q210" s="569"/>
      <c r="R210" s="571">
        <v>76</v>
      </c>
    </row>
    <row r="211" spans="1:19" ht="15" x14ac:dyDescent="0.25">
      <c r="A211" s="559">
        <f t="shared" si="13"/>
        <v>160</v>
      </c>
      <c r="C211" s="565" t="s">
        <v>675</v>
      </c>
      <c r="D211" s="565"/>
      <c r="E211" s="561"/>
      <c r="G211" s="569">
        <f>SUM(G121:G210)</f>
        <v>4002</v>
      </c>
      <c r="H211" s="569">
        <f>SUM(H121:H210)</f>
        <v>4021</v>
      </c>
      <c r="I211" s="575"/>
      <c r="J211" s="569">
        <f>SUM(J121:J210)</f>
        <v>4008</v>
      </c>
      <c r="K211" s="569">
        <f>SUM(K121:K210)</f>
        <v>4457</v>
      </c>
      <c r="L211" s="575"/>
      <c r="M211" s="569">
        <f>SUM(M121:M210)</f>
        <v>3399</v>
      </c>
      <c r="N211" s="569">
        <f>SUM(N121:N210)</f>
        <v>3875</v>
      </c>
      <c r="O211" s="575"/>
      <c r="P211" s="569">
        <f>SUM(P121:P210)</f>
        <v>4346</v>
      </c>
      <c r="Q211" s="569"/>
      <c r="R211" s="569">
        <f>SUM(R121:R210)</f>
        <v>4178</v>
      </c>
    </row>
    <row r="212" spans="1:19" ht="15" x14ac:dyDescent="0.25">
      <c r="C212" s="565"/>
      <c r="D212" s="565"/>
      <c r="G212" s="569"/>
      <c r="H212" s="569"/>
      <c r="I212" s="575"/>
      <c r="J212" s="569"/>
      <c r="K212" s="569"/>
      <c r="L212" s="575"/>
      <c r="M212" s="569"/>
      <c r="N212" s="569"/>
      <c r="O212" s="575"/>
      <c r="P212" s="569"/>
      <c r="Q212" s="569"/>
      <c r="R212" s="569"/>
    </row>
    <row r="213" spans="1:19" ht="15.75" x14ac:dyDescent="0.25">
      <c r="A213" s="261" t="s">
        <v>1006</v>
      </c>
      <c r="B213" s="261"/>
      <c r="C213" s="261"/>
      <c r="D213" s="261"/>
      <c r="E213" s="261"/>
      <c r="F213" s="261"/>
      <c r="G213" s="261"/>
      <c r="H213" s="261"/>
      <c r="I213" s="261"/>
      <c r="J213" s="261"/>
      <c r="K213" s="261"/>
      <c r="L213" s="261"/>
      <c r="M213" s="261"/>
      <c r="N213" s="261"/>
      <c r="O213" s="261"/>
      <c r="P213" s="261"/>
      <c r="Q213" s="261"/>
      <c r="R213" s="261"/>
      <c r="S213" s="58" t="s">
        <v>614</v>
      </c>
    </row>
    <row r="214" spans="1:19" ht="15.75" x14ac:dyDescent="0.25">
      <c r="A214" s="261" t="s">
        <v>555</v>
      </c>
      <c r="B214" s="261"/>
      <c r="C214" s="261"/>
      <c r="D214" s="261"/>
      <c r="E214" s="261"/>
      <c r="F214" s="261"/>
      <c r="G214" s="261"/>
      <c r="H214" s="261"/>
      <c r="I214" s="261"/>
      <c r="J214" s="261"/>
      <c r="K214" s="261"/>
      <c r="L214" s="261"/>
      <c r="M214" s="261"/>
      <c r="N214" s="261"/>
      <c r="O214" s="261"/>
      <c r="P214" s="261"/>
      <c r="Q214" s="261"/>
      <c r="R214" s="261"/>
      <c r="S214" s="58" t="s">
        <v>969</v>
      </c>
    </row>
    <row r="215" spans="1:19" ht="15.75" x14ac:dyDescent="0.25">
      <c r="A215" s="261" t="s">
        <v>1005</v>
      </c>
      <c r="B215" s="261"/>
      <c r="C215" s="261"/>
      <c r="D215" s="261"/>
      <c r="E215" s="261"/>
      <c r="F215" s="261"/>
      <c r="G215" s="261"/>
      <c r="H215" s="261"/>
      <c r="I215" s="261"/>
      <c r="J215" s="261"/>
      <c r="K215" s="261"/>
      <c r="L215" s="261"/>
      <c r="M215" s="261"/>
      <c r="N215" s="261"/>
      <c r="O215" s="261"/>
      <c r="P215" s="261"/>
      <c r="Q215" s="261"/>
      <c r="R215" s="261"/>
    </row>
    <row r="216" spans="1:19" ht="15.75" x14ac:dyDescent="0.25">
      <c r="A216" s="261" t="s">
        <v>18</v>
      </c>
      <c r="B216" s="261"/>
      <c r="C216" s="261"/>
      <c r="D216" s="261"/>
      <c r="E216" s="261"/>
      <c r="F216" s="261"/>
      <c r="G216" s="261"/>
      <c r="H216" s="261"/>
      <c r="I216" s="261"/>
      <c r="J216" s="261"/>
      <c r="K216" s="261"/>
      <c r="L216" s="261"/>
      <c r="M216" s="261"/>
      <c r="N216" s="261"/>
      <c r="O216" s="261"/>
      <c r="P216" s="261"/>
      <c r="Q216" s="261"/>
      <c r="R216" s="261"/>
    </row>
    <row r="217" spans="1:19" x14ac:dyDescent="0.2">
      <c r="G217" s="560"/>
      <c r="J217" s="560"/>
      <c r="M217" s="561"/>
    </row>
    <row r="218" spans="1:19" ht="15" x14ac:dyDescent="0.25">
      <c r="A218" s="562" t="s">
        <v>19</v>
      </c>
      <c r="B218" s="562"/>
      <c r="E218" s="416" t="s">
        <v>20</v>
      </c>
      <c r="G218" s="579" t="s">
        <v>11</v>
      </c>
      <c r="H218" s="579" t="s">
        <v>4</v>
      </c>
      <c r="I218" s="579"/>
      <c r="J218" s="579" t="s">
        <v>11</v>
      </c>
      <c r="K218" s="579" t="s">
        <v>4</v>
      </c>
      <c r="L218" s="579"/>
      <c r="M218" s="579" t="s">
        <v>11</v>
      </c>
      <c r="N218" s="579" t="s">
        <v>4</v>
      </c>
      <c r="O218" s="579"/>
      <c r="P218" s="613" t="s">
        <v>293</v>
      </c>
      <c r="Q218" s="613"/>
      <c r="R218" s="613"/>
    </row>
    <row r="219" spans="1:19" ht="15" x14ac:dyDescent="0.25">
      <c r="A219" s="563" t="s">
        <v>615</v>
      </c>
      <c r="B219" s="562"/>
      <c r="C219" s="564" t="s">
        <v>616</v>
      </c>
      <c r="D219" s="565"/>
      <c r="E219" s="428" t="s">
        <v>22</v>
      </c>
      <c r="F219" s="565"/>
      <c r="G219" s="578" t="s">
        <v>819</v>
      </c>
      <c r="H219" s="578" t="s">
        <v>819</v>
      </c>
      <c r="I219" s="566"/>
      <c r="J219" s="578" t="s">
        <v>818</v>
      </c>
      <c r="K219" s="578" t="s">
        <v>818</v>
      </c>
      <c r="L219" s="566"/>
      <c r="M219" s="578" t="s">
        <v>817</v>
      </c>
      <c r="N219" s="578" t="s">
        <v>817</v>
      </c>
      <c r="O219" s="566"/>
      <c r="P219" s="577" t="s">
        <v>815</v>
      </c>
      <c r="Q219" s="566"/>
      <c r="R219" s="577" t="s">
        <v>816</v>
      </c>
    </row>
    <row r="220" spans="1:19" ht="15" x14ac:dyDescent="0.25">
      <c r="A220" s="559">
        <f>A211+1</f>
        <v>161</v>
      </c>
      <c r="C220" s="565" t="s">
        <v>676</v>
      </c>
      <c r="D220" s="565"/>
      <c r="G220" s="569"/>
      <c r="H220" s="569"/>
      <c r="I220" s="575"/>
      <c r="J220" s="569"/>
      <c r="K220" s="569"/>
      <c r="L220" s="575"/>
      <c r="M220" s="569"/>
      <c r="N220" s="569"/>
      <c r="O220" s="575"/>
      <c r="P220" s="569"/>
      <c r="Q220" s="569"/>
      <c r="R220" s="569"/>
    </row>
    <row r="221" spans="1:19" ht="15" x14ac:dyDescent="0.25">
      <c r="A221" s="559">
        <f>A220+1</f>
        <v>162</v>
      </c>
      <c r="C221" s="567" t="s">
        <v>743</v>
      </c>
      <c r="D221" s="567"/>
      <c r="E221" s="561" t="s">
        <v>982</v>
      </c>
      <c r="G221" s="568">
        <v>244</v>
      </c>
      <c r="H221" s="568">
        <v>330</v>
      </c>
      <c r="I221" s="575"/>
      <c r="J221" s="568">
        <v>213</v>
      </c>
      <c r="K221" s="568">
        <v>450</v>
      </c>
      <c r="L221" s="575"/>
      <c r="M221" s="568">
        <v>178</v>
      </c>
      <c r="N221" s="568">
        <v>330</v>
      </c>
      <c r="O221" s="575"/>
      <c r="P221" s="571">
        <v>200</v>
      </c>
      <c r="Q221" s="569"/>
      <c r="R221" s="571">
        <v>256</v>
      </c>
    </row>
    <row r="222" spans="1:19" ht="15" x14ac:dyDescent="0.25">
      <c r="A222" s="559">
        <f t="shared" ref="A222:A227" si="14">A221+1</f>
        <v>163</v>
      </c>
      <c r="C222" s="567" t="s">
        <v>745</v>
      </c>
      <c r="D222" s="567"/>
      <c r="E222" s="561" t="s">
        <v>982</v>
      </c>
      <c r="G222" s="561">
        <v>138</v>
      </c>
      <c r="H222" s="561">
        <v>0</v>
      </c>
      <c r="I222" s="575"/>
      <c r="J222" s="561">
        <v>34</v>
      </c>
      <c r="K222" s="561"/>
      <c r="L222" s="575"/>
      <c r="M222" s="561">
        <v>172</v>
      </c>
      <c r="N222" s="561">
        <v>483</v>
      </c>
      <c r="O222" s="575"/>
      <c r="P222" s="571">
        <v>200</v>
      </c>
      <c r="Q222" s="569"/>
      <c r="R222" s="571">
        <v>204</v>
      </c>
    </row>
    <row r="223" spans="1:19" ht="15" x14ac:dyDescent="0.25">
      <c r="A223" s="559">
        <f t="shared" si="14"/>
        <v>164</v>
      </c>
      <c r="C223" s="567" t="s">
        <v>744</v>
      </c>
      <c r="D223" s="567"/>
      <c r="E223" s="561" t="s">
        <v>961</v>
      </c>
      <c r="G223" s="568">
        <v>142</v>
      </c>
      <c r="H223" s="568">
        <v>75</v>
      </c>
      <c r="I223" s="575"/>
      <c r="J223" s="568"/>
      <c r="K223" s="568">
        <v>450</v>
      </c>
      <c r="L223" s="575"/>
      <c r="M223" s="568"/>
      <c r="N223" s="568"/>
      <c r="O223" s="575"/>
      <c r="P223" s="571">
        <v>0</v>
      </c>
      <c r="Q223" s="569"/>
      <c r="R223" s="571">
        <v>350</v>
      </c>
    </row>
    <row r="224" spans="1:19" ht="15" x14ac:dyDescent="0.25">
      <c r="A224" s="559">
        <f t="shared" si="14"/>
        <v>165</v>
      </c>
      <c r="C224" s="567" t="s">
        <v>746</v>
      </c>
      <c r="D224" s="567"/>
      <c r="E224" s="561" t="s">
        <v>962</v>
      </c>
      <c r="G224" s="561"/>
      <c r="H224" s="561"/>
      <c r="I224" s="575"/>
      <c r="J224" s="561"/>
      <c r="K224" s="561"/>
      <c r="L224" s="575"/>
      <c r="M224" s="561"/>
      <c r="N224" s="561"/>
      <c r="O224" s="575"/>
      <c r="P224" s="571">
        <v>175</v>
      </c>
      <c r="Q224" s="569"/>
      <c r="R224" s="571">
        <v>256</v>
      </c>
    </row>
    <row r="225" spans="1:18" ht="15" x14ac:dyDescent="0.25">
      <c r="A225" s="559">
        <f t="shared" si="14"/>
        <v>166</v>
      </c>
      <c r="C225" s="567" t="s">
        <v>747</v>
      </c>
      <c r="D225" s="567"/>
      <c r="E225" s="561"/>
      <c r="G225" s="561"/>
      <c r="H225" s="561"/>
      <c r="I225" s="575"/>
      <c r="J225" s="561"/>
      <c r="K225" s="561"/>
      <c r="L225" s="575"/>
      <c r="M225" s="561"/>
      <c r="N225" s="561"/>
      <c r="O225" s="575"/>
      <c r="P225" s="571">
        <v>0</v>
      </c>
      <c r="Q225" s="569"/>
      <c r="R225" s="571">
        <v>41</v>
      </c>
    </row>
    <row r="226" spans="1:18" x14ac:dyDescent="0.2">
      <c r="A226" s="559">
        <f t="shared" si="14"/>
        <v>167</v>
      </c>
      <c r="C226" s="567" t="s">
        <v>634</v>
      </c>
      <c r="D226" s="567"/>
      <c r="E226" s="561"/>
      <c r="G226" s="568">
        <v>12</v>
      </c>
      <c r="H226" s="568">
        <v>15</v>
      </c>
      <c r="I226" s="575"/>
      <c r="J226" s="568">
        <v>47</v>
      </c>
      <c r="K226" s="568">
        <v>45</v>
      </c>
      <c r="L226" s="575"/>
      <c r="M226" s="568">
        <v>43</v>
      </c>
      <c r="N226" s="568"/>
      <c r="O226" s="575"/>
      <c r="P226" s="571">
        <v>10</v>
      </c>
      <c r="Q226" s="571"/>
      <c r="R226" s="571">
        <v>25</v>
      </c>
    </row>
    <row r="227" spans="1:18" ht="15" x14ac:dyDescent="0.25">
      <c r="A227" s="559">
        <f t="shared" si="14"/>
        <v>168</v>
      </c>
      <c r="C227" s="565" t="s">
        <v>677</v>
      </c>
      <c r="D227" s="565"/>
      <c r="E227" s="561"/>
      <c r="G227" s="569">
        <f>SUM(G221:G226)</f>
        <v>536</v>
      </c>
      <c r="H227" s="569">
        <f>SUM(H221:H226)</f>
        <v>420</v>
      </c>
      <c r="I227" s="575"/>
      <c r="J227" s="569">
        <f>SUM(J221:J226)</f>
        <v>294</v>
      </c>
      <c r="K227" s="569">
        <f>SUM(K221:K226)</f>
        <v>945</v>
      </c>
      <c r="L227" s="575"/>
      <c r="M227" s="569">
        <f>SUM(M221:M226)</f>
        <v>393</v>
      </c>
      <c r="N227" s="569">
        <f>SUM(N221:N226)</f>
        <v>813</v>
      </c>
      <c r="O227" s="575"/>
      <c r="P227" s="569">
        <f>SUM(P221:P226)</f>
        <v>585</v>
      </c>
      <c r="Q227" s="569"/>
      <c r="R227" s="569">
        <f>SUM(R221:R226)</f>
        <v>1132</v>
      </c>
    </row>
    <row r="228" spans="1:18" ht="15" x14ac:dyDescent="0.25">
      <c r="C228" s="565"/>
      <c r="D228" s="565"/>
      <c r="E228" s="561"/>
      <c r="G228" s="569"/>
      <c r="H228" s="569"/>
      <c r="I228" s="575"/>
      <c r="J228" s="569"/>
      <c r="K228" s="569"/>
      <c r="L228" s="575"/>
      <c r="M228" s="569"/>
      <c r="N228" s="569"/>
      <c r="O228" s="575"/>
      <c r="P228" s="569"/>
      <c r="Q228" s="569"/>
      <c r="R228" s="569"/>
    </row>
    <row r="229" spans="1:18" ht="15" x14ac:dyDescent="0.25">
      <c r="A229" s="559">
        <f>A227+1</f>
        <v>169</v>
      </c>
      <c r="C229" s="565" t="s">
        <v>91</v>
      </c>
      <c r="D229" s="565"/>
      <c r="E229" s="561"/>
      <c r="G229" s="569"/>
      <c r="H229" s="569"/>
      <c r="I229" s="575"/>
      <c r="J229" s="569"/>
      <c r="K229" s="569"/>
      <c r="L229" s="575"/>
      <c r="M229" s="569"/>
      <c r="N229" s="569"/>
      <c r="O229" s="575"/>
      <c r="P229" s="569"/>
      <c r="Q229" s="569"/>
      <c r="R229" s="569"/>
    </row>
    <row r="230" spans="1:18" ht="15" x14ac:dyDescent="0.25">
      <c r="A230" s="559">
        <f>A229+1</f>
        <v>170</v>
      </c>
      <c r="C230" s="567" t="s">
        <v>779</v>
      </c>
      <c r="D230" s="567"/>
      <c r="E230" s="561" t="s">
        <v>983</v>
      </c>
      <c r="G230" s="561">
        <v>308</v>
      </c>
      <c r="H230" s="561">
        <v>600</v>
      </c>
      <c r="I230" s="575"/>
      <c r="J230" s="561">
        <v>166</v>
      </c>
      <c r="K230" s="561">
        <v>204</v>
      </c>
      <c r="L230" s="575"/>
      <c r="M230" s="561">
        <v>234</v>
      </c>
      <c r="N230" s="561">
        <v>207</v>
      </c>
      <c r="O230" s="575"/>
      <c r="P230" s="571">
        <v>200</v>
      </c>
      <c r="Q230" s="569"/>
      <c r="R230" s="571">
        <v>204</v>
      </c>
    </row>
    <row r="231" spans="1:18" ht="15" x14ac:dyDescent="0.25">
      <c r="A231" s="559">
        <f>A230+1</f>
        <v>171</v>
      </c>
      <c r="C231" s="565" t="s">
        <v>748</v>
      </c>
      <c r="D231" s="565"/>
      <c r="E231" s="561"/>
      <c r="G231" s="569">
        <f>SUM(G230)</f>
        <v>308</v>
      </c>
      <c r="H231" s="569">
        <f>SUM(H230)</f>
        <v>600</v>
      </c>
      <c r="I231" s="575"/>
      <c r="J231" s="569">
        <f t="shared" ref="J231:K231" si="15">SUM(J230)</f>
        <v>166</v>
      </c>
      <c r="K231" s="569">
        <f t="shared" si="15"/>
        <v>204</v>
      </c>
      <c r="L231" s="575"/>
      <c r="M231" s="569">
        <f t="shared" ref="M231:N231" si="16">SUM(M230)</f>
        <v>234</v>
      </c>
      <c r="N231" s="569">
        <f t="shared" si="16"/>
        <v>207</v>
      </c>
      <c r="O231" s="575"/>
      <c r="P231" s="569">
        <f>SUM(P230)</f>
        <v>200</v>
      </c>
      <c r="Q231" s="569"/>
      <c r="R231" s="569">
        <f>SUM(R230)</f>
        <v>204</v>
      </c>
    </row>
    <row r="232" spans="1:18" ht="15" x14ac:dyDescent="0.25">
      <c r="C232" s="565"/>
      <c r="D232" s="565"/>
      <c r="E232" s="561"/>
      <c r="G232" s="569"/>
      <c r="H232" s="569"/>
      <c r="I232" s="575"/>
      <c r="J232" s="569"/>
      <c r="K232" s="569"/>
      <c r="L232" s="575"/>
      <c r="M232" s="569"/>
      <c r="N232" s="569"/>
      <c r="O232" s="575"/>
      <c r="P232" s="569"/>
      <c r="Q232" s="569"/>
      <c r="R232" s="569"/>
    </row>
    <row r="233" spans="1:18" ht="15" x14ac:dyDescent="0.25">
      <c r="A233" s="559">
        <f>A231+1</f>
        <v>172</v>
      </c>
      <c r="C233" s="565" t="s">
        <v>678</v>
      </c>
      <c r="D233" s="565"/>
      <c r="E233" s="561"/>
      <c r="G233" s="569"/>
      <c r="H233" s="569"/>
      <c r="I233" s="575"/>
      <c r="J233" s="569"/>
      <c r="K233" s="569"/>
      <c r="L233" s="575"/>
      <c r="M233" s="569"/>
      <c r="N233" s="569"/>
      <c r="O233" s="575"/>
      <c r="P233" s="569"/>
      <c r="Q233" s="569"/>
      <c r="R233" s="569"/>
    </row>
    <row r="234" spans="1:18" ht="15" x14ac:dyDescent="0.25">
      <c r="A234" s="559">
        <f>A233+1</f>
        <v>173</v>
      </c>
      <c r="C234" s="567" t="s">
        <v>750</v>
      </c>
      <c r="D234" s="565"/>
      <c r="E234" s="561" t="s">
        <v>984</v>
      </c>
      <c r="G234" s="561">
        <v>72</v>
      </c>
      <c r="H234" s="561">
        <v>10</v>
      </c>
      <c r="I234" s="575"/>
      <c r="J234" s="561">
        <v>75</v>
      </c>
      <c r="K234" s="561">
        <v>10</v>
      </c>
      <c r="L234" s="575"/>
      <c r="M234" s="561">
        <v>108</v>
      </c>
      <c r="N234" s="561">
        <v>10</v>
      </c>
      <c r="O234" s="575"/>
      <c r="P234" s="571">
        <v>90</v>
      </c>
      <c r="Q234" s="569"/>
      <c r="R234" s="571">
        <v>92</v>
      </c>
    </row>
    <row r="235" spans="1:18" ht="15" x14ac:dyDescent="0.25">
      <c r="A235" s="559">
        <f>A234+1</f>
        <v>174</v>
      </c>
      <c r="C235" s="567" t="s">
        <v>751</v>
      </c>
      <c r="D235" s="565"/>
      <c r="E235" s="561" t="s">
        <v>975</v>
      </c>
      <c r="G235" s="561">
        <v>0</v>
      </c>
      <c r="H235" s="561">
        <v>0</v>
      </c>
      <c r="I235" s="575"/>
      <c r="J235" s="561">
        <v>0</v>
      </c>
      <c r="K235" s="561">
        <v>0</v>
      </c>
      <c r="L235" s="575"/>
      <c r="M235" s="561">
        <v>0</v>
      </c>
      <c r="N235" s="561">
        <v>0</v>
      </c>
      <c r="O235" s="575"/>
      <c r="P235" s="571">
        <v>220</v>
      </c>
      <c r="Q235" s="569"/>
      <c r="R235" s="571">
        <v>0</v>
      </c>
    </row>
    <row r="236" spans="1:18" ht="15" x14ac:dyDescent="0.25">
      <c r="A236" s="559">
        <f>A235+1</f>
        <v>175</v>
      </c>
      <c r="C236" s="567" t="s">
        <v>786</v>
      </c>
      <c r="D236" s="565"/>
      <c r="E236" s="561"/>
      <c r="G236" s="561">
        <v>0</v>
      </c>
      <c r="H236" s="561">
        <v>0</v>
      </c>
      <c r="I236" s="575"/>
      <c r="J236" s="561">
        <v>0</v>
      </c>
      <c r="K236" s="561">
        <v>0</v>
      </c>
      <c r="L236" s="575"/>
      <c r="M236" s="561">
        <v>0</v>
      </c>
      <c r="N236" s="561">
        <v>0</v>
      </c>
      <c r="O236" s="575"/>
      <c r="P236" s="571">
        <v>58</v>
      </c>
      <c r="Q236" s="569"/>
      <c r="R236" s="571">
        <v>0</v>
      </c>
    </row>
    <row r="237" spans="1:18" ht="15" x14ac:dyDescent="0.25">
      <c r="A237" s="559">
        <f>A236+1</f>
        <v>176</v>
      </c>
      <c r="C237" s="565" t="s">
        <v>749</v>
      </c>
      <c r="D237" s="565"/>
      <c r="E237" s="561"/>
      <c r="G237" s="569">
        <f>SUM(G234:G236)</f>
        <v>72</v>
      </c>
      <c r="H237" s="569">
        <f>SUM(H234:H236)</f>
        <v>10</v>
      </c>
      <c r="I237" s="575"/>
      <c r="J237" s="569">
        <f>SUM(J234:J236)</f>
        <v>75</v>
      </c>
      <c r="K237" s="569">
        <f>SUM(K234:K236)</f>
        <v>10</v>
      </c>
      <c r="L237" s="575"/>
      <c r="M237" s="569">
        <f>SUM(M234:M236)</f>
        <v>108</v>
      </c>
      <c r="N237" s="569">
        <f>SUM(N234:N236)</f>
        <v>10</v>
      </c>
      <c r="O237" s="575"/>
      <c r="P237" s="569">
        <f>SUM(P234:P236)</f>
        <v>368</v>
      </c>
      <c r="Q237" s="569"/>
      <c r="R237" s="569">
        <f>SUM(R234:R236)</f>
        <v>92</v>
      </c>
    </row>
    <row r="238" spans="1:18" ht="15" x14ac:dyDescent="0.25">
      <c r="C238" s="565"/>
      <c r="D238" s="565"/>
      <c r="E238" s="561"/>
      <c r="G238" s="569"/>
      <c r="H238" s="569"/>
      <c r="I238" s="575"/>
      <c r="J238" s="569"/>
      <c r="K238" s="569"/>
      <c r="L238" s="575"/>
      <c r="M238" s="569"/>
      <c r="N238" s="569"/>
      <c r="O238" s="575"/>
      <c r="P238" s="569"/>
      <c r="Q238" s="569"/>
      <c r="R238" s="569"/>
    </row>
    <row r="239" spans="1:18" ht="15" x14ac:dyDescent="0.25">
      <c r="A239" s="559">
        <f>A237+1</f>
        <v>177</v>
      </c>
      <c r="C239" s="565" t="s">
        <v>679</v>
      </c>
      <c r="D239" s="565"/>
      <c r="E239" s="561"/>
      <c r="G239" s="569"/>
      <c r="H239" s="569"/>
      <c r="I239" s="575"/>
      <c r="J239" s="569"/>
      <c r="K239" s="569"/>
      <c r="L239" s="575"/>
      <c r="M239" s="569"/>
      <c r="N239" s="569"/>
      <c r="O239" s="575"/>
      <c r="P239" s="569"/>
      <c r="Q239" s="569"/>
      <c r="R239" s="569"/>
    </row>
    <row r="240" spans="1:18" ht="15" x14ac:dyDescent="0.25">
      <c r="A240" s="559">
        <f>A239+1</f>
        <v>178</v>
      </c>
      <c r="C240" s="567" t="s">
        <v>680</v>
      </c>
      <c r="D240" s="567"/>
      <c r="E240" s="561"/>
      <c r="G240" s="568">
        <v>224</v>
      </c>
      <c r="H240" s="568">
        <v>600</v>
      </c>
      <c r="I240" s="575"/>
      <c r="J240" s="568">
        <v>365</v>
      </c>
      <c r="K240" s="568"/>
      <c r="L240" s="575"/>
      <c r="M240" s="568"/>
      <c r="N240" s="568"/>
      <c r="O240" s="575"/>
      <c r="P240" s="571">
        <v>0</v>
      </c>
      <c r="Q240" s="569"/>
      <c r="R240" s="571">
        <v>0</v>
      </c>
    </row>
    <row r="241" spans="1:18" ht="15" x14ac:dyDescent="0.25">
      <c r="A241" s="559">
        <f t="shared" ref="A241:A256" si="17">A240+1</f>
        <v>179</v>
      </c>
      <c r="C241" s="567" t="s">
        <v>681</v>
      </c>
      <c r="D241" s="567"/>
      <c r="E241" s="561"/>
      <c r="G241" s="568">
        <v>229</v>
      </c>
      <c r="H241" s="568">
        <v>150</v>
      </c>
      <c r="I241" s="575"/>
      <c r="J241" s="568"/>
      <c r="K241" s="568"/>
      <c r="L241" s="575"/>
      <c r="M241" s="568"/>
      <c r="N241" s="568"/>
      <c r="O241" s="575"/>
      <c r="P241" s="571">
        <v>0</v>
      </c>
      <c r="Q241" s="569"/>
      <c r="R241" s="571">
        <v>0</v>
      </c>
    </row>
    <row r="242" spans="1:18" ht="15" x14ac:dyDescent="0.25">
      <c r="A242" s="559">
        <f t="shared" si="17"/>
        <v>180</v>
      </c>
      <c r="C242" s="567" t="s">
        <v>682</v>
      </c>
      <c r="D242" s="567"/>
      <c r="E242" s="561"/>
      <c r="G242" s="568">
        <v>53</v>
      </c>
      <c r="H242" s="568">
        <v>100</v>
      </c>
      <c r="I242" s="575"/>
      <c r="J242" s="568">
        <v>47</v>
      </c>
      <c r="K242" s="568"/>
      <c r="L242" s="575"/>
      <c r="M242" s="568"/>
      <c r="N242" s="568"/>
      <c r="O242" s="575"/>
      <c r="P242" s="571">
        <v>0</v>
      </c>
      <c r="Q242" s="569"/>
      <c r="R242" s="571">
        <v>0</v>
      </c>
    </row>
    <row r="243" spans="1:18" ht="15" x14ac:dyDescent="0.25">
      <c r="A243" s="559">
        <f t="shared" si="17"/>
        <v>181</v>
      </c>
      <c r="C243" s="567" t="s">
        <v>683</v>
      </c>
      <c r="D243" s="567"/>
      <c r="E243" s="561"/>
      <c r="G243" s="568">
        <v>117</v>
      </c>
      <c r="H243" s="568">
        <v>100</v>
      </c>
      <c r="I243" s="575"/>
      <c r="J243" s="568"/>
      <c r="K243" s="568"/>
      <c r="L243" s="575"/>
      <c r="M243" s="568"/>
      <c r="N243" s="568"/>
      <c r="O243" s="575"/>
      <c r="P243" s="571">
        <v>0</v>
      </c>
      <c r="Q243" s="569"/>
      <c r="R243" s="571">
        <v>0</v>
      </c>
    </row>
    <row r="244" spans="1:18" ht="15" x14ac:dyDescent="0.25">
      <c r="A244" s="559">
        <f t="shared" si="17"/>
        <v>182</v>
      </c>
      <c r="C244" s="567" t="s">
        <v>684</v>
      </c>
      <c r="D244" s="567"/>
      <c r="E244" s="561"/>
      <c r="G244" s="568">
        <v>60</v>
      </c>
      <c r="H244" s="568">
        <v>80</v>
      </c>
      <c r="I244" s="575"/>
      <c r="J244" s="568"/>
      <c r="K244" s="568"/>
      <c r="L244" s="575"/>
      <c r="M244" s="568"/>
      <c r="N244" s="568"/>
      <c r="O244" s="575"/>
      <c r="P244" s="571">
        <v>0</v>
      </c>
      <c r="Q244" s="569"/>
      <c r="R244" s="571">
        <v>0</v>
      </c>
    </row>
    <row r="245" spans="1:18" ht="15" x14ac:dyDescent="0.25">
      <c r="A245" s="559">
        <f t="shared" si="17"/>
        <v>183</v>
      </c>
      <c r="C245" s="567" t="s">
        <v>685</v>
      </c>
      <c r="D245" s="567"/>
      <c r="E245" s="561"/>
      <c r="G245" s="568"/>
      <c r="H245" s="568">
        <v>70</v>
      </c>
      <c r="I245" s="575"/>
      <c r="J245" s="568"/>
      <c r="K245" s="568"/>
      <c r="L245" s="575"/>
      <c r="M245" s="568"/>
      <c r="N245" s="568"/>
      <c r="O245" s="575"/>
      <c r="P245" s="571">
        <v>0</v>
      </c>
      <c r="Q245" s="569"/>
      <c r="R245" s="571">
        <v>0</v>
      </c>
    </row>
    <row r="246" spans="1:18" ht="15" x14ac:dyDescent="0.25">
      <c r="A246" s="559">
        <f t="shared" si="17"/>
        <v>184</v>
      </c>
      <c r="C246" s="567" t="s">
        <v>686</v>
      </c>
      <c r="D246" s="567"/>
      <c r="E246" s="561"/>
      <c r="G246" s="568">
        <v>12</v>
      </c>
      <c r="H246" s="568">
        <v>20</v>
      </c>
      <c r="I246" s="575"/>
      <c r="J246" s="568"/>
      <c r="K246" s="568"/>
      <c r="L246" s="575"/>
      <c r="M246" s="568"/>
      <c r="N246" s="568"/>
      <c r="O246" s="575"/>
      <c r="P246" s="571">
        <v>0</v>
      </c>
      <c r="Q246" s="569"/>
      <c r="R246" s="571">
        <v>0</v>
      </c>
    </row>
    <row r="247" spans="1:18" ht="15" x14ac:dyDescent="0.25">
      <c r="A247" s="559">
        <f t="shared" si="17"/>
        <v>185</v>
      </c>
      <c r="C247" s="567" t="s">
        <v>687</v>
      </c>
      <c r="D247" s="567"/>
      <c r="E247" s="561"/>
      <c r="G247" s="568"/>
      <c r="H247" s="568"/>
      <c r="I247" s="575"/>
      <c r="J247" s="568">
        <v>31</v>
      </c>
      <c r="K247" s="568"/>
      <c r="L247" s="575"/>
      <c r="M247" s="568"/>
      <c r="N247" s="568"/>
      <c r="O247" s="575"/>
      <c r="P247" s="571">
        <v>0</v>
      </c>
      <c r="Q247" s="569"/>
      <c r="R247" s="571">
        <v>0</v>
      </c>
    </row>
    <row r="248" spans="1:18" ht="15" x14ac:dyDescent="0.25">
      <c r="A248" s="559">
        <f t="shared" si="17"/>
        <v>186</v>
      </c>
      <c r="C248" s="567" t="s">
        <v>856</v>
      </c>
      <c r="D248" s="567"/>
      <c r="E248" s="561" t="s">
        <v>1009</v>
      </c>
      <c r="G248" s="561"/>
      <c r="H248" s="561"/>
      <c r="I248" s="575"/>
      <c r="J248" s="561">
        <v>233</v>
      </c>
      <c r="K248" s="561">
        <v>100</v>
      </c>
      <c r="L248" s="575"/>
      <c r="M248" s="561">
        <v>41</v>
      </c>
      <c r="N248" s="561"/>
      <c r="O248" s="575"/>
      <c r="P248" s="571">
        <v>0</v>
      </c>
      <c r="Q248" s="569"/>
      <c r="R248" s="571">
        <v>0</v>
      </c>
    </row>
    <row r="249" spans="1:18" ht="15" x14ac:dyDescent="0.25">
      <c r="A249" s="559">
        <f t="shared" si="17"/>
        <v>187</v>
      </c>
      <c r="C249" s="567" t="s">
        <v>688</v>
      </c>
      <c r="D249" s="567"/>
      <c r="E249" s="561"/>
      <c r="G249" s="561"/>
      <c r="H249" s="561"/>
      <c r="I249" s="575"/>
      <c r="J249" s="561"/>
      <c r="K249" s="561">
        <v>100</v>
      </c>
      <c r="L249" s="575"/>
      <c r="M249" s="561"/>
      <c r="N249" s="561"/>
      <c r="O249" s="575"/>
      <c r="P249" s="571">
        <v>0</v>
      </c>
      <c r="Q249" s="569"/>
      <c r="R249" s="571">
        <v>0</v>
      </c>
    </row>
    <row r="250" spans="1:18" ht="15" x14ac:dyDescent="0.25">
      <c r="A250" s="559">
        <f t="shared" si="17"/>
        <v>188</v>
      </c>
      <c r="C250" s="567" t="s">
        <v>689</v>
      </c>
      <c r="D250" s="567"/>
      <c r="E250" s="561"/>
      <c r="G250" s="561"/>
      <c r="H250" s="561"/>
      <c r="I250" s="575"/>
      <c r="J250" s="561"/>
      <c r="K250" s="561">
        <v>100</v>
      </c>
      <c r="L250" s="575"/>
      <c r="M250" s="561"/>
      <c r="N250" s="561"/>
      <c r="O250" s="575"/>
      <c r="P250" s="571">
        <v>0</v>
      </c>
      <c r="Q250" s="569"/>
      <c r="R250" s="571">
        <v>0</v>
      </c>
    </row>
    <row r="251" spans="1:18" ht="15" x14ac:dyDescent="0.25">
      <c r="A251" s="559">
        <f t="shared" si="17"/>
        <v>189</v>
      </c>
      <c r="C251" s="567" t="s">
        <v>690</v>
      </c>
      <c r="D251" s="567"/>
      <c r="E251" s="561"/>
      <c r="G251" s="561"/>
      <c r="H251" s="561"/>
      <c r="I251" s="575"/>
      <c r="J251" s="561"/>
      <c r="K251" s="561"/>
      <c r="L251" s="575"/>
      <c r="M251" s="561"/>
      <c r="N251" s="561">
        <v>300</v>
      </c>
      <c r="O251" s="575"/>
      <c r="P251" s="571">
        <v>0</v>
      </c>
      <c r="Q251" s="569"/>
      <c r="R251" s="571">
        <v>0</v>
      </c>
    </row>
    <row r="252" spans="1:18" ht="15" x14ac:dyDescent="0.25">
      <c r="A252" s="559">
        <f t="shared" si="17"/>
        <v>190</v>
      </c>
      <c r="C252" s="567" t="s">
        <v>752</v>
      </c>
      <c r="D252" s="567"/>
      <c r="E252" s="561"/>
      <c r="G252" s="561"/>
      <c r="H252" s="561"/>
      <c r="I252" s="575"/>
      <c r="J252" s="561"/>
      <c r="K252" s="561"/>
      <c r="L252" s="575"/>
      <c r="M252" s="561"/>
      <c r="N252" s="561"/>
      <c r="O252" s="575"/>
      <c r="P252" s="571">
        <v>25</v>
      </c>
      <c r="Q252" s="569"/>
      <c r="R252" s="571">
        <v>0</v>
      </c>
    </row>
    <row r="253" spans="1:18" ht="15" x14ac:dyDescent="0.25">
      <c r="A253" s="559">
        <f t="shared" si="17"/>
        <v>191</v>
      </c>
      <c r="C253" s="567" t="s">
        <v>691</v>
      </c>
      <c r="D253" s="567"/>
      <c r="E253" s="561"/>
      <c r="G253" s="561"/>
      <c r="H253" s="561"/>
      <c r="I253" s="575"/>
      <c r="J253" s="561"/>
      <c r="K253" s="561"/>
      <c r="L253" s="575"/>
      <c r="M253" s="561"/>
      <c r="N253" s="561"/>
      <c r="O253" s="575"/>
      <c r="P253" s="571">
        <v>40</v>
      </c>
      <c r="Q253" s="569"/>
      <c r="R253" s="571">
        <v>26</v>
      </c>
    </row>
    <row r="254" spans="1:18" ht="15" x14ac:dyDescent="0.25">
      <c r="A254" s="559">
        <f t="shared" si="17"/>
        <v>192</v>
      </c>
      <c r="C254" s="567" t="s">
        <v>753</v>
      </c>
      <c r="D254" s="567"/>
      <c r="E254" s="561"/>
      <c r="G254" s="561"/>
      <c r="H254" s="561"/>
      <c r="I254" s="575"/>
      <c r="J254" s="561"/>
      <c r="K254" s="561"/>
      <c r="L254" s="575"/>
      <c r="M254" s="561"/>
      <c r="N254" s="561"/>
      <c r="O254" s="575"/>
      <c r="P254" s="571">
        <v>0</v>
      </c>
      <c r="Q254" s="569"/>
      <c r="R254" s="571">
        <v>51</v>
      </c>
    </row>
    <row r="255" spans="1:18" ht="15" x14ac:dyDescent="0.25">
      <c r="A255" s="559">
        <f t="shared" si="17"/>
        <v>193</v>
      </c>
      <c r="C255" s="567" t="s">
        <v>754</v>
      </c>
      <c r="D255" s="567"/>
      <c r="E255" s="561"/>
      <c r="G255" s="561"/>
      <c r="H255" s="561"/>
      <c r="I255" s="575"/>
      <c r="J255" s="561"/>
      <c r="K255" s="561"/>
      <c r="L255" s="575"/>
      <c r="M255" s="561"/>
      <c r="N255" s="561"/>
      <c r="O255" s="575"/>
      <c r="P255" s="571">
        <v>0</v>
      </c>
      <c r="Q255" s="569"/>
      <c r="R255" s="571">
        <v>72</v>
      </c>
    </row>
    <row r="256" spans="1:18" ht="15" x14ac:dyDescent="0.25">
      <c r="A256" s="559">
        <f t="shared" si="17"/>
        <v>194</v>
      </c>
      <c r="C256" s="567" t="s">
        <v>831</v>
      </c>
      <c r="D256" s="567"/>
      <c r="E256" s="561"/>
      <c r="G256" s="561"/>
      <c r="H256" s="561"/>
      <c r="I256" s="575"/>
      <c r="J256" s="561"/>
      <c r="K256" s="561"/>
      <c r="L256" s="575"/>
      <c r="M256" s="561"/>
      <c r="N256" s="561"/>
      <c r="O256" s="575"/>
      <c r="P256" s="571">
        <v>0</v>
      </c>
      <c r="Q256" s="569"/>
      <c r="R256" s="571">
        <v>93</v>
      </c>
    </row>
    <row r="257" spans="1:19" ht="15" x14ac:dyDescent="0.25">
      <c r="C257" s="567"/>
      <c r="D257" s="567"/>
      <c r="E257" s="561"/>
      <c r="G257" s="561"/>
      <c r="H257" s="561"/>
      <c r="I257" s="575"/>
      <c r="J257" s="561"/>
      <c r="K257" s="561"/>
      <c r="L257" s="575"/>
      <c r="M257" s="561"/>
      <c r="N257" s="561"/>
      <c r="O257" s="575"/>
      <c r="P257" s="571"/>
      <c r="Q257" s="569"/>
      <c r="R257" s="571"/>
    </row>
    <row r="258" spans="1:19" ht="15" x14ac:dyDescent="0.25">
      <c r="A258" s="559">
        <f>A256+1</f>
        <v>195</v>
      </c>
      <c r="C258" s="567" t="s">
        <v>610</v>
      </c>
      <c r="D258" s="567"/>
      <c r="E258" s="561"/>
      <c r="G258" s="568">
        <v>34</v>
      </c>
      <c r="H258" s="568"/>
      <c r="I258" s="575"/>
      <c r="J258" s="568">
        <v>22</v>
      </c>
      <c r="K258" s="568">
        <v>11</v>
      </c>
      <c r="L258" s="575"/>
      <c r="M258" s="568">
        <v>86</v>
      </c>
      <c r="N258" s="568">
        <v>12</v>
      </c>
      <c r="O258" s="575"/>
      <c r="P258" s="571">
        <v>18</v>
      </c>
      <c r="Q258" s="569"/>
      <c r="R258" s="571">
        <v>13</v>
      </c>
    </row>
    <row r="259" spans="1:19" ht="15" x14ac:dyDescent="0.25">
      <c r="A259" s="559">
        <f>A258+1</f>
        <v>196</v>
      </c>
      <c r="C259" s="567" t="s">
        <v>692</v>
      </c>
      <c r="D259" s="567"/>
      <c r="E259" s="561"/>
      <c r="G259" s="568"/>
      <c r="H259" s="568"/>
      <c r="I259" s="575"/>
      <c r="J259" s="568"/>
      <c r="K259" s="568"/>
      <c r="L259" s="575"/>
      <c r="M259" s="568">
        <v>57</v>
      </c>
      <c r="N259" s="568"/>
      <c r="O259" s="575"/>
      <c r="P259" s="571">
        <v>49</v>
      </c>
      <c r="Q259" s="569"/>
      <c r="R259" s="571">
        <v>67</v>
      </c>
    </row>
    <row r="260" spans="1:19" ht="15" x14ac:dyDescent="0.25">
      <c r="A260" s="559">
        <f t="shared" ref="A260:A263" si="18">A259+1</f>
        <v>197</v>
      </c>
      <c r="C260" s="567" t="s">
        <v>790</v>
      </c>
      <c r="D260" s="567"/>
      <c r="E260" s="561"/>
      <c r="G260" s="568"/>
      <c r="H260" s="568"/>
      <c r="I260" s="575"/>
      <c r="J260" s="568"/>
      <c r="K260" s="568"/>
      <c r="L260" s="575"/>
      <c r="M260" s="568"/>
      <c r="N260" s="568"/>
      <c r="O260" s="575"/>
      <c r="P260" s="571">
        <v>30</v>
      </c>
      <c r="Q260" s="569"/>
      <c r="R260" s="571">
        <v>0</v>
      </c>
    </row>
    <row r="261" spans="1:19" ht="15" x14ac:dyDescent="0.25">
      <c r="A261" s="559">
        <f t="shared" si="18"/>
        <v>198</v>
      </c>
      <c r="C261" s="567" t="s">
        <v>789</v>
      </c>
      <c r="D261" s="567"/>
      <c r="E261" s="561"/>
      <c r="G261" s="568"/>
      <c r="H261" s="568"/>
      <c r="I261" s="575"/>
      <c r="J261" s="568"/>
      <c r="K261" s="568"/>
      <c r="L261" s="575"/>
      <c r="M261" s="568"/>
      <c r="N261" s="568"/>
      <c r="O261" s="575"/>
      <c r="P261" s="571">
        <v>20</v>
      </c>
      <c r="Q261" s="569"/>
      <c r="R261" s="571">
        <v>0</v>
      </c>
    </row>
    <row r="262" spans="1:19" ht="15" x14ac:dyDescent="0.25">
      <c r="A262" s="559">
        <f t="shared" si="18"/>
        <v>199</v>
      </c>
      <c r="C262" s="567" t="s">
        <v>791</v>
      </c>
      <c r="D262" s="567"/>
      <c r="E262" s="561"/>
      <c r="G262" s="568"/>
      <c r="H262" s="568"/>
      <c r="I262" s="575"/>
      <c r="J262" s="568"/>
      <c r="K262" s="568"/>
      <c r="L262" s="575"/>
      <c r="M262" s="568"/>
      <c r="N262" s="568"/>
      <c r="O262" s="575"/>
      <c r="P262" s="571">
        <v>0</v>
      </c>
      <c r="Q262" s="569"/>
      <c r="R262" s="571">
        <v>36</v>
      </c>
    </row>
    <row r="263" spans="1:19" ht="15" x14ac:dyDescent="0.25">
      <c r="A263" s="559">
        <f t="shared" si="18"/>
        <v>200</v>
      </c>
      <c r="C263" s="567" t="s">
        <v>832</v>
      </c>
      <c r="D263" s="567"/>
      <c r="E263" s="561"/>
      <c r="G263" s="568"/>
      <c r="H263" s="568"/>
      <c r="I263" s="575"/>
      <c r="J263" s="568"/>
      <c r="K263" s="568"/>
      <c r="L263" s="575"/>
      <c r="M263" s="568"/>
      <c r="N263" s="568"/>
      <c r="O263" s="575"/>
      <c r="P263" s="571">
        <v>0</v>
      </c>
      <c r="Q263" s="569"/>
      <c r="R263" s="571">
        <v>46</v>
      </c>
    </row>
    <row r="264" spans="1:19" ht="15" x14ac:dyDescent="0.25">
      <c r="C264" s="567"/>
      <c r="D264" s="567"/>
      <c r="E264" s="561"/>
      <c r="G264" s="568"/>
      <c r="H264" s="568"/>
      <c r="I264" s="575"/>
      <c r="J264" s="568"/>
      <c r="K264" s="568"/>
      <c r="L264" s="575"/>
      <c r="M264" s="568"/>
      <c r="N264" s="568"/>
      <c r="O264" s="575"/>
      <c r="P264" s="571"/>
      <c r="Q264" s="569"/>
      <c r="R264" s="571"/>
    </row>
    <row r="265" spans="1:19" ht="15" x14ac:dyDescent="0.25">
      <c r="A265" s="559">
        <f>A263+1</f>
        <v>201</v>
      </c>
      <c r="C265" s="567" t="s">
        <v>125</v>
      </c>
      <c r="D265" s="567"/>
      <c r="E265" s="561"/>
      <c r="G265" s="568"/>
      <c r="H265" s="568">
        <v>44</v>
      </c>
      <c r="I265" s="575"/>
      <c r="J265" s="568">
        <v>20</v>
      </c>
      <c r="K265" s="568"/>
      <c r="L265" s="575"/>
      <c r="M265" s="568">
        <v>3</v>
      </c>
      <c r="N265" s="568">
        <v>34</v>
      </c>
      <c r="O265" s="575"/>
      <c r="P265" s="571">
        <v>20</v>
      </c>
      <c r="Q265" s="569"/>
      <c r="R265" s="571">
        <v>20</v>
      </c>
    </row>
    <row r="266" spans="1:19" ht="15" x14ac:dyDescent="0.25">
      <c r="C266" s="567"/>
      <c r="D266" s="567"/>
      <c r="E266" s="561"/>
      <c r="G266" s="568"/>
      <c r="H266" s="568"/>
      <c r="I266" s="575"/>
      <c r="J266" s="568"/>
      <c r="K266" s="568"/>
      <c r="L266" s="575"/>
      <c r="M266" s="568"/>
      <c r="N266" s="568"/>
      <c r="O266" s="575"/>
      <c r="P266" s="571"/>
      <c r="Q266" s="569"/>
      <c r="R266" s="571"/>
    </row>
    <row r="267" spans="1:19" ht="15" x14ac:dyDescent="0.25">
      <c r="A267" s="559">
        <f>A265+1</f>
        <v>202</v>
      </c>
      <c r="C267" s="567" t="s">
        <v>693</v>
      </c>
      <c r="D267" s="567"/>
      <c r="E267" s="561" t="s">
        <v>985</v>
      </c>
      <c r="G267" s="568">
        <v>159</v>
      </c>
      <c r="H267" s="568">
        <v>117</v>
      </c>
      <c r="I267" s="575"/>
      <c r="J267" s="568">
        <v>142</v>
      </c>
      <c r="K267" s="568">
        <v>167</v>
      </c>
      <c r="L267" s="575"/>
      <c r="M267" s="568">
        <v>110</v>
      </c>
      <c r="N267" s="568">
        <v>115</v>
      </c>
      <c r="O267" s="575"/>
      <c r="P267" s="571">
        <v>149</v>
      </c>
      <c r="Q267" s="569"/>
      <c r="R267" s="571">
        <v>166</v>
      </c>
    </row>
    <row r="268" spans="1:19" ht="15" x14ac:dyDescent="0.25">
      <c r="C268" s="567"/>
      <c r="D268" s="567"/>
      <c r="E268" s="561"/>
      <c r="G268" s="568"/>
      <c r="H268" s="568"/>
      <c r="I268" s="575"/>
      <c r="J268" s="568"/>
      <c r="K268" s="568"/>
      <c r="L268" s="575"/>
      <c r="M268" s="568"/>
      <c r="N268" s="568"/>
      <c r="O268" s="575"/>
      <c r="P268" s="571"/>
      <c r="Q268" s="569"/>
      <c r="R268" s="571"/>
    </row>
    <row r="269" spans="1:19" ht="15" x14ac:dyDescent="0.25">
      <c r="A269" s="559">
        <f>A267+1</f>
        <v>203</v>
      </c>
      <c r="C269" s="567" t="s">
        <v>609</v>
      </c>
      <c r="D269" s="567"/>
      <c r="E269" s="561"/>
      <c r="G269" s="568">
        <v>841</v>
      </c>
      <c r="H269" s="568">
        <v>650</v>
      </c>
      <c r="I269" s="575"/>
      <c r="J269" s="568"/>
      <c r="K269" s="568"/>
      <c r="L269" s="575"/>
      <c r="M269" s="568"/>
      <c r="N269" s="568"/>
      <c r="O269" s="575"/>
      <c r="P269" s="571">
        <v>0</v>
      </c>
      <c r="Q269" s="569"/>
      <c r="R269" s="571">
        <v>0</v>
      </c>
    </row>
    <row r="270" spans="1:19" ht="15.75" x14ac:dyDescent="0.25">
      <c r="A270" s="261" t="s">
        <v>1006</v>
      </c>
      <c r="B270" s="261"/>
      <c r="C270" s="261"/>
      <c r="D270" s="261"/>
      <c r="E270" s="261"/>
      <c r="F270" s="261"/>
      <c r="G270" s="261"/>
      <c r="H270" s="261"/>
      <c r="I270" s="261"/>
      <c r="J270" s="261"/>
      <c r="K270" s="261"/>
      <c r="L270" s="261"/>
      <c r="M270" s="261"/>
      <c r="N270" s="261"/>
      <c r="O270" s="261"/>
      <c r="P270" s="261"/>
      <c r="Q270" s="261"/>
      <c r="R270" s="261"/>
      <c r="S270" s="58" t="s">
        <v>614</v>
      </c>
    </row>
    <row r="271" spans="1:19" ht="15.75" x14ac:dyDescent="0.25">
      <c r="A271" s="261" t="s">
        <v>555</v>
      </c>
      <c r="B271" s="261"/>
      <c r="C271" s="261"/>
      <c r="D271" s="261"/>
      <c r="E271" s="261"/>
      <c r="F271" s="261"/>
      <c r="G271" s="261"/>
      <c r="H271" s="261"/>
      <c r="I271" s="261"/>
      <c r="J271" s="261"/>
      <c r="K271" s="261"/>
      <c r="L271" s="261"/>
      <c r="M271" s="261"/>
      <c r="N271" s="261"/>
      <c r="O271" s="261"/>
      <c r="P271" s="261"/>
      <c r="Q271" s="261"/>
      <c r="R271" s="261"/>
      <c r="S271" s="58" t="s">
        <v>970</v>
      </c>
    </row>
    <row r="272" spans="1:19" ht="15.75" x14ac:dyDescent="0.25">
      <c r="A272" s="261" t="s">
        <v>1005</v>
      </c>
      <c r="B272" s="261"/>
      <c r="C272" s="261"/>
      <c r="D272" s="261"/>
      <c r="E272" s="261"/>
      <c r="F272" s="261"/>
      <c r="G272" s="261"/>
      <c r="H272" s="261"/>
      <c r="I272" s="261"/>
      <c r="J272" s="261"/>
      <c r="K272" s="261"/>
      <c r="L272" s="261"/>
      <c r="M272" s="261"/>
      <c r="N272" s="261"/>
      <c r="O272" s="261"/>
      <c r="P272" s="261"/>
      <c r="Q272" s="261"/>
      <c r="R272" s="261"/>
    </row>
    <row r="273" spans="1:18" ht="15.75" x14ac:dyDescent="0.25">
      <c r="A273" s="261" t="s">
        <v>18</v>
      </c>
      <c r="B273" s="261"/>
      <c r="C273" s="261"/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1"/>
    </row>
    <row r="274" spans="1:18" x14ac:dyDescent="0.2">
      <c r="G274" s="560"/>
      <c r="J274" s="560"/>
      <c r="M274" s="561"/>
    </row>
    <row r="275" spans="1:18" ht="15" x14ac:dyDescent="0.25">
      <c r="A275" s="562" t="s">
        <v>19</v>
      </c>
      <c r="B275" s="562"/>
      <c r="E275" s="416" t="s">
        <v>20</v>
      </c>
      <c r="G275" s="579" t="s">
        <v>11</v>
      </c>
      <c r="H275" s="579" t="s">
        <v>4</v>
      </c>
      <c r="I275" s="579"/>
      <c r="J275" s="579" t="s">
        <v>11</v>
      </c>
      <c r="K275" s="579" t="s">
        <v>4</v>
      </c>
      <c r="L275" s="579"/>
      <c r="M275" s="579" t="s">
        <v>11</v>
      </c>
      <c r="N275" s="579" t="s">
        <v>4</v>
      </c>
      <c r="O275" s="579"/>
      <c r="P275" s="613" t="s">
        <v>293</v>
      </c>
      <c r="Q275" s="613"/>
      <c r="R275" s="613"/>
    </row>
    <row r="276" spans="1:18" ht="15" x14ac:dyDescent="0.25">
      <c r="A276" s="563" t="s">
        <v>615</v>
      </c>
      <c r="B276" s="562"/>
      <c r="C276" s="564" t="s">
        <v>616</v>
      </c>
      <c r="D276" s="565"/>
      <c r="E276" s="428" t="s">
        <v>22</v>
      </c>
      <c r="F276" s="565"/>
      <c r="G276" s="578" t="s">
        <v>819</v>
      </c>
      <c r="H276" s="578" t="s">
        <v>819</v>
      </c>
      <c r="I276" s="566"/>
      <c r="J276" s="578" t="s">
        <v>818</v>
      </c>
      <c r="K276" s="578" t="s">
        <v>818</v>
      </c>
      <c r="L276" s="566"/>
      <c r="M276" s="578" t="s">
        <v>817</v>
      </c>
      <c r="N276" s="578" t="s">
        <v>817</v>
      </c>
      <c r="O276" s="566"/>
      <c r="P276" s="577" t="s">
        <v>815</v>
      </c>
      <c r="Q276" s="566"/>
      <c r="R276" s="577" t="s">
        <v>816</v>
      </c>
    </row>
    <row r="277" spans="1:18" ht="15" x14ac:dyDescent="0.25">
      <c r="A277" s="559">
        <f>+A269+1</f>
        <v>204</v>
      </c>
      <c r="C277" s="565" t="s">
        <v>822</v>
      </c>
      <c r="D277" s="565"/>
      <c r="G277" s="569"/>
      <c r="H277" s="569"/>
      <c r="I277" s="575"/>
      <c r="J277" s="569"/>
      <c r="K277" s="569"/>
      <c r="L277" s="575"/>
      <c r="M277" s="569"/>
      <c r="N277" s="569"/>
      <c r="O277" s="575"/>
      <c r="P277" s="569"/>
      <c r="Q277" s="569"/>
      <c r="R277" s="569"/>
    </row>
    <row r="278" spans="1:18" ht="15" x14ac:dyDescent="0.25">
      <c r="A278" s="559">
        <f>+A277+1</f>
        <v>205</v>
      </c>
      <c r="C278" s="567" t="s">
        <v>694</v>
      </c>
      <c r="D278" s="567"/>
      <c r="E278" s="561"/>
      <c r="G278" s="568"/>
      <c r="H278" s="568">
        <v>259</v>
      </c>
      <c r="I278" s="575"/>
      <c r="J278" s="568"/>
      <c r="K278" s="568"/>
      <c r="L278" s="575"/>
      <c r="M278" s="568"/>
      <c r="N278" s="568"/>
      <c r="O278" s="575"/>
      <c r="P278" s="571">
        <v>0</v>
      </c>
      <c r="Q278" s="569"/>
      <c r="R278" s="571">
        <v>0</v>
      </c>
    </row>
    <row r="279" spans="1:18" ht="15" x14ac:dyDescent="0.25">
      <c r="A279" s="559">
        <f>A278+1</f>
        <v>206</v>
      </c>
      <c r="C279" s="567" t="s">
        <v>695</v>
      </c>
      <c r="D279" s="567"/>
      <c r="E279" s="561"/>
      <c r="G279" s="568">
        <v>49</v>
      </c>
      <c r="H279" s="568">
        <v>146</v>
      </c>
      <c r="I279" s="575"/>
      <c r="J279" s="568"/>
      <c r="K279" s="568">
        <v>0</v>
      </c>
      <c r="L279" s="575"/>
      <c r="M279" s="568"/>
      <c r="N279" s="568"/>
      <c r="O279" s="575"/>
      <c r="P279" s="571">
        <v>0</v>
      </c>
      <c r="Q279" s="569"/>
      <c r="R279" s="571">
        <v>0</v>
      </c>
    </row>
    <row r="280" spans="1:18" ht="15" x14ac:dyDescent="0.25">
      <c r="A280" s="559">
        <f t="shared" ref="A280:A287" si="19">A279+1</f>
        <v>207</v>
      </c>
      <c r="C280" s="567" t="s">
        <v>696</v>
      </c>
      <c r="D280" s="567"/>
      <c r="E280" s="561"/>
      <c r="G280" s="568">
        <v>31</v>
      </c>
      <c r="H280" s="568">
        <v>125</v>
      </c>
      <c r="I280" s="575"/>
      <c r="J280" s="568">
        <v>107</v>
      </c>
      <c r="K280" s="568">
        <v>0</v>
      </c>
      <c r="L280" s="575"/>
      <c r="M280" s="568"/>
      <c r="N280" s="568"/>
      <c r="O280" s="575"/>
      <c r="P280" s="571">
        <v>0</v>
      </c>
      <c r="Q280" s="569"/>
      <c r="R280" s="571">
        <v>0</v>
      </c>
    </row>
    <row r="281" spans="1:18" ht="15" x14ac:dyDescent="0.25">
      <c r="A281" s="559">
        <f t="shared" si="19"/>
        <v>208</v>
      </c>
      <c r="C281" s="567" t="s">
        <v>601</v>
      </c>
      <c r="D281" s="567"/>
      <c r="E281" s="561"/>
      <c r="G281" s="568">
        <v>75</v>
      </c>
      <c r="H281" s="568">
        <v>75</v>
      </c>
      <c r="I281" s="575"/>
      <c r="J281" s="568"/>
      <c r="K281" s="568">
        <v>0</v>
      </c>
      <c r="L281" s="575"/>
      <c r="M281" s="568"/>
      <c r="N281" s="568">
        <v>0</v>
      </c>
      <c r="O281" s="575"/>
      <c r="P281" s="571">
        <v>0</v>
      </c>
      <c r="Q281" s="569"/>
      <c r="R281" s="571">
        <v>0</v>
      </c>
    </row>
    <row r="282" spans="1:18" ht="15" x14ac:dyDescent="0.25">
      <c r="A282" s="559">
        <f t="shared" si="19"/>
        <v>209</v>
      </c>
      <c r="C282" s="567" t="s">
        <v>697</v>
      </c>
      <c r="D282" s="567"/>
      <c r="E282" s="561"/>
      <c r="G282" s="568">
        <v>58</v>
      </c>
      <c r="H282" s="568">
        <v>55</v>
      </c>
      <c r="I282" s="575"/>
      <c r="J282" s="568"/>
      <c r="K282" s="568"/>
      <c r="L282" s="575"/>
      <c r="M282" s="568"/>
      <c r="N282" s="568"/>
      <c r="O282" s="575"/>
      <c r="P282" s="571">
        <v>0</v>
      </c>
      <c r="Q282" s="569"/>
      <c r="R282" s="571">
        <v>0</v>
      </c>
    </row>
    <row r="283" spans="1:18" ht="15" x14ac:dyDescent="0.25">
      <c r="A283" s="559">
        <f t="shared" si="19"/>
        <v>210</v>
      </c>
      <c r="C283" s="567" t="s">
        <v>698</v>
      </c>
      <c r="D283" s="567"/>
      <c r="E283" s="561"/>
      <c r="G283" s="568"/>
      <c r="H283" s="568">
        <v>43</v>
      </c>
      <c r="I283" s="575"/>
      <c r="J283" s="568"/>
      <c r="K283" s="568"/>
      <c r="L283" s="575"/>
      <c r="M283" s="568"/>
      <c r="N283" s="568"/>
      <c r="O283" s="575"/>
      <c r="P283" s="571">
        <v>0</v>
      </c>
      <c r="Q283" s="569"/>
      <c r="R283" s="571">
        <v>0</v>
      </c>
    </row>
    <row r="284" spans="1:18" ht="15" x14ac:dyDescent="0.25">
      <c r="A284" s="559">
        <f t="shared" si="19"/>
        <v>211</v>
      </c>
      <c r="C284" s="567" t="s">
        <v>699</v>
      </c>
      <c r="D284" s="567"/>
      <c r="E284" s="561"/>
      <c r="G284" s="568"/>
      <c r="H284" s="568">
        <v>35</v>
      </c>
      <c r="I284" s="575"/>
      <c r="J284" s="568"/>
      <c r="K284" s="568"/>
      <c r="L284" s="575"/>
      <c r="M284" s="568"/>
      <c r="N284" s="568"/>
      <c r="O284" s="575"/>
      <c r="P284" s="571">
        <v>0</v>
      </c>
      <c r="Q284" s="569"/>
      <c r="R284" s="571">
        <v>0</v>
      </c>
    </row>
    <row r="285" spans="1:18" ht="15" x14ac:dyDescent="0.25">
      <c r="A285" s="559">
        <f t="shared" si="19"/>
        <v>212</v>
      </c>
      <c r="C285" s="567" t="s">
        <v>700</v>
      </c>
      <c r="D285" s="567"/>
      <c r="E285" s="561"/>
      <c r="G285" s="568"/>
      <c r="H285" s="568">
        <v>25</v>
      </c>
      <c r="I285" s="575"/>
      <c r="J285" s="568">
        <v>50</v>
      </c>
      <c r="K285" s="568"/>
      <c r="L285" s="575"/>
      <c r="M285" s="568"/>
      <c r="N285" s="568"/>
      <c r="O285" s="575"/>
      <c r="P285" s="571">
        <v>0</v>
      </c>
      <c r="Q285" s="569"/>
      <c r="R285" s="571">
        <v>0</v>
      </c>
    </row>
    <row r="286" spans="1:18" ht="15" x14ac:dyDescent="0.25">
      <c r="A286" s="559">
        <f t="shared" si="19"/>
        <v>213</v>
      </c>
      <c r="C286" s="567" t="s">
        <v>701</v>
      </c>
      <c r="D286" s="567"/>
      <c r="E286" s="561"/>
      <c r="G286" s="568">
        <v>35</v>
      </c>
      <c r="H286" s="568">
        <v>0</v>
      </c>
      <c r="I286" s="575"/>
      <c r="J286" s="568">
        <v>41</v>
      </c>
      <c r="K286" s="568"/>
      <c r="L286" s="575"/>
      <c r="M286" s="568"/>
      <c r="N286" s="568"/>
      <c r="O286" s="575"/>
      <c r="P286" s="571">
        <v>0</v>
      </c>
      <c r="Q286" s="569"/>
      <c r="R286" s="571">
        <v>0</v>
      </c>
    </row>
    <row r="287" spans="1:18" ht="15" x14ac:dyDescent="0.25">
      <c r="A287" s="559">
        <f t="shared" si="19"/>
        <v>214</v>
      </c>
      <c r="C287" s="567" t="s">
        <v>702</v>
      </c>
      <c r="D287" s="567"/>
      <c r="E287" s="561"/>
      <c r="G287" s="568"/>
      <c r="H287" s="568">
        <v>0</v>
      </c>
      <c r="I287" s="575"/>
      <c r="J287" s="568">
        <v>0</v>
      </c>
      <c r="K287" s="568">
        <v>0</v>
      </c>
      <c r="L287" s="575"/>
      <c r="M287" s="568"/>
      <c r="N287" s="568"/>
      <c r="O287" s="575"/>
      <c r="P287" s="571">
        <v>0</v>
      </c>
      <c r="Q287" s="569"/>
      <c r="R287" s="571">
        <v>0</v>
      </c>
    </row>
    <row r="288" spans="1:18" ht="15" x14ac:dyDescent="0.25">
      <c r="C288" s="567"/>
      <c r="D288" s="567"/>
      <c r="E288" s="561"/>
      <c r="G288" s="568"/>
      <c r="H288" s="568"/>
      <c r="I288" s="575"/>
      <c r="J288" s="568"/>
      <c r="K288" s="568"/>
      <c r="L288" s="575"/>
      <c r="M288" s="568"/>
      <c r="N288" s="568"/>
      <c r="O288" s="575"/>
      <c r="P288" s="571"/>
      <c r="Q288" s="569"/>
      <c r="R288" s="571"/>
    </row>
    <row r="289" spans="1:18" ht="15" x14ac:dyDescent="0.25">
      <c r="A289" s="559">
        <f>A287+1</f>
        <v>215</v>
      </c>
      <c r="C289" s="567" t="s">
        <v>611</v>
      </c>
      <c r="D289" s="567"/>
      <c r="E289" s="561" t="s">
        <v>985</v>
      </c>
      <c r="G289" s="568">
        <v>471</v>
      </c>
      <c r="H289" s="568">
        <v>424</v>
      </c>
      <c r="I289" s="575"/>
      <c r="J289" s="568">
        <v>858</v>
      </c>
      <c r="K289" s="568">
        <v>995</v>
      </c>
      <c r="L289" s="575"/>
      <c r="M289" s="568">
        <v>670</v>
      </c>
      <c r="N289" s="568">
        <v>400</v>
      </c>
      <c r="O289" s="575"/>
      <c r="P289" s="571">
        <v>370</v>
      </c>
      <c r="Q289" s="569"/>
      <c r="R289" s="571">
        <v>317</v>
      </c>
    </row>
    <row r="290" spans="1:18" ht="15" x14ac:dyDescent="0.25">
      <c r="A290" s="559">
        <f>A289+1</f>
        <v>216</v>
      </c>
      <c r="C290" s="567" t="s">
        <v>703</v>
      </c>
      <c r="D290" s="567"/>
      <c r="E290" s="561"/>
      <c r="G290" s="561"/>
      <c r="H290" s="561"/>
      <c r="I290" s="575"/>
      <c r="J290" s="561"/>
      <c r="K290" s="561"/>
      <c r="L290" s="575"/>
      <c r="M290" s="561">
        <v>406</v>
      </c>
      <c r="N290" s="561">
        <v>450</v>
      </c>
      <c r="O290" s="575"/>
      <c r="P290" s="571">
        <v>0</v>
      </c>
      <c r="Q290" s="569"/>
      <c r="R290" s="571">
        <v>0</v>
      </c>
    </row>
    <row r="291" spans="1:18" ht="15" x14ac:dyDescent="0.25">
      <c r="C291" s="567"/>
      <c r="D291" s="567"/>
      <c r="E291" s="561"/>
      <c r="G291" s="561"/>
      <c r="H291" s="561"/>
      <c r="I291" s="575"/>
      <c r="J291" s="561"/>
      <c r="K291" s="561"/>
      <c r="L291" s="575"/>
      <c r="M291" s="561"/>
      <c r="N291" s="561"/>
      <c r="O291" s="575"/>
      <c r="P291" s="571"/>
      <c r="Q291" s="569"/>
      <c r="R291" s="571"/>
    </row>
    <row r="292" spans="1:18" ht="15" x14ac:dyDescent="0.25">
      <c r="A292" s="559">
        <f>A290+1</f>
        <v>217</v>
      </c>
      <c r="C292" s="567" t="s">
        <v>634</v>
      </c>
      <c r="D292" s="567"/>
      <c r="E292" s="561"/>
      <c r="G292" s="568">
        <v>68</v>
      </c>
      <c r="H292" s="568">
        <v>93</v>
      </c>
      <c r="I292" s="575"/>
      <c r="J292" s="568">
        <v>86</v>
      </c>
      <c r="K292" s="568">
        <v>69</v>
      </c>
      <c r="L292" s="575"/>
      <c r="M292" s="568">
        <v>29</v>
      </c>
      <c r="N292" s="568">
        <v>68</v>
      </c>
      <c r="O292" s="575"/>
      <c r="P292" s="571">
        <v>38</v>
      </c>
      <c r="Q292" s="569"/>
      <c r="R292" s="571">
        <v>101</v>
      </c>
    </row>
    <row r="293" spans="1:18" ht="15" x14ac:dyDescent="0.25">
      <c r="A293" s="559">
        <f>A292+1</f>
        <v>218</v>
      </c>
      <c r="C293" s="565" t="s">
        <v>704</v>
      </c>
      <c r="D293" s="565"/>
      <c r="E293" s="561"/>
      <c r="G293" s="569">
        <f>SUM(G240:G292)</f>
        <v>2516</v>
      </c>
      <c r="H293" s="569">
        <f>SUM(H240:H292)</f>
        <v>3211</v>
      </c>
      <c r="I293" s="569"/>
      <c r="J293" s="569">
        <f>SUM(J240:J292)</f>
        <v>2002</v>
      </c>
      <c r="K293" s="569">
        <f>SUM(K240:K292)</f>
        <v>1542</v>
      </c>
      <c r="L293" s="569"/>
      <c r="M293" s="569">
        <f>SUM(M240:M292)</f>
        <v>1402</v>
      </c>
      <c r="N293" s="569">
        <f>SUM(N240:N292)</f>
        <v>1379</v>
      </c>
      <c r="O293" s="569"/>
      <c r="P293" s="569">
        <f>SUM(P240:P292)</f>
        <v>759</v>
      </c>
      <c r="Q293" s="569"/>
      <c r="R293" s="569">
        <f>SUM(R240:R292)</f>
        <v>1008</v>
      </c>
    </row>
    <row r="294" spans="1:18" ht="15.75" thickBot="1" x14ac:dyDescent="0.3">
      <c r="A294" s="559">
        <f>A293+1</f>
        <v>219</v>
      </c>
      <c r="C294" s="565" t="s">
        <v>705</v>
      </c>
      <c r="D294" s="565"/>
      <c r="E294" s="419" t="s">
        <v>1023</v>
      </c>
      <c r="G294" s="570">
        <f>SUM(G293+G237+G231+G227+G211+G111+G93)</f>
        <v>15358</v>
      </c>
      <c r="H294" s="570">
        <f>SUM(H293+H237+H231+H227+H211+H111+H93)</f>
        <v>19259</v>
      </c>
      <c r="I294" s="569"/>
      <c r="J294" s="570">
        <f>SUM(J293+J237+J231+J227+J211+J111+J93)</f>
        <v>16837</v>
      </c>
      <c r="K294" s="570">
        <f>SUM(K293+K237+K231+K227+K211+K111+K93)</f>
        <v>19692</v>
      </c>
      <c r="L294" s="569"/>
      <c r="M294" s="570">
        <f>SUM(M293+M237+M231+M227+M211+M111+M93)</f>
        <v>10694</v>
      </c>
      <c r="N294" s="570">
        <f>SUM(N293+N237+N231+N227+N211+N111+N93)</f>
        <v>14484</v>
      </c>
      <c r="O294" s="569"/>
      <c r="P294" s="570">
        <f>SUM(P293+P237+P231+P227+P211+P111+P93)</f>
        <v>15048</v>
      </c>
      <c r="Q294" s="569"/>
      <c r="R294" s="570">
        <f>SUM(R293+R237+R231+R227+R211+R111+R93)</f>
        <v>15318</v>
      </c>
    </row>
    <row r="295" spans="1:18" ht="15" thickTop="1" x14ac:dyDescent="0.2"/>
  </sheetData>
  <sortState ref="A148:AK165">
    <sortCondition descending="1" ref="M148:M165"/>
    <sortCondition descending="1" ref="N148:N165"/>
  </sortState>
  <mergeCells count="6">
    <mergeCell ref="P275:R275"/>
    <mergeCell ref="P6:R6"/>
    <mergeCell ref="P62:R62"/>
    <mergeCell ref="P118:R118"/>
    <mergeCell ref="P168:R168"/>
    <mergeCell ref="P218:R218"/>
  </mergeCells>
  <conditionalFormatting sqref="O1:O5 L1:L5 I1:I5 I65:I112 L65:L112 O65:O112 O120:O162 L120:L162 I120:I162 I171:I212 L171:L212 O171:O212 O220:O269 L220:L269 I220:I269 I278:I294 L278:L294 O278:O1048576 I8:I56 L8:L56 O8:O56">
    <cfRule type="cellIs" dxfId="12" priority="27" operator="equal">
      <formula>"YES"</formula>
    </cfRule>
  </conditionalFormatting>
  <conditionalFormatting sqref="O57:O61 L57:L61 I57:I61 I64 L64 O64">
    <cfRule type="cellIs" dxfId="11" priority="13" operator="equal">
      <formula>"YES"</formula>
    </cfRule>
  </conditionalFormatting>
  <conditionalFormatting sqref="O113:O117 L113:L117 I113:I117">
    <cfRule type="cellIs" dxfId="10" priority="11" operator="equal">
      <formula>"YES"</formula>
    </cfRule>
  </conditionalFormatting>
  <conditionalFormatting sqref="O170 L170 I170">
    <cfRule type="cellIs" dxfId="9" priority="10" operator="equal">
      <formula>"YES"</formula>
    </cfRule>
  </conditionalFormatting>
  <conditionalFormatting sqref="O163:O167 L163:L167 I163:I167">
    <cfRule type="cellIs" dxfId="8" priority="9" operator="equal">
      <formula>"YES"</formula>
    </cfRule>
  </conditionalFormatting>
  <conditionalFormatting sqref="O213:O217 L213:L217 I213:I217">
    <cfRule type="cellIs" dxfId="7" priority="8" operator="equal">
      <formula>"YES"</formula>
    </cfRule>
  </conditionalFormatting>
  <conditionalFormatting sqref="O277 L277 I277">
    <cfRule type="cellIs" dxfId="6" priority="7" operator="equal">
      <formula>"YES"</formula>
    </cfRule>
  </conditionalFormatting>
  <conditionalFormatting sqref="O270:O276 L270:L276 I270:I276">
    <cfRule type="cellIs" dxfId="5" priority="6" operator="equal">
      <formula>"YES"</formula>
    </cfRule>
  </conditionalFormatting>
  <conditionalFormatting sqref="O218:O219 L218:L219 I218:I219">
    <cfRule type="cellIs" dxfId="4" priority="5" operator="equal">
      <formula>"YES"</formula>
    </cfRule>
  </conditionalFormatting>
  <conditionalFormatting sqref="O168:O169 L168:L169 I168:I169">
    <cfRule type="cellIs" dxfId="3" priority="4" operator="equal">
      <formula>"YES"</formula>
    </cfRule>
  </conditionalFormatting>
  <conditionalFormatting sqref="O118:O119 L118:L119 I118:I119">
    <cfRule type="cellIs" dxfId="2" priority="3" operator="equal">
      <formula>"YES"</formula>
    </cfRule>
  </conditionalFormatting>
  <conditionalFormatting sqref="O62:O63 L62:L63 I62:I63">
    <cfRule type="cellIs" dxfId="1" priority="2" operator="equal">
      <formula>"YES"</formula>
    </cfRule>
  </conditionalFormatting>
  <conditionalFormatting sqref="O6:O7 L6:L7 I6:I7">
    <cfRule type="cellIs" dxfId="0" priority="1" operator="equal">
      <formula>"YES"</formula>
    </cfRule>
  </conditionalFormatting>
  <pageMargins left="0.7" right="0.7" top="0.75" bottom="0.75" header="0.25" footer="0.3"/>
  <pageSetup scale="60" fitToHeight="0" orientation="landscape" r:id="rId1"/>
  <headerFooter alignWithMargins="0">
    <oddHeader>&amp;RUndertaking 17 - Page 527, Lines 15-17, Attachment</oddHeader>
  </headerFooter>
  <rowBreaks count="4" manualBreakCount="4">
    <brk id="56" max="18" man="1"/>
    <brk id="112" max="18" man="1"/>
    <brk id="162" max="18" man="1"/>
    <brk id="212" max="1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pageSetUpPr fitToPage="1"/>
  </sheetPr>
  <dimension ref="A1:S39"/>
  <sheetViews>
    <sheetView view="pageBreakPreview" zoomScale="85" zoomScaleNormal="85" zoomScaleSheetLayoutView="85" workbookViewId="0">
      <selection activeCell="N2" sqref="N2"/>
    </sheetView>
  </sheetViews>
  <sheetFormatPr defaultRowHeight="15" x14ac:dyDescent="0.2"/>
  <cols>
    <col min="1" max="1" width="6" style="292" customWidth="1"/>
    <col min="2" max="2" width="2.28515625" style="292" customWidth="1"/>
    <col min="3" max="3" width="37.7109375" style="292" customWidth="1"/>
    <col min="4" max="4" width="2.28515625" style="292" customWidth="1"/>
    <col min="5" max="5" width="24.28515625" style="83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9.140625" style="292"/>
  </cols>
  <sheetData>
    <row r="1" spans="1:19" s="184" customFormat="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552</v>
      </c>
    </row>
    <row r="2" spans="1:19" s="184" customFormat="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s="184" customFormat="1" ht="15.75" x14ac:dyDescent="0.25">
      <c r="A3" s="261" t="s">
        <v>150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582"/>
    </row>
    <row r="4" spans="1:19" s="184" customFormat="1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582"/>
    </row>
    <row r="5" spans="1:19" ht="15.75" x14ac:dyDescent="0.25">
      <c r="A5" s="245"/>
      <c r="B5" s="245"/>
      <c r="C5" s="261"/>
      <c r="D5" s="261"/>
      <c r="E5" s="582"/>
      <c r="F5" s="245"/>
      <c r="G5" s="245"/>
      <c r="H5" s="245"/>
      <c r="I5" s="245"/>
      <c r="J5" s="245"/>
      <c r="K5" s="245"/>
      <c r="L5" s="245"/>
      <c r="M5" s="239"/>
      <c r="N5" s="582"/>
      <c r="O5" s="239"/>
      <c r="P5" s="582"/>
      <c r="Q5" s="239"/>
      <c r="R5" s="582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42" t="s">
        <v>4</v>
      </c>
      <c r="I6" s="582"/>
      <c r="J6" s="582" t="s">
        <v>11</v>
      </c>
      <c r="K6" s="542" t="s">
        <v>4</v>
      </c>
      <c r="L6" s="582"/>
      <c r="M6" s="582" t="s">
        <v>11</v>
      </c>
      <c r="N6" s="542" t="s">
        <v>4</v>
      </c>
      <c r="O6" s="542"/>
      <c r="P6" s="607" t="s">
        <v>293</v>
      </c>
      <c r="Q6" s="607"/>
      <c r="R6" s="607"/>
      <c r="S6" s="582"/>
    </row>
    <row r="7" spans="1:19" ht="15.75" x14ac:dyDescent="0.25">
      <c r="A7" s="585" t="s">
        <v>21</v>
      </c>
      <c r="B7" s="582"/>
      <c r="C7" s="585" t="s">
        <v>149</v>
      </c>
      <c r="D7" s="582"/>
      <c r="E7" s="585" t="s">
        <v>22</v>
      </c>
      <c r="F7" s="389"/>
      <c r="G7" s="315">
        <v>2013</v>
      </c>
      <c r="H7" s="315">
        <v>2013</v>
      </c>
      <c r="I7" s="389"/>
      <c r="J7" s="315">
        <v>2014</v>
      </c>
      <c r="K7" s="315">
        <v>2014</v>
      </c>
      <c r="L7" s="389"/>
      <c r="M7" s="315">
        <v>2015</v>
      </c>
      <c r="N7" s="315">
        <v>2015</v>
      </c>
      <c r="O7" s="320"/>
      <c r="P7" s="315">
        <v>2016</v>
      </c>
      <c r="Q7" s="320"/>
      <c r="R7" s="315">
        <v>2017</v>
      </c>
      <c r="S7" s="324"/>
    </row>
    <row r="8" spans="1:19" ht="15.75" x14ac:dyDescent="0.25">
      <c r="A8" s="320"/>
      <c r="B8" s="582"/>
      <c r="C8" s="240"/>
      <c r="D8" s="582"/>
      <c r="E8" s="240"/>
      <c r="F8" s="582"/>
      <c r="G8" s="109"/>
      <c r="H8" s="109"/>
      <c r="I8" s="582"/>
      <c r="J8" s="582"/>
      <c r="K8" s="582"/>
      <c r="L8" s="582"/>
      <c r="M8" s="582"/>
      <c r="N8" s="582"/>
      <c r="O8" s="582"/>
      <c r="P8" s="83"/>
      <c r="Q8" s="582"/>
      <c r="R8" s="582"/>
      <c r="S8" s="240"/>
    </row>
    <row r="9" spans="1:19" x14ac:dyDescent="0.2">
      <c r="A9" s="317">
        <v>1</v>
      </c>
      <c r="C9" s="292" t="s">
        <v>431</v>
      </c>
      <c r="E9" s="83" t="s">
        <v>13</v>
      </c>
      <c r="F9" s="109"/>
      <c r="G9" s="109">
        <v>2101</v>
      </c>
      <c r="H9" s="109">
        <v>2107</v>
      </c>
      <c r="I9" s="109"/>
      <c r="J9" s="109">
        <v>2512</v>
      </c>
      <c r="K9" s="109">
        <v>3141</v>
      </c>
      <c r="L9" s="109"/>
      <c r="M9" s="109">
        <v>2903</v>
      </c>
      <c r="N9" s="109">
        <v>3613</v>
      </c>
      <c r="O9" s="109"/>
      <c r="P9" s="109">
        <f>(S8.1!O85+((S10.1!P17-S10.1!P32)*S10.1!P35))/(1-S10.1!P35)</f>
        <v>3283.523181121092</v>
      </c>
      <c r="Q9" s="109"/>
      <c r="R9" s="109">
        <f>(S8.1!O95+((S10.1!R17-S10.1!R32)*S10.1!R35))/(1-S10.1!R35)</f>
        <v>4542.197785205708</v>
      </c>
      <c r="S9" s="109"/>
    </row>
    <row r="10" spans="1:19" ht="15.75" x14ac:dyDescent="0.25">
      <c r="A10" s="317">
        <f t="shared" ref="A10:A38" si="0">A9+1</f>
        <v>2</v>
      </c>
      <c r="C10" s="251" t="s">
        <v>14</v>
      </c>
      <c r="D10" s="251"/>
      <c r="E10" s="582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2">
      <c r="A11" s="317">
        <f t="shared" si="0"/>
        <v>3</v>
      </c>
      <c r="C11" s="292" t="s">
        <v>15</v>
      </c>
      <c r="E11" s="83" t="s">
        <v>283</v>
      </c>
      <c r="F11" s="109"/>
      <c r="G11" s="109">
        <f>+S1.1!G19</f>
        <v>4381.9739999999993</v>
      </c>
      <c r="H11" s="109">
        <f>+S1.1!H19</f>
        <v>4520.1229999999996</v>
      </c>
      <c r="I11" s="109"/>
      <c r="J11" s="109">
        <f>+S1.1!J19</f>
        <v>4895</v>
      </c>
      <c r="K11" s="109">
        <f>+S1.1!K19</f>
        <v>5252.1229999999996</v>
      </c>
      <c r="L11" s="109"/>
      <c r="M11" s="109">
        <f>+S1.1!M19</f>
        <v>5412</v>
      </c>
      <c r="N11" s="109">
        <f>+S1.1!N19</f>
        <v>5778.1229999999996</v>
      </c>
      <c r="O11" s="109"/>
      <c r="P11" s="109">
        <f>+S1.1!P19</f>
        <v>5791.7673333333332</v>
      </c>
      <c r="Q11" s="109"/>
      <c r="R11" s="109">
        <f>+S1.1!R19</f>
        <v>6283.0002199999999</v>
      </c>
      <c r="S11" s="109"/>
    </row>
    <row r="12" spans="1:19" x14ac:dyDescent="0.2">
      <c r="A12" s="317">
        <f t="shared" si="0"/>
        <v>4</v>
      </c>
      <c r="C12" s="292" t="s">
        <v>423</v>
      </c>
      <c r="E12" s="83" t="s">
        <v>281</v>
      </c>
      <c r="F12" s="109"/>
      <c r="G12" s="109">
        <f>+S1.1!G20</f>
        <v>-1545</v>
      </c>
      <c r="H12" s="109">
        <f>+S1.1!H20</f>
        <v>-1443.8472317999999</v>
      </c>
      <c r="I12" s="109"/>
      <c r="J12" s="109">
        <f>+S1.1!J20</f>
        <v>-1459</v>
      </c>
      <c r="K12" s="109">
        <f>+S1.1!K20</f>
        <v>-1557.3059278000001</v>
      </c>
      <c r="L12" s="109"/>
      <c r="M12" s="109">
        <f>+S1.1!M20</f>
        <v>-1460.4279799999999</v>
      </c>
      <c r="N12" s="109">
        <f>+S1.1!N20</f>
        <v>-1749.2004482</v>
      </c>
      <c r="O12" s="109"/>
      <c r="P12" s="109">
        <f>+S1.1!P20</f>
        <v>-1504.4573962946663</v>
      </c>
      <c r="Q12" s="109"/>
      <c r="R12" s="109">
        <f>+S1.1!R20</f>
        <v>-1570.3684804996662</v>
      </c>
      <c r="S12" s="109"/>
    </row>
    <row r="13" spans="1:19" x14ac:dyDescent="0.2">
      <c r="A13" s="317">
        <f t="shared" si="0"/>
        <v>5</v>
      </c>
      <c r="C13" s="292" t="s">
        <v>432</v>
      </c>
      <c r="F13" s="109"/>
      <c r="G13" s="109">
        <v>36</v>
      </c>
      <c r="H13" s="109">
        <v>25</v>
      </c>
      <c r="I13" s="109"/>
      <c r="J13" s="109">
        <v>77</v>
      </c>
      <c r="K13" s="109">
        <v>25</v>
      </c>
      <c r="L13" s="109"/>
      <c r="M13" s="109">
        <v>49</v>
      </c>
      <c r="N13" s="109">
        <v>25</v>
      </c>
      <c r="O13" s="109"/>
      <c r="P13" s="109">
        <v>50</v>
      </c>
      <c r="Q13" s="109"/>
      <c r="R13" s="109">
        <v>51</v>
      </c>
      <c r="S13" s="109"/>
    </row>
    <row r="14" spans="1:19" x14ac:dyDescent="0.2">
      <c r="A14" s="317">
        <f t="shared" si="0"/>
        <v>6</v>
      </c>
      <c r="C14" s="292" t="s">
        <v>542</v>
      </c>
      <c r="E14" s="83" t="s">
        <v>889</v>
      </c>
      <c r="F14" s="109"/>
      <c r="G14" s="109">
        <f>+'S8.8 '!G19*-1</f>
        <v>18</v>
      </c>
      <c r="H14" s="109">
        <f>+'S8.8 '!H19*-1</f>
        <v>18</v>
      </c>
      <c r="I14" s="109"/>
      <c r="J14" s="109">
        <f>+'S8.8 '!J19*-1</f>
        <v>18</v>
      </c>
      <c r="K14" s="109">
        <f>+'S8.8 '!K19*-1</f>
        <v>18</v>
      </c>
      <c r="L14" s="109"/>
      <c r="M14" s="109">
        <f>+'S8.8 '!M19*-1</f>
        <v>17</v>
      </c>
      <c r="N14" s="109">
        <f>+'S8.8 '!N19*-1</f>
        <v>17</v>
      </c>
      <c r="O14" s="109"/>
      <c r="P14" s="109">
        <f>+'S8.8 '!P19*-1</f>
        <v>632</v>
      </c>
      <c r="Q14" s="109"/>
      <c r="R14" s="109">
        <f>+'S8.8 '!R19*-1</f>
        <v>832.45999999999992</v>
      </c>
      <c r="S14" s="109"/>
    </row>
    <row r="15" spans="1:19" x14ac:dyDescent="0.2">
      <c r="A15" s="317">
        <f t="shared" si="0"/>
        <v>7</v>
      </c>
      <c r="C15" s="292" t="s">
        <v>258</v>
      </c>
      <c r="E15" s="83" t="s">
        <v>505</v>
      </c>
      <c r="F15" s="109"/>
      <c r="G15" s="109">
        <f>+'S8.4 '!G38</f>
        <v>618</v>
      </c>
      <c r="H15" s="109">
        <f>+'S8.4 '!H38</f>
        <v>617.66666666666663</v>
      </c>
      <c r="I15" s="109"/>
      <c r="J15" s="109">
        <f>+'S8.4 '!J38</f>
        <v>618</v>
      </c>
      <c r="K15" s="109">
        <f>+'S8.4 '!K38</f>
        <v>617.66666666666663</v>
      </c>
      <c r="L15" s="109"/>
      <c r="M15" s="109">
        <f>+'S8.4 '!M38</f>
        <v>618</v>
      </c>
      <c r="N15" s="109">
        <f>+'S8.4 '!N38</f>
        <v>617.66666666666663</v>
      </c>
      <c r="O15" s="109"/>
      <c r="P15" s="109">
        <f>+'S8.4 '!P38</f>
        <v>111.5</v>
      </c>
      <c r="Q15" s="109"/>
      <c r="R15" s="109">
        <f>+'S8.4 '!R38</f>
        <v>111.5</v>
      </c>
      <c r="S15" s="109"/>
    </row>
    <row r="16" spans="1:19" x14ac:dyDescent="0.2">
      <c r="A16" s="317">
        <f t="shared" si="0"/>
        <v>8</v>
      </c>
      <c r="C16" s="292" t="s">
        <v>433</v>
      </c>
      <c r="F16" s="109"/>
      <c r="G16" s="109">
        <v>718</v>
      </c>
      <c r="H16" s="109">
        <v>473.04075</v>
      </c>
      <c r="I16" s="109"/>
      <c r="J16" s="109">
        <v>619</v>
      </c>
      <c r="K16" s="109">
        <v>411.52000000000004</v>
      </c>
      <c r="L16" s="109"/>
      <c r="M16" s="109">
        <v>384</v>
      </c>
      <c r="N16" s="109">
        <v>411.52000000000004</v>
      </c>
      <c r="O16" s="109"/>
      <c r="P16" s="109">
        <v>380</v>
      </c>
      <c r="Q16" s="109"/>
      <c r="R16" s="109">
        <v>380</v>
      </c>
      <c r="S16" s="109"/>
    </row>
    <row r="17" spans="1:19" x14ac:dyDescent="0.2">
      <c r="A17" s="317">
        <f t="shared" si="0"/>
        <v>9</v>
      </c>
      <c r="C17" s="292" t="s">
        <v>460</v>
      </c>
      <c r="F17" s="109"/>
      <c r="G17" s="113">
        <f>SUM(G11:G16)</f>
        <v>4226.9739999999993</v>
      </c>
      <c r="H17" s="113">
        <f>SUM(H11:H16)</f>
        <v>4209.9831848666663</v>
      </c>
      <c r="I17" s="109"/>
      <c r="J17" s="113">
        <f>SUM(J11:J16)</f>
        <v>4768</v>
      </c>
      <c r="K17" s="113">
        <f>SUM(K11:K16)</f>
        <v>4767.0037388666669</v>
      </c>
      <c r="L17" s="109"/>
      <c r="M17" s="113">
        <f>SUM(M11:M16)</f>
        <v>5019.5720199999996</v>
      </c>
      <c r="N17" s="113">
        <f>SUM(N11:N16)</f>
        <v>5100.1092184666668</v>
      </c>
      <c r="O17" s="109"/>
      <c r="P17" s="113">
        <f>SUM(P11:P16)</f>
        <v>5460.8099370386672</v>
      </c>
      <c r="Q17" s="109"/>
      <c r="R17" s="113">
        <f>SUM(R11:R16)</f>
        <v>6087.5917395003335</v>
      </c>
      <c r="S17" s="112"/>
    </row>
    <row r="18" spans="1:19" x14ac:dyDescent="0.2">
      <c r="A18" s="317">
        <f t="shared" si="0"/>
        <v>10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ht="15.75" x14ac:dyDescent="0.25">
      <c r="A19" s="317">
        <f t="shared" si="0"/>
        <v>11</v>
      </c>
      <c r="C19" s="251" t="s">
        <v>16</v>
      </c>
      <c r="D19" s="251"/>
      <c r="E19" s="582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2">
      <c r="A20" s="317">
        <f t="shared" si="0"/>
        <v>12</v>
      </c>
      <c r="C20" s="292" t="s">
        <v>17</v>
      </c>
      <c r="F20" s="109"/>
      <c r="G20" s="109">
        <v>4260</v>
      </c>
      <c r="H20" s="109">
        <v>4449.3100000000004</v>
      </c>
      <c r="I20" s="109"/>
      <c r="J20" s="109">
        <v>4909</v>
      </c>
      <c r="K20" s="109">
        <v>5375.0839999999998</v>
      </c>
      <c r="L20" s="109"/>
      <c r="M20" s="109">
        <v>5499.9949999999999</v>
      </c>
      <c r="N20" s="109">
        <v>5869.701</v>
      </c>
      <c r="O20" s="109"/>
      <c r="P20" s="109">
        <v>6822.9260000000004</v>
      </c>
      <c r="Q20" s="109"/>
      <c r="R20" s="109">
        <v>6657.7910000000002</v>
      </c>
      <c r="S20" s="109"/>
    </row>
    <row r="21" spans="1:19" x14ac:dyDescent="0.2">
      <c r="A21" s="317">
        <f t="shared" si="0"/>
        <v>13</v>
      </c>
      <c r="C21" s="292" t="s">
        <v>184</v>
      </c>
      <c r="E21" s="83" t="s">
        <v>953</v>
      </c>
      <c r="F21" s="109"/>
      <c r="G21" s="109">
        <f>+'S8.8 '!G34</f>
        <v>386</v>
      </c>
      <c r="H21" s="109">
        <f>+'S8.8 '!H34</f>
        <v>417.25</v>
      </c>
      <c r="I21" s="109"/>
      <c r="J21" s="109">
        <f>+'S8.8 '!J34</f>
        <v>-113</v>
      </c>
      <c r="K21" s="109">
        <f>+'S8.8 '!K34</f>
        <v>193.25</v>
      </c>
      <c r="L21" s="109"/>
      <c r="M21" s="109">
        <f>+'S8.8 '!M34</f>
        <v>35.909999999999997</v>
      </c>
      <c r="N21" s="109">
        <f>+'S8.8 '!N34</f>
        <v>0</v>
      </c>
      <c r="O21" s="109"/>
      <c r="P21" s="109">
        <f>+'S8.8 '!P34</f>
        <v>586.04999999999995</v>
      </c>
      <c r="Q21" s="109"/>
      <c r="R21" s="109">
        <f>+'S8.8 '!R34</f>
        <v>0</v>
      </c>
      <c r="S21" s="109"/>
    </row>
    <row r="22" spans="1:19" x14ac:dyDescent="0.2">
      <c r="A22" s="317">
        <f t="shared" si="0"/>
        <v>14</v>
      </c>
      <c r="C22" s="292" t="s">
        <v>255</v>
      </c>
      <c r="E22" s="83" t="s">
        <v>466</v>
      </c>
      <c r="F22" s="109"/>
      <c r="G22" s="109">
        <v>83</v>
      </c>
      <c r="H22" s="109">
        <v>100</v>
      </c>
      <c r="I22" s="109"/>
      <c r="J22" s="109">
        <v>0</v>
      </c>
      <c r="K22" s="109">
        <v>100</v>
      </c>
      <c r="L22" s="109"/>
      <c r="M22" s="109">
        <v>208</v>
      </c>
      <c r="N22" s="109">
        <v>100</v>
      </c>
      <c r="O22" s="109"/>
      <c r="P22" s="109">
        <f>+'S8.4 '!P39*-1</f>
        <v>100</v>
      </c>
      <c r="Q22" s="109"/>
      <c r="R22" s="109">
        <f>+'S8.4 '!R39*-1</f>
        <v>100</v>
      </c>
      <c r="S22" s="109"/>
    </row>
    <row r="23" spans="1:19" x14ac:dyDescent="0.2">
      <c r="A23" s="317">
        <f t="shared" si="0"/>
        <v>15</v>
      </c>
      <c r="C23" s="292" t="s">
        <v>518</v>
      </c>
      <c r="E23" s="83" t="s">
        <v>1024</v>
      </c>
      <c r="F23" s="109"/>
      <c r="G23" s="109">
        <f>S9.1!G27</f>
        <v>841</v>
      </c>
      <c r="H23" s="109">
        <f>S9.1!H27</f>
        <v>650</v>
      </c>
      <c r="I23" s="109"/>
      <c r="J23" s="109">
        <f>S9.1!J27</f>
        <v>0</v>
      </c>
      <c r="K23" s="109">
        <f>S9.1!K27</f>
        <v>0</v>
      </c>
      <c r="L23" s="109"/>
      <c r="M23" s="109">
        <f>S9.1!M27</f>
        <v>0</v>
      </c>
      <c r="N23" s="109">
        <f>S9.1!N27</f>
        <v>0</v>
      </c>
      <c r="O23" s="109"/>
      <c r="P23" s="109">
        <f>S9.1!P27</f>
        <v>0</v>
      </c>
      <c r="Q23" s="109"/>
      <c r="R23" s="109">
        <f>S9.1!R27</f>
        <v>0</v>
      </c>
      <c r="S23" s="109"/>
    </row>
    <row r="24" spans="1:19" x14ac:dyDescent="0.2">
      <c r="A24" s="317">
        <f t="shared" si="0"/>
        <v>16</v>
      </c>
      <c r="C24" s="292" t="s">
        <v>383</v>
      </c>
      <c r="E24" s="83" t="s">
        <v>506</v>
      </c>
      <c r="F24" s="109"/>
      <c r="G24" s="109">
        <f>-'S8.4 '!G31-'S8.4 '!G23</f>
        <v>719</v>
      </c>
      <c r="H24" s="109">
        <f>-'S8.4 '!H23-'S8.4 '!H31</f>
        <v>727.755</v>
      </c>
      <c r="I24" s="109"/>
      <c r="J24" s="109">
        <f>-'S8.4 '!J31-'S8.4 '!J23</f>
        <v>475</v>
      </c>
      <c r="K24" s="109">
        <f>-'S8.4 '!K31-'S8.4 '!K23</f>
        <v>643</v>
      </c>
      <c r="L24" s="109"/>
      <c r="M24" s="109">
        <f>-'S8.4 '!M31-'S8.4 '!M23</f>
        <v>505</v>
      </c>
      <c r="N24" s="109">
        <f>-'S8.4 '!N31-'S8.4 '!N23</f>
        <v>643</v>
      </c>
      <c r="O24" s="109"/>
      <c r="P24" s="109">
        <f>-'S8.4 '!P31-'S8.4 '!P23</f>
        <v>546</v>
      </c>
      <c r="Q24" s="109"/>
      <c r="R24" s="109">
        <f>-'S8.4 '!R31-'S8.4 '!R23</f>
        <v>546</v>
      </c>
      <c r="S24" s="109"/>
    </row>
    <row r="25" spans="1:19" x14ac:dyDescent="0.2">
      <c r="A25" s="317">
        <f t="shared" si="0"/>
        <v>17</v>
      </c>
      <c r="C25" s="292" t="s">
        <v>369</v>
      </c>
      <c r="F25" s="109"/>
      <c r="G25" s="109">
        <v>285</v>
      </c>
      <c r="H25" s="109">
        <v>286.58875145400003</v>
      </c>
      <c r="I25" s="109"/>
      <c r="J25" s="109">
        <v>320</v>
      </c>
      <c r="K25" s="109">
        <v>296.61935775489002</v>
      </c>
      <c r="L25" s="109"/>
      <c r="M25" s="109">
        <v>316.60000000000002</v>
      </c>
      <c r="N25" s="109">
        <v>289.8</v>
      </c>
      <c r="O25" s="109"/>
      <c r="P25" s="109">
        <v>326</v>
      </c>
      <c r="Q25" s="109"/>
      <c r="R25" s="109">
        <v>336</v>
      </c>
      <c r="S25" s="109"/>
    </row>
    <row r="26" spans="1:19" x14ac:dyDescent="0.2">
      <c r="A26" s="317">
        <f t="shared" si="0"/>
        <v>18</v>
      </c>
      <c r="C26" s="292" t="s">
        <v>861</v>
      </c>
      <c r="E26" s="83" t="s">
        <v>954</v>
      </c>
      <c r="F26" s="109"/>
      <c r="G26" s="109">
        <v>1</v>
      </c>
      <c r="H26" s="109">
        <v>0</v>
      </c>
      <c r="I26" s="109"/>
      <c r="J26" s="109">
        <v>0</v>
      </c>
      <c r="K26" s="109">
        <v>0</v>
      </c>
      <c r="L26" s="109"/>
      <c r="M26" s="109">
        <f>'S8.8 '!M44+'S8.8 '!M85+'S8.8 '!M93+'S8.8 '!M43</f>
        <v>8</v>
      </c>
      <c r="N26" s="109">
        <v>0</v>
      </c>
      <c r="O26" s="109"/>
      <c r="P26" s="109">
        <f>'S8.8 '!P44+'S8.8 '!P85+'S8.8 '!P93+'S8.8 '!P43</f>
        <v>662</v>
      </c>
      <c r="Q26" s="109"/>
      <c r="R26" s="109">
        <f>'S8.8 '!R44+'S8.8 '!R85+'S8.8 '!R93+'S8.8 '!R43</f>
        <v>300</v>
      </c>
      <c r="S26" s="109"/>
    </row>
    <row r="27" spans="1:19" x14ac:dyDescent="0.2">
      <c r="A27" s="317">
        <f t="shared" si="0"/>
        <v>19</v>
      </c>
      <c r="C27" s="292" t="s">
        <v>397</v>
      </c>
      <c r="E27" s="83" t="s">
        <v>883</v>
      </c>
      <c r="F27" s="109"/>
      <c r="G27" s="109">
        <v>277</v>
      </c>
      <c r="H27" s="109">
        <v>70</v>
      </c>
      <c r="I27" s="109"/>
      <c r="J27" s="109">
        <v>499</v>
      </c>
      <c r="K27" s="109">
        <v>70</v>
      </c>
      <c r="L27" s="109"/>
      <c r="M27" s="109">
        <v>44</v>
      </c>
      <c r="N27" s="109">
        <v>70</v>
      </c>
      <c r="O27" s="109"/>
      <c r="P27" s="109">
        <v>50</v>
      </c>
      <c r="Q27" s="109"/>
      <c r="R27" s="109">
        <v>50</v>
      </c>
      <c r="S27" s="109"/>
    </row>
    <row r="28" spans="1:19" x14ac:dyDescent="0.2">
      <c r="A28" s="317">
        <f t="shared" si="0"/>
        <v>20</v>
      </c>
      <c r="C28" s="292" t="s">
        <v>601</v>
      </c>
      <c r="E28" s="83" t="s">
        <v>955</v>
      </c>
      <c r="F28" s="109"/>
      <c r="G28" s="109">
        <v>205</v>
      </c>
      <c r="H28" s="109"/>
      <c r="I28" s="109"/>
      <c r="J28" s="109">
        <v>220</v>
      </c>
      <c r="K28" s="109"/>
      <c r="L28" s="109"/>
      <c r="M28" s="109">
        <f>+'S8.8 '!M76</f>
        <v>178.24</v>
      </c>
      <c r="N28" s="109"/>
      <c r="O28" s="109"/>
      <c r="P28" s="109">
        <f>+'S8.8 '!P76</f>
        <v>135.76</v>
      </c>
      <c r="Q28" s="109"/>
      <c r="R28" s="109">
        <f>+'S8.8 '!R76</f>
        <v>0</v>
      </c>
      <c r="S28" s="109"/>
    </row>
    <row r="29" spans="1:19" x14ac:dyDescent="0.2">
      <c r="A29" s="317">
        <f t="shared" si="0"/>
        <v>21</v>
      </c>
      <c r="C29" s="292" t="s">
        <v>598</v>
      </c>
      <c r="E29" s="83" t="s">
        <v>882</v>
      </c>
      <c r="F29" s="109"/>
      <c r="G29" s="109">
        <v>402</v>
      </c>
      <c r="H29" s="109"/>
      <c r="I29" s="109"/>
      <c r="J29" s="109">
        <v>0</v>
      </c>
      <c r="K29" s="109"/>
      <c r="L29" s="109"/>
      <c r="M29" s="109">
        <f>-S3.1!M24</f>
        <v>72</v>
      </c>
      <c r="N29" s="109"/>
      <c r="O29" s="109"/>
      <c r="P29" s="109">
        <f>-S3.1!P24</f>
        <v>110.488106</v>
      </c>
      <c r="Q29" s="109"/>
      <c r="R29" s="109">
        <f>-S3.1!R24</f>
        <v>86.295681000000016</v>
      </c>
      <c r="S29" s="109"/>
    </row>
    <row r="30" spans="1:19" x14ac:dyDescent="0.2">
      <c r="A30" s="317">
        <f t="shared" si="0"/>
        <v>22</v>
      </c>
      <c r="C30" s="292" t="s">
        <v>859</v>
      </c>
      <c r="F30" s="109"/>
      <c r="G30" s="109">
        <v>10</v>
      </c>
      <c r="H30" s="109">
        <v>10</v>
      </c>
      <c r="I30" s="109"/>
      <c r="J30" s="109">
        <v>25</v>
      </c>
      <c r="K30" s="109">
        <v>10</v>
      </c>
      <c r="L30" s="109"/>
      <c r="M30" s="109">
        <v>30</v>
      </c>
      <c r="N30" s="109">
        <v>10</v>
      </c>
      <c r="O30" s="109"/>
      <c r="P30" s="109">
        <v>28.236000000000001</v>
      </c>
      <c r="Q30" s="109"/>
      <c r="R30" s="109">
        <v>26.26</v>
      </c>
      <c r="S30" s="109"/>
    </row>
    <row r="31" spans="1:19" x14ac:dyDescent="0.2">
      <c r="A31" s="317">
        <f t="shared" si="0"/>
        <v>23</v>
      </c>
      <c r="C31" s="292" t="s">
        <v>517</v>
      </c>
      <c r="F31" s="109"/>
      <c r="G31" s="109">
        <v>1223</v>
      </c>
      <c r="H31" s="109">
        <v>993</v>
      </c>
      <c r="I31" s="109"/>
      <c r="J31" s="109">
        <v>1127</v>
      </c>
      <c r="K31" s="109">
        <v>688.12</v>
      </c>
      <c r="L31" s="109"/>
      <c r="M31" s="109">
        <v>777</v>
      </c>
      <c r="N31" s="109">
        <v>687.77</v>
      </c>
      <c r="O31" s="109"/>
      <c r="P31" s="109">
        <v>800</v>
      </c>
      <c r="Q31" s="109"/>
      <c r="R31" s="109">
        <v>824</v>
      </c>
      <c r="S31" s="112"/>
    </row>
    <row r="32" spans="1:19" x14ac:dyDescent="0.2">
      <c r="A32" s="317">
        <f t="shared" si="0"/>
        <v>24</v>
      </c>
      <c r="C32" s="292" t="s">
        <v>460</v>
      </c>
      <c r="F32" s="109"/>
      <c r="G32" s="587">
        <f>SUM(G20:G31)-G28-G29</f>
        <v>8085</v>
      </c>
      <c r="H32" s="113">
        <f>SUM(H20:H31)</f>
        <v>7703.9037514540005</v>
      </c>
      <c r="I32" s="109"/>
      <c r="J32" s="587">
        <f>SUM(J20:J31)-J28-J29</f>
        <v>7242</v>
      </c>
      <c r="K32" s="113">
        <f>SUM(K20:K31)</f>
        <v>7376.0733577548899</v>
      </c>
      <c r="L32" s="109"/>
      <c r="M32" s="113">
        <f>SUM(M20:M31)</f>
        <v>7674.7449999999999</v>
      </c>
      <c r="N32" s="113">
        <f>SUM(N20:N31)</f>
        <v>7670.2710000000006</v>
      </c>
      <c r="O32" s="109"/>
      <c r="P32" s="113">
        <f>SUM(P20:P31)</f>
        <v>10167.460106000002</v>
      </c>
      <c r="Q32" s="109"/>
      <c r="R32" s="113">
        <f>SUM(R20:R31)</f>
        <v>8926.3466809999991</v>
      </c>
      <c r="S32" s="109"/>
    </row>
    <row r="33" spans="1:19" x14ac:dyDescent="0.2">
      <c r="A33" s="317">
        <f t="shared" si="0"/>
        <v>25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</row>
    <row r="34" spans="1:19" x14ac:dyDescent="0.2">
      <c r="A34" s="317">
        <f t="shared" si="0"/>
        <v>26</v>
      </c>
      <c r="C34" s="292" t="s">
        <v>461</v>
      </c>
      <c r="F34" s="109"/>
      <c r="G34" s="109">
        <f>+G9+G17-G32</f>
        <v>-1757.0260000000007</v>
      </c>
      <c r="H34" s="109">
        <f>+H9+H17-H32</f>
        <v>-1386.9205665873342</v>
      </c>
      <c r="I34" s="109"/>
      <c r="J34" s="109">
        <f>+J9+J17-J32</f>
        <v>38</v>
      </c>
      <c r="K34" s="109">
        <f>+K9+K17-K32</f>
        <v>531.93038111177702</v>
      </c>
      <c r="L34" s="109"/>
      <c r="M34" s="109">
        <f>+M9+M17-M32</f>
        <v>247.82701999999972</v>
      </c>
      <c r="N34" s="109">
        <f>+N9+N17-N32</f>
        <v>1042.8382184666661</v>
      </c>
      <c r="O34" s="109"/>
      <c r="P34" s="109">
        <f>+P9+P17-P32</f>
        <v>-1423.1269878402436</v>
      </c>
      <c r="Q34" s="109"/>
      <c r="R34" s="109">
        <f>+R9+R17-R32</f>
        <v>1703.4428437060415</v>
      </c>
      <c r="S34" s="112"/>
    </row>
    <row r="35" spans="1:19" x14ac:dyDescent="0.2">
      <c r="A35" s="317">
        <f t="shared" si="0"/>
        <v>27</v>
      </c>
      <c r="C35" s="292" t="s">
        <v>462</v>
      </c>
      <c r="F35" s="500"/>
      <c r="G35" s="588">
        <v>0.3</v>
      </c>
      <c r="H35" s="588">
        <v>0.3</v>
      </c>
      <c r="I35" s="500"/>
      <c r="J35" s="588">
        <v>0.3</v>
      </c>
      <c r="K35" s="588">
        <v>0.3</v>
      </c>
      <c r="L35" s="500"/>
      <c r="M35" s="588">
        <v>0.3</v>
      </c>
      <c r="N35" s="588">
        <v>0.3</v>
      </c>
      <c r="O35" s="500"/>
      <c r="P35" s="588">
        <v>0.3</v>
      </c>
      <c r="Q35" s="500"/>
      <c r="R35" s="588">
        <v>0.3</v>
      </c>
      <c r="S35" s="500"/>
    </row>
    <row r="36" spans="1:19" x14ac:dyDescent="0.2">
      <c r="A36" s="317">
        <f t="shared" si="0"/>
        <v>28</v>
      </c>
      <c r="C36" s="292" t="s">
        <v>159</v>
      </c>
      <c r="F36" s="109"/>
      <c r="G36" s="109">
        <f>+G34*G35</f>
        <v>-527.10780000000022</v>
      </c>
      <c r="H36" s="109">
        <f>+H34*H35</f>
        <v>-416.07616997620022</v>
      </c>
      <c r="I36" s="109"/>
      <c r="J36" s="109">
        <f>+J34*J35</f>
        <v>11.4</v>
      </c>
      <c r="K36" s="109">
        <f>+K34*K35</f>
        <v>159.57911433353311</v>
      </c>
      <c r="L36" s="109"/>
      <c r="M36" s="109">
        <f>+M34*M35</f>
        <v>74.348105999999916</v>
      </c>
      <c r="N36" s="109">
        <f>+N34*N35</f>
        <v>312.85146553999982</v>
      </c>
      <c r="O36" s="109"/>
      <c r="P36" s="109">
        <f>+P34*P35</f>
        <v>-426.93809635207305</v>
      </c>
      <c r="Q36" s="109"/>
      <c r="R36" s="109">
        <f>+R34*R35</f>
        <v>511.03285311181241</v>
      </c>
      <c r="S36" s="109"/>
    </row>
    <row r="37" spans="1:19" x14ac:dyDescent="0.2">
      <c r="A37" s="317">
        <f t="shared" si="0"/>
        <v>29</v>
      </c>
      <c r="C37" s="292" t="s">
        <v>463</v>
      </c>
      <c r="F37" s="109"/>
      <c r="G37" s="112">
        <v>-187</v>
      </c>
      <c r="H37" s="112">
        <v>0</v>
      </c>
      <c r="I37" s="109"/>
      <c r="J37" s="112">
        <v>-131</v>
      </c>
      <c r="K37" s="112">
        <v>0.4</v>
      </c>
      <c r="L37" s="109"/>
      <c r="M37" s="112">
        <v>0</v>
      </c>
      <c r="N37" s="112">
        <v>0</v>
      </c>
      <c r="O37" s="109"/>
      <c r="P37" s="112">
        <v>0</v>
      </c>
      <c r="Q37" s="109"/>
      <c r="R37" s="112">
        <v>0</v>
      </c>
      <c r="S37" s="109"/>
    </row>
    <row r="38" spans="1:19" ht="15.75" thickBot="1" x14ac:dyDescent="0.25">
      <c r="A38" s="317">
        <f t="shared" si="0"/>
        <v>30</v>
      </c>
      <c r="C38" s="292" t="s">
        <v>464</v>
      </c>
      <c r="E38" s="83" t="s">
        <v>251</v>
      </c>
      <c r="F38" s="280"/>
      <c r="G38" s="501">
        <f>ROUND(SUM(G36:G37),0)</f>
        <v>-714</v>
      </c>
      <c r="H38" s="501">
        <f>ROUND(SUM(H36:H37),0)</f>
        <v>-416</v>
      </c>
      <c r="I38" s="280"/>
      <c r="J38" s="501">
        <f>ROUND(SUM(J36:J37),0)</f>
        <v>-120</v>
      </c>
      <c r="K38" s="501">
        <f>ROUND(SUM(K36:K37),0)</f>
        <v>160</v>
      </c>
      <c r="L38" s="280"/>
      <c r="M38" s="501">
        <f>ROUND(SUM(M36:M37),0)</f>
        <v>74</v>
      </c>
      <c r="N38" s="501">
        <f>ROUND(SUM(N36:N37),0)</f>
        <v>313</v>
      </c>
      <c r="O38" s="280"/>
      <c r="P38" s="501">
        <f>ROUND(SUM(P36:P37),0)</f>
        <v>-427</v>
      </c>
      <c r="Q38" s="280"/>
      <c r="R38" s="501">
        <f>ROUND(SUM(R36:R37),0)</f>
        <v>511</v>
      </c>
      <c r="S38" s="280"/>
    </row>
    <row r="39" spans="1:19" ht="15.75" thickTop="1" x14ac:dyDescent="0.2"/>
  </sheetData>
  <customSheetViews>
    <customSheetView guid="{275E5119-9E8C-43ED-ACD2-DF40CF10B219}" topLeftCell="A4">
      <selection activeCell="M38" sqref="M38"/>
      <pageMargins left="0.75" right="0.75" top="0.69" bottom="1" header="0.5" footer="0.5"/>
      <pageSetup scale="70" orientation="landscape" r:id="rId1"/>
      <headerFooter alignWithMargins="0"/>
    </customSheetView>
    <customSheetView guid="{D346ECD1-ED60-4F74-8B02-572F89E41ACB}" showPageBreaks="1" showRuler="0" topLeftCell="A4">
      <selection activeCell="M39" sqref="M39"/>
      <pageMargins left="0.75" right="0.75" top="0.69" bottom="1" header="0.5" footer="0.5"/>
      <pageSetup scale="70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69" orientation="landscape" r:id="rId3"/>
  <headerFooter alignWithMargins="0">
    <oddHeader xml:space="preserve">&amp;RUndertaking 17 - Page 527, Lines 15-17, Attachment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S15"/>
  <sheetViews>
    <sheetView view="pageBreakPreview" topLeftCell="D1" zoomScale="85" zoomScaleNormal="85" zoomScaleSheetLayoutView="85" workbookViewId="0">
      <selection activeCell="N59" sqref="N59"/>
    </sheetView>
  </sheetViews>
  <sheetFormatPr defaultColWidth="7.5703125" defaultRowHeight="12.75" x14ac:dyDescent="0.2"/>
  <cols>
    <col min="1" max="1" width="6.140625" style="304" bestFit="1" customWidth="1"/>
    <col min="2" max="2" width="2.28515625" style="304" customWidth="1"/>
    <col min="3" max="3" width="31.28515625" style="304" bestFit="1" customWidth="1"/>
    <col min="4" max="4" width="2.28515625" style="304" customWidth="1"/>
    <col min="5" max="5" width="12" style="304" customWidth="1"/>
    <col min="6" max="6" width="2.28515625" style="304" customWidth="1"/>
    <col min="7" max="8" width="13" style="304" customWidth="1"/>
    <col min="9" max="9" width="2.28515625" style="304" customWidth="1"/>
    <col min="10" max="11" width="12.85546875" style="304" customWidth="1"/>
    <col min="12" max="12" width="2.28515625" style="304" customWidth="1"/>
    <col min="13" max="13" width="12.85546875" style="304" customWidth="1"/>
    <col min="14" max="14" width="12.7109375" style="304" bestFit="1" customWidth="1"/>
    <col min="15" max="15" width="2.28515625" style="304" customWidth="1"/>
    <col min="16" max="16" width="12.85546875" style="304" customWidth="1"/>
    <col min="17" max="17" width="2.28515625" style="304" customWidth="1"/>
    <col min="18" max="18" width="12.85546875" style="304" customWidth="1"/>
    <col min="19" max="19" width="2.28515625" style="304" customWidth="1"/>
    <col min="20" max="16384" width="7.5703125" style="304"/>
  </cols>
  <sheetData>
    <row r="1" spans="1:19" ht="15.75" x14ac:dyDescent="0.25">
      <c r="A1" s="261" t="s">
        <v>1006</v>
      </c>
      <c r="B1" s="30"/>
      <c r="C1" s="30"/>
      <c r="D1" s="30"/>
      <c r="E1" s="30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48" t="s">
        <v>578</v>
      </c>
    </row>
    <row r="2" spans="1:19" ht="15.75" x14ac:dyDescent="0.25">
      <c r="A2" s="29" t="s">
        <v>555</v>
      </c>
      <c r="B2" s="30"/>
      <c r="C2" s="30"/>
      <c r="D2" s="30"/>
      <c r="E2" s="30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48" t="s">
        <v>888</v>
      </c>
    </row>
    <row r="3" spans="1:19" ht="15.75" x14ac:dyDescent="0.25">
      <c r="A3" s="29" t="s">
        <v>33</v>
      </c>
      <c r="B3" s="30"/>
      <c r="C3" s="30"/>
      <c r="D3" s="30"/>
      <c r="E3" s="30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</row>
    <row r="4" spans="1:19" ht="15.75" x14ac:dyDescent="0.25">
      <c r="A4" s="29" t="s">
        <v>18</v>
      </c>
      <c r="B4" s="30"/>
      <c r="C4" s="30"/>
      <c r="D4" s="30"/>
      <c r="E4" s="30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</row>
    <row r="5" spans="1:19" ht="15.75" x14ac:dyDescent="0.25">
      <c r="A5" s="29"/>
      <c r="B5" s="30"/>
      <c r="C5" s="30"/>
      <c r="D5" s="30"/>
      <c r="E5" s="30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</row>
    <row r="6" spans="1:19" s="298" customFormat="1" ht="15.75" x14ac:dyDescent="0.25">
      <c r="A6" s="342" t="s">
        <v>19</v>
      </c>
      <c r="B6" s="342"/>
      <c r="C6" s="342"/>
      <c r="D6" s="342"/>
      <c r="E6" s="342" t="s">
        <v>20</v>
      </c>
      <c r="F6" s="342"/>
      <c r="G6" s="342" t="s">
        <v>11</v>
      </c>
      <c r="H6" s="342" t="s">
        <v>4</v>
      </c>
      <c r="I6" s="342"/>
      <c r="J6" s="342" t="s">
        <v>11</v>
      </c>
      <c r="K6" s="546" t="s">
        <v>4</v>
      </c>
      <c r="L6" s="342"/>
      <c r="M6" s="342" t="s">
        <v>11</v>
      </c>
      <c r="N6" s="164" t="s">
        <v>4</v>
      </c>
      <c r="O6" s="542"/>
      <c r="P6" s="607" t="s">
        <v>293</v>
      </c>
      <c r="Q6" s="607"/>
      <c r="R6" s="607"/>
    </row>
    <row r="7" spans="1:19" s="298" customFormat="1" ht="15.75" x14ac:dyDescent="0.25">
      <c r="A7" s="341" t="s">
        <v>21</v>
      </c>
      <c r="B7" s="342"/>
      <c r="C7" s="341" t="s">
        <v>149</v>
      </c>
      <c r="D7" s="342"/>
      <c r="E7" s="341" t="s">
        <v>22</v>
      </c>
      <c r="F7" s="319"/>
      <c r="G7" s="318">
        <v>2013</v>
      </c>
      <c r="H7" s="318">
        <v>2013</v>
      </c>
      <c r="I7" s="319"/>
      <c r="J7" s="318">
        <v>2014</v>
      </c>
      <c r="K7" s="318">
        <v>2014</v>
      </c>
      <c r="L7" s="321"/>
      <c r="M7" s="318">
        <v>2015</v>
      </c>
      <c r="N7" s="318">
        <v>2015</v>
      </c>
      <c r="O7" s="319"/>
      <c r="P7" s="318">
        <v>2016</v>
      </c>
      <c r="Q7" s="319"/>
      <c r="R7" s="318">
        <v>2017</v>
      </c>
      <c r="S7" s="1"/>
    </row>
    <row r="8" spans="1:19" s="298" customFormat="1" ht="15" x14ac:dyDescent="0.2">
      <c r="A8" s="326"/>
      <c r="B8" s="326"/>
      <c r="C8" s="326"/>
      <c r="D8" s="326"/>
      <c r="E8" s="326"/>
      <c r="H8" s="296"/>
    </row>
    <row r="9" spans="1:19" s="298" customFormat="1" ht="15" x14ac:dyDescent="0.2">
      <c r="A9" s="317">
        <v>1</v>
      </c>
      <c r="B9" s="292"/>
      <c r="C9" s="292" t="s">
        <v>34</v>
      </c>
      <c r="D9" s="292"/>
      <c r="E9" s="292"/>
      <c r="F9" s="295"/>
      <c r="G9" s="257">
        <v>195.09299999999999</v>
      </c>
      <c r="H9" s="257">
        <v>190.42787999999999</v>
      </c>
      <c r="I9" s="295"/>
      <c r="J9" s="257">
        <v>187.703</v>
      </c>
      <c r="K9" s="257">
        <v>194.23643759999999</v>
      </c>
      <c r="L9" s="257"/>
      <c r="M9" s="257">
        <v>195.92215999999999</v>
      </c>
      <c r="N9" s="257">
        <v>198.12116635199999</v>
      </c>
      <c r="O9" s="295"/>
      <c r="P9" s="257">
        <v>200.23244751999999</v>
      </c>
      <c r="Q9" s="295"/>
      <c r="R9" s="257">
        <v>204.63756136544001</v>
      </c>
      <c r="S9" s="295"/>
    </row>
    <row r="10" spans="1:19" s="298" customFormat="1" ht="15" x14ac:dyDescent="0.2">
      <c r="A10" s="317">
        <v>2</v>
      </c>
      <c r="B10" s="292"/>
      <c r="C10" s="184" t="s">
        <v>348</v>
      </c>
      <c r="D10" s="292"/>
      <c r="E10" s="292"/>
      <c r="F10" s="295"/>
      <c r="G10" s="257">
        <v>710.50199999999995</v>
      </c>
      <c r="H10" s="257">
        <v>680.73678000000007</v>
      </c>
      <c r="I10" s="295"/>
      <c r="J10" s="257">
        <v>736.56200000000001</v>
      </c>
      <c r="K10" s="257">
        <v>694.35151560000008</v>
      </c>
      <c r="L10" s="257"/>
      <c r="M10" s="257">
        <v>763.95862999999997</v>
      </c>
      <c r="N10" s="257">
        <v>708.23854591200006</v>
      </c>
      <c r="O10" s="295"/>
      <c r="P10" s="257">
        <v>780.76571985999999</v>
      </c>
      <c r="Q10" s="295"/>
      <c r="R10" s="257">
        <v>797.94256569692004</v>
      </c>
      <c r="S10" s="295"/>
    </row>
    <row r="11" spans="1:19" s="298" customFormat="1" ht="15" x14ac:dyDescent="0.2">
      <c r="A11" s="317">
        <v>3</v>
      </c>
      <c r="B11" s="292"/>
      <c r="C11" s="292" t="s">
        <v>133</v>
      </c>
      <c r="D11" s="292"/>
      <c r="E11" s="292"/>
      <c r="F11" s="296"/>
      <c r="G11" s="252">
        <v>103.628</v>
      </c>
      <c r="H11" s="252">
        <v>109.37358</v>
      </c>
      <c r="I11" s="296"/>
      <c r="J11" s="252">
        <v>113.393</v>
      </c>
      <c r="K11" s="252">
        <v>111.5610516</v>
      </c>
      <c r="L11" s="252"/>
      <c r="M11" s="252">
        <v>68.127070000000003</v>
      </c>
      <c r="N11" s="252">
        <v>113.79227263200001</v>
      </c>
      <c r="O11" s="296"/>
      <c r="P11" s="252">
        <v>69.625865540000007</v>
      </c>
      <c r="Q11" s="296"/>
      <c r="R11" s="252">
        <v>71.157634581880004</v>
      </c>
      <c r="S11" s="296"/>
    </row>
    <row r="12" spans="1:19" s="298" customFormat="1" ht="15" x14ac:dyDescent="0.2">
      <c r="A12" s="317">
        <v>4</v>
      </c>
      <c r="B12" s="292"/>
      <c r="C12" s="292" t="s">
        <v>349</v>
      </c>
      <c r="D12" s="292"/>
      <c r="E12" s="292"/>
      <c r="F12" s="292"/>
      <c r="G12" s="234">
        <v>341.60200000000009</v>
      </c>
      <c r="H12" s="234">
        <v>296.93729999999999</v>
      </c>
      <c r="I12" s="292"/>
      <c r="J12" s="234">
        <v>277.19200000000001</v>
      </c>
      <c r="K12" s="234">
        <v>249.54098040000002</v>
      </c>
      <c r="L12" s="257"/>
      <c r="M12" s="234">
        <v>243.38424999999998</v>
      </c>
      <c r="N12" s="234">
        <v>254.53180000800003</v>
      </c>
      <c r="O12" s="326"/>
      <c r="P12" s="234">
        <v>248.73870349999999</v>
      </c>
      <c r="Q12" s="326"/>
      <c r="R12" s="234">
        <v>254.210954977</v>
      </c>
      <c r="S12" s="296"/>
    </row>
    <row r="13" spans="1:19" s="298" customFormat="1" ht="15" x14ac:dyDescent="0.2">
      <c r="A13" s="317">
        <v>5</v>
      </c>
      <c r="B13" s="292"/>
      <c r="J13" s="296"/>
      <c r="K13" s="296"/>
      <c r="L13" s="296"/>
      <c r="M13" s="296"/>
      <c r="N13" s="296"/>
      <c r="P13" s="296"/>
      <c r="R13" s="296"/>
      <c r="S13" s="296"/>
    </row>
    <row r="14" spans="1:19" s="298" customFormat="1" ht="15.75" thickBot="1" x14ac:dyDescent="0.25">
      <c r="A14" s="317">
        <v>6</v>
      </c>
      <c r="B14" s="292"/>
      <c r="C14" s="292" t="s">
        <v>12</v>
      </c>
      <c r="D14" s="292"/>
      <c r="E14" s="83" t="s">
        <v>249</v>
      </c>
      <c r="F14" s="296"/>
      <c r="G14" s="364">
        <f>SUM(G9:G12)</f>
        <v>1350.825</v>
      </c>
      <c r="H14" s="364">
        <f>SUM(H9:H13)</f>
        <v>1277.4755400000001</v>
      </c>
      <c r="I14" s="296"/>
      <c r="J14" s="364">
        <f>SUM(J9:J13)</f>
        <v>1314.85</v>
      </c>
      <c r="K14" s="364">
        <f>SUM(K9:K13)</f>
        <v>1249.6899852000001</v>
      </c>
      <c r="L14" s="257"/>
      <c r="M14" s="364">
        <f>SUM(M9:M13)</f>
        <v>1271.39211</v>
      </c>
      <c r="N14" s="364">
        <f>SUM(N9:N13)</f>
        <v>1274.6837849040003</v>
      </c>
      <c r="O14" s="296"/>
      <c r="P14" s="364">
        <f>SUM(P9:P13)</f>
        <v>1299.3627364199999</v>
      </c>
      <c r="Q14" s="296"/>
      <c r="R14" s="364">
        <f>SUM(R9:R13)</f>
        <v>1327.94871662124</v>
      </c>
      <c r="S14" s="296"/>
    </row>
    <row r="15" spans="1:19" ht="13.5" thickTop="1" x14ac:dyDescent="0.2"/>
  </sheetData>
  <customSheetViews>
    <customSheetView guid="{275E5119-9E8C-43ED-ACD2-DF40CF10B219}" scale="70">
      <selection activeCell="M13" sqref="M13"/>
      <pageMargins left="0.5" right="0.5" top="1" bottom="1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3" sqref="M13"/>
      <pageMargins left="0.5" right="0.5" top="1" bottom="1" header="0.5" footer="0.5"/>
      <pageSetup scale="7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76" orientation="landscape" r:id="rId3"/>
  <headerFooter alignWithMargins="0">
    <oddHeader xml:space="preserve">&amp;RUndertaking 17 - Page 527, Lines 15-17, Attachment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S26"/>
  <sheetViews>
    <sheetView view="pageBreakPreview" topLeftCell="D1" zoomScale="85" zoomScaleNormal="100" zoomScaleSheetLayoutView="85" workbookViewId="0">
      <selection activeCell="R26" sqref="R26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4.5703125" style="292" customWidth="1"/>
    <col min="4" max="4" width="2.28515625" style="292" customWidth="1"/>
    <col min="5" max="5" width="11.710937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577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273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</row>
    <row r="4" spans="1:19" ht="15.75" x14ac:dyDescent="0.25">
      <c r="A4" s="261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19" ht="15.75" x14ac:dyDescent="0.25">
      <c r="A5" s="582" t="s">
        <v>19</v>
      </c>
      <c r="B5" s="582"/>
      <c r="C5" s="582"/>
      <c r="D5" s="582"/>
      <c r="E5" s="582" t="s">
        <v>20</v>
      </c>
      <c r="F5" s="582"/>
      <c r="G5" s="242" t="s">
        <v>11</v>
      </c>
      <c r="H5" s="240" t="s">
        <v>4</v>
      </c>
      <c r="I5" s="582"/>
      <c r="J5" s="242" t="s">
        <v>11</v>
      </c>
      <c r="K5" s="240" t="s">
        <v>4</v>
      </c>
      <c r="L5" s="582"/>
      <c r="M5" s="242" t="s">
        <v>11</v>
      </c>
      <c r="N5" s="240" t="s">
        <v>4</v>
      </c>
      <c r="O5" s="557"/>
      <c r="P5" s="605" t="s">
        <v>293</v>
      </c>
      <c r="Q5" s="605"/>
      <c r="R5" s="605"/>
      <c r="S5" s="582"/>
    </row>
    <row r="6" spans="1:19" ht="15.75" x14ac:dyDescent="0.25">
      <c r="A6" s="589" t="s">
        <v>21</v>
      </c>
      <c r="B6" s="582"/>
      <c r="C6" s="589" t="s">
        <v>149</v>
      </c>
      <c r="D6" s="582"/>
      <c r="E6" s="589" t="s">
        <v>22</v>
      </c>
      <c r="F6" s="582"/>
      <c r="G6" s="315">
        <v>2013</v>
      </c>
      <c r="H6" s="315">
        <v>2013</v>
      </c>
      <c r="I6" s="389"/>
      <c r="J6" s="315">
        <v>2014</v>
      </c>
      <c r="K6" s="315">
        <v>2014</v>
      </c>
      <c r="L6" s="320"/>
      <c r="M6" s="315">
        <v>2015</v>
      </c>
      <c r="N6" s="315">
        <v>2015</v>
      </c>
      <c r="O6" s="389"/>
      <c r="P6" s="315">
        <v>2016</v>
      </c>
      <c r="Q6" s="389"/>
      <c r="R6" s="315">
        <v>2017</v>
      </c>
      <c r="S6" s="582"/>
    </row>
    <row r="7" spans="1:19" ht="15.75" x14ac:dyDescent="0.25">
      <c r="R7" s="320"/>
    </row>
    <row r="8" spans="1:19" ht="15.75" x14ac:dyDescent="0.25">
      <c r="A8" s="317">
        <v>1</v>
      </c>
      <c r="C8" s="174" t="s">
        <v>9</v>
      </c>
      <c r="J8" s="102"/>
      <c r="R8" s="281"/>
    </row>
    <row r="9" spans="1:19" ht="5.25" customHeight="1" x14ac:dyDescent="0.2">
      <c r="A9" s="317"/>
      <c r="C9" s="253"/>
      <c r="J9" s="252"/>
      <c r="K9" s="252"/>
      <c r="L9" s="252"/>
      <c r="M9" s="252"/>
      <c r="N9" s="252"/>
      <c r="O9" s="252"/>
      <c r="P9" s="252"/>
      <c r="Q9" s="252"/>
      <c r="R9" s="252"/>
    </row>
    <row r="10" spans="1:19" x14ac:dyDescent="0.2">
      <c r="A10" s="317">
        <f>A8+1</f>
        <v>2</v>
      </c>
      <c r="C10" s="253" t="s">
        <v>207</v>
      </c>
      <c r="G10" s="103">
        <v>307927</v>
      </c>
      <c r="H10" s="103">
        <v>304011.49057894276</v>
      </c>
      <c r="I10" s="103"/>
      <c r="J10" s="103">
        <v>295284</v>
      </c>
      <c r="K10" s="103">
        <v>314124.69263616967</v>
      </c>
      <c r="L10" s="103"/>
      <c r="M10" s="103">
        <f>304991-M11</f>
        <v>297960.98</v>
      </c>
      <c r="N10" s="103">
        <v>320964.59716328105</v>
      </c>
      <c r="O10" s="103"/>
      <c r="P10" s="103">
        <f>+S3.2!P27-P11</f>
        <v>294664.02856879844</v>
      </c>
      <c r="Q10" s="103"/>
      <c r="R10" s="103">
        <f>+S3.2!R27-R11</f>
        <v>300324.65792080067</v>
      </c>
      <c r="S10" s="103"/>
    </row>
    <row r="11" spans="1:19" x14ac:dyDescent="0.2">
      <c r="A11" s="317">
        <f>A10+1</f>
        <v>3</v>
      </c>
      <c r="C11" s="253" t="s">
        <v>316</v>
      </c>
      <c r="E11" s="83" t="s">
        <v>995</v>
      </c>
      <c r="G11" s="148">
        <v>3959</v>
      </c>
      <c r="H11" s="148">
        <v>0</v>
      </c>
      <c r="I11" s="281"/>
      <c r="J11" s="148">
        <v>5415</v>
      </c>
      <c r="K11" s="148">
        <v>0</v>
      </c>
      <c r="L11" s="103"/>
      <c r="M11" s="148">
        <f>+S2.1!M48</f>
        <v>7030.02</v>
      </c>
      <c r="N11" s="148">
        <v>0</v>
      </c>
      <c r="O11" s="103"/>
      <c r="P11" s="148">
        <f>+S2.1!P48</f>
        <v>9429.0020000000004</v>
      </c>
      <c r="Q11" s="103"/>
      <c r="R11" s="148">
        <f>+S2.1!S48</f>
        <v>9429.0020000000004</v>
      </c>
      <c r="S11" s="281"/>
    </row>
    <row r="12" spans="1:19" x14ac:dyDescent="0.2">
      <c r="A12" s="317">
        <f>A11+1</f>
        <v>4</v>
      </c>
      <c r="C12" s="253"/>
      <c r="E12" s="83" t="s">
        <v>332</v>
      </c>
      <c r="G12" s="264">
        <f>SUM(G10:G11)</f>
        <v>311886</v>
      </c>
      <c r="H12" s="264">
        <f>SUM(H10:H11)</f>
        <v>304011.49057894276</v>
      </c>
      <c r="I12" s="281"/>
      <c r="J12" s="264">
        <f>SUM(J10:J11)</f>
        <v>300699</v>
      </c>
      <c r="K12" s="264">
        <f>SUM(K10:K11)</f>
        <v>314124.69263616967</v>
      </c>
      <c r="L12" s="264"/>
      <c r="M12" s="264">
        <f>SUM(M10:M11)</f>
        <v>304991</v>
      </c>
      <c r="N12" s="264">
        <f>SUM(N10:N11)</f>
        <v>320964.59716328105</v>
      </c>
      <c r="O12" s="264"/>
      <c r="P12" s="264">
        <f>SUM(P10:P11)</f>
        <v>304093.03056879842</v>
      </c>
      <c r="Q12" s="264"/>
      <c r="R12" s="264">
        <f>SUM(R10:R11)</f>
        <v>309753.65992080065</v>
      </c>
      <c r="S12" s="281"/>
    </row>
    <row r="13" spans="1:19" ht="15.75" x14ac:dyDescent="0.25">
      <c r="A13" s="317">
        <f>A12+1</f>
        <v>5</v>
      </c>
      <c r="C13" s="174" t="s">
        <v>155</v>
      </c>
    </row>
    <row r="14" spans="1:19" ht="7.5" customHeight="1" x14ac:dyDescent="0.2">
      <c r="A14" s="317"/>
      <c r="C14" s="253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19" x14ac:dyDescent="0.2">
      <c r="A15" s="317">
        <f>A13+1</f>
        <v>6</v>
      </c>
      <c r="C15" s="253" t="s">
        <v>529</v>
      </c>
      <c r="G15" s="79">
        <v>8.2979999999999998E-2</v>
      </c>
      <c r="H15" s="79">
        <v>8.2979999999999998E-2</v>
      </c>
      <c r="I15" s="77"/>
      <c r="J15" s="79">
        <v>8.2979999999999998E-2</v>
      </c>
      <c r="K15" s="548">
        <v>8.2979999999999998E-2</v>
      </c>
      <c r="L15" s="79"/>
      <c r="M15" s="79">
        <v>8.2979999999999998E-2</v>
      </c>
      <c r="N15" s="79">
        <v>8.2979999999999998E-2</v>
      </c>
      <c r="O15" s="79"/>
      <c r="P15" s="79">
        <f>+N15</f>
        <v>8.2979999999999998E-2</v>
      </c>
      <c r="Q15" s="79"/>
      <c r="R15" s="79">
        <f>+N15</f>
        <v>8.2979999999999998E-2</v>
      </c>
      <c r="S15" s="77"/>
    </row>
    <row r="16" spans="1:19" x14ac:dyDescent="0.2">
      <c r="A16" s="317">
        <f>A15+1</f>
        <v>7</v>
      </c>
      <c r="C16" s="253" t="s">
        <v>530</v>
      </c>
      <c r="G16" s="299">
        <f>+G22/G11</f>
        <v>7.3755998989643856E-2</v>
      </c>
      <c r="H16" s="223">
        <v>0</v>
      </c>
      <c r="I16" s="31"/>
      <c r="J16" s="223">
        <f>+J22/J11</f>
        <v>7.663896583564174E-2</v>
      </c>
      <c r="K16" s="103">
        <v>0</v>
      </c>
      <c r="L16" s="223"/>
      <c r="M16" s="223">
        <f>+M22/M11</f>
        <v>6.4580186116113464E-2</v>
      </c>
      <c r="N16" s="31">
        <v>0</v>
      </c>
      <c r="O16" s="223"/>
      <c r="P16" s="223">
        <v>4.3999999999999997E-2</v>
      </c>
      <c r="Q16" s="223"/>
      <c r="R16" s="223">
        <v>4.3999999999999997E-2</v>
      </c>
      <c r="S16" s="31"/>
    </row>
    <row r="17" spans="1:19" x14ac:dyDescent="0.2">
      <c r="A17" s="317">
        <v>8</v>
      </c>
      <c r="C17" s="253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31"/>
    </row>
    <row r="18" spans="1:19" ht="7.5" customHeight="1" x14ac:dyDescent="0.2">
      <c r="A18" s="317"/>
      <c r="C18" s="253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15.75" x14ac:dyDescent="0.25">
      <c r="A19" s="317">
        <f>A17+1</f>
        <v>9</v>
      </c>
      <c r="C19" s="174" t="s">
        <v>8</v>
      </c>
      <c r="K19" s="300"/>
    </row>
    <row r="20" spans="1:19" ht="7.5" customHeight="1" x14ac:dyDescent="0.2">
      <c r="A20" s="317"/>
      <c r="C20" s="253"/>
    </row>
    <row r="21" spans="1:19" x14ac:dyDescent="0.2">
      <c r="A21" s="317">
        <f>A19+1</f>
        <v>10</v>
      </c>
      <c r="C21" s="253" t="s">
        <v>208</v>
      </c>
      <c r="E21" s="83" t="s">
        <v>5</v>
      </c>
      <c r="G21" s="66">
        <f>+G15*G10</f>
        <v>25551.782459999999</v>
      </c>
      <c r="H21" s="66">
        <f>+H15*H10</f>
        <v>25226.873488240668</v>
      </c>
      <c r="J21" s="66">
        <f>+J15*J10</f>
        <v>24502.66632</v>
      </c>
      <c r="K21" s="66">
        <f>+K15*K10</f>
        <v>26066.066994949357</v>
      </c>
      <c r="L21" s="66"/>
      <c r="M21" s="66">
        <f>+M15*M10</f>
        <v>24724.8021204</v>
      </c>
      <c r="N21" s="66">
        <f>+N15*N10</f>
        <v>26633.64227260906</v>
      </c>
      <c r="O21" s="66"/>
      <c r="P21" s="66">
        <f>+P15*P10</f>
        <v>24451.221090638894</v>
      </c>
      <c r="Q21" s="66"/>
      <c r="R21" s="66">
        <f>+R15*R10</f>
        <v>24920.94011426804</v>
      </c>
    </row>
    <row r="22" spans="1:19" x14ac:dyDescent="0.2">
      <c r="A22" s="317">
        <f>A21+1</f>
        <v>11</v>
      </c>
      <c r="C22" s="253" t="s">
        <v>318</v>
      </c>
      <c r="E22" s="83" t="s">
        <v>6</v>
      </c>
      <c r="G22" s="66">
        <v>292</v>
      </c>
      <c r="H22" s="66">
        <v>0</v>
      </c>
      <c r="J22" s="66">
        <v>415</v>
      </c>
      <c r="K22" s="103">
        <v>0</v>
      </c>
      <c r="L22" s="66"/>
      <c r="M22" s="66">
        <v>454</v>
      </c>
      <c r="N22" s="66">
        <v>0</v>
      </c>
      <c r="O22" s="66"/>
      <c r="P22" s="66">
        <f>+P11*P16</f>
        <v>414.87608799999998</v>
      </c>
      <c r="Q22" s="66"/>
      <c r="R22" s="66">
        <f>R11*R16</f>
        <v>414.87608799999998</v>
      </c>
    </row>
    <row r="23" spans="1:19" x14ac:dyDescent="0.2">
      <c r="A23" s="317">
        <f>A22+1</f>
        <v>12</v>
      </c>
      <c r="C23" s="253" t="s">
        <v>7</v>
      </c>
      <c r="E23" s="83" t="s">
        <v>996</v>
      </c>
      <c r="G23" s="66">
        <f>S2.1!G69</f>
        <v>5828.5619999999999</v>
      </c>
      <c r="H23" s="66">
        <v>0</v>
      </c>
      <c r="J23" s="66">
        <f>S2.1!J69</f>
        <v>6259</v>
      </c>
      <c r="K23" s="103">
        <v>0</v>
      </c>
      <c r="L23" s="66"/>
      <c r="M23" s="66">
        <f>S2.1!M69</f>
        <v>5266</v>
      </c>
      <c r="N23" s="66">
        <v>0</v>
      </c>
      <c r="O23" s="66"/>
      <c r="P23" s="66">
        <v>0</v>
      </c>
      <c r="Q23" s="66"/>
      <c r="R23" s="66">
        <v>0</v>
      </c>
    </row>
    <row r="24" spans="1:19" x14ac:dyDescent="0.2">
      <c r="A24" s="317">
        <f>A23+1</f>
        <v>13</v>
      </c>
      <c r="C24" s="253" t="s">
        <v>465</v>
      </c>
      <c r="G24" s="70">
        <v>-402</v>
      </c>
      <c r="H24" s="70">
        <v>-369</v>
      </c>
      <c r="J24" s="70">
        <v>0</v>
      </c>
      <c r="K24" s="148">
        <v>0</v>
      </c>
      <c r="L24" s="66"/>
      <c r="M24" s="70">
        <v>-72</v>
      </c>
      <c r="N24" s="70">
        <v>0</v>
      </c>
      <c r="O24" s="66"/>
      <c r="P24" s="70">
        <v>-110.488106</v>
      </c>
      <c r="Q24" s="66"/>
      <c r="R24" s="70">
        <v>-86.295681000000016</v>
      </c>
    </row>
    <row r="25" spans="1:19" ht="7.5" customHeight="1" x14ac:dyDescent="0.2">
      <c r="A25" s="317"/>
      <c r="C25" s="253"/>
      <c r="G25" s="281"/>
      <c r="H25" s="281"/>
      <c r="I25" s="281"/>
      <c r="J25" s="281"/>
      <c r="K25" s="281"/>
      <c r="L25" s="281"/>
      <c r="M25" s="489"/>
      <c r="N25" s="281"/>
      <c r="O25" s="281"/>
      <c r="P25" s="281"/>
      <c r="Q25" s="281"/>
      <c r="R25" s="281"/>
      <c r="S25" s="281"/>
    </row>
    <row r="26" spans="1:19" ht="15.75" thickBot="1" x14ac:dyDescent="0.25">
      <c r="A26" s="317">
        <f>+A24+1</f>
        <v>14</v>
      </c>
      <c r="C26" s="253" t="s">
        <v>154</v>
      </c>
      <c r="E26" s="83" t="s">
        <v>247</v>
      </c>
      <c r="G26" s="222">
        <f>SUM(G21:G24)</f>
        <v>31270.34446</v>
      </c>
      <c r="H26" s="222">
        <f>SUM(H21:H24)</f>
        <v>24857.873488240668</v>
      </c>
      <c r="J26" s="222">
        <f>SUM(J21:J24)</f>
        <v>31176.66632</v>
      </c>
      <c r="K26" s="222">
        <f>SUM(K21:K24)</f>
        <v>26066.066994949357</v>
      </c>
      <c r="L26" s="66"/>
      <c r="M26" s="222">
        <f>SUM(M21:M24)</f>
        <v>30372.8021204</v>
      </c>
      <c r="N26" s="222">
        <f>SUM(N21:N24)</f>
        <v>26633.64227260906</v>
      </c>
      <c r="O26" s="66"/>
      <c r="P26" s="222">
        <f>SUM(P21:P24)</f>
        <v>24755.609072638894</v>
      </c>
      <c r="Q26" s="66"/>
      <c r="R26" s="222">
        <f>SUM(R21:R24)</f>
        <v>25249.520521268041</v>
      </c>
    </row>
  </sheetData>
  <customSheetViews>
    <customSheetView guid="{275E5119-9E8C-43ED-ACD2-DF40CF10B219}" scale="70">
      <selection activeCell="C52" sqref="C52"/>
      <pageMargins left="0.5" right="0.5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C52" sqref="C52"/>
      <pageMargins left="0.5" right="0.5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1">
    <mergeCell ref="P5:R5"/>
  </mergeCells>
  <phoneticPr fontId="9" type="noConversion"/>
  <printOptions horizontalCentered="1"/>
  <pageMargins left="0.5" right="0.5" top="0.75" bottom="0.75" header="0.25" footer="0.5"/>
  <pageSetup scale="71" orientation="landscape" r:id="rId3"/>
  <headerFooter scaleWithDoc="0" alignWithMargins="0">
    <oddHeader xml:space="preserve">&amp;RUndertaking 17 - Page 527, Lines 15-17, Attachment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S39"/>
  <sheetViews>
    <sheetView view="pageBreakPreview" topLeftCell="D1" zoomScale="85" zoomScaleNormal="85" zoomScaleSheetLayoutView="85" workbookViewId="0">
      <selection activeCell="R39" sqref="R39"/>
    </sheetView>
  </sheetViews>
  <sheetFormatPr defaultColWidth="7.5703125" defaultRowHeight="15" x14ac:dyDescent="0.2"/>
  <cols>
    <col min="1" max="1" width="6.140625" style="23" bestFit="1" customWidth="1"/>
    <col min="2" max="2" width="2.28515625" style="23" customWidth="1"/>
    <col min="3" max="3" width="46" style="23" customWidth="1"/>
    <col min="4" max="4" width="2.28515625" style="23" customWidth="1"/>
    <col min="5" max="5" width="15" style="26" customWidth="1"/>
    <col min="6" max="6" width="2.5703125" style="23" customWidth="1"/>
    <col min="7" max="8" width="12.7109375" style="23" customWidth="1"/>
    <col min="9" max="9" width="2.28515625" style="23" customWidth="1"/>
    <col min="10" max="11" width="12.7109375" style="23" customWidth="1"/>
    <col min="12" max="12" width="2.28515625" style="23" customWidth="1"/>
    <col min="13" max="14" width="12.7109375" style="23" customWidth="1"/>
    <col min="15" max="15" width="2.28515625" style="23" customWidth="1"/>
    <col min="16" max="16" width="12.7109375" style="23" customWidth="1"/>
    <col min="17" max="17" width="2.28515625" style="23" customWidth="1"/>
    <col min="18" max="18" width="12.7109375" style="23" customWidth="1"/>
    <col min="19" max="19" width="2.28515625" style="23" customWidth="1"/>
    <col min="20" max="16384" width="7.5703125" style="23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2"/>
      <c r="M1" s="22"/>
      <c r="N1" s="22"/>
      <c r="O1" s="22"/>
      <c r="P1" s="22"/>
      <c r="Q1" s="22"/>
      <c r="R1" s="22"/>
      <c r="S1" s="48" t="s">
        <v>576</v>
      </c>
    </row>
    <row r="2" spans="1:19" ht="15.75" x14ac:dyDescent="0.25">
      <c r="A2" s="168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2"/>
      <c r="M2" s="22"/>
      <c r="N2" s="22"/>
      <c r="O2" s="22"/>
      <c r="P2" s="22"/>
      <c r="Q2" s="22"/>
      <c r="R2" s="22"/>
      <c r="S2" s="48" t="s">
        <v>888</v>
      </c>
    </row>
    <row r="3" spans="1:19" ht="15.75" x14ac:dyDescent="0.25">
      <c r="A3" s="246" t="s">
        <v>274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2"/>
      <c r="M3" s="22"/>
      <c r="N3" s="22"/>
      <c r="O3" s="22"/>
      <c r="P3" s="22"/>
      <c r="Q3" s="22"/>
      <c r="R3" s="22"/>
    </row>
    <row r="4" spans="1:19" ht="15.75" x14ac:dyDescent="0.25">
      <c r="A4" s="246" t="s">
        <v>1021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2"/>
      <c r="M4" s="22"/>
      <c r="N4" s="22"/>
      <c r="O4" s="22"/>
      <c r="P4" s="22"/>
      <c r="Q4" s="22"/>
      <c r="R4" s="22"/>
    </row>
    <row r="5" spans="1:19" s="326" customFormat="1" ht="15.75" x14ac:dyDescent="0.25">
      <c r="A5" s="261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30"/>
      <c r="M5" s="30"/>
      <c r="N5" s="30"/>
      <c r="O5" s="30"/>
      <c r="P5" s="30"/>
      <c r="Q5" s="30"/>
      <c r="R5" s="30"/>
    </row>
    <row r="6" spans="1:19" ht="15.75" x14ac:dyDescent="0.25">
      <c r="A6" s="247" t="s">
        <v>19</v>
      </c>
      <c r="B6" s="247"/>
      <c r="C6" s="247"/>
      <c r="D6" s="247"/>
      <c r="E6" s="247" t="s">
        <v>20</v>
      </c>
      <c r="F6" s="160"/>
      <c r="G6" s="540" t="s">
        <v>11</v>
      </c>
      <c r="H6" s="164" t="s">
        <v>4</v>
      </c>
      <c r="I6" s="160"/>
      <c r="J6" s="540" t="s">
        <v>11</v>
      </c>
      <c r="K6" s="164" t="s">
        <v>4</v>
      </c>
      <c r="L6" s="8"/>
      <c r="M6" s="160" t="s">
        <v>11</v>
      </c>
      <c r="N6" s="164" t="s">
        <v>4</v>
      </c>
      <c r="O6" s="542"/>
      <c r="P6" s="607" t="s">
        <v>293</v>
      </c>
      <c r="Q6" s="607"/>
      <c r="R6" s="607"/>
    </row>
    <row r="7" spans="1:19" ht="15.75" x14ac:dyDescent="0.25">
      <c r="A7" s="248" t="s">
        <v>21</v>
      </c>
      <c r="B7" s="247"/>
      <c r="C7" s="248" t="s">
        <v>149</v>
      </c>
      <c r="D7" s="247"/>
      <c r="E7" s="248" t="s">
        <v>22</v>
      </c>
      <c r="F7" s="160"/>
      <c r="G7" s="312">
        <v>2013</v>
      </c>
      <c r="H7" s="312">
        <v>2013</v>
      </c>
      <c r="I7" s="313"/>
      <c r="J7" s="312">
        <v>2014</v>
      </c>
      <c r="K7" s="312">
        <v>2014</v>
      </c>
      <c r="L7" s="309"/>
      <c r="M7" s="312">
        <v>2015</v>
      </c>
      <c r="N7" s="312">
        <v>2015</v>
      </c>
      <c r="O7" s="309"/>
      <c r="P7" s="312">
        <v>2016</v>
      </c>
      <c r="Q7" s="314"/>
      <c r="R7" s="322">
        <v>2017</v>
      </c>
      <c r="S7" s="323"/>
    </row>
    <row r="8" spans="1:19" x14ac:dyDescent="0.2">
      <c r="A8" s="52"/>
      <c r="B8" s="52"/>
      <c r="C8" s="52"/>
      <c r="D8" s="52"/>
      <c r="E8" s="71"/>
      <c r="F8" s="52"/>
      <c r="G8" s="52"/>
      <c r="H8" s="52"/>
      <c r="I8" s="52"/>
      <c r="J8" s="52"/>
      <c r="K8" s="52"/>
      <c r="M8" s="52"/>
      <c r="N8" s="52"/>
      <c r="P8" s="52"/>
      <c r="Q8" s="52"/>
    </row>
    <row r="9" spans="1:19" ht="15.75" x14ac:dyDescent="0.25">
      <c r="A9" s="317">
        <v>1</v>
      </c>
      <c r="B9" s="52"/>
      <c r="C9" s="249" t="s">
        <v>152</v>
      </c>
      <c r="D9" s="52"/>
      <c r="E9" s="71"/>
      <c r="F9" s="52"/>
      <c r="G9" s="52"/>
      <c r="H9" s="52"/>
      <c r="I9" s="52"/>
      <c r="J9" s="52"/>
      <c r="K9" s="52"/>
      <c r="M9" s="52"/>
    </row>
    <row r="10" spans="1:19" ht="4.5" customHeight="1" x14ac:dyDescent="0.25">
      <c r="A10" s="317"/>
      <c r="B10" s="52"/>
      <c r="C10" s="174"/>
      <c r="D10" s="52"/>
      <c r="E10" s="71"/>
      <c r="F10" s="52"/>
      <c r="G10" s="52"/>
      <c r="H10" s="52"/>
      <c r="I10" s="52"/>
      <c r="J10" s="52"/>
      <c r="K10" s="52"/>
      <c r="M10" s="52"/>
    </row>
    <row r="11" spans="1:19" x14ac:dyDescent="0.2">
      <c r="A11" s="317">
        <v>2</v>
      </c>
      <c r="B11" s="52"/>
      <c r="C11" s="253" t="s">
        <v>525</v>
      </c>
      <c r="D11" s="52"/>
      <c r="E11" s="83" t="s">
        <v>491</v>
      </c>
      <c r="F11" s="102"/>
      <c r="G11" s="102">
        <f>+S2.1!G62</f>
        <v>316692.41737066669</v>
      </c>
      <c r="H11" s="102">
        <f>+S2.1!H62</f>
        <v>310232.44636982796</v>
      </c>
      <c r="I11" s="102"/>
      <c r="J11" s="102">
        <f>+S2.1!J62</f>
        <v>312180.75578268297</v>
      </c>
      <c r="K11" s="102">
        <f>+S2.1!K62</f>
        <v>324161.59691470407</v>
      </c>
      <c r="L11" s="102"/>
      <c r="M11" s="102">
        <f>+S2.1!M62</f>
        <v>315816.02</v>
      </c>
      <c r="N11" s="102">
        <f>+S2.1!N62</f>
        <v>330612.07250034495</v>
      </c>
      <c r="O11" s="102"/>
      <c r="P11" s="102">
        <f>+S2.1!P62</f>
        <v>313592.09256455582</v>
      </c>
      <c r="Q11" s="102"/>
      <c r="R11" s="102">
        <f>+S2.1!S62</f>
        <v>319289.19750385225</v>
      </c>
      <c r="S11" s="52"/>
    </row>
    <row r="12" spans="1:19" ht="4.5" customHeight="1" x14ac:dyDescent="0.2">
      <c r="A12" s="317"/>
      <c r="B12" s="52"/>
      <c r="C12" s="149"/>
      <c r="D12" s="52"/>
      <c r="E12" s="5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52"/>
    </row>
    <row r="13" spans="1:19" x14ac:dyDescent="0.2">
      <c r="A13" s="317">
        <v>3</v>
      </c>
      <c r="B13" s="52"/>
      <c r="C13" s="253" t="s">
        <v>526</v>
      </c>
      <c r="D13" s="52"/>
      <c r="E13" s="71"/>
      <c r="F13" s="102"/>
      <c r="G13" s="102">
        <v>20191</v>
      </c>
      <c r="H13" s="102">
        <v>19234.411674929332</v>
      </c>
      <c r="I13" s="102"/>
      <c r="J13" s="102">
        <v>19880</v>
      </c>
      <c r="K13" s="102">
        <v>20098.019008711653</v>
      </c>
      <c r="L13" s="102"/>
      <c r="M13" s="102">
        <f>+M17-M11</f>
        <v>19018.760999999999</v>
      </c>
      <c r="N13" s="101">
        <v>20497.948495021388</v>
      </c>
      <c r="O13" s="102"/>
      <c r="P13" s="101">
        <f>+P11*P15</f>
        <v>19442.709739002461</v>
      </c>
      <c r="Q13" s="102"/>
      <c r="R13" s="101">
        <f>+R11*R15</f>
        <v>19795.93024523884</v>
      </c>
      <c r="S13" s="52"/>
    </row>
    <row r="14" spans="1:19" ht="4.5" customHeight="1" x14ac:dyDescent="0.2">
      <c r="A14" s="317"/>
      <c r="B14" s="52"/>
      <c r="C14" s="149"/>
      <c r="D14" s="52"/>
      <c r="E14" s="7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x14ac:dyDescent="0.2">
      <c r="A15" s="317">
        <v>4</v>
      </c>
      <c r="B15" s="52"/>
      <c r="C15" s="149" t="s">
        <v>153</v>
      </c>
      <c r="D15" s="52"/>
      <c r="E15" s="71"/>
      <c r="F15" s="67"/>
      <c r="G15" s="78">
        <f>G13/G11</f>
        <v>6.3755868131088925E-2</v>
      </c>
      <c r="H15" s="78">
        <f>H13/H11</f>
        <v>6.1999999999999993E-2</v>
      </c>
      <c r="I15" s="67"/>
      <c r="J15" s="78">
        <f>J13/J11</f>
        <v>6.3681055387792632E-2</v>
      </c>
      <c r="K15" s="78">
        <f>K13/K11</f>
        <v>6.2E-2</v>
      </c>
      <c r="L15" s="67"/>
      <c r="M15" s="78">
        <f>M13/M11</f>
        <v>6.0221014120816284E-2</v>
      </c>
      <c r="N15" s="78">
        <f>N13/N11</f>
        <v>6.2000000000000006E-2</v>
      </c>
      <c r="O15" s="67"/>
      <c r="P15" s="78">
        <v>6.2E-2</v>
      </c>
      <c r="Q15" s="67"/>
      <c r="R15" s="78">
        <v>6.2E-2</v>
      </c>
      <c r="S15" s="52"/>
    </row>
    <row r="16" spans="1:19" ht="4.5" customHeight="1" x14ac:dyDescent="0.2">
      <c r="A16" s="317"/>
      <c r="B16" s="52"/>
      <c r="C16" s="149"/>
      <c r="D16" s="52"/>
      <c r="E16" s="7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15.75" thickBot="1" x14ac:dyDescent="0.25">
      <c r="A17" s="317">
        <v>5</v>
      </c>
      <c r="B17" s="52"/>
      <c r="C17" s="253" t="s">
        <v>527</v>
      </c>
      <c r="D17" s="52"/>
      <c r="E17" s="71"/>
      <c r="F17" s="102"/>
      <c r="G17" s="104">
        <f>G29</f>
        <v>336877.76399999997</v>
      </c>
      <c r="H17" s="104">
        <f>H29</f>
        <v>329466.85804475727</v>
      </c>
      <c r="I17" s="102"/>
      <c r="J17" s="104">
        <f>J29</f>
        <v>332063</v>
      </c>
      <c r="K17" s="104">
        <f>K29</f>
        <v>344259.61592341575</v>
      </c>
      <c r="L17" s="102"/>
      <c r="M17" s="104">
        <f>M29</f>
        <v>334834.78100000002</v>
      </c>
      <c r="N17" s="104">
        <f>N29</f>
        <v>351110.02099536633</v>
      </c>
      <c r="O17" s="102"/>
      <c r="P17" s="104">
        <f>+P11+P13</f>
        <v>333034.80230355827</v>
      </c>
      <c r="Q17" s="102"/>
      <c r="R17" s="104">
        <f>+R11+R13</f>
        <v>339085.12774909107</v>
      </c>
      <c r="S17" s="52"/>
    </row>
    <row r="18" spans="1:19" x14ac:dyDescent="0.2">
      <c r="A18" s="317"/>
      <c r="B18" s="52"/>
      <c r="C18" s="52"/>
      <c r="D18" s="52"/>
      <c r="E18" s="71"/>
      <c r="F18" s="52"/>
      <c r="G18" s="292"/>
      <c r="H18" s="292"/>
      <c r="I18" s="292"/>
      <c r="J18" s="292"/>
      <c r="K18" s="292"/>
      <c r="L18" s="292"/>
      <c r="M18" s="292"/>
      <c r="N18" s="292"/>
      <c r="P18" s="52"/>
      <c r="R18" s="52"/>
    </row>
    <row r="19" spans="1:19" ht="15.75" x14ac:dyDescent="0.25">
      <c r="A19" s="317">
        <v>6</v>
      </c>
      <c r="B19" s="52"/>
      <c r="C19" s="250" t="s">
        <v>302</v>
      </c>
      <c r="D19" s="52"/>
      <c r="E19" s="71"/>
      <c r="F19" s="52"/>
      <c r="G19" s="254"/>
      <c r="H19" s="254"/>
      <c r="I19" s="292"/>
      <c r="J19" s="254"/>
      <c r="K19" s="254"/>
      <c r="L19" s="292"/>
      <c r="M19" s="254"/>
      <c r="N19" s="254"/>
      <c r="P19" s="52"/>
      <c r="R19" s="52"/>
    </row>
    <row r="20" spans="1:19" ht="4.5" customHeight="1" x14ac:dyDescent="0.2">
      <c r="A20" s="317"/>
      <c r="B20" s="52"/>
      <c r="C20" s="52"/>
      <c r="D20" s="52"/>
      <c r="E20" s="71"/>
      <c r="F20" s="52"/>
      <c r="G20" s="52"/>
      <c r="H20" s="52"/>
      <c r="I20" s="52"/>
      <c r="J20" s="52"/>
      <c r="K20" s="52"/>
      <c r="M20" s="52"/>
      <c r="N20" s="52"/>
      <c r="P20" s="52"/>
      <c r="R20" s="52"/>
    </row>
    <row r="21" spans="1:19" x14ac:dyDescent="0.2">
      <c r="A21" s="317">
        <v>7</v>
      </c>
      <c r="B21" s="52"/>
      <c r="C21" s="292" t="s">
        <v>523</v>
      </c>
      <c r="D21" s="52"/>
      <c r="E21" s="71"/>
      <c r="F21" s="52"/>
      <c r="G21" s="102">
        <v>3687</v>
      </c>
      <c r="H21" s="102">
        <v>4328.625</v>
      </c>
      <c r="I21" s="52"/>
      <c r="J21" s="102">
        <v>10247</v>
      </c>
      <c r="K21" s="102">
        <v>8730</v>
      </c>
      <c r="M21" s="102">
        <v>9179.6740000000009</v>
      </c>
      <c r="N21" s="102">
        <v>8730</v>
      </c>
      <c r="P21" s="102">
        <v>8245</v>
      </c>
      <c r="Q21" s="292"/>
      <c r="R21" s="102">
        <v>8536</v>
      </c>
      <c r="S21" s="292"/>
    </row>
    <row r="22" spans="1:19" ht="4.5" customHeight="1" x14ac:dyDescent="0.2">
      <c r="A22" s="317"/>
      <c r="B22" s="52"/>
      <c r="C22" s="52"/>
      <c r="D22" s="52"/>
      <c r="E22" s="71"/>
      <c r="F22" s="52"/>
      <c r="G22" s="52"/>
      <c r="H22" s="52"/>
      <c r="I22" s="52"/>
      <c r="J22" s="52"/>
      <c r="K22" s="52"/>
      <c r="M22" s="52"/>
      <c r="N22" s="254"/>
      <c r="P22" s="52"/>
      <c r="R22" s="52"/>
    </row>
    <row r="23" spans="1:19" x14ac:dyDescent="0.2">
      <c r="A23" s="317">
        <v>8</v>
      </c>
      <c r="B23" s="52"/>
      <c r="C23" s="292" t="s">
        <v>528</v>
      </c>
      <c r="D23" s="52"/>
      <c r="E23" s="71" t="s">
        <v>895</v>
      </c>
      <c r="F23" s="102"/>
      <c r="G23" s="102">
        <f>+S4.2!G22</f>
        <v>2.831</v>
      </c>
      <c r="H23" s="102">
        <f>+S4.2!H22</f>
        <v>70</v>
      </c>
      <c r="I23" s="102"/>
      <c r="J23" s="102">
        <f>+S4.2!J22</f>
        <v>67</v>
      </c>
      <c r="K23" s="102">
        <f>+S4.2!K22</f>
        <v>70</v>
      </c>
      <c r="L23" s="101"/>
      <c r="M23" s="102">
        <f>+S4.2!M22</f>
        <v>41.015999999999998</v>
      </c>
      <c r="N23" s="102">
        <f>+S4.2!N22</f>
        <v>70</v>
      </c>
      <c r="O23" s="101"/>
      <c r="P23" s="102">
        <f>+S4.2!P22</f>
        <v>39.721642972524016</v>
      </c>
      <c r="Q23" s="101"/>
      <c r="R23" s="102">
        <f>+S4.2!R22</f>
        <v>40.521171276787882</v>
      </c>
    </row>
    <row r="24" spans="1:19" ht="4.5" customHeight="1" x14ac:dyDescent="0.2">
      <c r="A24" s="317"/>
      <c r="B24" s="52"/>
      <c r="C24" s="52"/>
      <c r="D24" s="52"/>
      <c r="E24" s="71"/>
      <c r="F24" s="102"/>
      <c r="G24" s="102"/>
      <c r="H24" s="102"/>
      <c r="I24" s="102"/>
      <c r="J24" s="102"/>
      <c r="K24" s="102"/>
      <c r="L24" s="101"/>
      <c r="M24" s="102"/>
      <c r="N24" s="102"/>
      <c r="O24" s="101"/>
      <c r="P24" s="102"/>
      <c r="Q24" s="101"/>
      <c r="R24" s="102"/>
    </row>
    <row r="25" spans="1:19" x14ac:dyDescent="0.2">
      <c r="A25" s="317">
        <v>9</v>
      </c>
      <c r="B25" s="52"/>
      <c r="C25" s="292" t="s">
        <v>524</v>
      </c>
      <c r="D25" s="52"/>
      <c r="E25" s="71" t="s">
        <v>894</v>
      </c>
      <c r="F25" s="102"/>
      <c r="G25" s="102">
        <f>+S4.1!G9-G23</f>
        <v>21301.932999999997</v>
      </c>
      <c r="H25" s="102">
        <f>+S4.1!H9-H23</f>
        <v>21056.742465814536</v>
      </c>
      <c r="I25" s="102"/>
      <c r="J25" s="102">
        <f>+S4.1!J9-J23</f>
        <v>21050</v>
      </c>
      <c r="K25" s="102">
        <f>+S4.1!K9-K23</f>
        <v>21334.923287246096</v>
      </c>
      <c r="L25" s="101"/>
      <c r="M25" s="102">
        <f>+S4.1!M9-M23</f>
        <v>20623.091</v>
      </c>
      <c r="N25" s="102">
        <f>+S4.1!N9-N23</f>
        <v>21345.423832085256</v>
      </c>
      <c r="O25" s="101"/>
      <c r="P25" s="102">
        <f>+S4.1!P9-P23</f>
        <v>20657.050091787307</v>
      </c>
      <c r="Q25" s="101"/>
      <c r="R25" s="102">
        <f>+S4.1!R9-R23</f>
        <v>20754.946657013606</v>
      </c>
    </row>
    <row r="26" spans="1:19" ht="4.5" customHeight="1" x14ac:dyDescent="0.2">
      <c r="A26" s="317"/>
      <c r="B26" s="52"/>
      <c r="C26" s="52"/>
      <c r="D26" s="52"/>
      <c r="E26" s="71"/>
      <c r="F26" s="102"/>
      <c r="G26" s="102"/>
      <c r="H26" s="102"/>
      <c r="I26" s="102"/>
      <c r="J26" s="102"/>
      <c r="K26" s="102"/>
      <c r="L26" s="101"/>
      <c r="M26" s="102"/>
      <c r="N26" s="102"/>
      <c r="O26" s="101"/>
      <c r="P26" s="102"/>
      <c r="Q26" s="101"/>
      <c r="R26" s="102"/>
    </row>
    <row r="27" spans="1:19" x14ac:dyDescent="0.2">
      <c r="A27" s="317">
        <v>10</v>
      </c>
      <c r="B27" s="52"/>
      <c r="C27" s="52" t="s">
        <v>206</v>
      </c>
      <c r="D27" s="52"/>
      <c r="E27" s="71" t="s">
        <v>253</v>
      </c>
      <c r="F27" s="102"/>
      <c r="G27" s="102">
        <f>+S3.1!G12</f>
        <v>311886</v>
      </c>
      <c r="H27" s="102">
        <f>+S3.1!H12</f>
        <v>304011.49057894276</v>
      </c>
      <c r="I27" s="102"/>
      <c r="J27" s="102">
        <f>+S3.1!J12</f>
        <v>300699</v>
      </c>
      <c r="K27" s="102">
        <f>+S3.1!K12</f>
        <v>314124.69263616967</v>
      </c>
      <c r="L27" s="101"/>
      <c r="M27" s="102">
        <f>+S3.1!M12</f>
        <v>304991</v>
      </c>
      <c r="N27" s="102">
        <f>+S3.1!N12</f>
        <v>320964.59716328105</v>
      </c>
      <c r="O27" s="101"/>
      <c r="P27" s="102">
        <f>+P17-P21-P23-P25</f>
        <v>304093.03056879842</v>
      </c>
      <c r="Q27" s="101"/>
      <c r="R27" s="102">
        <f>+R17-R21-R23-R25</f>
        <v>309753.65992080065</v>
      </c>
    </row>
    <row r="28" spans="1:19" s="326" customFormat="1" ht="4.5" customHeight="1" x14ac:dyDescent="0.2">
      <c r="A28" s="317"/>
      <c r="B28" s="292"/>
      <c r="C28" s="292"/>
      <c r="D28" s="292"/>
      <c r="E28" s="83"/>
      <c r="F28" s="102"/>
      <c r="G28" s="102"/>
      <c r="H28" s="102"/>
      <c r="I28" s="102"/>
      <c r="J28" s="102"/>
      <c r="K28" s="102"/>
      <c r="L28" s="101"/>
      <c r="M28" s="102"/>
      <c r="N28" s="499"/>
      <c r="O28" s="101"/>
      <c r="P28" s="102"/>
      <c r="Q28" s="101"/>
      <c r="R28" s="102"/>
    </row>
    <row r="29" spans="1:19" ht="15.75" thickBot="1" x14ac:dyDescent="0.25">
      <c r="A29" s="317">
        <v>11</v>
      </c>
      <c r="B29" s="52"/>
      <c r="C29" s="52"/>
      <c r="D29" s="52"/>
      <c r="E29" s="71"/>
      <c r="F29" s="102"/>
      <c r="G29" s="104">
        <f>SUM(G21:G27)</f>
        <v>336877.76399999997</v>
      </c>
      <c r="H29" s="104">
        <f>SUM(H21:H27)</f>
        <v>329466.85804475727</v>
      </c>
      <c r="I29" s="102"/>
      <c r="J29" s="104">
        <f>SUM(J21:J27)</f>
        <v>332063</v>
      </c>
      <c r="K29" s="104">
        <f>SUM(K21:K27)</f>
        <v>344259.61592341575</v>
      </c>
      <c r="L29" s="101"/>
      <c r="M29" s="104">
        <f>SUM(M21:M27)</f>
        <v>334834.78100000002</v>
      </c>
      <c r="N29" s="104">
        <f>SUM(N21:N27)</f>
        <v>351110.02099536633</v>
      </c>
      <c r="O29" s="101"/>
      <c r="P29" s="104">
        <f>SUM(P21:P27)</f>
        <v>333034.80230355827</v>
      </c>
      <c r="Q29" s="101"/>
      <c r="R29" s="104">
        <f>SUM(R21:R27)</f>
        <v>339085.12774909107</v>
      </c>
    </row>
    <row r="30" spans="1:19" x14ac:dyDescent="0.2">
      <c r="A30" s="317"/>
      <c r="B30" s="52"/>
      <c r="C30" s="52"/>
      <c r="D30" s="52"/>
      <c r="E30" s="71"/>
      <c r="F30" s="57"/>
      <c r="G30" s="57"/>
      <c r="H30" s="57"/>
      <c r="I30" s="57"/>
      <c r="J30" s="57"/>
      <c r="K30" s="57"/>
      <c r="L30" s="28"/>
      <c r="M30" s="57"/>
      <c r="N30" s="57"/>
      <c r="O30" s="28"/>
      <c r="P30" s="57"/>
      <c r="Q30" s="28"/>
      <c r="R30" s="57"/>
    </row>
    <row r="31" spans="1:19" ht="15.75" x14ac:dyDescent="0.25">
      <c r="A31" s="317">
        <v>12</v>
      </c>
      <c r="B31" s="52"/>
      <c r="C31" s="250" t="s">
        <v>237</v>
      </c>
      <c r="D31" s="52"/>
      <c r="E31" s="71"/>
      <c r="F31" s="57"/>
      <c r="G31" s="57"/>
      <c r="H31" s="57"/>
      <c r="I31" s="57"/>
      <c r="J31" s="57"/>
      <c r="K31" s="57"/>
      <c r="L31" s="28"/>
      <c r="M31" s="57"/>
      <c r="N31" s="57"/>
      <c r="O31" s="28"/>
      <c r="P31" s="57"/>
      <c r="Q31" s="28"/>
      <c r="R31" s="57"/>
    </row>
    <row r="32" spans="1:19" ht="4.5" customHeight="1" x14ac:dyDescent="0.2">
      <c r="A32" s="317"/>
      <c r="B32" s="52"/>
      <c r="C32" s="52"/>
      <c r="D32" s="52"/>
      <c r="E32" s="71"/>
      <c r="F32" s="57"/>
      <c r="G32" s="57"/>
      <c r="H32" s="57"/>
      <c r="I32" s="57"/>
      <c r="J32" s="57"/>
      <c r="K32" s="57"/>
      <c r="L32" s="28"/>
      <c r="M32" s="57"/>
      <c r="N32" s="57"/>
      <c r="O32" s="28"/>
      <c r="P32" s="57"/>
      <c r="Q32" s="28"/>
      <c r="R32" s="57"/>
    </row>
    <row r="33" spans="1:18" x14ac:dyDescent="0.2">
      <c r="A33" s="317">
        <v>13</v>
      </c>
      <c r="B33" s="52"/>
      <c r="C33" s="292" t="s">
        <v>523</v>
      </c>
      <c r="D33" s="52"/>
      <c r="E33" s="71"/>
      <c r="F33" s="57"/>
      <c r="G33" s="233">
        <f>G21/G29</f>
        <v>1.094462263172704E-2</v>
      </c>
      <c r="H33" s="233">
        <f>H21/H29</f>
        <v>1.3138271405168064E-2</v>
      </c>
      <c r="I33" s="57"/>
      <c r="J33" s="233">
        <f>J21/J29</f>
        <v>3.0858602132727824E-2</v>
      </c>
      <c r="K33" s="233">
        <f>K21/K29</f>
        <v>2.5358768778566472E-2</v>
      </c>
      <c r="L33" s="28"/>
      <c r="M33" s="233">
        <f>M21/M29</f>
        <v>2.7415533035679469E-2</v>
      </c>
      <c r="N33" s="233">
        <f>N21/N29</f>
        <v>2.4864001247390233E-2</v>
      </c>
      <c r="O33" s="28"/>
      <c r="P33" s="233">
        <f>P21/P29</f>
        <v>2.4757172352470106E-2</v>
      </c>
      <c r="Q33" s="28"/>
      <c r="R33" s="233">
        <f>R21/R29</f>
        <v>2.5173619546995544E-2</v>
      </c>
    </row>
    <row r="34" spans="1:18" ht="4.5" customHeight="1" x14ac:dyDescent="0.2">
      <c r="A34" s="317"/>
      <c r="B34" s="52"/>
      <c r="C34" s="52"/>
      <c r="D34" s="52"/>
      <c r="E34" s="71"/>
      <c r="F34" s="57"/>
      <c r="G34" s="233"/>
      <c r="H34" s="233"/>
      <c r="I34" s="57"/>
      <c r="J34" s="233"/>
      <c r="K34" s="233"/>
      <c r="L34" s="28"/>
      <c r="M34" s="233"/>
      <c r="N34" s="233"/>
      <c r="O34" s="28"/>
      <c r="P34" s="233"/>
      <c r="Q34" s="28"/>
      <c r="R34" s="233"/>
    </row>
    <row r="35" spans="1:18" x14ac:dyDescent="0.2">
      <c r="A35" s="317">
        <v>14</v>
      </c>
      <c r="B35" s="52"/>
      <c r="C35" s="292" t="s">
        <v>524</v>
      </c>
      <c r="D35" s="52"/>
      <c r="E35" s="71"/>
      <c r="F35" s="57"/>
      <c r="G35" s="78">
        <f>(G23+G25)/G29</f>
        <v>6.3241823227014757E-2</v>
      </c>
      <c r="H35" s="78">
        <f>(H23+H25)/H29</f>
        <v>6.4124029321773302E-2</v>
      </c>
      <c r="I35" s="57"/>
      <c r="J35" s="78">
        <f>(J23+J25)/J29</f>
        <v>6.3593354273134922E-2</v>
      </c>
      <c r="K35" s="78">
        <f>(K23+K25)/K29</f>
        <v>6.2176689617895381E-2</v>
      </c>
      <c r="L35" s="28"/>
      <c r="M35" s="78">
        <f>(M23+M25)/M29</f>
        <v>6.1714338451595921E-2</v>
      </c>
      <c r="N35" s="78">
        <f>(N23+N25)/N29</f>
        <v>6.0993485094428222E-2</v>
      </c>
      <c r="O35" s="28"/>
      <c r="P35" s="78">
        <f>(P23+P25)/P29</f>
        <v>6.2145972707966138E-2</v>
      </c>
      <c r="Q35" s="28"/>
      <c r="R35" s="78">
        <f>(R23+R25)/R29</f>
        <v>6.1328162536453616E-2</v>
      </c>
    </row>
    <row r="36" spans="1:18" ht="4.5" customHeight="1" x14ac:dyDescent="0.2">
      <c r="A36" s="317"/>
      <c r="B36" s="52"/>
      <c r="C36" s="52"/>
      <c r="D36" s="52"/>
      <c r="E36" s="71"/>
      <c r="F36" s="57"/>
      <c r="G36" s="233"/>
      <c r="H36" s="233"/>
      <c r="I36" s="57"/>
      <c r="J36" s="233"/>
      <c r="K36" s="233"/>
      <c r="L36" s="28"/>
      <c r="M36" s="233"/>
      <c r="N36" s="233"/>
      <c r="O36" s="28"/>
      <c r="P36" s="233"/>
      <c r="Q36" s="28"/>
      <c r="R36" s="233"/>
    </row>
    <row r="37" spans="1:18" x14ac:dyDescent="0.2">
      <c r="A37" s="317">
        <v>15</v>
      </c>
      <c r="B37" s="52"/>
      <c r="C37" s="52" t="s">
        <v>206</v>
      </c>
      <c r="D37" s="52"/>
      <c r="E37" s="71"/>
      <c r="F37" s="57"/>
      <c r="G37" s="78">
        <f>G27/G29</f>
        <v>0.92581355414125832</v>
      </c>
      <c r="H37" s="78">
        <f>H27/H29</f>
        <v>0.92273769927305871</v>
      </c>
      <c r="I37" s="57"/>
      <c r="J37" s="78">
        <f>J27/J29</f>
        <v>0.90554804359413721</v>
      </c>
      <c r="K37" s="78">
        <f>K27/K29</f>
        <v>0.91246454160353818</v>
      </c>
      <c r="L37" s="28"/>
      <c r="M37" s="78">
        <f>M27/M29</f>
        <v>0.91087012851272453</v>
      </c>
      <c r="N37" s="78">
        <f>N27/N29</f>
        <v>0.91414251365818144</v>
      </c>
      <c r="O37" s="28"/>
      <c r="P37" s="78">
        <f>P27/P29</f>
        <v>0.91309685493956372</v>
      </c>
      <c r="Q37" s="28"/>
      <c r="R37" s="78">
        <f>R27/R29</f>
        <v>0.91349821791655073</v>
      </c>
    </row>
    <row r="38" spans="1:18" ht="4.5" customHeight="1" x14ac:dyDescent="0.2">
      <c r="A38" s="317"/>
      <c r="B38" s="52"/>
      <c r="C38" s="52"/>
      <c r="D38" s="52"/>
      <c r="E38" s="71"/>
      <c r="F38" s="57"/>
      <c r="G38" s="78"/>
      <c r="H38" s="78"/>
      <c r="I38" s="57"/>
      <c r="J38" s="78"/>
      <c r="K38" s="78"/>
      <c r="L38" s="28"/>
      <c r="M38" s="78"/>
      <c r="N38" s="78"/>
      <c r="O38" s="28"/>
      <c r="P38" s="78"/>
      <c r="Q38" s="28"/>
      <c r="R38" s="78"/>
    </row>
    <row r="39" spans="1:18" x14ac:dyDescent="0.2">
      <c r="A39" s="317">
        <v>16</v>
      </c>
      <c r="B39" s="52"/>
      <c r="C39" s="52"/>
      <c r="D39" s="52"/>
      <c r="E39" s="71"/>
      <c r="F39" s="57"/>
      <c r="G39" s="238">
        <f>SUM(G33:G37)</f>
        <v>1</v>
      </c>
      <c r="H39" s="238">
        <f>SUM(H33:H37)</f>
        <v>1</v>
      </c>
      <c r="I39" s="57"/>
      <c r="J39" s="238">
        <f>SUM(J33:J37)</f>
        <v>1</v>
      </c>
      <c r="K39" s="238">
        <f>SUM(K33:K37)</f>
        <v>1</v>
      </c>
      <c r="L39" s="28"/>
      <c r="M39" s="238">
        <f>SUM(M33:M37)</f>
        <v>0.99999999999999989</v>
      </c>
      <c r="N39" s="238">
        <f>SUM(N33:N37)</f>
        <v>0.99999999999999989</v>
      </c>
      <c r="O39" s="28"/>
      <c r="P39" s="238">
        <f>SUM(P33:P37)</f>
        <v>1</v>
      </c>
      <c r="Q39" s="28"/>
      <c r="R39" s="238">
        <f>SUM(R33:R37)</f>
        <v>0.99999999999999989</v>
      </c>
    </row>
  </sheetData>
  <customSheetViews>
    <customSheetView guid="{275E5119-9E8C-43ED-ACD2-DF40CF10B219}" scale="85" fitToPage="1">
      <selection activeCell="M27" sqref="M27"/>
      <pageMargins left="0.5" right="0.5" top="0.74" bottom="0.69" header="0.5" footer="0.5"/>
      <pageSetup scale="83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>
      <selection activeCell="M27" sqref="M27"/>
      <pageMargins left="0.5" right="0.5" top="0.74" bottom="0.69" header="0.5" footer="0.5"/>
      <pageSetup scale="67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9" orientation="landscape" r:id="rId3"/>
  <headerFooter scaleWithDoc="0" alignWithMargins="0">
    <oddHeader xml:space="preserve">&amp;RUndertaking 17 - Page 527, Lines 15-17, Attachment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pageSetUpPr fitToPage="1"/>
  </sheetPr>
  <dimension ref="A1:S21"/>
  <sheetViews>
    <sheetView view="pageBreakPreview" topLeftCell="D1" zoomScale="90" zoomScaleNormal="85" zoomScaleSheetLayoutView="90" workbookViewId="0">
      <selection activeCell="P23" sqref="P23"/>
    </sheetView>
  </sheetViews>
  <sheetFormatPr defaultColWidth="7.5703125" defaultRowHeight="15" x14ac:dyDescent="0.2"/>
  <cols>
    <col min="1" max="1" width="6" style="292" bestFit="1" customWidth="1"/>
    <col min="2" max="2" width="2.28515625" style="292" customWidth="1"/>
    <col min="3" max="3" width="35.42578125" style="292" bestFit="1" customWidth="1"/>
    <col min="4" max="4" width="2.28515625" style="292" customWidth="1"/>
    <col min="5" max="5" width="16.570312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575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211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261" t="s">
        <v>18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</row>
    <row r="5" spans="1:19" ht="15.75" x14ac:dyDescent="0.25">
      <c r="A5" s="261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240" t="s">
        <v>4</v>
      </c>
      <c r="I6" s="582"/>
      <c r="J6" s="582" t="s">
        <v>11</v>
      </c>
      <c r="K6" s="240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582"/>
      <c r="G7" s="315">
        <v>2013</v>
      </c>
      <c r="H7" s="315">
        <v>2013</v>
      </c>
      <c r="I7" s="389"/>
      <c r="J7" s="315">
        <v>2014</v>
      </c>
      <c r="K7" s="315">
        <v>2014</v>
      </c>
      <c r="L7" s="320"/>
      <c r="M7" s="315">
        <v>2015</v>
      </c>
      <c r="N7" s="315">
        <v>2015</v>
      </c>
      <c r="O7" s="389"/>
      <c r="P7" s="315">
        <v>2016</v>
      </c>
      <c r="Q7" s="320"/>
      <c r="R7" s="595">
        <v>2017</v>
      </c>
      <c r="S7" s="324"/>
    </row>
    <row r="8" spans="1:19" ht="15.75" x14ac:dyDescent="0.25">
      <c r="A8" s="83"/>
      <c r="C8" s="511"/>
      <c r="E8" s="292"/>
      <c r="F8" s="281"/>
    </row>
    <row r="9" spans="1:19" ht="15.75" thickBot="1" x14ac:dyDescent="0.25">
      <c r="A9" s="317">
        <v>1</v>
      </c>
      <c r="C9" s="260" t="s">
        <v>532</v>
      </c>
      <c r="E9" s="83" t="s">
        <v>994</v>
      </c>
      <c r="F9" s="281"/>
      <c r="G9" s="224">
        <f>+S4.2!G23</f>
        <v>21304.763999999996</v>
      </c>
      <c r="H9" s="224">
        <f>+S4.2!H23</f>
        <v>21126.742465814536</v>
      </c>
      <c r="I9" s="95"/>
      <c r="J9" s="224">
        <f>+S4.2!J23</f>
        <v>21117</v>
      </c>
      <c r="K9" s="224">
        <f>+S4.2!K23</f>
        <v>21404.923287246096</v>
      </c>
      <c r="L9" s="95"/>
      <c r="M9" s="224">
        <f>+S4.2!M23</f>
        <v>20664.107</v>
      </c>
      <c r="N9" s="224">
        <f>+S4.2!N23</f>
        <v>21415.423832085256</v>
      </c>
      <c r="O9" s="95"/>
      <c r="P9" s="224">
        <f>+S4.2!P23</f>
        <v>20696.77173475983</v>
      </c>
      <c r="Q9" s="95"/>
      <c r="R9" s="224">
        <f>+S4.2!R23</f>
        <v>20795.467828290395</v>
      </c>
    </row>
    <row r="10" spans="1:19" x14ac:dyDescent="0.2">
      <c r="A10" s="317"/>
      <c r="C10" s="596"/>
      <c r="E10" s="292"/>
      <c r="F10" s="281"/>
    </row>
    <row r="11" spans="1:19" ht="15.75" thickBot="1" x14ac:dyDescent="0.25">
      <c r="A11" s="317">
        <v>2</v>
      </c>
      <c r="C11" s="260" t="s">
        <v>533</v>
      </c>
      <c r="E11" s="292"/>
      <c r="F11" s="281"/>
      <c r="G11" s="586">
        <f>G9/G13</f>
        <v>3.7288444584696983</v>
      </c>
      <c r="H11" s="586">
        <f>H9/H13</f>
        <v>3.7117331885628704</v>
      </c>
      <c r="I11" s="172"/>
      <c r="J11" s="586">
        <f>J9/J13</f>
        <v>3.6924287462843153</v>
      </c>
      <c r="K11" s="586">
        <f>K9/K13</f>
        <v>3.7114915619236135</v>
      </c>
      <c r="L11" s="262"/>
      <c r="M11" s="586">
        <f>M9/M13</f>
        <v>3.707910969398732</v>
      </c>
      <c r="N11" s="586">
        <f>N9/N13</f>
        <v>3.7114412345657213</v>
      </c>
      <c r="O11" s="172"/>
      <c r="P11" s="586">
        <f>P9/P13</f>
        <v>3.7145687624184203</v>
      </c>
      <c r="Q11" s="172"/>
      <c r="R11" s="586">
        <f>R9/R13</f>
        <v>3.7129369879731655</v>
      </c>
    </row>
    <row r="12" spans="1:19" x14ac:dyDescent="0.2">
      <c r="A12" s="317"/>
      <c r="C12" s="253"/>
      <c r="E12" s="292"/>
      <c r="F12" s="281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</row>
    <row r="13" spans="1:19" x14ac:dyDescent="0.2">
      <c r="A13" s="317">
        <v>3</v>
      </c>
      <c r="C13" s="260" t="s">
        <v>428</v>
      </c>
      <c r="E13" s="83" t="s">
        <v>896</v>
      </c>
      <c r="F13" s="281"/>
      <c r="G13" s="148">
        <f>+S4.2!G40</f>
        <v>5713.5029999999997</v>
      </c>
      <c r="H13" s="148">
        <f>+S4.2!H40</f>
        <v>5691.8806909163923</v>
      </c>
      <c r="I13" s="102"/>
      <c r="J13" s="148">
        <f>+S4.2!J40</f>
        <v>5719</v>
      </c>
      <c r="K13" s="148">
        <f>+S4.2!K40</f>
        <v>5767.2024656718413</v>
      </c>
      <c r="L13" s="103"/>
      <c r="M13" s="148">
        <f>+S4.2!M40</f>
        <v>5572.9781999999996</v>
      </c>
      <c r="N13" s="148">
        <f>+S4.2!N40</f>
        <v>5770.1099057253678</v>
      </c>
      <c r="O13" s="102"/>
      <c r="P13" s="148">
        <f>+S4.2!P40</f>
        <v>5571.7831755212728</v>
      </c>
      <c r="Q13" s="102"/>
      <c r="R13" s="148">
        <f>+S4.2!R40</f>
        <v>5600.8135596296015</v>
      </c>
    </row>
    <row r="14" spans="1:19" x14ac:dyDescent="0.2">
      <c r="A14" s="317"/>
      <c r="C14" s="253"/>
      <c r="E14" s="292"/>
      <c r="F14" s="281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</row>
    <row r="15" spans="1:19" x14ac:dyDescent="0.2">
      <c r="A15" s="317">
        <v>4</v>
      </c>
      <c r="C15" s="260" t="s">
        <v>429</v>
      </c>
      <c r="F15" s="281"/>
      <c r="G15" s="102">
        <v>6668</v>
      </c>
      <c r="H15" s="102">
        <v>6610.9961069884821</v>
      </c>
      <c r="I15" s="102"/>
      <c r="J15" s="66">
        <v>7116</v>
      </c>
      <c r="K15" s="102">
        <v>6700.5623420348602</v>
      </c>
      <c r="L15" s="102"/>
      <c r="M15" s="102">
        <v>5292</v>
      </c>
      <c r="N15" s="102">
        <v>6703.6940606104627</v>
      </c>
      <c r="O15" s="102"/>
      <c r="P15" s="57">
        <v>5225.0175830104836</v>
      </c>
      <c r="Q15" s="102"/>
      <c r="R15" s="57">
        <v>5267.6775811613197</v>
      </c>
    </row>
    <row r="16" spans="1:19" x14ac:dyDescent="0.2">
      <c r="A16" s="317"/>
      <c r="C16" s="260"/>
      <c r="F16" s="281"/>
      <c r="G16" s="102"/>
      <c r="H16" s="109"/>
      <c r="I16" s="102"/>
      <c r="J16" s="102"/>
      <c r="K16" s="102"/>
      <c r="L16" s="102"/>
      <c r="M16" s="102"/>
      <c r="N16" s="102"/>
      <c r="O16" s="102"/>
      <c r="P16" s="102"/>
      <c r="Q16" s="102"/>
      <c r="R16" s="102"/>
    </row>
    <row r="17" spans="1:18" x14ac:dyDescent="0.2">
      <c r="A17" s="317">
        <v>5</v>
      </c>
      <c r="C17" s="260" t="s">
        <v>341</v>
      </c>
      <c r="F17" s="281"/>
      <c r="G17" s="109">
        <v>39.909999999999997</v>
      </c>
      <c r="H17" s="109">
        <v>0</v>
      </c>
      <c r="I17" s="102"/>
      <c r="J17" s="66">
        <v>-356</v>
      </c>
      <c r="K17" s="109">
        <v>0</v>
      </c>
      <c r="L17" s="109"/>
      <c r="M17" s="109">
        <v>1329</v>
      </c>
      <c r="N17" s="109">
        <v>0</v>
      </c>
      <c r="O17" s="102"/>
      <c r="P17" s="109">
        <v>0</v>
      </c>
      <c r="Q17" s="102"/>
      <c r="R17" s="109">
        <v>0</v>
      </c>
    </row>
    <row r="18" spans="1:18" x14ac:dyDescent="0.2">
      <c r="A18" s="317"/>
      <c r="C18" s="260"/>
      <c r="F18" s="281"/>
      <c r="G18" s="148"/>
      <c r="H18" s="148"/>
      <c r="I18" s="102"/>
      <c r="J18" s="148"/>
      <c r="K18" s="148"/>
      <c r="L18" s="103"/>
      <c r="M18" s="148"/>
      <c r="N18" s="148"/>
      <c r="O18" s="102"/>
      <c r="P18" s="148"/>
      <c r="Q18" s="102"/>
      <c r="R18" s="148"/>
    </row>
    <row r="19" spans="1:18" x14ac:dyDescent="0.2">
      <c r="A19" s="317">
        <v>6</v>
      </c>
      <c r="C19" s="260" t="s">
        <v>342</v>
      </c>
      <c r="E19" s="83" t="s">
        <v>250</v>
      </c>
      <c r="F19" s="281"/>
      <c r="G19" s="102">
        <f>G15+G17</f>
        <v>6707.91</v>
      </c>
      <c r="H19" s="102">
        <f>H15+H17</f>
        <v>6610.9961069884821</v>
      </c>
      <c r="I19" s="102"/>
      <c r="J19" s="102">
        <f>J15+J17</f>
        <v>6760</v>
      </c>
      <c r="K19" s="102">
        <f>K15+K17</f>
        <v>6700.5623420348602</v>
      </c>
      <c r="L19" s="102"/>
      <c r="M19" s="102">
        <f>M15+M17</f>
        <v>6621</v>
      </c>
      <c r="N19" s="102">
        <f>N15+N17</f>
        <v>6703.6940606104627</v>
      </c>
      <c r="O19" s="102"/>
      <c r="P19" s="102">
        <f>P15+P17</f>
        <v>5225.0175830104836</v>
      </c>
      <c r="Q19" s="102"/>
      <c r="R19" s="102">
        <f>R15+R17</f>
        <v>5267.6775811613197</v>
      </c>
    </row>
    <row r="20" spans="1:18" x14ac:dyDescent="0.2">
      <c r="A20" s="317"/>
      <c r="C20" s="253"/>
      <c r="E20" s="292"/>
      <c r="F20" s="281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</row>
    <row r="21" spans="1:18" x14ac:dyDescent="0.2">
      <c r="A21" s="317">
        <v>7</v>
      </c>
      <c r="C21" s="260" t="s">
        <v>430</v>
      </c>
      <c r="E21" s="83" t="s">
        <v>1</v>
      </c>
      <c r="F21" s="281"/>
      <c r="G21" s="173">
        <f>G15/G13*100</f>
        <v>116.70598580240529</v>
      </c>
      <c r="H21" s="173">
        <f>H15/H13*100</f>
        <v>116.14783348391148</v>
      </c>
      <c r="I21" s="102"/>
      <c r="J21" s="173">
        <f>J15/J13*100</f>
        <v>124.42734743836334</v>
      </c>
      <c r="K21" s="173">
        <f>K15/K13*100</f>
        <v>116.18392768276584</v>
      </c>
      <c r="L21" s="188"/>
      <c r="M21" s="173">
        <f>M15/M13*100</f>
        <v>94.958203855884463</v>
      </c>
      <c r="N21" s="173">
        <f>N19/N13*100</f>
        <v>116.1796598355735</v>
      </c>
      <c r="O21" s="102"/>
      <c r="P21" s="173">
        <f>+P15/P13*100</f>
        <v>93.776398298586926</v>
      </c>
      <c r="Q21" s="102"/>
      <c r="R21" s="173">
        <f>+R15/R13*100</f>
        <v>94.052007357118441</v>
      </c>
    </row>
  </sheetData>
  <customSheetViews>
    <customSheetView guid="{275E5119-9E8C-43ED-ACD2-DF40CF10B219}" scale="70">
      <selection activeCell="M15" sqref="M15"/>
      <pageMargins left="0.5" right="0.5" top="0.74" bottom="0.69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5" sqref="M15"/>
      <pageMargins left="0.5" right="0.5" top="0.74" bottom="0.69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73" fitToHeight="0" orientation="landscape" r:id="rId3"/>
  <headerFooter scaleWithDoc="0" alignWithMargins="0">
    <oddHeader xml:space="preserve">&amp;RUndertaking 17 - Page 527, Lines 15-17, Attachment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pageSetUpPr fitToPage="1"/>
  </sheetPr>
  <dimension ref="A1:S41"/>
  <sheetViews>
    <sheetView view="pageBreakPreview" topLeftCell="D1" zoomScale="85" zoomScaleNormal="70" zoomScaleSheetLayoutView="85" workbookViewId="0">
      <selection activeCell="R37" sqref="R37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39.5703125" style="292" customWidth="1"/>
    <col min="4" max="4" width="2.28515625" style="292" customWidth="1"/>
    <col min="5" max="5" width="14.2851562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574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418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</row>
    <row r="5" spans="1:19" ht="15.75" x14ac:dyDescent="0.25">
      <c r="A5" s="582" t="s">
        <v>19</v>
      </c>
      <c r="B5" s="582"/>
      <c r="C5" s="582"/>
      <c r="D5" s="582"/>
      <c r="E5" s="582" t="s">
        <v>20</v>
      </c>
      <c r="F5" s="582"/>
      <c r="G5" s="582" t="s">
        <v>11</v>
      </c>
      <c r="H5" s="240" t="s">
        <v>4</v>
      </c>
      <c r="I5" s="582"/>
      <c r="J5" s="582" t="s">
        <v>11</v>
      </c>
      <c r="K5" s="240" t="s">
        <v>4</v>
      </c>
      <c r="L5" s="582"/>
      <c r="M5" s="582" t="s">
        <v>11</v>
      </c>
      <c r="N5" s="240" t="s">
        <v>4</v>
      </c>
      <c r="O5" s="557"/>
      <c r="P5" s="605" t="s">
        <v>293</v>
      </c>
      <c r="Q5" s="605"/>
      <c r="R5" s="605"/>
    </row>
    <row r="6" spans="1:19" ht="15.75" x14ac:dyDescent="0.25">
      <c r="A6" s="589" t="s">
        <v>21</v>
      </c>
      <c r="B6" s="582"/>
      <c r="C6" s="589" t="s">
        <v>149</v>
      </c>
      <c r="D6" s="582"/>
      <c r="E6" s="589" t="s">
        <v>22</v>
      </c>
      <c r="F6" s="582"/>
      <c r="G6" s="315">
        <v>2013</v>
      </c>
      <c r="H6" s="315">
        <v>2013</v>
      </c>
      <c r="I6" s="389"/>
      <c r="J6" s="315">
        <v>2014</v>
      </c>
      <c r="K6" s="315">
        <v>2014</v>
      </c>
      <c r="L6" s="320"/>
      <c r="M6" s="315">
        <v>2015</v>
      </c>
      <c r="N6" s="315">
        <v>2015</v>
      </c>
      <c r="O6" s="389"/>
      <c r="P6" s="315">
        <v>2016</v>
      </c>
      <c r="Q6" s="320"/>
      <c r="R6" s="595">
        <v>2017</v>
      </c>
      <c r="S6" s="324"/>
    </row>
    <row r="7" spans="1:19" ht="15.75" x14ac:dyDescent="0.25">
      <c r="A7" s="83"/>
      <c r="C7" s="511"/>
      <c r="E7" s="292"/>
    </row>
    <row r="8" spans="1:19" x14ac:dyDescent="0.2">
      <c r="A8" s="317">
        <v>1</v>
      </c>
      <c r="C8" s="596" t="s">
        <v>378</v>
      </c>
      <c r="E8" s="292"/>
    </row>
    <row r="9" spans="1:19" x14ac:dyDescent="0.2">
      <c r="A9" s="317">
        <f>A8+1</f>
        <v>2</v>
      </c>
      <c r="C9" s="260" t="s">
        <v>370</v>
      </c>
      <c r="F9" s="103"/>
      <c r="G9" s="487">
        <v>100.71</v>
      </c>
      <c r="H9" s="487">
        <v>101.75553628513588</v>
      </c>
      <c r="I9" s="487"/>
      <c r="J9" s="487">
        <v>106.9</v>
      </c>
      <c r="K9" s="487">
        <v>101.75553628513588</v>
      </c>
      <c r="L9" s="487"/>
      <c r="M9" s="487">
        <v>76.180000000000007</v>
      </c>
      <c r="N9" s="487">
        <v>101.75553628513588</v>
      </c>
      <c r="O9" s="487"/>
      <c r="P9" s="487">
        <v>76.180000000000007</v>
      </c>
      <c r="Q9" s="487"/>
      <c r="R9" s="487">
        <v>76.180000000000007</v>
      </c>
      <c r="S9" s="103"/>
    </row>
    <row r="10" spans="1:19" x14ac:dyDescent="0.2">
      <c r="A10" s="317">
        <f>A9+1</f>
        <v>3</v>
      </c>
      <c r="C10" s="260" t="s">
        <v>371</v>
      </c>
      <c r="F10" s="103"/>
      <c r="G10" s="487">
        <v>115.09</v>
      </c>
      <c r="H10" s="487">
        <v>116.53031004422832</v>
      </c>
      <c r="I10" s="487"/>
      <c r="J10" s="487">
        <v>122.8</v>
      </c>
      <c r="K10" s="487">
        <v>116.53031004422832</v>
      </c>
      <c r="L10" s="487"/>
      <c r="M10" s="487">
        <v>92.4</v>
      </c>
      <c r="N10" s="487">
        <v>116.53031004422832</v>
      </c>
      <c r="O10" s="487"/>
      <c r="P10" s="487">
        <v>92.4</v>
      </c>
      <c r="Q10" s="487"/>
      <c r="R10" s="487">
        <v>92.4</v>
      </c>
      <c r="S10" s="103"/>
    </row>
    <row r="11" spans="1:19" x14ac:dyDescent="0.2">
      <c r="A11" s="317">
        <f>A10+1</f>
        <v>4</v>
      </c>
      <c r="C11" s="260" t="s">
        <v>372</v>
      </c>
      <c r="F11" s="103"/>
      <c r="G11" s="487">
        <v>114.56</v>
      </c>
      <c r="H11" s="487">
        <v>115.40947419305922</v>
      </c>
      <c r="I11" s="487"/>
      <c r="J11" s="487">
        <v>122.68</v>
      </c>
      <c r="K11" s="487">
        <v>115.40947419305922</v>
      </c>
      <c r="L11" s="487"/>
      <c r="M11" s="487">
        <v>91.9</v>
      </c>
      <c r="N11" s="487">
        <v>115.40947419305922</v>
      </c>
      <c r="O11" s="487"/>
      <c r="P11" s="487">
        <v>91.9</v>
      </c>
      <c r="Q11" s="487"/>
      <c r="R11" s="487">
        <v>91.9</v>
      </c>
      <c r="S11" s="103"/>
    </row>
    <row r="12" spans="1:19" x14ac:dyDescent="0.2">
      <c r="A12" s="317">
        <f>A11+1</f>
        <v>5</v>
      </c>
      <c r="C12" s="260" t="s">
        <v>373</v>
      </c>
      <c r="F12" s="103"/>
      <c r="G12" s="487">
        <v>220.71</v>
      </c>
      <c r="H12" s="487">
        <v>218.44352571109127</v>
      </c>
      <c r="I12" s="487"/>
      <c r="J12" s="487">
        <v>230.69</v>
      </c>
      <c r="K12" s="487">
        <v>218.44352571109127</v>
      </c>
      <c r="L12" s="487"/>
      <c r="M12" s="487">
        <v>201.71</v>
      </c>
      <c r="N12" s="487">
        <v>218.44352571109127</v>
      </c>
      <c r="O12" s="487"/>
      <c r="P12" s="487">
        <v>201.71</v>
      </c>
      <c r="Q12" s="487"/>
      <c r="R12" s="487">
        <v>201.71</v>
      </c>
      <c r="S12" s="103"/>
    </row>
    <row r="13" spans="1:19" x14ac:dyDescent="0.2">
      <c r="A13" s="317">
        <f>A12+1</f>
        <v>6</v>
      </c>
      <c r="C13" s="260" t="s">
        <v>374</v>
      </c>
      <c r="F13" s="103"/>
      <c r="G13" s="487">
        <v>107.28</v>
      </c>
      <c r="H13" s="487">
        <v>105.62833387966741</v>
      </c>
      <c r="I13" s="487"/>
      <c r="J13" s="487">
        <v>114.38</v>
      </c>
      <c r="K13" s="487">
        <v>105.62833387966741</v>
      </c>
      <c r="L13" s="487"/>
      <c r="M13" s="487">
        <v>88.72</v>
      </c>
      <c r="N13" s="487">
        <v>105.62833387966741</v>
      </c>
      <c r="O13" s="487"/>
      <c r="P13" s="487">
        <v>88.72</v>
      </c>
      <c r="Q13" s="487"/>
      <c r="R13" s="487">
        <v>88.72</v>
      </c>
      <c r="S13" s="103"/>
    </row>
    <row r="14" spans="1:19" x14ac:dyDescent="0.2">
      <c r="A14" s="317">
        <f t="shared" ref="A14:A40" si="0">A13+1</f>
        <v>7</v>
      </c>
      <c r="C14" s="260" t="s">
        <v>407</v>
      </c>
      <c r="F14" s="103"/>
      <c r="G14" s="487">
        <v>89.92</v>
      </c>
      <c r="H14" s="487">
        <v>89.559030503904069</v>
      </c>
      <c r="I14" s="487"/>
      <c r="J14" s="487">
        <v>106.78</v>
      </c>
      <c r="K14" s="487">
        <v>89.559030503904069</v>
      </c>
      <c r="L14" s="487"/>
      <c r="M14" s="487">
        <v>97.81</v>
      </c>
      <c r="N14" s="487">
        <v>89.559030503904069</v>
      </c>
      <c r="O14" s="487"/>
      <c r="P14" s="487">
        <v>97.81</v>
      </c>
      <c r="Q14" s="487"/>
      <c r="R14" s="487">
        <v>97.81</v>
      </c>
      <c r="S14" s="103"/>
    </row>
    <row r="15" spans="1:19" x14ac:dyDescent="0.2">
      <c r="A15" s="317">
        <f t="shared" si="0"/>
        <v>8</v>
      </c>
      <c r="C15" s="260"/>
      <c r="E15" s="597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spans="1:19" x14ac:dyDescent="0.2">
      <c r="A16" s="317">
        <f t="shared" si="0"/>
        <v>9</v>
      </c>
      <c r="C16" s="596" t="s">
        <v>534</v>
      </c>
      <c r="E16" s="597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281"/>
    </row>
    <row r="17" spans="1:19" x14ac:dyDescent="0.2">
      <c r="A17" s="317">
        <f t="shared" si="0"/>
        <v>10</v>
      </c>
      <c r="C17" s="260" t="s">
        <v>370</v>
      </c>
      <c r="F17" s="103"/>
      <c r="G17" s="66">
        <v>15120</v>
      </c>
      <c r="H17" s="112">
        <v>15085.433514888604</v>
      </c>
      <c r="I17" s="112"/>
      <c r="J17" s="112">
        <v>14966</v>
      </c>
      <c r="K17" s="112">
        <v>15261.234444247613</v>
      </c>
      <c r="L17" s="112"/>
      <c r="M17" s="112">
        <v>14534.4</v>
      </c>
      <c r="N17" s="112">
        <v>15267.180538835657</v>
      </c>
      <c r="O17" s="112"/>
      <c r="P17" s="112">
        <v>14721.259404355567</v>
      </c>
      <c r="Q17" s="112"/>
      <c r="R17" s="112">
        <v>14794.70482456516</v>
      </c>
      <c r="S17" s="281"/>
    </row>
    <row r="18" spans="1:19" x14ac:dyDescent="0.2">
      <c r="A18" s="317">
        <f t="shared" si="0"/>
        <v>11</v>
      </c>
      <c r="C18" s="260" t="s">
        <v>371</v>
      </c>
      <c r="F18" s="103"/>
      <c r="G18" s="66">
        <v>1893.492</v>
      </c>
      <c r="H18" s="112">
        <v>1799.5384747599458</v>
      </c>
      <c r="I18" s="112"/>
      <c r="J18" s="112">
        <v>1804</v>
      </c>
      <c r="K18" s="112">
        <v>1832.3425404808756</v>
      </c>
      <c r="L18" s="112"/>
      <c r="M18" s="112">
        <v>1828.643</v>
      </c>
      <c r="N18" s="112">
        <v>1834.1800071370865</v>
      </c>
      <c r="O18" s="112"/>
      <c r="P18" s="112">
        <v>1768.8593537303857</v>
      </c>
      <c r="Q18" s="112"/>
      <c r="R18" s="112">
        <v>1785.9253753366381</v>
      </c>
      <c r="S18" s="281"/>
    </row>
    <row r="19" spans="1:19" x14ac:dyDescent="0.2">
      <c r="A19" s="317">
        <f t="shared" si="0"/>
        <v>12</v>
      </c>
      <c r="C19" s="260" t="s">
        <v>372</v>
      </c>
      <c r="F19" s="103"/>
      <c r="G19" s="66">
        <v>1885.9280000000001</v>
      </c>
      <c r="H19" s="112">
        <v>1826.2167124935422</v>
      </c>
      <c r="I19" s="112"/>
      <c r="J19" s="112">
        <v>1856</v>
      </c>
      <c r="K19" s="112">
        <v>1860.0982949869251</v>
      </c>
      <c r="L19" s="112"/>
      <c r="M19" s="112">
        <v>1788.771</v>
      </c>
      <c r="N19" s="112">
        <v>1861.9597130482116</v>
      </c>
      <c r="O19" s="112"/>
      <c r="P19" s="112">
        <v>1777.7555892022988</v>
      </c>
      <c r="Q19" s="112"/>
      <c r="R19" s="112">
        <v>1702.8101842321751</v>
      </c>
      <c r="S19" s="281"/>
    </row>
    <row r="20" spans="1:19" x14ac:dyDescent="0.2">
      <c r="A20" s="317">
        <f t="shared" si="0"/>
        <v>13</v>
      </c>
      <c r="C20" s="260" t="s">
        <v>373</v>
      </c>
      <c r="F20" s="103"/>
      <c r="G20" s="66">
        <v>2198.5700000000002</v>
      </c>
      <c r="H20" s="112">
        <v>2082.8176729352108</v>
      </c>
      <c r="I20" s="112"/>
      <c r="J20" s="112">
        <v>2205</v>
      </c>
      <c r="K20" s="112">
        <v>2114.3933810445619</v>
      </c>
      <c r="L20" s="112"/>
      <c r="M20" s="112">
        <v>2263.9479999999999</v>
      </c>
      <c r="N20" s="112">
        <v>2114.4405797744739</v>
      </c>
      <c r="O20" s="112"/>
      <c r="P20" s="112">
        <v>2179.9993965535127</v>
      </c>
      <c r="Q20" s="112"/>
      <c r="R20" s="112">
        <v>2248.1731990695139</v>
      </c>
      <c r="S20" s="281"/>
    </row>
    <row r="21" spans="1:19" x14ac:dyDescent="0.2">
      <c r="A21" s="317">
        <f t="shared" si="0"/>
        <v>14</v>
      </c>
      <c r="C21" s="260" t="s">
        <v>374</v>
      </c>
      <c r="F21" s="598"/>
      <c r="G21" s="66">
        <v>203.94300000000001</v>
      </c>
      <c r="H21" s="112">
        <v>262.73609073723082</v>
      </c>
      <c r="I21" s="498"/>
      <c r="J21" s="112">
        <v>219</v>
      </c>
      <c r="K21" s="112">
        <v>266.85462648611963</v>
      </c>
      <c r="L21" s="112"/>
      <c r="M21" s="112">
        <v>207.32900000000001</v>
      </c>
      <c r="N21" s="112">
        <v>267.66299328982939</v>
      </c>
      <c r="O21" s="112"/>
      <c r="P21" s="112">
        <v>209.17634794554397</v>
      </c>
      <c r="Q21" s="112"/>
      <c r="R21" s="112">
        <v>223.33307381011736</v>
      </c>
    </row>
    <row r="22" spans="1:19" x14ac:dyDescent="0.2">
      <c r="A22" s="317">
        <f t="shared" si="0"/>
        <v>15</v>
      </c>
      <c r="C22" s="260" t="s">
        <v>407</v>
      </c>
      <c r="F22" s="102"/>
      <c r="G22" s="70">
        <v>2.831</v>
      </c>
      <c r="H22" s="147">
        <v>70</v>
      </c>
      <c r="I22" s="109"/>
      <c r="J22" s="147">
        <v>67</v>
      </c>
      <c r="K22" s="147">
        <v>70</v>
      </c>
      <c r="L22" s="112"/>
      <c r="M22" s="147">
        <v>41.015999999999998</v>
      </c>
      <c r="N22" s="147">
        <v>70</v>
      </c>
      <c r="O22" s="112"/>
      <c r="P22" s="70">
        <v>39.721642972524016</v>
      </c>
      <c r="Q22" s="112"/>
      <c r="R22" s="147">
        <v>40.521171276787882</v>
      </c>
    </row>
    <row r="23" spans="1:19" x14ac:dyDescent="0.2">
      <c r="A23" s="317">
        <f t="shared" si="0"/>
        <v>16</v>
      </c>
      <c r="E23" s="83" t="s">
        <v>331</v>
      </c>
      <c r="G23" s="280">
        <f>SUM(G17:G22)</f>
        <v>21304.763999999996</v>
      </c>
      <c r="H23" s="280">
        <f>SUM(H17:H22)</f>
        <v>21126.742465814536</v>
      </c>
      <c r="I23" s="280"/>
      <c r="J23" s="280">
        <f>SUM(J17:J22)</f>
        <v>21117</v>
      </c>
      <c r="K23" s="280">
        <f>SUM(K17:K22)</f>
        <v>21404.923287246096</v>
      </c>
      <c r="L23" s="280"/>
      <c r="M23" s="280">
        <f>SUM(M17:M22)</f>
        <v>20664.107</v>
      </c>
      <c r="N23" s="280">
        <f>SUM(N17:N22)</f>
        <v>21415.423832085256</v>
      </c>
      <c r="O23" s="280"/>
      <c r="P23" s="280">
        <f>SUM(P17:P22)</f>
        <v>20696.77173475983</v>
      </c>
      <c r="Q23" s="280"/>
      <c r="R23" s="280">
        <f>SUM(R17:R22)</f>
        <v>20795.467828290395</v>
      </c>
    </row>
    <row r="24" spans="1:19" x14ac:dyDescent="0.2">
      <c r="A24" s="317">
        <f t="shared" si="0"/>
        <v>17</v>
      </c>
    </row>
    <row r="25" spans="1:19" x14ac:dyDescent="0.2">
      <c r="A25" s="317">
        <f t="shared" si="0"/>
        <v>18</v>
      </c>
      <c r="C25" s="599" t="s">
        <v>535</v>
      </c>
      <c r="K25" s="292" t="s">
        <v>13</v>
      </c>
    </row>
    <row r="26" spans="1:19" x14ac:dyDescent="0.2">
      <c r="A26" s="317">
        <f t="shared" si="0"/>
        <v>19</v>
      </c>
      <c r="C26" s="260" t="s">
        <v>370</v>
      </c>
      <c r="F26" s="31"/>
      <c r="G26" s="490">
        <v>3.88</v>
      </c>
      <c r="H26" s="490">
        <v>3.7831442787155951</v>
      </c>
      <c r="I26" s="490"/>
      <c r="J26" s="490">
        <v>3.89</v>
      </c>
      <c r="K26" s="490">
        <v>3.7831442787155951</v>
      </c>
      <c r="L26" s="490"/>
      <c r="M26" s="490">
        <v>3.8859154014528867</v>
      </c>
      <c r="N26" s="490">
        <v>3.7831442787155951</v>
      </c>
      <c r="O26" s="490"/>
      <c r="P26" s="490">
        <v>3.8486464109157734</v>
      </c>
      <c r="Q26" s="490"/>
      <c r="R26" s="490">
        <v>3.8486464109157734</v>
      </c>
    </row>
    <row r="27" spans="1:19" x14ac:dyDescent="0.2">
      <c r="A27" s="317">
        <f t="shared" si="0"/>
        <v>20</v>
      </c>
      <c r="C27" s="260" t="s">
        <v>371</v>
      </c>
      <c r="F27" s="31"/>
      <c r="G27" s="490">
        <v>3.36</v>
      </c>
      <c r="H27" s="490">
        <v>3.5858079252266499</v>
      </c>
      <c r="I27" s="490"/>
      <c r="J27" s="490">
        <v>3.28</v>
      </c>
      <c r="K27" s="490">
        <v>3.5858079252266499</v>
      </c>
      <c r="L27" s="490"/>
      <c r="M27" s="490">
        <v>3.4862439016950386</v>
      </c>
      <c r="N27" s="490">
        <v>3.5858079252266499</v>
      </c>
      <c r="O27" s="490"/>
      <c r="P27" s="490">
        <v>3.4252614508470209</v>
      </c>
      <c r="Q27" s="490"/>
      <c r="R27" s="490">
        <v>3.4252614508470209</v>
      </c>
    </row>
    <row r="28" spans="1:19" x14ac:dyDescent="0.2">
      <c r="A28" s="317">
        <f t="shared" si="0"/>
        <v>21</v>
      </c>
      <c r="C28" s="260" t="s">
        <v>372</v>
      </c>
      <c r="F28" s="31"/>
      <c r="G28" s="490">
        <v>3.67</v>
      </c>
      <c r="H28" s="490">
        <v>3.5788816766843361</v>
      </c>
      <c r="I28" s="490"/>
      <c r="J28" s="490">
        <v>3.6</v>
      </c>
      <c r="K28" s="490">
        <v>3.5788816766843361</v>
      </c>
      <c r="L28" s="490"/>
      <c r="M28" s="490">
        <v>3.5404157839234647</v>
      </c>
      <c r="N28" s="490">
        <v>3.5788816766843361</v>
      </c>
      <c r="O28" s="490"/>
      <c r="P28" s="490">
        <v>3.6107047748508792</v>
      </c>
      <c r="Q28" s="490"/>
      <c r="R28" s="490">
        <v>3.6107047748508792</v>
      </c>
    </row>
    <row r="29" spans="1:19" x14ac:dyDescent="0.2">
      <c r="A29" s="317">
        <f t="shared" si="0"/>
        <v>22</v>
      </c>
      <c r="C29" s="260" t="s">
        <v>373</v>
      </c>
      <c r="F29" s="31"/>
      <c r="G29" s="490">
        <v>3.42</v>
      </c>
      <c r="H29" s="490">
        <v>3.6049617942228238</v>
      </c>
      <c r="I29" s="490"/>
      <c r="J29" s="490">
        <v>3.3</v>
      </c>
      <c r="K29" s="490">
        <v>3.6049617942228238</v>
      </c>
      <c r="L29" s="490"/>
      <c r="M29" s="490">
        <v>3.2951769087794318</v>
      </c>
      <c r="N29" s="490">
        <v>3.6049617942228238</v>
      </c>
      <c r="O29" s="490"/>
      <c r="P29" s="490">
        <v>3.397084706270594</v>
      </c>
      <c r="Q29" s="490"/>
      <c r="R29" s="490">
        <v>3.397084706270594</v>
      </c>
    </row>
    <row r="30" spans="1:19" x14ac:dyDescent="0.2">
      <c r="A30" s="317">
        <f t="shared" si="0"/>
        <v>23</v>
      </c>
      <c r="C30" s="260" t="s">
        <v>374</v>
      </c>
      <c r="F30" s="31"/>
      <c r="G30" s="490">
        <v>2.5499999999999998</v>
      </c>
      <c r="H30" s="490">
        <v>2.7867541674685841</v>
      </c>
      <c r="I30" s="490"/>
      <c r="J30" s="490">
        <v>2.72</v>
      </c>
      <c r="K30" s="490">
        <v>2.7867541674685841</v>
      </c>
      <c r="L30" s="490"/>
      <c r="M30" s="490">
        <v>2.6085681932561648</v>
      </c>
      <c r="N30" s="490">
        <v>2.7867541674685841</v>
      </c>
      <c r="O30" s="490"/>
      <c r="P30" s="490">
        <v>2.6769103441460582</v>
      </c>
      <c r="Q30" s="490"/>
      <c r="R30" s="490">
        <v>2.6769103441460582</v>
      </c>
    </row>
    <row r="31" spans="1:19" x14ac:dyDescent="0.2">
      <c r="A31" s="317">
        <f t="shared" si="0"/>
        <v>24</v>
      </c>
      <c r="C31" s="260" t="s">
        <v>407</v>
      </c>
      <c r="F31" s="31"/>
      <c r="G31" s="490">
        <v>0.2</v>
      </c>
      <c r="H31" s="490">
        <v>3.0209276147550286</v>
      </c>
      <c r="I31" s="490"/>
      <c r="J31" s="490">
        <v>1.45</v>
      </c>
      <c r="K31" s="490">
        <v>3.0209276147550286</v>
      </c>
      <c r="L31" s="490"/>
      <c r="M31" s="490">
        <v>1.1268751030276387</v>
      </c>
      <c r="N31" s="490">
        <v>3.0209276147550286</v>
      </c>
      <c r="O31" s="490"/>
      <c r="P31" s="490">
        <v>2.1952563749995293</v>
      </c>
      <c r="Q31" s="490"/>
      <c r="R31" s="490">
        <v>2.1952563749995293</v>
      </c>
    </row>
    <row r="32" spans="1:19" x14ac:dyDescent="0.2">
      <c r="A32" s="317">
        <f t="shared" si="0"/>
        <v>25</v>
      </c>
      <c r="C32" s="26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7">
        <f t="shared" si="0"/>
        <v>26</v>
      </c>
      <c r="C33" s="599" t="s">
        <v>1022</v>
      </c>
    </row>
    <row r="34" spans="1:18" x14ac:dyDescent="0.2">
      <c r="A34" s="317">
        <f t="shared" si="0"/>
        <v>27</v>
      </c>
      <c r="C34" s="260" t="s">
        <v>370</v>
      </c>
      <c r="F34" s="102"/>
      <c r="G34" s="112">
        <v>3894.4050000000002</v>
      </c>
      <c r="H34" s="109">
        <v>3987.5385138655665</v>
      </c>
      <c r="I34" s="109"/>
      <c r="J34" s="109">
        <v>3851</v>
      </c>
      <c r="K34" s="109">
        <v>4034.0080419636843</v>
      </c>
      <c r="L34" s="109"/>
      <c r="M34" s="109">
        <v>3740.277</v>
      </c>
      <c r="N34" s="109">
        <v>4035.5797754610026</v>
      </c>
      <c r="O34" s="109"/>
      <c r="P34" s="109">
        <f t="shared" ref="P34:P39" si="1">+P17/P26</f>
        <v>3825.0485580078762</v>
      </c>
      <c r="Q34" s="109"/>
      <c r="R34" s="109">
        <f t="shared" ref="R34:R39" si="2">+R17/R26</f>
        <v>3844.1319999165125</v>
      </c>
    </row>
    <row r="35" spans="1:18" x14ac:dyDescent="0.2">
      <c r="A35" s="317">
        <f t="shared" si="0"/>
        <v>28</v>
      </c>
      <c r="C35" s="260" t="s">
        <v>371</v>
      </c>
      <c r="F35" s="102"/>
      <c r="G35" s="112">
        <v>563.30999999999995</v>
      </c>
      <c r="H35" s="109">
        <v>501.85021403403852</v>
      </c>
      <c r="I35" s="109"/>
      <c r="J35" s="109">
        <v>540</v>
      </c>
      <c r="K35" s="109">
        <v>510.99851935461879</v>
      </c>
      <c r="L35" s="109"/>
      <c r="M35" s="109">
        <v>524.53099999999995</v>
      </c>
      <c r="N35" s="109">
        <v>511.51094687291499</v>
      </c>
      <c r="O35" s="109"/>
      <c r="P35" s="109">
        <f t="shared" si="1"/>
        <v>516.41586463216424</v>
      </c>
      <c r="Q35" s="109"/>
      <c r="R35" s="109">
        <f t="shared" si="2"/>
        <v>521.39826432665541</v>
      </c>
    </row>
    <row r="36" spans="1:18" x14ac:dyDescent="0.2">
      <c r="A36" s="317">
        <f t="shared" si="0"/>
        <v>29</v>
      </c>
      <c r="C36" s="260" t="s">
        <v>372</v>
      </c>
      <c r="F36" s="102"/>
      <c r="G36" s="112">
        <v>514.12900000000002</v>
      </c>
      <c r="H36" s="109">
        <v>510.27580050800822</v>
      </c>
      <c r="I36" s="109"/>
      <c r="J36" s="109">
        <v>525</v>
      </c>
      <c r="K36" s="109">
        <v>519.74288703230275</v>
      </c>
      <c r="L36" s="109"/>
      <c r="M36" s="109">
        <v>505.2432</v>
      </c>
      <c r="N36" s="109">
        <v>520.26299868433455</v>
      </c>
      <c r="O36" s="109"/>
      <c r="P36" s="109">
        <f t="shared" si="1"/>
        <v>492.3569496970905</v>
      </c>
      <c r="Q36" s="109"/>
      <c r="R36" s="109">
        <f t="shared" si="2"/>
        <v>471.60050195532824</v>
      </c>
    </row>
    <row r="37" spans="1:18" x14ac:dyDescent="0.2">
      <c r="A37" s="317">
        <f t="shared" si="0"/>
        <v>30</v>
      </c>
      <c r="C37" s="260" t="s">
        <v>373</v>
      </c>
      <c r="F37" s="102"/>
      <c r="G37" s="112">
        <v>643.07000000000005</v>
      </c>
      <c r="H37" s="109">
        <v>577.76414614797193</v>
      </c>
      <c r="I37" s="109"/>
      <c r="J37" s="109">
        <v>667</v>
      </c>
      <c r="K37" s="109">
        <v>586.52310391555579</v>
      </c>
      <c r="L37" s="109"/>
      <c r="M37" s="109">
        <v>687.04899999999998</v>
      </c>
      <c r="N37" s="109">
        <v>586.53619662849042</v>
      </c>
      <c r="O37" s="109"/>
      <c r="P37" s="109">
        <f t="shared" si="1"/>
        <v>641.72653467530733</v>
      </c>
      <c r="Q37" s="109"/>
      <c r="R37" s="109">
        <f t="shared" si="2"/>
        <v>661.7948604342032</v>
      </c>
    </row>
    <row r="38" spans="1:18" x14ac:dyDescent="0.2">
      <c r="A38" s="317">
        <f t="shared" si="0"/>
        <v>31</v>
      </c>
      <c r="C38" s="260" t="s">
        <v>374</v>
      </c>
      <c r="F38" s="102"/>
      <c r="G38" s="112">
        <v>79.963999999999999</v>
      </c>
      <c r="H38" s="109">
        <v>94.28032576547416</v>
      </c>
      <c r="I38" s="109"/>
      <c r="J38" s="109">
        <v>80</v>
      </c>
      <c r="K38" s="109">
        <v>95.758222810346965</v>
      </c>
      <c r="L38" s="109"/>
      <c r="M38" s="109">
        <v>79.48</v>
      </c>
      <c r="N38" s="109">
        <v>96.048297483293112</v>
      </c>
      <c r="O38" s="109"/>
      <c r="P38" s="109">
        <f t="shared" si="1"/>
        <v>78.140961427033446</v>
      </c>
      <c r="Q38" s="109"/>
      <c r="R38" s="109">
        <f t="shared" si="2"/>
        <v>83.429418657411631</v>
      </c>
    </row>
    <row r="39" spans="1:18" x14ac:dyDescent="0.2">
      <c r="A39" s="317">
        <f t="shared" si="0"/>
        <v>32</v>
      </c>
      <c r="C39" s="260" t="s">
        <v>407</v>
      </c>
      <c r="F39" s="102"/>
      <c r="G39" s="147">
        <v>18.625</v>
      </c>
      <c r="H39" s="147">
        <v>20.17169059533272</v>
      </c>
      <c r="I39" s="109"/>
      <c r="J39" s="147">
        <v>56</v>
      </c>
      <c r="K39" s="147">
        <v>20.17169059533272</v>
      </c>
      <c r="L39" s="112"/>
      <c r="M39" s="147">
        <v>36.398000000000003</v>
      </c>
      <c r="N39" s="147">
        <v>20.17169059533272</v>
      </c>
      <c r="O39" s="112"/>
      <c r="P39" s="147">
        <f t="shared" si="1"/>
        <v>18.094307081801567</v>
      </c>
      <c r="Q39" s="112"/>
      <c r="R39" s="147">
        <f t="shared" si="2"/>
        <v>18.458514339491018</v>
      </c>
    </row>
    <row r="40" spans="1:18" x14ac:dyDescent="0.2">
      <c r="A40" s="317">
        <f t="shared" si="0"/>
        <v>33</v>
      </c>
      <c r="E40" s="83" t="s">
        <v>379</v>
      </c>
      <c r="G40" s="280">
        <f>SUM(G34:G39)</f>
        <v>5713.5029999999997</v>
      </c>
      <c r="H40" s="280">
        <f>SUM(H34:H39)</f>
        <v>5691.8806909163923</v>
      </c>
      <c r="I40" s="280"/>
      <c r="J40" s="280">
        <f>SUM(J34:J39)</f>
        <v>5719</v>
      </c>
      <c r="K40" s="280">
        <f>SUM(K34:K39)</f>
        <v>5767.2024656718413</v>
      </c>
      <c r="L40" s="280"/>
      <c r="M40" s="280">
        <f>SUM(M34:M39)</f>
        <v>5572.9781999999996</v>
      </c>
      <c r="N40" s="280">
        <f>SUM(N34:N39)</f>
        <v>5770.1099057253678</v>
      </c>
      <c r="O40" s="280"/>
      <c r="P40" s="280">
        <f>SUM(P34:P39)</f>
        <v>5571.7831755212728</v>
      </c>
      <c r="Q40" s="280"/>
      <c r="R40" s="280">
        <f>SUM(R34:R39)</f>
        <v>5600.8135596296015</v>
      </c>
    </row>
    <row r="41" spans="1:18" x14ac:dyDescent="0.2">
      <c r="A41" s="324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</row>
  </sheetData>
  <customSheetViews>
    <customSheetView guid="{275E5119-9E8C-43ED-ACD2-DF40CF10B219}" scale="70">
      <selection activeCell="O29" sqref="O29"/>
      <pageMargins left="0.5" right="0.5" top="0.74" bottom="0.69" header="0.5" footer="0.5"/>
      <pageSetup scale="6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O29" sqref="O29"/>
      <pageMargins left="0.5" right="0.5" top="0.74" bottom="0.69" header="0.5" footer="0.5"/>
      <pageSetup scale="65" orientation="landscape" horizontalDpi="4294967292" verticalDpi="4294967292" r:id="rId2"/>
      <headerFooter alignWithMargins="0"/>
    </customSheetView>
  </customSheetViews>
  <mergeCells count="2">
    <mergeCell ref="A4:R4"/>
    <mergeCell ref="P5:R5"/>
  </mergeCells>
  <phoneticPr fontId="9" type="noConversion"/>
  <printOptions horizontalCentered="1"/>
  <pageMargins left="0.5" right="0.5" top="0.75" bottom="0.75" header="0.25" footer="0.5"/>
  <pageSetup scale="72" fitToHeight="0" orientation="landscape" r:id="rId3"/>
  <headerFooter alignWithMargins="0">
    <oddHeader xml:space="preserve">&amp;RUndertaking 17 - Page 527, Lines 15-17, Attachment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S57"/>
  <sheetViews>
    <sheetView view="pageBreakPreview" zoomScale="85" zoomScaleNormal="70" zoomScaleSheetLayoutView="85" workbookViewId="0">
      <selection activeCell="P48" sqref="P48"/>
    </sheetView>
  </sheetViews>
  <sheetFormatPr defaultColWidth="7.5703125" defaultRowHeight="12.75" x14ac:dyDescent="0.2"/>
  <cols>
    <col min="1" max="1" width="6.140625" style="12" bestFit="1" customWidth="1"/>
    <col min="2" max="2" width="2.28515625" style="12" customWidth="1"/>
    <col min="3" max="3" width="51.140625" style="12" customWidth="1"/>
    <col min="4" max="4" width="2.28515625" style="12" customWidth="1"/>
    <col min="5" max="5" width="12.42578125" style="49" customWidth="1"/>
    <col min="6" max="6" width="2.28515625" style="49" customWidth="1"/>
    <col min="7" max="7" width="12.7109375" style="59" customWidth="1"/>
    <col min="8" max="8" width="12.7109375" style="237" customWidth="1"/>
    <col min="9" max="9" width="2.28515625" style="59" customWidth="1"/>
    <col min="10" max="10" width="12.7109375" style="59" customWidth="1"/>
    <col min="11" max="11" width="12.7109375" style="237" customWidth="1"/>
    <col min="12" max="12" width="2.28515625" style="59" customWidth="1"/>
    <col min="13" max="13" width="12.7109375" style="12" customWidth="1"/>
    <col min="14" max="14" width="12.7109375" style="237" customWidth="1"/>
    <col min="15" max="15" width="2.28515625" style="237" customWidth="1"/>
    <col min="16" max="16" width="12.7109375" style="237" customWidth="1"/>
    <col min="17" max="17" width="2.28515625" style="237" customWidth="1"/>
    <col min="18" max="18" width="12.7109375" style="237" customWidth="1"/>
    <col min="19" max="19" width="2.28515625" style="237" customWidth="1"/>
    <col min="20" max="16384" width="7.5703125" style="12"/>
  </cols>
  <sheetData>
    <row r="1" spans="1:19" ht="15.75" x14ac:dyDescent="0.25">
      <c r="A1" s="261" t="s">
        <v>1006</v>
      </c>
      <c r="B1" s="261"/>
      <c r="C1" s="54"/>
      <c r="D1" s="245"/>
      <c r="E1" s="245"/>
      <c r="F1" s="245"/>
      <c r="G1" s="245"/>
      <c r="H1" s="245"/>
      <c r="I1" s="30"/>
      <c r="J1" s="245"/>
      <c r="K1" s="245"/>
      <c r="L1" s="30"/>
      <c r="M1" s="54"/>
      <c r="N1" s="62"/>
      <c r="O1" s="62"/>
      <c r="P1" s="62"/>
      <c r="Q1" s="62"/>
      <c r="R1" s="62"/>
      <c r="S1" s="58" t="s">
        <v>573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62"/>
      <c r="H2" s="62"/>
      <c r="I2" s="62"/>
      <c r="J2" s="62"/>
      <c r="K2" s="62"/>
      <c r="L2" s="62"/>
      <c r="M2" s="54"/>
      <c r="N2" s="62"/>
      <c r="O2" s="62"/>
      <c r="P2" s="62"/>
      <c r="Q2" s="62"/>
      <c r="R2" s="62"/>
      <c r="S2" s="58" t="s">
        <v>888</v>
      </c>
    </row>
    <row r="3" spans="1:19" ht="15.75" x14ac:dyDescent="0.25">
      <c r="A3" s="261" t="s">
        <v>200</v>
      </c>
      <c r="B3" s="245"/>
      <c r="C3" s="245"/>
      <c r="D3" s="245"/>
      <c r="E3" s="245"/>
      <c r="F3" s="245"/>
      <c r="G3" s="62"/>
      <c r="H3" s="62"/>
      <c r="I3" s="62"/>
      <c r="J3" s="62"/>
      <c r="K3" s="62"/>
      <c r="L3" s="62"/>
      <c r="M3" s="54"/>
      <c r="N3" s="62"/>
      <c r="O3" s="62"/>
      <c r="P3" s="62"/>
      <c r="Q3" s="62"/>
      <c r="R3" s="62"/>
    </row>
    <row r="4" spans="1:19" s="11" customFormat="1" ht="15.75" x14ac:dyDescent="0.25">
      <c r="A4" s="261" t="s">
        <v>18</v>
      </c>
      <c r="B4" s="261"/>
      <c r="C4" s="261"/>
      <c r="D4" s="261"/>
      <c r="E4" s="261"/>
      <c r="F4" s="261"/>
      <c r="G4" s="169"/>
      <c r="H4" s="169"/>
      <c r="I4" s="169"/>
      <c r="J4" s="169"/>
      <c r="K4" s="169"/>
      <c r="L4" s="169"/>
      <c r="M4" s="63"/>
      <c r="N4" s="169"/>
      <c r="O4" s="169"/>
      <c r="P4" s="169"/>
      <c r="Q4" s="169"/>
      <c r="R4" s="169"/>
      <c r="S4" s="278"/>
    </row>
    <row r="5" spans="1:19" s="11" customFormat="1" ht="15.75" x14ac:dyDescent="0.25">
      <c r="A5" s="246"/>
      <c r="B5" s="168"/>
      <c r="C5" s="168"/>
      <c r="D5" s="168"/>
      <c r="E5" s="168"/>
      <c r="F5" s="168"/>
      <c r="G5" s="44"/>
      <c r="H5" s="278"/>
      <c r="I5" s="44"/>
      <c r="J5" s="44"/>
      <c r="K5" s="278"/>
      <c r="L5" s="44"/>
      <c r="N5" s="278"/>
      <c r="O5" s="278"/>
      <c r="P5" s="278"/>
      <c r="Q5" s="278"/>
      <c r="R5" s="278"/>
      <c r="S5" s="278"/>
    </row>
    <row r="6" spans="1:19" s="11" customFormat="1" ht="15.75" x14ac:dyDescent="0.25">
      <c r="A6" s="152" t="s">
        <v>19</v>
      </c>
      <c r="B6" s="152"/>
      <c r="C6" s="152"/>
      <c r="D6" s="152"/>
      <c r="E6" s="247" t="s">
        <v>20</v>
      </c>
      <c r="F6" s="152"/>
      <c r="G6" s="540" t="s">
        <v>11</v>
      </c>
      <c r="H6" s="164" t="s">
        <v>4</v>
      </c>
      <c r="I6" s="8"/>
      <c r="J6" s="540" t="s">
        <v>11</v>
      </c>
      <c r="K6" s="164" t="s">
        <v>4</v>
      </c>
      <c r="L6" s="8"/>
      <c r="M6" s="160" t="s">
        <v>11</v>
      </c>
      <c r="N6" s="164" t="s">
        <v>4</v>
      </c>
      <c r="O6" s="542"/>
      <c r="P6" s="607" t="s">
        <v>293</v>
      </c>
      <c r="Q6" s="607"/>
      <c r="R6" s="607"/>
      <c r="S6" s="278"/>
    </row>
    <row r="7" spans="1:19" s="11" customFormat="1" ht="15.75" x14ac:dyDescent="0.25">
      <c r="A7" s="161" t="s">
        <v>21</v>
      </c>
      <c r="B7" s="152"/>
      <c r="C7" s="258" t="s">
        <v>147</v>
      </c>
      <c r="D7" s="259"/>
      <c r="E7" s="248" t="s">
        <v>22</v>
      </c>
      <c r="F7" s="152"/>
      <c r="G7" s="312">
        <v>2013</v>
      </c>
      <c r="H7" s="315">
        <v>2013</v>
      </c>
      <c r="I7" s="309"/>
      <c r="J7" s="312">
        <v>2014</v>
      </c>
      <c r="K7" s="315">
        <v>2014</v>
      </c>
      <c r="L7" s="309"/>
      <c r="M7" s="312">
        <v>2015</v>
      </c>
      <c r="N7" s="315">
        <v>2015</v>
      </c>
      <c r="O7" s="389"/>
      <c r="P7" s="315">
        <v>2016</v>
      </c>
      <c r="Q7" s="389"/>
      <c r="R7" s="315">
        <v>2017</v>
      </c>
      <c r="S7" s="278"/>
    </row>
    <row r="8" spans="1:19" s="11" customFormat="1" ht="15" x14ac:dyDescent="0.2">
      <c r="A8" s="55"/>
      <c r="B8" s="55"/>
      <c r="C8" s="55"/>
      <c r="D8" s="55"/>
      <c r="E8" s="56"/>
      <c r="F8" s="56"/>
      <c r="G8" s="44"/>
      <c r="H8" s="278"/>
      <c r="I8" s="44"/>
      <c r="J8" s="44"/>
      <c r="K8" s="278"/>
      <c r="L8" s="44"/>
      <c r="N8" s="278"/>
      <c r="O8" s="278"/>
      <c r="P8" s="278"/>
      <c r="Q8" s="278"/>
      <c r="R8" s="278"/>
      <c r="S8" s="278"/>
    </row>
    <row r="9" spans="1:19" s="11" customFormat="1" ht="15.75" x14ac:dyDescent="0.25">
      <c r="A9" s="310">
        <v>1</v>
      </c>
      <c r="B9" s="44"/>
      <c r="C9" s="61" t="s">
        <v>205</v>
      </c>
      <c r="D9" s="152"/>
      <c r="E9" s="56"/>
      <c r="F9" s="46"/>
      <c r="G9" s="111"/>
      <c r="H9" s="111"/>
      <c r="I9" s="111"/>
      <c r="J9" s="111"/>
      <c r="K9" s="111"/>
      <c r="L9" s="111"/>
      <c r="M9" s="278"/>
      <c r="N9" s="278"/>
      <c r="O9" s="278"/>
      <c r="P9" s="278"/>
      <c r="Q9" s="278"/>
      <c r="R9" s="278"/>
      <c r="S9" s="278"/>
    </row>
    <row r="10" spans="1:19" s="11" customFormat="1" ht="15.75" x14ac:dyDescent="0.25">
      <c r="A10" s="310">
        <f>A9+1</f>
        <v>2</v>
      </c>
      <c r="B10" s="44"/>
      <c r="C10" s="166" t="s">
        <v>312</v>
      </c>
      <c r="D10" s="152"/>
      <c r="E10" s="182" t="s">
        <v>514</v>
      </c>
      <c r="F10" s="46"/>
      <c r="G10" s="109">
        <v>198.96715165851143</v>
      </c>
      <c r="H10" s="109">
        <v>309.94334026770946</v>
      </c>
      <c r="I10" s="109"/>
      <c r="J10" s="109">
        <v>232.62132872410558</v>
      </c>
      <c r="K10" s="109">
        <v>342.74362979831221</v>
      </c>
      <c r="L10" s="109"/>
      <c r="M10" s="109">
        <v>260.74600798774554</v>
      </c>
      <c r="N10" s="109">
        <v>421.63437228686217</v>
      </c>
      <c r="O10" s="111"/>
      <c r="P10" s="554">
        <v>272.60403310559741</v>
      </c>
      <c r="Q10" s="553"/>
      <c r="R10" s="554">
        <v>264.13487545952904</v>
      </c>
      <c r="S10" s="278"/>
    </row>
    <row r="11" spans="1:19" s="11" customFormat="1" ht="15" x14ac:dyDescent="0.2">
      <c r="A11" s="317">
        <f t="shared" ref="A11:A57" si="0">A10+1</f>
        <v>3</v>
      </c>
      <c r="B11" s="44"/>
      <c r="C11" s="60" t="s">
        <v>311</v>
      </c>
      <c r="D11" s="56"/>
      <c r="E11" s="184"/>
      <c r="F11" s="46"/>
      <c r="G11" s="109">
        <v>63.871618309881981</v>
      </c>
      <c r="H11" s="109">
        <v>60.09310317810408</v>
      </c>
      <c r="I11" s="109"/>
      <c r="J11" s="109">
        <v>64.902763831585617</v>
      </c>
      <c r="K11" s="109">
        <v>61.89169025179055</v>
      </c>
      <c r="L11" s="109"/>
      <c r="M11" s="109">
        <v>65.917785147066212</v>
      </c>
      <c r="N11" s="109">
        <v>63.825216273983138</v>
      </c>
      <c r="O11" s="111"/>
      <c r="P11" s="554">
        <v>71.20754646893252</v>
      </c>
      <c r="Q11" s="553"/>
      <c r="R11" s="554">
        <v>73.101165285527529</v>
      </c>
      <c r="S11" s="278"/>
    </row>
    <row r="12" spans="1:19" s="11" customFormat="1" ht="15" x14ac:dyDescent="0.2">
      <c r="A12" s="317">
        <f t="shared" si="0"/>
        <v>4</v>
      </c>
      <c r="B12" s="44"/>
      <c r="C12" s="166" t="s">
        <v>313</v>
      </c>
      <c r="D12" s="56"/>
      <c r="E12" s="184" t="s">
        <v>806</v>
      </c>
      <c r="F12" s="57"/>
      <c r="G12" s="109">
        <v>363.55695161488336</v>
      </c>
      <c r="H12" s="109">
        <v>409.585074011193</v>
      </c>
      <c r="I12" s="109"/>
      <c r="J12" s="109">
        <v>413.02981271724582</v>
      </c>
      <c r="K12" s="109">
        <v>419.73032188745458</v>
      </c>
      <c r="L12" s="109"/>
      <c r="M12" s="109">
        <v>444.50742837879869</v>
      </c>
      <c r="N12" s="109">
        <v>430.72943014448697</v>
      </c>
      <c r="O12" s="111"/>
      <c r="P12" s="554">
        <v>492.30740955069388</v>
      </c>
      <c r="Q12" s="553"/>
      <c r="R12" s="554">
        <v>503.60561985934686</v>
      </c>
      <c r="S12" s="278"/>
    </row>
    <row r="13" spans="1:19" s="11" customFormat="1" ht="15" x14ac:dyDescent="0.2">
      <c r="A13" s="317">
        <f t="shared" si="0"/>
        <v>5</v>
      </c>
      <c r="B13" s="44"/>
      <c r="C13" s="60" t="s">
        <v>319</v>
      </c>
      <c r="D13" s="56"/>
      <c r="E13" s="184"/>
      <c r="F13" s="57"/>
      <c r="G13" s="109">
        <v>59.517215576268455</v>
      </c>
      <c r="H13" s="109">
        <v>47.591853490330799</v>
      </c>
      <c r="I13" s="109"/>
      <c r="J13" s="109">
        <v>59.60540070402697</v>
      </c>
      <c r="K13" s="109">
        <v>48.645277392600462</v>
      </c>
      <c r="L13" s="109"/>
      <c r="M13" s="109">
        <v>62.133553375992264</v>
      </c>
      <c r="N13" s="109">
        <v>49.722957157003059</v>
      </c>
      <c r="O13" s="111"/>
      <c r="P13" s="554">
        <v>68.054126843411808</v>
      </c>
      <c r="Q13" s="553"/>
      <c r="R13" s="554">
        <v>84.711182587158547</v>
      </c>
      <c r="S13" s="278"/>
    </row>
    <row r="14" spans="1:19" s="11" customFormat="1" ht="15" x14ac:dyDescent="0.2">
      <c r="A14" s="317">
        <f t="shared" si="0"/>
        <v>6</v>
      </c>
      <c r="B14" s="44"/>
      <c r="C14" s="166" t="s">
        <v>330</v>
      </c>
      <c r="D14" s="56" t="s">
        <v>13</v>
      </c>
      <c r="E14" s="184" t="s">
        <v>897</v>
      </c>
      <c r="F14" s="57"/>
      <c r="G14" s="109">
        <v>1020.1906737994777</v>
      </c>
      <c r="H14" s="109">
        <v>1189.4346135716048</v>
      </c>
      <c r="I14" s="109"/>
      <c r="J14" s="109">
        <v>906.818828798494</v>
      </c>
      <c r="K14" s="109">
        <v>1211.6817146081994</v>
      </c>
      <c r="L14" s="109"/>
      <c r="M14" s="109">
        <v>1148.3812969557544</v>
      </c>
      <c r="N14" s="109">
        <v>1235.4435925408723</v>
      </c>
      <c r="O14" s="111"/>
      <c r="P14" s="554">
        <v>1183.5266795858672</v>
      </c>
      <c r="Q14" s="553"/>
      <c r="R14" s="554">
        <v>1106.7170515643438</v>
      </c>
      <c r="S14" s="278"/>
    </row>
    <row r="15" spans="1:19" s="11" customFormat="1" ht="15" x14ac:dyDescent="0.2">
      <c r="A15" s="317">
        <f t="shared" si="0"/>
        <v>7</v>
      </c>
      <c r="B15" s="44"/>
      <c r="C15" s="55"/>
      <c r="D15" s="56"/>
      <c r="E15" s="184"/>
      <c r="F15" s="69"/>
      <c r="G15" s="113">
        <f>SUM(G10:G14)</f>
        <v>1706.1036109590229</v>
      </c>
      <c r="H15" s="113">
        <f>SUM(H10:H14)</f>
        <v>2016.6479845189422</v>
      </c>
      <c r="I15" s="109"/>
      <c r="J15" s="113">
        <f>SUM(J10:J14)</f>
        <v>1676.9781347754579</v>
      </c>
      <c r="K15" s="113">
        <f>SUM(K10:K14)</f>
        <v>2084.6926339383572</v>
      </c>
      <c r="L15" s="109"/>
      <c r="M15" s="113">
        <f>SUM(M10:M14)</f>
        <v>1981.686071845357</v>
      </c>
      <c r="N15" s="113">
        <f>SUM(N10:N14)</f>
        <v>2201.3555684032076</v>
      </c>
      <c r="O15" s="111"/>
      <c r="P15" s="555">
        <f>SUM(P10:P14)</f>
        <v>2087.699795554503</v>
      </c>
      <c r="Q15" s="553"/>
      <c r="R15" s="555">
        <f>SUM(R10:R14)</f>
        <v>2032.2698947559056</v>
      </c>
      <c r="S15" s="278"/>
    </row>
    <row r="16" spans="1:19" s="11" customFormat="1" ht="15.75" x14ac:dyDescent="0.25">
      <c r="A16" s="317">
        <f t="shared" si="0"/>
        <v>8</v>
      </c>
      <c r="B16" s="55"/>
      <c r="C16" s="61" t="s">
        <v>31</v>
      </c>
      <c r="D16" s="61"/>
      <c r="E16" s="184"/>
      <c r="F16" s="56"/>
      <c r="G16" s="111"/>
      <c r="H16" s="111"/>
      <c r="I16" s="109"/>
      <c r="J16" s="111"/>
      <c r="K16" s="111"/>
      <c r="L16" s="109"/>
      <c r="M16" s="111"/>
      <c r="N16" s="111"/>
      <c r="O16" s="111"/>
      <c r="P16" s="553"/>
      <c r="Q16" s="553"/>
      <c r="R16" s="553"/>
      <c r="S16" s="278"/>
    </row>
    <row r="17" spans="1:19" s="11" customFormat="1" ht="15" x14ac:dyDescent="0.2">
      <c r="A17" s="317">
        <f t="shared" si="0"/>
        <v>9</v>
      </c>
      <c r="B17" s="55"/>
      <c r="C17" s="166" t="s">
        <v>71</v>
      </c>
      <c r="D17" s="60"/>
      <c r="E17" s="184"/>
      <c r="F17" s="69"/>
      <c r="G17" s="109">
        <v>281.20415192576093</v>
      </c>
      <c r="H17" s="109">
        <v>279.1009732506314</v>
      </c>
      <c r="I17" s="109"/>
      <c r="J17" s="109">
        <v>304.93254580531089</v>
      </c>
      <c r="K17" s="109">
        <v>287.75327162672806</v>
      </c>
      <c r="L17" s="109"/>
      <c r="M17" s="109">
        <v>325.13459399701617</v>
      </c>
      <c r="N17" s="109">
        <v>296.90734191380034</v>
      </c>
      <c r="O17" s="111"/>
      <c r="P17" s="554">
        <v>330.70104006019687</v>
      </c>
      <c r="Q17" s="553"/>
      <c r="R17" s="554">
        <v>339.85295948685649</v>
      </c>
      <c r="S17" s="278"/>
    </row>
    <row r="18" spans="1:19" s="11" customFormat="1" ht="15" x14ac:dyDescent="0.2">
      <c r="A18" s="317">
        <f t="shared" si="0"/>
        <v>10</v>
      </c>
      <c r="B18" s="55"/>
      <c r="C18" s="166" t="s">
        <v>214</v>
      </c>
      <c r="D18" s="60"/>
      <c r="E18" s="184" t="s">
        <v>807</v>
      </c>
      <c r="F18" s="69"/>
      <c r="G18" s="109">
        <v>419.97078831371084</v>
      </c>
      <c r="H18" s="109">
        <v>399.26513110565639</v>
      </c>
      <c r="I18" s="109"/>
      <c r="J18" s="109">
        <v>267.60403825385441</v>
      </c>
      <c r="K18" s="109">
        <v>407.64091721080217</v>
      </c>
      <c r="L18" s="109"/>
      <c r="M18" s="109">
        <v>437.08361472026604</v>
      </c>
      <c r="N18" s="109">
        <v>416.28664386973884</v>
      </c>
      <c r="O18" s="111"/>
      <c r="P18" s="554">
        <v>413.61014089892564</v>
      </c>
      <c r="Q18" s="553"/>
      <c r="R18" s="554">
        <v>423.02886268781327</v>
      </c>
      <c r="S18" s="278"/>
    </row>
    <row r="19" spans="1:19" s="11" customFormat="1" ht="15" x14ac:dyDescent="0.2">
      <c r="A19" s="317">
        <f t="shared" si="0"/>
        <v>11</v>
      </c>
      <c r="B19" s="55"/>
      <c r="C19" s="60" t="s">
        <v>86</v>
      </c>
      <c r="D19" s="60"/>
      <c r="E19" s="184"/>
      <c r="F19" s="69"/>
      <c r="G19" s="109">
        <v>-220.49012999999999</v>
      </c>
      <c r="H19" s="109">
        <v>-183.6</v>
      </c>
      <c r="I19" s="109"/>
      <c r="J19" s="109">
        <v>-206.33767</v>
      </c>
      <c r="K19" s="109">
        <v>-187.27199999999999</v>
      </c>
      <c r="L19" s="109"/>
      <c r="M19" s="109">
        <v>-207.64156</v>
      </c>
      <c r="N19" s="109">
        <v>-191.01743999999999</v>
      </c>
      <c r="O19" s="111"/>
      <c r="P19" s="554">
        <v>-211</v>
      </c>
      <c r="Q19" s="553"/>
      <c r="R19" s="554">
        <v>-215.642</v>
      </c>
      <c r="S19" s="278"/>
    </row>
    <row r="20" spans="1:19" s="11" customFormat="1" ht="15" x14ac:dyDescent="0.2">
      <c r="A20" s="317">
        <f t="shared" si="0"/>
        <v>12</v>
      </c>
      <c r="B20" s="55"/>
      <c r="C20" s="166" t="s">
        <v>68</v>
      </c>
      <c r="D20" s="60"/>
      <c r="E20" s="184"/>
      <c r="F20" s="69"/>
      <c r="G20" s="109">
        <v>1889.8088371384829</v>
      </c>
      <c r="H20" s="109">
        <v>1872.9068216995718</v>
      </c>
      <c r="I20" s="109"/>
      <c r="J20" s="109">
        <v>1988.639798383982</v>
      </c>
      <c r="K20" s="109">
        <v>1934.81956208726</v>
      </c>
      <c r="L20" s="109"/>
      <c r="M20" s="109">
        <v>1927.3747403256639</v>
      </c>
      <c r="N20" s="109">
        <v>1983.5536448602488</v>
      </c>
      <c r="O20" s="111"/>
      <c r="P20" s="554">
        <v>2073.2143153766701</v>
      </c>
      <c r="Q20" s="553"/>
      <c r="R20" s="554">
        <v>2126.7769011986966</v>
      </c>
      <c r="S20" s="278"/>
    </row>
    <row r="21" spans="1:19" s="11" customFormat="1" ht="15" x14ac:dyDescent="0.2">
      <c r="A21" s="317">
        <f t="shared" si="0"/>
        <v>13</v>
      </c>
      <c r="B21" s="55"/>
      <c r="C21" s="166" t="s">
        <v>345</v>
      </c>
      <c r="D21" s="166"/>
      <c r="E21" s="184"/>
      <c r="F21" s="69"/>
      <c r="G21" s="109">
        <v>115.26128</v>
      </c>
      <c r="H21" s="109">
        <v>103.19120700000001</v>
      </c>
      <c r="I21" s="109"/>
      <c r="J21" s="109">
        <v>107.52495</v>
      </c>
      <c r="K21" s="109">
        <v>105.25503114</v>
      </c>
      <c r="L21" s="109"/>
      <c r="M21" s="109">
        <v>137.44579999999999</v>
      </c>
      <c r="N21" s="109">
        <v>107.36013176280001</v>
      </c>
      <c r="O21" s="111"/>
      <c r="P21" s="554">
        <v>120</v>
      </c>
      <c r="Q21" s="553"/>
      <c r="R21" s="554">
        <v>122.64</v>
      </c>
      <c r="S21" s="278"/>
    </row>
    <row r="22" spans="1:19" s="11" customFormat="1" ht="15" x14ac:dyDescent="0.2">
      <c r="A22" s="317">
        <f t="shared" si="0"/>
        <v>14</v>
      </c>
      <c r="B22" s="55"/>
      <c r="C22" s="166" t="s">
        <v>280</v>
      </c>
      <c r="D22" s="60"/>
      <c r="E22" s="184" t="s">
        <v>898</v>
      </c>
      <c r="F22" s="69"/>
      <c r="G22" s="109">
        <v>156.41411418956159</v>
      </c>
      <c r="H22" s="109">
        <v>161.92697105336507</v>
      </c>
      <c r="I22" s="109"/>
      <c r="J22" s="109">
        <v>111.23534465937156</v>
      </c>
      <c r="K22" s="109">
        <v>166.93414946700042</v>
      </c>
      <c r="L22" s="109"/>
      <c r="M22" s="109">
        <v>142.89032982301012</v>
      </c>
      <c r="N22" s="109">
        <v>170.17292033437602</v>
      </c>
      <c r="O22" s="111"/>
      <c r="P22" s="554">
        <v>149.19557286806059</v>
      </c>
      <c r="Q22" s="553"/>
      <c r="R22" s="554">
        <v>154.06728925602982</v>
      </c>
      <c r="S22" s="278"/>
    </row>
    <row r="23" spans="1:19" s="11" customFormat="1" ht="15" x14ac:dyDescent="0.2">
      <c r="A23" s="317">
        <f t="shared" si="0"/>
        <v>15</v>
      </c>
      <c r="B23" s="55"/>
      <c r="C23" s="60" t="s">
        <v>69</v>
      </c>
      <c r="D23" s="60"/>
      <c r="E23" s="184"/>
      <c r="F23" s="69"/>
      <c r="G23" s="109">
        <v>189.36269260701701</v>
      </c>
      <c r="H23" s="109">
        <v>86.475583536457151</v>
      </c>
      <c r="I23" s="109"/>
      <c r="J23" s="109">
        <v>94.079856022458102</v>
      </c>
      <c r="K23" s="109">
        <v>89.186335194844332</v>
      </c>
      <c r="L23" s="109"/>
      <c r="M23" s="109">
        <v>91.236441504958421</v>
      </c>
      <c r="N23" s="109">
        <v>92.020249109634221</v>
      </c>
      <c r="O23" s="111"/>
      <c r="P23" s="554">
        <v>93.322613098504945</v>
      </c>
      <c r="Q23" s="553"/>
      <c r="R23" s="554">
        <v>96.161108464478758</v>
      </c>
      <c r="S23" s="278"/>
    </row>
    <row r="24" spans="1:19" s="11" customFormat="1" ht="15" x14ac:dyDescent="0.2">
      <c r="A24" s="317">
        <f t="shared" si="0"/>
        <v>16</v>
      </c>
      <c r="B24" s="55"/>
      <c r="C24" s="166" t="s">
        <v>145</v>
      </c>
      <c r="D24" s="60"/>
      <c r="E24" s="184"/>
      <c r="F24" s="69"/>
      <c r="G24" s="109">
        <v>74.866380087652502</v>
      </c>
      <c r="H24" s="109">
        <v>74.143553879271323</v>
      </c>
      <c r="I24" s="109"/>
      <c r="J24" s="109">
        <v>46.692784602207531</v>
      </c>
      <c r="K24" s="109">
        <v>77.094013429851898</v>
      </c>
      <c r="L24" s="109"/>
      <c r="M24" s="109">
        <v>41.547805269414987</v>
      </c>
      <c r="N24" s="109">
        <v>78.81645739363951</v>
      </c>
      <c r="O24" s="111"/>
      <c r="P24" s="554">
        <v>52.958435152087077</v>
      </c>
      <c r="Q24" s="553"/>
      <c r="R24" s="554">
        <v>54.148590137916585</v>
      </c>
      <c r="S24" s="278"/>
    </row>
    <row r="25" spans="1:19" s="11" customFormat="1" ht="15" x14ac:dyDescent="0.2">
      <c r="A25" s="317">
        <f t="shared" si="0"/>
        <v>17</v>
      </c>
      <c r="B25" s="55"/>
      <c r="C25" s="166" t="s">
        <v>70</v>
      </c>
      <c r="D25" s="60"/>
      <c r="E25" s="184" t="s">
        <v>899</v>
      </c>
      <c r="F25" s="69"/>
      <c r="G25" s="109">
        <v>238.41801919924586</v>
      </c>
      <c r="H25" s="109">
        <v>184.07056526930126</v>
      </c>
      <c r="I25" s="109"/>
      <c r="J25" s="109">
        <v>252.03216107949692</v>
      </c>
      <c r="K25" s="109">
        <v>190.07281495794371</v>
      </c>
      <c r="L25" s="109"/>
      <c r="M25" s="109">
        <v>203.1309926061796</v>
      </c>
      <c r="N25" s="109">
        <v>194.21980490298446</v>
      </c>
      <c r="O25" s="111"/>
      <c r="P25" s="554">
        <v>247.87269238222729</v>
      </c>
      <c r="Q25" s="553"/>
      <c r="R25" s="554">
        <v>254.91898009143006</v>
      </c>
      <c r="S25" s="278"/>
    </row>
    <row r="26" spans="1:19" s="11" customFormat="1" ht="15" x14ac:dyDescent="0.2">
      <c r="A26" s="317">
        <f t="shared" si="0"/>
        <v>18</v>
      </c>
      <c r="B26" s="55"/>
      <c r="C26" s="55"/>
      <c r="D26" s="55"/>
      <c r="E26" s="184"/>
      <c r="F26" s="69"/>
      <c r="G26" s="113">
        <f>SUM(G17:G25)</f>
        <v>3144.8161334614315</v>
      </c>
      <c r="H26" s="113">
        <f>SUM(H17:H25)</f>
        <v>2977.480806794254</v>
      </c>
      <c r="I26" s="109"/>
      <c r="J26" s="113">
        <f>SUM(J17:J25)</f>
        <v>2966.4038088066814</v>
      </c>
      <c r="K26" s="113">
        <f>SUM(K17:K25)</f>
        <v>3071.4840951144301</v>
      </c>
      <c r="L26" s="109"/>
      <c r="M26" s="113">
        <f>SUM(M17:M25)</f>
        <v>3098.2027582465089</v>
      </c>
      <c r="N26" s="113">
        <f>SUM(N17:N25)</f>
        <v>3148.3197541472223</v>
      </c>
      <c r="O26" s="111"/>
      <c r="P26" s="555">
        <f>SUM(P17:P25)</f>
        <v>3269.8748098366727</v>
      </c>
      <c r="Q26" s="553"/>
      <c r="R26" s="555">
        <f>SUM(R17:R25)</f>
        <v>3355.9526913232212</v>
      </c>
      <c r="S26" s="278"/>
    </row>
    <row r="27" spans="1:19" s="11" customFormat="1" ht="15.75" x14ac:dyDescent="0.25">
      <c r="A27" s="317">
        <f t="shared" si="0"/>
        <v>19</v>
      </c>
      <c r="B27" s="55"/>
      <c r="C27" s="61" t="s">
        <v>32</v>
      </c>
      <c r="D27" s="61"/>
      <c r="E27" s="184"/>
      <c r="F27" s="69"/>
      <c r="G27" s="110"/>
      <c r="H27" s="110"/>
      <c r="I27" s="109"/>
      <c r="J27" s="110"/>
      <c r="K27" s="110"/>
      <c r="L27" s="109"/>
      <c r="M27" s="110"/>
      <c r="N27" s="110"/>
      <c r="O27" s="111"/>
      <c r="P27" s="556"/>
      <c r="Q27" s="553"/>
      <c r="R27" s="556"/>
      <c r="S27" s="278"/>
    </row>
    <row r="28" spans="1:19" s="11" customFormat="1" ht="15" x14ac:dyDescent="0.2">
      <c r="A28" s="317">
        <f t="shared" si="0"/>
        <v>20</v>
      </c>
      <c r="B28" s="55"/>
      <c r="C28" s="60" t="s">
        <v>72</v>
      </c>
      <c r="D28" s="60"/>
      <c r="E28" s="184"/>
      <c r="F28" s="69"/>
      <c r="G28" s="109">
        <v>19.142826812252245</v>
      </c>
      <c r="H28" s="109">
        <v>12.579615277756167</v>
      </c>
      <c r="I28" s="109"/>
      <c r="J28" s="109">
        <v>25.125548702791779</v>
      </c>
      <c r="K28" s="109">
        <v>12.837301844223283</v>
      </c>
      <c r="L28" s="109"/>
      <c r="M28" s="109">
        <v>23.863551949886432</v>
      </c>
      <c r="N28" s="109">
        <v>13.105615936374633</v>
      </c>
      <c r="O28" s="111"/>
      <c r="P28" s="554">
        <v>24.687826250199578</v>
      </c>
      <c r="Q28" s="553"/>
      <c r="R28" s="554">
        <v>25.161269281373858</v>
      </c>
      <c r="S28" s="278"/>
    </row>
    <row r="29" spans="1:19" s="11" customFormat="1" ht="15" x14ac:dyDescent="0.2">
      <c r="A29" s="317">
        <f t="shared" si="0"/>
        <v>21</v>
      </c>
      <c r="B29" s="55"/>
      <c r="C29" s="166" t="s">
        <v>441</v>
      </c>
      <c r="D29" s="60"/>
      <c r="E29" s="184"/>
      <c r="F29" s="69"/>
      <c r="G29" s="109">
        <v>17.662600000000001</v>
      </c>
      <c r="H29" s="109">
        <v>16.890694575040001</v>
      </c>
      <c r="I29" s="109"/>
      <c r="J29" s="109">
        <v>27.145945763906294</v>
      </c>
      <c r="K29" s="109">
        <v>17.228508466540802</v>
      </c>
      <c r="L29" s="109"/>
      <c r="M29" s="109">
        <v>46.266331678392113</v>
      </c>
      <c r="N29" s="109">
        <v>17.573078635871617</v>
      </c>
      <c r="O29" s="111"/>
      <c r="P29" s="554">
        <v>61.301312543254227</v>
      </c>
      <c r="Q29" s="553"/>
      <c r="R29" s="554">
        <v>58.784626976877774</v>
      </c>
      <c r="S29" s="278"/>
    </row>
    <row r="30" spans="1:19" s="11" customFormat="1" ht="15" x14ac:dyDescent="0.2">
      <c r="A30" s="317">
        <f t="shared" si="0"/>
        <v>22</v>
      </c>
      <c r="B30" s="55"/>
      <c r="C30" s="166" t="s">
        <v>73</v>
      </c>
      <c r="D30" s="60"/>
      <c r="E30" s="184" t="s">
        <v>900</v>
      </c>
      <c r="F30" s="69"/>
      <c r="G30" s="109">
        <v>141.82162560714406</v>
      </c>
      <c r="H30" s="109">
        <v>129.06593625077366</v>
      </c>
      <c r="I30" s="109"/>
      <c r="J30" s="109">
        <v>162.02074691117232</v>
      </c>
      <c r="K30" s="109">
        <v>131.69381289749032</v>
      </c>
      <c r="L30" s="109"/>
      <c r="M30" s="109">
        <v>144.9291588178956</v>
      </c>
      <c r="N30" s="109">
        <v>134.37523237027881</v>
      </c>
      <c r="O30" s="111"/>
      <c r="P30" s="554">
        <v>161.70807413792113</v>
      </c>
      <c r="Q30" s="553"/>
      <c r="R30" s="554">
        <v>165.3125767827085</v>
      </c>
      <c r="S30" s="278"/>
    </row>
    <row r="31" spans="1:19" s="11" customFormat="1" ht="15" x14ac:dyDescent="0.2">
      <c r="A31" s="317">
        <f t="shared" si="0"/>
        <v>23</v>
      </c>
      <c r="B31" s="55"/>
      <c r="C31" s="55"/>
      <c r="D31" s="55"/>
      <c r="E31" s="184"/>
      <c r="F31" s="69"/>
      <c r="G31" s="113">
        <f>SUM(G28:G30)</f>
        <v>178.62705241939631</v>
      </c>
      <c r="H31" s="113">
        <f>SUM(H28:H30)</f>
        <v>158.53624610356982</v>
      </c>
      <c r="I31" s="109"/>
      <c r="J31" s="113">
        <f>SUM(J28:J30)</f>
        <v>214.2922413778704</v>
      </c>
      <c r="K31" s="113">
        <f>SUM(K28:K30)</f>
        <v>161.7596232082544</v>
      </c>
      <c r="L31" s="109"/>
      <c r="M31" s="113">
        <f>SUM(M28:M30)</f>
        <v>215.05904244617415</v>
      </c>
      <c r="N31" s="113">
        <f>SUM(N28:N30)</f>
        <v>165.05392694252507</v>
      </c>
      <c r="O31" s="111"/>
      <c r="P31" s="555">
        <f>SUM(P28:P30)</f>
        <v>247.69721293137493</v>
      </c>
      <c r="Q31" s="553"/>
      <c r="R31" s="555">
        <f>SUM(R28:R30)</f>
        <v>249.25847304096015</v>
      </c>
      <c r="S31" s="278"/>
    </row>
    <row r="32" spans="1:19" s="11" customFormat="1" ht="15.75" x14ac:dyDescent="0.25">
      <c r="A32" s="317">
        <f t="shared" si="0"/>
        <v>24</v>
      </c>
      <c r="B32" s="55"/>
      <c r="C32" s="251" t="s">
        <v>458</v>
      </c>
      <c r="D32" s="61"/>
      <c r="E32" s="184"/>
      <c r="F32" s="69"/>
      <c r="G32" s="110"/>
      <c r="H32" s="110"/>
      <c r="I32" s="109"/>
      <c r="J32" s="110"/>
      <c r="K32" s="110"/>
      <c r="L32" s="109"/>
      <c r="M32" s="110"/>
      <c r="N32" s="110"/>
      <c r="O32" s="111"/>
      <c r="P32" s="556"/>
      <c r="Q32" s="553"/>
      <c r="R32" s="556"/>
      <c r="S32" s="278"/>
    </row>
    <row r="33" spans="1:19" s="11" customFormat="1" ht="15" x14ac:dyDescent="0.2">
      <c r="A33" s="317">
        <f t="shared" si="0"/>
        <v>25</v>
      </c>
      <c r="B33" s="55"/>
      <c r="C33" s="60" t="s">
        <v>183</v>
      </c>
      <c r="D33" s="60"/>
      <c r="E33" s="184"/>
      <c r="F33" s="69"/>
      <c r="G33" s="109">
        <v>20.818801432369931</v>
      </c>
      <c r="H33" s="109">
        <v>25.848814851479414</v>
      </c>
      <c r="I33" s="109"/>
      <c r="J33" s="109">
        <v>13.377123954786221</v>
      </c>
      <c r="K33" s="109">
        <v>26.508270444080349</v>
      </c>
      <c r="L33" s="109"/>
      <c r="M33" s="109">
        <v>8.8495808142491583</v>
      </c>
      <c r="N33" s="109">
        <v>27.072071477516154</v>
      </c>
      <c r="O33" s="111"/>
      <c r="P33" s="554">
        <v>14.503529335865126</v>
      </c>
      <c r="Q33" s="553"/>
      <c r="R33" s="554">
        <v>14.86918033463747</v>
      </c>
      <c r="S33" s="278"/>
    </row>
    <row r="34" spans="1:19" s="11" customFormat="1" ht="15" x14ac:dyDescent="0.2">
      <c r="A34" s="317">
        <f t="shared" si="0"/>
        <v>26</v>
      </c>
      <c r="B34" s="55"/>
      <c r="C34" s="166" t="s">
        <v>74</v>
      </c>
      <c r="D34" s="60"/>
      <c r="E34" s="184" t="s">
        <v>901</v>
      </c>
      <c r="F34" s="69"/>
      <c r="G34" s="109">
        <v>121.59562300216676</v>
      </c>
      <c r="H34" s="109">
        <v>117.25452379931144</v>
      </c>
      <c r="I34" s="109"/>
      <c r="J34" s="109">
        <v>168.56253366215705</v>
      </c>
      <c r="K34" s="109">
        <v>120.32605070296422</v>
      </c>
      <c r="L34" s="109"/>
      <c r="M34" s="109">
        <v>107.98071261510617</v>
      </c>
      <c r="N34" s="109">
        <v>123.64643400189522</v>
      </c>
      <c r="O34" s="111"/>
      <c r="P34" s="554">
        <v>122.65749160249828</v>
      </c>
      <c r="Q34" s="553"/>
      <c r="R34" s="554">
        <v>141.36224692998181</v>
      </c>
      <c r="S34" s="278"/>
    </row>
    <row r="35" spans="1:19" s="11" customFormat="1" ht="15" x14ac:dyDescent="0.2">
      <c r="A35" s="317">
        <f t="shared" si="0"/>
        <v>27</v>
      </c>
      <c r="B35" s="55"/>
      <c r="C35" s="55"/>
      <c r="D35" s="55"/>
      <c r="E35" s="184"/>
      <c r="F35" s="56"/>
      <c r="G35" s="114">
        <f>SUM(G33:G34)</f>
        <v>142.4144244345367</v>
      </c>
      <c r="H35" s="114">
        <f>SUM(H33:H34)</f>
        <v>143.10333865079085</v>
      </c>
      <c r="I35" s="109"/>
      <c r="J35" s="114">
        <f>SUM(J33:J34)</f>
        <v>181.93965761694326</v>
      </c>
      <c r="K35" s="114">
        <f>SUM(K33:K34)</f>
        <v>146.83432114704456</v>
      </c>
      <c r="L35" s="109"/>
      <c r="M35" s="114">
        <f>SUM(M33:M34)</f>
        <v>116.83029342935532</v>
      </c>
      <c r="N35" s="114">
        <f>SUM(N33:N34)</f>
        <v>150.71850547941136</v>
      </c>
      <c r="O35" s="111"/>
      <c r="P35" s="555">
        <f>SUM(P33:P34)</f>
        <v>137.16102093836341</v>
      </c>
      <c r="Q35" s="553"/>
      <c r="R35" s="555">
        <f>SUM(R33:R34)</f>
        <v>156.23142726461927</v>
      </c>
      <c r="S35" s="278"/>
    </row>
    <row r="36" spans="1:19" s="11" customFormat="1" ht="15.75" x14ac:dyDescent="0.25">
      <c r="A36" s="317">
        <f t="shared" si="0"/>
        <v>28</v>
      </c>
      <c r="B36" s="55"/>
      <c r="C36" s="174" t="s">
        <v>459</v>
      </c>
      <c r="D36" s="61"/>
      <c r="E36" s="184"/>
      <c r="F36" s="56"/>
      <c r="G36" s="111"/>
      <c r="H36" s="111"/>
      <c r="I36" s="109"/>
      <c r="J36" s="111"/>
      <c r="K36" s="111"/>
      <c r="L36" s="109"/>
      <c r="M36" s="111"/>
      <c r="N36" s="111"/>
      <c r="O36" s="111"/>
      <c r="P36" s="553"/>
      <c r="Q36" s="553"/>
      <c r="R36" s="553"/>
      <c r="S36" s="278"/>
    </row>
    <row r="37" spans="1:19" s="11" customFormat="1" ht="15" x14ac:dyDescent="0.2">
      <c r="A37" s="317">
        <f t="shared" si="0"/>
        <v>29</v>
      </c>
      <c r="B37" s="55"/>
      <c r="C37" s="60" t="s">
        <v>75</v>
      </c>
      <c r="D37" s="60"/>
      <c r="E37" s="184"/>
      <c r="F37" s="56"/>
      <c r="G37" s="109">
        <v>48.113614802615423</v>
      </c>
      <c r="H37" s="109">
        <v>49.353908920098633</v>
      </c>
      <c r="I37" s="109"/>
      <c r="J37" s="109">
        <v>43.646011621905991</v>
      </c>
      <c r="K37" s="109">
        <v>50.817459097844846</v>
      </c>
      <c r="L37" s="109"/>
      <c r="M37" s="109">
        <v>43.86580169344149</v>
      </c>
      <c r="N37" s="109">
        <v>52.377136486383577</v>
      </c>
      <c r="O37" s="111"/>
      <c r="P37" s="554">
        <v>45.828577703133277</v>
      </c>
      <c r="Q37" s="553"/>
      <c r="R37" s="554">
        <v>46.718204176354106</v>
      </c>
      <c r="S37" s="278"/>
    </row>
    <row r="38" spans="1:19" s="11" customFormat="1" ht="15" x14ac:dyDescent="0.2">
      <c r="A38" s="317">
        <f t="shared" si="0"/>
        <v>30</v>
      </c>
      <c r="B38" s="55"/>
      <c r="C38" s="166" t="s">
        <v>76</v>
      </c>
      <c r="D38" s="60"/>
      <c r="E38" s="184"/>
      <c r="F38" s="56"/>
      <c r="G38" s="109">
        <v>427.25677528948836</v>
      </c>
      <c r="H38" s="109">
        <v>437.19939161132766</v>
      </c>
      <c r="I38" s="109"/>
      <c r="J38" s="109">
        <v>431.77968945391007</v>
      </c>
      <c r="K38" s="109">
        <v>455.5187456302512</v>
      </c>
      <c r="L38" s="109"/>
      <c r="M38" s="109">
        <v>467.87859911333874</v>
      </c>
      <c r="N38" s="109">
        <v>467.37184675015158</v>
      </c>
      <c r="O38" s="111"/>
      <c r="P38" s="554">
        <v>487.07016205644038</v>
      </c>
      <c r="Q38" s="553"/>
      <c r="R38" s="554">
        <v>502.08661236607247</v>
      </c>
      <c r="S38" s="278"/>
    </row>
    <row r="39" spans="1:19" s="11" customFormat="1" ht="15" x14ac:dyDescent="0.2">
      <c r="A39" s="317">
        <f t="shared" si="0"/>
        <v>31</v>
      </c>
      <c r="B39" s="55"/>
      <c r="C39" s="166" t="s">
        <v>77</v>
      </c>
      <c r="D39" s="60"/>
      <c r="E39" s="184"/>
      <c r="F39" s="56"/>
      <c r="G39" s="109">
        <v>559.28025163110067</v>
      </c>
      <c r="H39" s="109">
        <v>526.34428589767253</v>
      </c>
      <c r="I39" s="109"/>
      <c r="J39" s="109">
        <v>558.38039347167364</v>
      </c>
      <c r="K39" s="109">
        <v>544.02767752702937</v>
      </c>
      <c r="L39" s="109"/>
      <c r="M39" s="109">
        <v>598.84512793508929</v>
      </c>
      <c r="N39" s="109">
        <v>565.06260659114218</v>
      </c>
      <c r="O39" s="111"/>
      <c r="P39" s="554">
        <v>621.97109464107928</v>
      </c>
      <c r="Q39" s="553"/>
      <c r="R39" s="554">
        <v>640.13251170600461</v>
      </c>
      <c r="S39" s="278"/>
    </row>
    <row r="40" spans="1:19" s="11" customFormat="1" ht="15" x14ac:dyDescent="0.2">
      <c r="A40" s="317">
        <f t="shared" si="0"/>
        <v>32</v>
      </c>
      <c r="B40" s="55"/>
      <c r="C40" s="166" t="s">
        <v>78</v>
      </c>
      <c r="D40" s="60"/>
      <c r="E40" s="184"/>
      <c r="F40" s="56"/>
      <c r="G40" s="109">
        <v>721.23821904857243</v>
      </c>
      <c r="H40" s="109">
        <v>723.82858204356114</v>
      </c>
      <c r="I40" s="109"/>
      <c r="J40" s="109">
        <v>773.79030719719674</v>
      </c>
      <c r="K40" s="109">
        <v>750.40951354764559</v>
      </c>
      <c r="L40" s="109"/>
      <c r="M40" s="109">
        <v>599.98210876868802</v>
      </c>
      <c r="N40" s="109">
        <v>774.91741750630183</v>
      </c>
      <c r="O40" s="111"/>
      <c r="P40" s="554">
        <v>614.84915847367847</v>
      </c>
      <c r="Q40" s="553"/>
      <c r="R40" s="554">
        <v>628.54735041952028</v>
      </c>
      <c r="S40" s="278"/>
    </row>
    <row r="41" spans="1:19" s="11" customFormat="1" ht="15" x14ac:dyDescent="0.2">
      <c r="A41" s="317">
        <f t="shared" si="0"/>
        <v>33</v>
      </c>
      <c r="B41" s="55"/>
      <c r="C41" s="166" t="s">
        <v>79</v>
      </c>
      <c r="D41" s="60"/>
      <c r="E41" s="184"/>
      <c r="F41" s="56"/>
      <c r="G41" s="109">
        <v>184.10801069760959</v>
      </c>
      <c r="H41" s="109">
        <v>190.75545110328815</v>
      </c>
      <c r="I41" s="109"/>
      <c r="J41" s="109">
        <v>197.04459330484971</v>
      </c>
      <c r="K41" s="109">
        <v>216.09080430516369</v>
      </c>
      <c r="L41" s="109"/>
      <c r="M41" s="109">
        <v>166.37540457248917</v>
      </c>
      <c r="N41" s="109">
        <v>222.47538018360493</v>
      </c>
      <c r="O41" s="111"/>
      <c r="P41" s="554">
        <v>172.25564906245106</v>
      </c>
      <c r="Q41" s="553"/>
      <c r="R41" s="554">
        <v>177.13312152273795</v>
      </c>
      <c r="S41" s="278"/>
    </row>
    <row r="42" spans="1:19" s="11" customFormat="1" ht="15" x14ac:dyDescent="0.2">
      <c r="A42" s="317">
        <f t="shared" si="0"/>
        <v>34</v>
      </c>
      <c r="B42" s="55"/>
      <c r="C42" s="166" t="s">
        <v>305</v>
      </c>
      <c r="D42" s="60"/>
      <c r="E42" s="184"/>
      <c r="F42" s="56"/>
      <c r="G42" s="109">
        <v>135.90537184353519</v>
      </c>
      <c r="H42" s="109">
        <v>121.84301400283266</v>
      </c>
      <c r="I42" s="109"/>
      <c r="J42" s="109">
        <v>130.06474614739986</v>
      </c>
      <c r="K42" s="109">
        <v>133.16818282186145</v>
      </c>
      <c r="L42" s="109"/>
      <c r="M42" s="109">
        <v>125.2655936973019</v>
      </c>
      <c r="N42" s="109">
        <v>137.08407254572728</v>
      </c>
      <c r="O42" s="111"/>
      <c r="P42" s="554">
        <v>128.59276371320556</v>
      </c>
      <c r="Q42" s="553"/>
      <c r="R42" s="554">
        <v>132.41114438908292</v>
      </c>
      <c r="S42" s="278"/>
    </row>
    <row r="43" spans="1:19" s="11" customFormat="1" ht="15" x14ac:dyDescent="0.2">
      <c r="A43" s="317">
        <f t="shared" si="0"/>
        <v>35</v>
      </c>
      <c r="B43" s="55"/>
      <c r="C43" s="166" t="s">
        <v>0</v>
      </c>
      <c r="D43" s="60"/>
      <c r="E43" s="184" t="s">
        <v>902</v>
      </c>
      <c r="F43" s="56"/>
      <c r="G43" s="109">
        <v>75.45984</v>
      </c>
      <c r="H43" s="109">
        <v>36</v>
      </c>
      <c r="I43" s="109"/>
      <c r="J43" s="109">
        <v>119.5192</v>
      </c>
      <c r="K43" s="109">
        <v>36</v>
      </c>
      <c r="L43" s="109"/>
      <c r="M43" s="109">
        <v>64.898699999999991</v>
      </c>
      <c r="N43" s="109">
        <v>36</v>
      </c>
      <c r="O43" s="111"/>
      <c r="P43" s="554">
        <v>86.625913333333344</v>
      </c>
      <c r="Q43" s="553"/>
      <c r="R43" s="554">
        <v>88.531683426666689</v>
      </c>
      <c r="S43" s="278"/>
    </row>
    <row r="44" spans="1:19" s="11" customFormat="1" ht="15" x14ac:dyDescent="0.2">
      <c r="A44" s="317">
        <f t="shared" si="0"/>
        <v>36</v>
      </c>
      <c r="B44" s="55"/>
      <c r="C44" s="55"/>
      <c r="D44" s="55"/>
      <c r="E44" s="184"/>
      <c r="F44" s="56"/>
      <c r="G44" s="114">
        <f>SUM(G37:G43)</f>
        <v>2151.3620833129216</v>
      </c>
      <c r="H44" s="114">
        <f>SUM(H37:H43)</f>
        <v>2085.3246335787808</v>
      </c>
      <c r="I44" s="109"/>
      <c r="J44" s="114">
        <f>SUM(J37:J43)</f>
        <v>2254.224941196936</v>
      </c>
      <c r="K44" s="114">
        <f>SUM(K37:K43)</f>
        <v>2186.0323829297963</v>
      </c>
      <c r="L44" s="109"/>
      <c r="M44" s="114">
        <f>SUM(M37:M43)</f>
        <v>2067.1113357803488</v>
      </c>
      <c r="N44" s="114">
        <f>SUM(N37:N43)</f>
        <v>2255.2884600633115</v>
      </c>
      <c r="O44" s="111"/>
      <c r="P44" s="555">
        <f>SUM(P37:P43)</f>
        <v>2157.1933189833212</v>
      </c>
      <c r="Q44" s="553"/>
      <c r="R44" s="555">
        <f>SUM(R37:R43)</f>
        <v>2215.5606280064389</v>
      </c>
      <c r="S44" s="278"/>
    </row>
    <row r="45" spans="1:19" s="11" customFormat="1" ht="15.75" x14ac:dyDescent="0.25">
      <c r="A45" s="317">
        <f t="shared" si="0"/>
        <v>37</v>
      </c>
      <c r="B45" s="55"/>
      <c r="C45" s="251" t="s">
        <v>457</v>
      </c>
      <c r="D45" s="61"/>
      <c r="E45" s="184"/>
      <c r="F45" s="56"/>
      <c r="G45" s="111"/>
      <c r="H45" s="111"/>
      <c r="I45" s="109"/>
      <c r="J45" s="111"/>
      <c r="K45" s="111"/>
      <c r="L45" s="109"/>
      <c r="M45" s="111"/>
      <c r="N45" s="111"/>
      <c r="O45" s="111"/>
      <c r="P45" s="553"/>
      <c r="Q45" s="553"/>
      <c r="R45" s="553"/>
      <c r="S45" s="278"/>
    </row>
    <row r="46" spans="1:19" s="11" customFormat="1" ht="15" x14ac:dyDescent="0.2">
      <c r="A46" s="317">
        <f t="shared" si="0"/>
        <v>38</v>
      </c>
      <c r="B46" s="55"/>
      <c r="C46" s="166" t="s">
        <v>276</v>
      </c>
      <c r="D46" s="60"/>
      <c r="E46" s="184" t="s">
        <v>903</v>
      </c>
      <c r="F46" s="56"/>
      <c r="G46" s="109">
        <v>2262.5606304410157</v>
      </c>
      <c r="H46" s="109">
        <v>2209.7421525113887</v>
      </c>
      <c r="I46" s="109"/>
      <c r="J46" s="109">
        <v>2282.3778719884549</v>
      </c>
      <c r="K46" s="109">
        <v>2230.389425179264</v>
      </c>
      <c r="L46" s="109"/>
      <c r="M46" s="109">
        <v>1962.5200717403802</v>
      </c>
      <c r="N46" s="109">
        <v>2078.2328501010688</v>
      </c>
      <c r="O46" s="111"/>
      <c r="P46" s="554">
        <v>2304.3903958611827</v>
      </c>
      <c r="Q46" s="553"/>
      <c r="R46" s="554">
        <v>2352.160317577373</v>
      </c>
      <c r="S46" s="278"/>
    </row>
    <row r="47" spans="1:19" s="11" customFormat="1" ht="15" x14ac:dyDescent="0.2">
      <c r="A47" s="317">
        <f t="shared" si="0"/>
        <v>39</v>
      </c>
      <c r="B47" s="55"/>
      <c r="C47" s="166" t="s">
        <v>365</v>
      </c>
      <c r="D47" s="166"/>
      <c r="E47" s="184"/>
      <c r="F47" s="83"/>
      <c r="G47" s="109">
        <v>107.00320000000002</v>
      </c>
      <c r="H47" s="109">
        <v>134.57715399999998</v>
      </c>
      <c r="I47" s="109"/>
      <c r="J47" s="109">
        <v>152.7346</v>
      </c>
      <c r="K47" s="109">
        <v>137.26869708000001</v>
      </c>
      <c r="L47" s="109"/>
      <c r="M47" s="109">
        <v>130.54982000000001</v>
      </c>
      <c r="N47" s="109">
        <v>140.01407102159999</v>
      </c>
      <c r="O47" s="111"/>
      <c r="P47" s="554">
        <v>142.80000000000001</v>
      </c>
      <c r="Q47" s="553"/>
      <c r="R47" s="554">
        <v>145.94159999999999</v>
      </c>
      <c r="S47" s="278"/>
    </row>
    <row r="48" spans="1:19" s="11" customFormat="1" ht="15" x14ac:dyDescent="0.2">
      <c r="A48" s="317">
        <f t="shared" si="0"/>
        <v>40</v>
      </c>
      <c r="B48" s="55"/>
      <c r="C48" s="166" t="s">
        <v>81</v>
      </c>
      <c r="D48" s="60"/>
      <c r="E48" s="184"/>
      <c r="F48" s="56"/>
      <c r="G48" s="109">
        <v>235.33112</v>
      </c>
      <c r="H48" s="109">
        <v>262.30068737496725</v>
      </c>
      <c r="I48" s="109"/>
      <c r="J48" s="109">
        <v>152.68845000000002</v>
      </c>
      <c r="K48" s="109">
        <v>201.90373258892527</v>
      </c>
      <c r="L48" s="109"/>
      <c r="M48" s="109">
        <v>89.616529999999997</v>
      </c>
      <c r="N48" s="109">
        <v>137.93895502161774</v>
      </c>
      <c r="O48" s="111"/>
      <c r="P48" s="554">
        <v>100.1</v>
      </c>
      <c r="Q48" s="553"/>
      <c r="R48" s="554">
        <v>102.3022</v>
      </c>
      <c r="S48" s="278"/>
    </row>
    <row r="49" spans="1:19" s="11" customFormat="1" ht="15" x14ac:dyDescent="0.2">
      <c r="A49" s="317">
        <f t="shared" si="0"/>
        <v>41</v>
      </c>
      <c r="B49" s="55"/>
      <c r="C49" s="166" t="s">
        <v>314</v>
      </c>
      <c r="D49" s="60"/>
      <c r="E49" s="184"/>
      <c r="F49" s="56"/>
      <c r="G49" s="109">
        <v>618</v>
      </c>
      <c r="H49" s="109">
        <v>617.66666666666663</v>
      </c>
      <c r="I49" s="109"/>
      <c r="J49" s="109">
        <v>618</v>
      </c>
      <c r="K49" s="109">
        <v>618</v>
      </c>
      <c r="L49" s="109"/>
      <c r="M49" s="109">
        <v>618.39540999999997</v>
      </c>
      <c r="N49" s="109">
        <v>618</v>
      </c>
      <c r="O49" s="111"/>
      <c r="P49" s="554">
        <v>111.5</v>
      </c>
      <c r="Q49" s="553"/>
      <c r="R49" s="554">
        <v>111.5</v>
      </c>
      <c r="S49" s="278"/>
    </row>
    <row r="50" spans="1:19" s="11" customFormat="1" ht="15" x14ac:dyDescent="0.2">
      <c r="A50" s="317">
        <f t="shared" si="0"/>
        <v>42</v>
      </c>
      <c r="B50" s="55"/>
      <c r="C50" s="166" t="s">
        <v>82</v>
      </c>
      <c r="D50" s="60"/>
      <c r="E50" s="184" t="s">
        <v>904</v>
      </c>
      <c r="F50" s="56"/>
      <c r="G50" s="109">
        <v>273.37810400950639</v>
      </c>
      <c r="H50" s="109">
        <v>270.2965911640967</v>
      </c>
      <c r="I50" s="109"/>
      <c r="J50" s="109">
        <v>363.70344265329857</v>
      </c>
      <c r="K50" s="109">
        <v>275.8176872056726</v>
      </c>
      <c r="L50" s="109"/>
      <c r="M50" s="109">
        <v>299.05934453023184</v>
      </c>
      <c r="N50" s="109">
        <v>282.32626464092795</v>
      </c>
      <c r="O50" s="111"/>
      <c r="P50" s="554">
        <v>337.00366642291954</v>
      </c>
      <c r="Q50" s="553"/>
      <c r="R50" s="554">
        <v>342.3584687446513</v>
      </c>
      <c r="S50" s="278"/>
    </row>
    <row r="51" spans="1:19" s="11" customFormat="1" ht="15" x14ac:dyDescent="0.2">
      <c r="A51" s="317">
        <f t="shared" si="0"/>
        <v>43</v>
      </c>
      <c r="B51" s="55"/>
      <c r="C51" s="166" t="s">
        <v>304</v>
      </c>
      <c r="D51" s="60"/>
      <c r="E51" s="184"/>
      <c r="F51" s="56"/>
      <c r="G51" s="109">
        <v>449.81019452627748</v>
      </c>
      <c r="H51" s="109">
        <v>437.52393735262132</v>
      </c>
      <c r="I51" s="109"/>
      <c r="J51" s="109">
        <v>468.51637177506581</v>
      </c>
      <c r="K51" s="109">
        <v>451.06121883473799</v>
      </c>
      <c r="L51" s="109"/>
      <c r="M51" s="109">
        <v>464.29491204088066</v>
      </c>
      <c r="N51" s="109">
        <v>464.08357831501911</v>
      </c>
      <c r="O51" s="111"/>
      <c r="P51" s="554">
        <v>500.85406918542287</v>
      </c>
      <c r="Q51" s="553"/>
      <c r="R51" s="554">
        <v>515.30100524901081</v>
      </c>
      <c r="S51" s="278"/>
    </row>
    <row r="52" spans="1:19" s="11" customFormat="1" ht="15" x14ac:dyDescent="0.2">
      <c r="A52" s="317">
        <f t="shared" si="0"/>
        <v>44</v>
      </c>
      <c r="B52" s="55"/>
      <c r="C52" s="166" t="s">
        <v>277</v>
      </c>
      <c r="D52" s="60"/>
      <c r="E52" s="184" t="s">
        <v>997</v>
      </c>
      <c r="F52" s="56"/>
      <c r="G52" s="109">
        <v>240.78798619653156</v>
      </c>
      <c r="H52" s="109">
        <v>158.7635473032218</v>
      </c>
      <c r="I52" s="109"/>
      <c r="J52" s="109">
        <v>169.14950273635233</v>
      </c>
      <c r="K52" s="109">
        <v>162.02744771998201</v>
      </c>
      <c r="L52" s="109"/>
      <c r="M52" s="109">
        <v>433.59565340036403</v>
      </c>
      <c r="N52" s="109">
        <v>165.0839999954143</v>
      </c>
      <c r="O52" s="111"/>
      <c r="P52" s="554">
        <v>366.18369861754195</v>
      </c>
      <c r="Q52" s="553"/>
      <c r="R52" s="554">
        <v>366.59497095977707</v>
      </c>
      <c r="S52" s="278"/>
    </row>
    <row r="53" spans="1:19" s="11" customFormat="1" ht="15" x14ac:dyDescent="0.2">
      <c r="A53" s="317">
        <f t="shared" si="0"/>
        <v>45</v>
      </c>
      <c r="B53" s="55"/>
      <c r="C53" s="60" t="s">
        <v>315</v>
      </c>
      <c r="D53" s="60"/>
      <c r="E53" s="184"/>
      <c r="F53" s="56"/>
      <c r="G53" s="109">
        <v>5</v>
      </c>
      <c r="H53" s="109">
        <v>0.30599999999999999</v>
      </c>
      <c r="I53" s="109"/>
      <c r="J53" s="109">
        <v>0</v>
      </c>
      <c r="K53" s="109">
        <v>0.31212000000000001</v>
      </c>
      <c r="L53" s="109"/>
      <c r="M53" s="109">
        <v>0</v>
      </c>
      <c r="N53" s="109">
        <v>0.31836240000000005</v>
      </c>
      <c r="O53" s="111"/>
      <c r="P53" s="554">
        <v>1.7000000000000002</v>
      </c>
      <c r="Q53" s="553"/>
      <c r="R53" s="554">
        <v>1.7374000000000003</v>
      </c>
      <c r="S53" s="278"/>
    </row>
    <row r="54" spans="1:19" s="11" customFormat="1" ht="15" x14ac:dyDescent="0.2">
      <c r="A54" s="317">
        <f t="shared" si="0"/>
        <v>46</v>
      </c>
      <c r="B54" s="55"/>
      <c r="C54" s="166" t="s">
        <v>279</v>
      </c>
      <c r="D54" s="60"/>
      <c r="E54" s="184"/>
      <c r="F54" s="56"/>
      <c r="G54" s="109">
        <v>202.70970023936195</v>
      </c>
      <c r="H54" s="109">
        <v>132.02697273489503</v>
      </c>
      <c r="I54" s="109"/>
      <c r="J54" s="109">
        <v>196.74371707293989</v>
      </c>
      <c r="K54" s="109">
        <v>154.55976774573401</v>
      </c>
      <c r="L54" s="109"/>
      <c r="M54" s="109">
        <v>139.23911654039924</v>
      </c>
      <c r="N54" s="109">
        <v>137.56924136367465</v>
      </c>
      <c r="O54" s="111"/>
      <c r="P54" s="554">
        <v>183.76603145091909</v>
      </c>
      <c r="Q54" s="553"/>
      <c r="R54" s="554">
        <v>187.20358410122924</v>
      </c>
      <c r="S54" s="278"/>
    </row>
    <row r="55" spans="1:19" s="11" customFormat="1" ht="15" x14ac:dyDescent="0.2">
      <c r="A55" s="317">
        <f t="shared" si="0"/>
        <v>47</v>
      </c>
      <c r="B55" s="55"/>
      <c r="C55" s="55"/>
      <c r="D55" s="55"/>
      <c r="E55" s="56"/>
      <c r="F55" s="56"/>
      <c r="G55" s="114">
        <f>SUM(G46:G54)</f>
        <v>4394.5809354126932</v>
      </c>
      <c r="H55" s="114">
        <f>SUM(H46:H54)</f>
        <v>4223.2037091078582</v>
      </c>
      <c r="I55" s="109"/>
      <c r="J55" s="114">
        <f>SUM(J46:J54)</f>
        <v>4403.9139562261116</v>
      </c>
      <c r="K55" s="114">
        <f>SUM(K46:K54)</f>
        <v>4231.3400963543154</v>
      </c>
      <c r="L55" s="109"/>
      <c r="M55" s="114">
        <f>SUM(M46:M54)</f>
        <v>4137.2708582522564</v>
      </c>
      <c r="N55" s="114">
        <f>SUM(N46:N54)</f>
        <v>4023.5673228593228</v>
      </c>
      <c r="O55" s="111"/>
      <c r="P55" s="555">
        <f>SUM(P46:P54)</f>
        <v>4048.2978615379857</v>
      </c>
      <c r="Q55" s="553"/>
      <c r="R55" s="555">
        <f>SUM(R46:R54)</f>
        <v>4125.0995466320419</v>
      </c>
      <c r="S55" s="278" t="s">
        <v>13</v>
      </c>
    </row>
    <row r="56" spans="1:19" s="11" customFormat="1" ht="15" x14ac:dyDescent="0.2">
      <c r="A56" s="317">
        <f t="shared" si="0"/>
        <v>48</v>
      </c>
      <c r="B56" s="55"/>
      <c r="C56" s="151"/>
      <c r="D56" s="55"/>
      <c r="E56" s="56"/>
      <c r="F56" s="56"/>
      <c r="G56" s="115"/>
      <c r="H56" s="115"/>
      <c r="I56" s="111"/>
      <c r="J56" s="115"/>
      <c r="K56" s="115"/>
      <c r="L56" s="111"/>
      <c r="M56" s="115"/>
      <c r="N56" s="115"/>
      <c r="O56" s="111"/>
      <c r="P56" s="115"/>
      <c r="Q56" s="111"/>
      <c r="R56" s="115"/>
      <c r="S56" s="278"/>
    </row>
    <row r="57" spans="1:19" s="11" customFormat="1" ht="16.5" thickBot="1" x14ac:dyDescent="0.3">
      <c r="A57" s="317">
        <f t="shared" si="0"/>
        <v>49</v>
      </c>
      <c r="B57" s="55"/>
      <c r="C57" s="251" t="s">
        <v>442</v>
      </c>
      <c r="D57" s="55"/>
      <c r="E57" s="56" t="s">
        <v>252</v>
      </c>
      <c r="F57" s="56"/>
      <c r="G57" s="116">
        <f>G55+G44+G35+G31+G26+G15</f>
        <v>11717.904240000002</v>
      </c>
      <c r="H57" s="116">
        <f>H55+H44+H35+H31+H26+H15</f>
        <v>11604.296718754196</v>
      </c>
      <c r="I57" s="111"/>
      <c r="J57" s="116">
        <f>J55+J44+J35+J31+J26+J15</f>
        <v>11697.75274</v>
      </c>
      <c r="K57" s="116">
        <f>K55+K44+K35+K31+K26+K15</f>
        <v>11882.143152692197</v>
      </c>
      <c r="L57" s="111"/>
      <c r="M57" s="116">
        <f>M55+M44+M35+M31+M26+M15</f>
        <v>11616.160360000002</v>
      </c>
      <c r="N57" s="116">
        <f>N55+N44+N35+N31+N26+N15</f>
        <v>11944.303537895001</v>
      </c>
      <c r="O57" s="111"/>
      <c r="P57" s="116">
        <f>P55+P44+P35+P31+P26+P15</f>
        <v>11947.924019782222</v>
      </c>
      <c r="Q57" s="111"/>
      <c r="R57" s="116">
        <f>R55+R44+R35+R31+R26+R15</f>
        <v>12134.372661023186</v>
      </c>
      <c r="S57" s="278"/>
    </row>
  </sheetData>
  <customSheetViews>
    <customSheetView guid="{275E5119-9E8C-43ED-ACD2-DF40CF10B219}" scale="7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5" header="0.25" footer="0.5"/>
  <pageSetup scale="61" orientation="landscape" horizontalDpi="1200" verticalDpi="1200" r:id="rId3"/>
  <headerFooter alignWithMargins="0">
    <oddHeader xml:space="preserve">&amp;RUndertaking 17 - Page 527, Lines 15-17, Attachment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117"/>
  <sheetViews>
    <sheetView view="pageBreakPreview" topLeftCell="A9" zoomScale="70" zoomScaleNormal="70" zoomScaleSheetLayoutView="70" zoomScalePageLayoutView="55" workbookViewId="0">
      <selection activeCell="N63" sqref="N63"/>
    </sheetView>
  </sheetViews>
  <sheetFormatPr defaultColWidth="7.5703125" defaultRowHeight="12.75" x14ac:dyDescent="0.2"/>
  <cols>
    <col min="1" max="1" width="6.28515625" style="237" bestFit="1" customWidth="1"/>
    <col min="2" max="2" width="2.28515625" style="237" customWidth="1"/>
    <col min="3" max="3" width="105.42578125" style="237" bestFit="1" customWidth="1"/>
    <col min="4" max="4" width="2.28515625" style="237" customWidth="1"/>
    <col min="5" max="5" width="11.5703125" style="237" bestFit="1" customWidth="1"/>
    <col min="6" max="6" width="2.28515625" style="237" customWidth="1"/>
    <col min="7" max="7" width="12.7109375" style="237" customWidth="1"/>
    <col min="8" max="8" width="2.28515625" style="237" customWidth="1"/>
    <col min="9" max="9" width="12.7109375" style="237" customWidth="1"/>
    <col min="10" max="10" width="2.28515625" style="237" customWidth="1"/>
    <col min="11" max="11" width="12.7109375" style="237" customWidth="1"/>
    <col min="12" max="12" width="2.28515625" style="237" customWidth="1"/>
    <col min="13" max="13" width="12.7109375" style="237" customWidth="1"/>
    <col min="14" max="14" width="2.28515625" style="237" customWidth="1"/>
    <col min="15" max="15" width="12.7109375" style="237" customWidth="1"/>
    <col min="16" max="16" width="2.28515625" style="237" customWidth="1"/>
    <col min="17" max="16384" width="7.5703125" style="237"/>
  </cols>
  <sheetData>
    <row r="1" spans="1:16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58" t="s">
        <v>572</v>
      </c>
    </row>
    <row r="2" spans="1:16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58" t="s">
        <v>588</v>
      </c>
    </row>
    <row r="3" spans="1:16" ht="15.75" x14ac:dyDescent="0.25">
      <c r="A3" s="261" t="s">
        <v>200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1:16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</row>
    <row r="5" spans="1:16" ht="15.75" x14ac:dyDescent="0.25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2"/>
      <c r="O5" s="582"/>
    </row>
    <row r="6" spans="1:16" s="278" customFormat="1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82"/>
      <c r="I6" s="582" t="s">
        <v>11</v>
      </c>
      <c r="J6" s="582"/>
      <c r="K6" s="582" t="s">
        <v>11</v>
      </c>
      <c r="L6" s="582"/>
      <c r="M6" s="605" t="s">
        <v>293</v>
      </c>
      <c r="N6" s="605"/>
      <c r="O6" s="605"/>
    </row>
    <row r="7" spans="1:16" s="278" customFormat="1" ht="15.75" x14ac:dyDescent="0.25">
      <c r="A7" s="589" t="s">
        <v>21</v>
      </c>
      <c r="B7" s="582"/>
      <c r="C7" s="589" t="s">
        <v>149</v>
      </c>
      <c r="D7" s="589"/>
      <c r="E7" s="589" t="s">
        <v>22</v>
      </c>
      <c r="F7" s="582"/>
      <c r="G7" s="315">
        <v>2013</v>
      </c>
      <c r="H7" s="389"/>
      <c r="I7" s="315">
        <v>2014</v>
      </c>
      <c r="J7" s="389"/>
      <c r="K7" s="315">
        <v>2015</v>
      </c>
      <c r="L7" s="389"/>
      <c r="M7" s="315">
        <v>2016</v>
      </c>
      <c r="N7" s="324"/>
      <c r="O7" s="315">
        <v>2017</v>
      </c>
    </row>
    <row r="8" spans="1:16" s="278" customFormat="1" ht="15.75" x14ac:dyDescent="0.25">
      <c r="A8" s="240"/>
      <c r="B8" s="582"/>
      <c r="C8" s="240"/>
      <c r="D8" s="240"/>
      <c r="E8" s="240"/>
      <c r="F8" s="582"/>
      <c r="G8" s="320"/>
      <c r="H8" s="389"/>
      <c r="I8" s="320"/>
      <c r="J8" s="389"/>
      <c r="K8" s="320"/>
      <c r="L8" s="389"/>
      <c r="M8" s="320"/>
      <c r="N8" s="324"/>
      <c r="O8" s="320"/>
    </row>
    <row r="9" spans="1:16" s="278" customFormat="1" ht="15.75" x14ac:dyDescent="0.25">
      <c r="A9" s="317">
        <v>1</v>
      </c>
      <c r="B9" s="292"/>
      <c r="C9" s="251" t="s">
        <v>205</v>
      </c>
      <c r="D9" s="251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16" s="278" customFormat="1" ht="15.75" x14ac:dyDescent="0.25">
      <c r="A10" s="317">
        <f>+A9+1</f>
        <v>2</v>
      </c>
      <c r="B10" s="292"/>
      <c r="C10" s="251"/>
      <c r="D10" s="251"/>
      <c r="E10" s="292"/>
      <c r="F10" s="292"/>
      <c r="G10" s="292"/>
      <c r="H10" s="292"/>
      <c r="I10" s="292"/>
      <c r="J10" s="292"/>
      <c r="K10" s="292"/>
      <c r="L10" s="292"/>
      <c r="M10" s="292"/>
      <c r="N10" s="292"/>
    </row>
    <row r="11" spans="1:16" s="278" customFormat="1" ht="15" x14ac:dyDescent="0.2">
      <c r="A11" s="317">
        <f t="shared" ref="A11:A51" si="0">+A10+1</f>
        <v>3</v>
      </c>
      <c r="B11" s="292"/>
      <c r="C11" s="165" t="s">
        <v>312</v>
      </c>
      <c r="D11" s="165"/>
      <c r="E11" s="184" t="s">
        <v>905</v>
      </c>
      <c r="F11" s="292"/>
      <c r="G11" s="57">
        <f>'S5.1 '!$G$10</f>
        <v>198.96715165851143</v>
      </c>
      <c r="H11" s="292"/>
      <c r="I11" s="57">
        <f>'S5.1 '!$J$10</f>
        <v>232.62132872410558</v>
      </c>
      <c r="J11" s="292"/>
      <c r="K11" s="57">
        <f>'S5.1 '!$M$10</f>
        <v>260.74600798774554</v>
      </c>
      <c r="L11" s="292"/>
      <c r="M11" s="57">
        <f>'S5.1 '!$P$10</f>
        <v>272.60403310559741</v>
      </c>
      <c r="N11" s="292"/>
      <c r="O11" s="57">
        <f>'S5.1 '!$R$10</f>
        <v>264.13487545952904</v>
      </c>
    </row>
    <row r="12" spans="1:16" s="278" customFormat="1" ht="15.75" x14ac:dyDescent="0.25">
      <c r="A12" s="317">
        <f t="shared" si="0"/>
        <v>4</v>
      </c>
      <c r="B12" s="292"/>
      <c r="C12" s="166"/>
      <c r="D12" s="166"/>
      <c r="E12" s="292"/>
      <c r="F12" s="292"/>
      <c r="G12" s="292"/>
      <c r="H12" s="292"/>
      <c r="I12" s="366"/>
      <c r="J12" s="367"/>
      <c r="K12" s="366"/>
      <c r="L12" s="367"/>
      <c r="M12" s="366"/>
      <c r="N12" s="367"/>
      <c r="O12" s="366"/>
    </row>
    <row r="13" spans="1:16" s="278" customFormat="1" ht="15.75" x14ac:dyDescent="0.25">
      <c r="A13" s="317">
        <f t="shared" si="0"/>
        <v>5</v>
      </c>
      <c r="B13" s="272"/>
      <c r="C13" s="166" t="s">
        <v>825</v>
      </c>
      <c r="D13" s="166"/>
      <c r="E13" s="292"/>
      <c r="F13" s="292"/>
      <c r="G13" s="292"/>
      <c r="H13" s="292"/>
      <c r="I13" s="368"/>
      <c r="J13" s="367"/>
      <c r="K13" s="368"/>
      <c r="L13" s="367"/>
      <c r="M13" s="368"/>
      <c r="N13" s="367"/>
      <c r="O13" s="368"/>
    </row>
    <row r="14" spans="1:16" s="278" customFormat="1" ht="15" x14ac:dyDescent="0.2">
      <c r="A14" s="317">
        <f t="shared" si="0"/>
        <v>6</v>
      </c>
      <c r="B14" s="292"/>
      <c r="C14" s="166" t="s">
        <v>824</v>
      </c>
      <c r="D14" s="166"/>
      <c r="E14" s="292"/>
      <c r="F14" s="292"/>
      <c r="G14" s="292"/>
      <c r="H14" s="292"/>
      <c r="I14" s="292"/>
      <c r="J14" s="292"/>
      <c r="K14" s="292"/>
      <c r="L14" s="292"/>
      <c r="M14" s="292"/>
      <c r="N14" s="292"/>
    </row>
    <row r="15" spans="1:16" s="278" customFormat="1" ht="15" x14ac:dyDescent="0.2">
      <c r="A15" s="317">
        <f t="shared" si="0"/>
        <v>7</v>
      </c>
      <c r="B15" s="292"/>
      <c r="C15" s="166"/>
      <c r="D15" s="166"/>
      <c r="E15" s="292"/>
      <c r="F15" s="292"/>
      <c r="G15" s="292"/>
      <c r="H15" s="292"/>
      <c r="I15" s="292" t="s">
        <v>13</v>
      </c>
      <c r="J15" s="292"/>
      <c r="K15" s="292"/>
      <c r="L15" s="292"/>
      <c r="M15" s="292"/>
      <c r="N15" s="292"/>
    </row>
    <row r="16" spans="1:16" s="278" customFormat="1" ht="14.25" customHeight="1" x14ac:dyDescent="0.2">
      <c r="A16" s="317">
        <f t="shared" si="0"/>
        <v>8</v>
      </c>
      <c r="B16" s="292"/>
      <c r="C16" s="166" t="s">
        <v>834</v>
      </c>
      <c r="D16" s="166"/>
      <c r="E16" s="292"/>
      <c r="F16" s="292"/>
      <c r="G16" s="292"/>
      <c r="H16" s="292"/>
      <c r="I16" s="292"/>
      <c r="J16" s="292"/>
      <c r="K16" s="292"/>
      <c r="L16" s="292"/>
      <c r="M16" s="292"/>
      <c r="N16" s="292"/>
    </row>
    <row r="17" spans="1:15" s="278" customFormat="1" ht="14.25" customHeight="1" x14ac:dyDescent="0.2">
      <c r="A17" s="317">
        <f t="shared" si="0"/>
        <v>9</v>
      </c>
      <c r="B17" s="272"/>
      <c r="C17" s="166"/>
      <c r="D17" s="166"/>
      <c r="E17" s="292"/>
      <c r="F17" s="292"/>
      <c r="G17" s="292"/>
      <c r="H17" s="292"/>
      <c r="I17" s="272"/>
      <c r="J17" s="292"/>
      <c r="K17" s="292"/>
      <c r="L17" s="292"/>
      <c r="M17" s="292"/>
      <c r="N17" s="292"/>
    </row>
    <row r="18" spans="1:15" s="278" customFormat="1" ht="14.25" customHeight="1" x14ac:dyDescent="0.2">
      <c r="A18" s="317">
        <f t="shared" si="0"/>
        <v>10</v>
      </c>
      <c r="B18" s="272"/>
      <c r="C18" s="166"/>
      <c r="D18" s="166"/>
      <c r="E18" s="292"/>
      <c r="F18" s="292"/>
      <c r="G18" s="292"/>
      <c r="H18" s="292"/>
      <c r="I18" s="272"/>
      <c r="J18" s="292"/>
      <c r="K18" s="292"/>
      <c r="L18" s="292"/>
      <c r="M18" s="292"/>
      <c r="N18" s="292"/>
    </row>
    <row r="19" spans="1:15" s="278" customFormat="1" ht="15" x14ac:dyDescent="0.2">
      <c r="A19" s="317">
        <f t="shared" si="0"/>
        <v>11</v>
      </c>
      <c r="B19" s="292"/>
      <c r="C19" s="165" t="s">
        <v>313</v>
      </c>
      <c r="D19" s="165"/>
      <c r="E19" s="184" t="s">
        <v>906</v>
      </c>
      <c r="F19" s="292"/>
      <c r="G19" s="57">
        <f>'S5.1 '!$G$12</f>
        <v>363.55695161488336</v>
      </c>
      <c r="H19" s="292"/>
      <c r="I19" s="57">
        <f>'S5.1 '!$J$12</f>
        <v>413.02981271724582</v>
      </c>
      <c r="J19" s="292"/>
      <c r="K19" s="57">
        <f>'S5.1 '!$M$12</f>
        <v>444.50742837879869</v>
      </c>
      <c r="L19" s="292"/>
      <c r="M19" s="57">
        <f>'S5.1 '!$P$12</f>
        <v>492.30740955069388</v>
      </c>
      <c r="N19" s="292"/>
      <c r="O19" s="57">
        <f>'S5.1 '!$R$12</f>
        <v>503.60561985934686</v>
      </c>
    </row>
    <row r="20" spans="1:15" s="278" customFormat="1" ht="15.75" x14ac:dyDescent="0.25">
      <c r="A20" s="317">
        <f t="shared" si="0"/>
        <v>12</v>
      </c>
      <c r="B20" s="292"/>
      <c r="C20" s="166"/>
      <c r="D20" s="166"/>
      <c r="E20" s="292"/>
      <c r="F20" s="292"/>
      <c r="G20" s="292"/>
      <c r="H20" s="292"/>
      <c r="I20" s="366"/>
      <c r="J20" s="367"/>
      <c r="K20" s="366"/>
      <c r="L20" s="367"/>
      <c r="M20" s="366"/>
      <c r="N20" s="367"/>
      <c r="O20" s="366"/>
    </row>
    <row r="21" spans="1:15" s="278" customFormat="1" ht="15.75" x14ac:dyDescent="0.25">
      <c r="A21" s="317">
        <f t="shared" si="0"/>
        <v>13</v>
      </c>
      <c r="B21" s="272"/>
      <c r="C21" s="166" t="s">
        <v>842</v>
      </c>
      <c r="D21" s="166"/>
      <c r="E21" s="292"/>
      <c r="F21" s="292"/>
      <c r="G21" s="272" t="s">
        <v>13</v>
      </c>
      <c r="H21" s="292"/>
      <c r="I21" s="368"/>
      <c r="J21" s="367"/>
      <c r="K21" s="368"/>
      <c r="L21" s="367"/>
      <c r="M21" s="368"/>
      <c r="N21" s="367"/>
      <c r="O21" s="368"/>
    </row>
    <row r="22" spans="1:15" s="278" customFormat="1" ht="15" x14ac:dyDescent="0.2">
      <c r="A22" s="317">
        <f t="shared" si="0"/>
        <v>14</v>
      </c>
      <c r="B22" s="292"/>
      <c r="C22" s="166" t="s">
        <v>843</v>
      </c>
      <c r="D22" s="166"/>
      <c r="E22" s="292"/>
      <c r="F22" s="292"/>
      <c r="G22" s="292"/>
      <c r="H22" s="292"/>
      <c r="I22" s="272"/>
      <c r="J22" s="292"/>
      <c r="K22" s="272"/>
      <c r="L22" s="292"/>
      <c r="M22" s="292"/>
      <c r="N22" s="292"/>
    </row>
    <row r="23" spans="1:15" s="278" customFormat="1" ht="15" x14ac:dyDescent="0.2">
      <c r="A23" s="317">
        <f t="shared" si="0"/>
        <v>15</v>
      </c>
      <c r="B23" s="292"/>
      <c r="C23" s="166"/>
      <c r="D23" s="166"/>
      <c r="E23" s="292"/>
      <c r="F23" s="292"/>
      <c r="G23" s="292" t="s">
        <v>13</v>
      </c>
      <c r="H23" s="292"/>
      <c r="I23" s="272"/>
      <c r="J23" s="292"/>
      <c r="K23" s="272"/>
      <c r="L23" s="292"/>
      <c r="M23" s="292"/>
      <c r="N23" s="292"/>
    </row>
    <row r="24" spans="1:15" s="278" customFormat="1" ht="15" x14ac:dyDescent="0.2">
      <c r="A24" s="317">
        <f t="shared" si="0"/>
        <v>16</v>
      </c>
      <c r="B24" s="292"/>
      <c r="C24" s="166" t="s">
        <v>826</v>
      </c>
      <c r="D24" s="166"/>
      <c r="E24" s="292"/>
      <c r="F24" s="292"/>
      <c r="G24" s="292"/>
      <c r="H24" s="292"/>
      <c r="I24" s="292"/>
      <c r="J24" s="292"/>
      <c r="K24" s="292"/>
      <c r="L24" s="292"/>
      <c r="M24" s="292"/>
      <c r="N24" s="292"/>
    </row>
    <row r="25" spans="1:15" s="278" customFormat="1" ht="15" x14ac:dyDescent="0.2">
      <c r="A25" s="317">
        <f t="shared" si="0"/>
        <v>17</v>
      </c>
      <c r="B25" s="292"/>
      <c r="C25" s="166" t="s">
        <v>827</v>
      </c>
      <c r="D25" s="166"/>
      <c r="E25" s="292"/>
      <c r="F25" s="292"/>
      <c r="G25" s="292"/>
      <c r="H25" s="292"/>
      <c r="I25" s="292"/>
      <c r="J25" s="292"/>
      <c r="K25" s="292"/>
      <c r="L25" s="292"/>
      <c r="M25" s="292"/>
      <c r="N25" s="292"/>
    </row>
    <row r="26" spans="1:15" s="278" customFormat="1" ht="15" x14ac:dyDescent="0.2">
      <c r="A26" s="317">
        <f t="shared" si="0"/>
        <v>18</v>
      </c>
      <c r="B26" s="292"/>
      <c r="C26" s="166"/>
      <c r="D26" s="166"/>
      <c r="E26" s="292"/>
      <c r="F26" s="292"/>
      <c r="G26" s="292"/>
      <c r="H26" s="292"/>
      <c r="I26" s="292"/>
      <c r="J26" s="292"/>
      <c r="K26" s="292"/>
      <c r="L26" s="292"/>
      <c r="M26" s="292"/>
      <c r="N26" s="292"/>
    </row>
    <row r="27" spans="1:15" s="278" customFormat="1" ht="15" x14ac:dyDescent="0.2">
      <c r="A27" s="317">
        <f t="shared" si="0"/>
        <v>19</v>
      </c>
      <c r="B27" s="292"/>
      <c r="C27" s="166"/>
      <c r="D27" s="166"/>
      <c r="E27" s="292"/>
      <c r="F27" s="292"/>
      <c r="G27" s="292"/>
      <c r="H27" s="292"/>
      <c r="I27" s="292"/>
      <c r="J27" s="292"/>
      <c r="K27" s="292"/>
      <c r="L27" s="292"/>
      <c r="M27" s="292"/>
      <c r="N27" s="292"/>
    </row>
    <row r="28" spans="1:15" s="278" customFormat="1" ht="15" x14ac:dyDescent="0.2">
      <c r="A28" s="317">
        <f t="shared" si="0"/>
        <v>20</v>
      </c>
      <c r="B28" s="280"/>
      <c r="C28" s="165" t="s">
        <v>330</v>
      </c>
      <c r="D28" s="165"/>
      <c r="E28" s="184" t="s">
        <v>907</v>
      </c>
      <c r="F28" s="292"/>
      <c r="G28" s="280">
        <f>'S5.1 '!$G$14</f>
        <v>1020.1906737994777</v>
      </c>
      <c r="H28" s="76"/>
      <c r="I28" s="280">
        <f>'S5.1 '!$J$14</f>
        <v>906.818828798494</v>
      </c>
      <c r="J28" s="76"/>
      <c r="K28" s="280">
        <f>'S5.1 '!$M$14</f>
        <v>1148.3812969557544</v>
      </c>
      <c r="L28" s="280"/>
      <c r="M28" s="280">
        <f>'S5.1 '!$P$14</f>
        <v>1183.5266795858672</v>
      </c>
      <c r="N28" s="292"/>
      <c r="O28" s="280">
        <f>'S5.1 '!$R$14</f>
        <v>1106.7170515643438</v>
      </c>
    </row>
    <row r="29" spans="1:15" s="278" customFormat="1" ht="15.75" x14ac:dyDescent="0.25">
      <c r="A29" s="317">
        <f t="shared" si="0"/>
        <v>21</v>
      </c>
      <c r="B29" s="280"/>
      <c r="E29" s="292"/>
      <c r="F29" s="292"/>
      <c r="I29" s="366"/>
      <c r="J29" s="367"/>
      <c r="K29" s="366"/>
      <c r="L29" s="367"/>
      <c r="M29" s="366"/>
      <c r="N29" s="367"/>
      <c r="O29" s="366"/>
    </row>
    <row r="30" spans="1:15" s="278" customFormat="1" ht="15" x14ac:dyDescent="0.2">
      <c r="A30" s="317">
        <f t="shared" si="0"/>
        <v>22</v>
      </c>
      <c r="B30" s="292"/>
      <c r="C30" s="166" t="s">
        <v>835</v>
      </c>
      <c r="D30" s="166"/>
      <c r="E30" s="292"/>
      <c r="F30" s="292"/>
      <c r="I30" s="175"/>
      <c r="J30" s="292"/>
      <c r="K30" s="175"/>
      <c r="L30" s="292"/>
      <c r="M30" s="175"/>
      <c r="N30" s="292"/>
      <c r="O30" s="175"/>
    </row>
    <row r="31" spans="1:15" s="278" customFormat="1" ht="15" x14ac:dyDescent="0.2">
      <c r="A31" s="317">
        <f t="shared" si="0"/>
        <v>23</v>
      </c>
      <c r="B31" s="292"/>
      <c r="C31" s="166" t="s">
        <v>836</v>
      </c>
      <c r="D31" s="166"/>
      <c r="E31" s="292"/>
      <c r="F31" s="292"/>
      <c r="I31" s="167" t="s">
        <v>13</v>
      </c>
      <c r="K31" s="167" t="s">
        <v>13</v>
      </c>
      <c r="N31" s="292"/>
      <c r="O31" s="280"/>
    </row>
    <row r="32" spans="1:15" s="278" customFormat="1" ht="15" x14ac:dyDescent="0.2">
      <c r="A32" s="317">
        <f t="shared" si="0"/>
        <v>24</v>
      </c>
      <c r="B32" s="76"/>
      <c r="C32" s="166"/>
      <c r="D32" s="166"/>
      <c r="E32" s="292"/>
      <c r="F32" s="292"/>
      <c r="I32" s="167"/>
      <c r="N32" s="292"/>
      <c r="O32" s="280"/>
    </row>
    <row r="33" spans="1:15" s="278" customFormat="1" ht="15" x14ac:dyDescent="0.2">
      <c r="A33" s="317">
        <f t="shared" si="0"/>
        <v>25</v>
      </c>
      <c r="B33" s="76"/>
      <c r="C33" s="166"/>
      <c r="D33" s="166"/>
      <c r="E33" s="292"/>
      <c r="F33" s="292"/>
      <c r="I33" s="167"/>
      <c r="N33" s="292"/>
      <c r="O33" s="280"/>
    </row>
    <row r="34" spans="1:15" s="278" customFormat="1" ht="15.75" x14ac:dyDescent="0.25">
      <c r="A34" s="317">
        <f t="shared" si="0"/>
        <v>26</v>
      </c>
      <c r="B34" s="292"/>
      <c r="C34" s="251" t="s">
        <v>31</v>
      </c>
      <c r="D34" s="251"/>
      <c r="E34" s="292"/>
      <c r="F34" s="292"/>
      <c r="G34" s="76"/>
      <c r="H34" s="76"/>
      <c r="I34" s="76"/>
      <c r="J34" s="76"/>
      <c r="K34" s="76"/>
      <c r="L34" s="76"/>
      <c r="M34" s="76"/>
      <c r="N34" s="292"/>
      <c r="O34" s="280"/>
    </row>
    <row r="35" spans="1:15" s="278" customFormat="1" ht="15.75" x14ac:dyDescent="0.25">
      <c r="A35" s="317">
        <f t="shared" si="0"/>
        <v>27</v>
      </c>
      <c r="B35" s="292"/>
      <c r="C35" s="251"/>
      <c r="D35" s="251"/>
      <c r="E35" s="292"/>
      <c r="F35" s="292"/>
      <c r="G35" s="76"/>
      <c r="H35" s="76"/>
      <c r="I35" s="76"/>
      <c r="J35" s="76"/>
      <c r="K35" s="76"/>
      <c r="L35" s="76"/>
      <c r="M35" s="76"/>
      <c r="N35" s="292"/>
      <c r="O35" s="280"/>
    </row>
    <row r="36" spans="1:15" ht="15.75" customHeight="1" x14ac:dyDescent="0.25">
      <c r="A36" s="317">
        <f t="shared" si="0"/>
        <v>28</v>
      </c>
      <c r="B36" s="292"/>
      <c r="C36" s="165" t="s">
        <v>214</v>
      </c>
      <c r="D36" s="165"/>
      <c r="E36" s="184" t="s">
        <v>908</v>
      </c>
      <c r="F36" s="582"/>
      <c r="G36" s="280">
        <f>'S5.1 '!$G$18</f>
        <v>419.97078831371084</v>
      </c>
      <c r="H36" s="280"/>
      <c r="I36" s="280">
        <f>'S5.1 '!$J$18</f>
        <v>267.60403825385441</v>
      </c>
      <c r="J36" s="280"/>
      <c r="K36" s="280">
        <f>'S5.1 '!$M$18</f>
        <v>437.08361472026604</v>
      </c>
      <c r="L36" s="280"/>
      <c r="M36" s="280">
        <f>'S5.1 '!$P$18</f>
        <v>413.61014089892564</v>
      </c>
      <c r="N36" s="280"/>
      <c r="O36" s="280">
        <f>'S5.1 '!$R$18</f>
        <v>423.02886268781327</v>
      </c>
    </row>
    <row r="37" spans="1:15" ht="15.75" customHeight="1" x14ac:dyDescent="0.25">
      <c r="A37" s="317">
        <f t="shared" si="0"/>
        <v>29</v>
      </c>
      <c r="B37" s="292"/>
      <c r="C37" s="240"/>
      <c r="D37" s="240"/>
      <c r="E37" s="240"/>
      <c r="F37" s="582"/>
      <c r="G37" s="280"/>
      <c r="H37" s="280"/>
      <c r="I37" s="366"/>
      <c r="J37" s="367"/>
      <c r="K37" s="366"/>
      <c r="L37" s="367"/>
      <c r="M37" s="366"/>
      <c r="N37" s="367"/>
      <c r="O37" s="366"/>
    </row>
    <row r="38" spans="1:15" ht="15.75" customHeight="1" x14ac:dyDescent="0.25">
      <c r="A38" s="317">
        <f t="shared" si="0"/>
        <v>30</v>
      </c>
      <c r="B38" s="292"/>
      <c r="C38" s="369" t="s">
        <v>986</v>
      </c>
      <c r="D38" s="369"/>
      <c r="E38" s="240"/>
      <c r="F38" s="582"/>
      <c r="G38" s="280"/>
      <c r="H38" s="280"/>
      <c r="I38" s="307"/>
      <c r="J38" s="280"/>
      <c r="K38" s="280"/>
      <c r="L38" s="280"/>
      <c r="M38" s="280"/>
      <c r="N38" s="280"/>
      <c r="O38" s="280"/>
    </row>
    <row r="39" spans="1:15" s="278" customFormat="1" ht="15" x14ac:dyDescent="0.2">
      <c r="A39" s="317">
        <f t="shared" si="0"/>
        <v>31</v>
      </c>
      <c r="B39" s="76"/>
      <c r="C39" s="166" t="s">
        <v>987</v>
      </c>
      <c r="D39" s="166"/>
      <c r="E39" s="292"/>
      <c r="F39" s="292"/>
      <c r="I39" s="167"/>
      <c r="N39" s="292"/>
      <c r="O39" s="280"/>
    </row>
    <row r="40" spans="1:15" s="278" customFormat="1" ht="15" x14ac:dyDescent="0.2">
      <c r="A40" s="317">
        <f t="shared" si="0"/>
        <v>32</v>
      </c>
      <c r="B40" s="76"/>
      <c r="C40" s="166"/>
      <c r="D40" s="166"/>
      <c r="E40" s="292"/>
      <c r="F40" s="292"/>
      <c r="I40" s="167"/>
      <c r="N40" s="292"/>
      <c r="O40" s="280"/>
    </row>
    <row r="41" spans="1:15" s="278" customFormat="1" ht="15" x14ac:dyDescent="0.2">
      <c r="A41" s="317">
        <f t="shared" si="0"/>
        <v>33</v>
      </c>
      <c r="B41" s="76"/>
      <c r="C41" s="166"/>
      <c r="D41" s="166"/>
      <c r="E41" s="292"/>
      <c r="F41" s="292"/>
      <c r="I41" s="167"/>
      <c r="N41" s="292"/>
      <c r="O41" s="280"/>
    </row>
    <row r="42" spans="1:15" ht="15.75" customHeight="1" x14ac:dyDescent="0.2">
      <c r="A42" s="317">
        <f t="shared" si="0"/>
        <v>34</v>
      </c>
      <c r="B42" s="292"/>
      <c r="C42" s="165" t="s">
        <v>280</v>
      </c>
      <c r="D42" s="165"/>
      <c r="E42" s="184" t="s">
        <v>909</v>
      </c>
      <c r="F42" s="292"/>
      <c r="G42" s="280">
        <f>'S5.1 '!$G$22</f>
        <v>156.41411418956159</v>
      </c>
      <c r="H42" s="280"/>
      <c r="I42" s="280">
        <f>'S5.1 '!$J$22</f>
        <v>111.23534465937156</v>
      </c>
      <c r="J42" s="280"/>
      <c r="K42" s="280">
        <f>'S5.1 '!$M$22</f>
        <v>142.89032982301012</v>
      </c>
      <c r="L42" s="280"/>
      <c r="M42" s="280">
        <f>'S5.1 '!$P$22</f>
        <v>149.19557286806059</v>
      </c>
      <c r="N42" s="280"/>
      <c r="O42" s="280">
        <f>'S5.1 '!$R$22</f>
        <v>154.06728925602982</v>
      </c>
    </row>
    <row r="43" spans="1:15" ht="15.75" customHeight="1" x14ac:dyDescent="0.25">
      <c r="A43" s="317">
        <f t="shared" si="0"/>
        <v>35</v>
      </c>
      <c r="B43" s="292"/>
      <c r="C43" s="278"/>
      <c r="D43" s="278"/>
      <c r="E43" s="292"/>
      <c r="F43" s="292"/>
      <c r="G43" s="280"/>
      <c r="H43" s="280"/>
      <c r="I43" s="366"/>
      <c r="J43" s="367"/>
      <c r="K43" s="366"/>
      <c r="L43" s="367"/>
      <c r="M43" s="366"/>
      <c r="N43" s="367"/>
      <c r="O43" s="366"/>
    </row>
    <row r="44" spans="1:15" ht="15.75" customHeight="1" x14ac:dyDescent="0.2">
      <c r="A44" s="317">
        <f t="shared" si="0"/>
        <v>36</v>
      </c>
      <c r="B44" s="292"/>
      <c r="C44" s="166" t="s">
        <v>988</v>
      </c>
      <c r="D44" s="166"/>
      <c r="E44" s="292"/>
      <c r="F44" s="292"/>
      <c r="G44" s="280"/>
      <c r="H44" s="280"/>
      <c r="I44" s="280"/>
      <c r="J44" s="280"/>
      <c r="K44" s="280"/>
      <c r="L44" s="280"/>
      <c r="M44" s="280"/>
      <c r="N44" s="280"/>
      <c r="O44" s="280"/>
    </row>
    <row r="45" spans="1:15" ht="15.75" customHeight="1" x14ac:dyDescent="0.2">
      <c r="A45" s="317">
        <f t="shared" si="0"/>
        <v>37</v>
      </c>
      <c r="B45" s="292"/>
      <c r="C45" s="166" t="s">
        <v>989</v>
      </c>
      <c r="D45" s="166"/>
      <c r="E45" s="292"/>
      <c r="F45" s="292"/>
      <c r="G45" s="280"/>
      <c r="H45" s="280"/>
      <c r="I45" s="280"/>
      <c r="J45" s="280"/>
      <c r="K45" s="280"/>
      <c r="L45" s="280"/>
      <c r="M45" s="280"/>
      <c r="N45" s="280"/>
      <c r="O45" s="280"/>
    </row>
    <row r="46" spans="1:15" s="278" customFormat="1" ht="15" x14ac:dyDescent="0.2">
      <c r="A46" s="317">
        <f t="shared" si="0"/>
        <v>38</v>
      </c>
      <c r="B46" s="76"/>
      <c r="C46" s="166"/>
      <c r="D46" s="166"/>
      <c r="E46" s="292"/>
      <c r="F46" s="292"/>
      <c r="I46" s="167"/>
      <c r="N46" s="292"/>
      <c r="O46" s="280"/>
    </row>
    <row r="47" spans="1:15" s="278" customFormat="1" ht="15" x14ac:dyDescent="0.2">
      <c r="A47" s="317">
        <f t="shared" si="0"/>
        <v>39</v>
      </c>
      <c r="B47" s="76"/>
      <c r="C47" s="166"/>
      <c r="D47" s="166"/>
      <c r="E47" s="292"/>
      <c r="F47" s="292"/>
      <c r="I47" s="167"/>
      <c r="N47" s="292"/>
      <c r="O47" s="280"/>
    </row>
    <row r="48" spans="1:15" s="278" customFormat="1" ht="15" x14ac:dyDescent="0.2">
      <c r="A48" s="317">
        <f t="shared" si="0"/>
        <v>40</v>
      </c>
      <c r="B48" s="292"/>
      <c r="C48" s="165" t="s">
        <v>70</v>
      </c>
      <c r="D48" s="165"/>
      <c r="E48" s="184" t="s">
        <v>910</v>
      </c>
      <c r="F48" s="292"/>
      <c r="G48" s="280">
        <f>'S5.1 '!$G$25</f>
        <v>238.41801919924586</v>
      </c>
      <c r="H48" s="280"/>
      <c r="I48" s="280">
        <f>'S5.1 '!$J$25</f>
        <v>252.03216107949692</v>
      </c>
      <c r="J48" s="280"/>
      <c r="K48" s="280">
        <f>'S5.1 '!$M$25</f>
        <v>203.1309926061796</v>
      </c>
      <c r="L48" s="280"/>
      <c r="M48" s="280">
        <f>'S5.1 '!$P$25</f>
        <v>247.87269238222729</v>
      </c>
      <c r="N48" s="292"/>
      <c r="O48" s="280">
        <f>'S5.1 '!$R$25</f>
        <v>254.91898009143006</v>
      </c>
    </row>
    <row r="49" spans="1:16" s="278" customFormat="1" ht="15.75" x14ac:dyDescent="0.25">
      <c r="A49" s="317">
        <f t="shared" si="0"/>
        <v>41</v>
      </c>
      <c r="B49" s="292"/>
      <c r="E49" s="292"/>
      <c r="F49" s="292"/>
      <c r="G49" s="280"/>
      <c r="H49" s="280"/>
      <c r="I49" s="366"/>
      <c r="J49" s="367"/>
      <c r="K49" s="366"/>
      <c r="L49" s="367"/>
      <c r="M49" s="366"/>
      <c r="N49" s="367"/>
      <c r="O49" s="366"/>
    </row>
    <row r="50" spans="1:16" s="278" customFormat="1" ht="15" x14ac:dyDescent="0.2">
      <c r="A50" s="317">
        <f t="shared" si="0"/>
        <v>42</v>
      </c>
      <c r="B50" s="280"/>
      <c r="C50" s="166" t="s">
        <v>857</v>
      </c>
      <c r="D50" s="166"/>
      <c r="E50" s="292"/>
      <c r="F50" s="292"/>
      <c r="G50" s="280"/>
      <c r="H50" s="280"/>
      <c r="I50" s="280"/>
      <c r="J50" s="280"/>
      <c r="K50" s="280"/>
      <c r="L50" s="280"/>
      <c r="M50" s="280"/>
      <c r="N50" s="292"/>
      <c r="O50" s="280"/>
    </row>
    <row r="51" spans="1:16" s="278" customFormat="1" ht="15" x14ac:dyDescent="0.2">
      <c r="A51" s="317">
        <f t="shared" si="0"/>
        <v>43</v>
      </c>
      <c r="B51" s="280"/>
      <c r="C51" s="166" t="s">
        <v>990</v>
      </c>
      <c r="D51" s="166"/>
      <c r="E51" s="292"/>
      <c r="F51" s="292"/>
      <c r="G51" s="280"/>
      <c r="H51" s="280"/>
      <c r="I51" s="280"/>
      <c r="J51" s="280"/>
      <c r="K51" s="280"/>
      <c r="L51" s="280"/>
      <c r="M51" s="280"/>
      <c r="N51" s="292"/>
      <c r="O51" s="280"/>
    </row>
    <row r="52" spans="1:16" s="278" customFormat="1" ht="15" x14ac:dyDescent="0.2">
      <c r="A52" s="317"/>
      <c r="B52" s="76"/>
      <c r="C52" s="166"/>
      <c r="D52" s="166"/>
      <c r="E52" s="292"/>
      <c r="F52" s="292"/>
      <c r="I52" s="167"/>
      <c r="N52" s="292"/>
      <c r="O52" s="280"/>
    </row>
    <row r="53" spans="1:16" ht="15.75" x14ac:dyDescent="0.25">
      <c r="A53" s="261" t="s">
        <v>1006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58" t="s">
        <v>572</v>
      </c>
    </row>
    <row r="54" spans="1:16" ht="15.75" x14ac:dyDescent="0.25">
      <c r="A54" s="261" t="s">
        <v>555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58" t="s">
        <v>589</v>
      </c>
    </row>
    <row r="55" spans="1:16" ht="15.75" x14ac:dyDescent="0.25">
      <c r="A55" s="261" t="s">
        <v>200</v>
      </c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</row>
    <row r="56" spans="1:16" ht="15.75" x14ac:dyDescent="0.25">
      <c r="A56" s="261" t="s">
        <v>18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</row>
    <row r="57" spans="1:16" ht="15.75" x14ac:dyDescent="0.25">
      <c r="A57" s="582"/>
      <c r="B57" s="582"/>
      <c r="C57" s="582"/>
      <c r="D57" s="582"/>
      <c r="E57" s="582"/>
      <c r="F57" s="582"/>
      <c r="G57" s="582"/>
      <c r="H57" s="582"/>
      <c r="I57" s="582"/>
      <c r="J57" s="582"/>
      <c r="K57" s="582"/>
      <c r="L57" s="582"/>
      <c r="M57" s="582"/>
      <c r="N57" s="582"/>
      <c r="O57" s="582"/>
    </row>
    <row r="58" spans="1:16" s="278" customFormat="1" ht="15.75" x14ac:dyDescent="0.25">
      <c r="A58" s="582" t="s">
        <v>19</v>
      </c>
      <c r="B58" s="582"/>
      <c r="C58" s="582"/>
      <c r="D58" s="582"/>
      <c r="E58" s="582" t="s">
        <v>20</v>
      </c>
      <c r="F58" s="582"/>
      <c r="G58" s="582" t="s">
        <v>11</v>
      </c>
      <c r="H58" s="582"/>
      <c r="I58" s="582" t="s">
        <v>11</v>
      </c>
      <c r="J58" s="582"/>
      <c r="K58" s="582" t="s">
        <v>11</v>
      </c>
      <c r="L58" s="582"/>
      <c r="M58" s="582" t="s">
        <v>293</v>
      </c>
      <c r="N58" s="292"/>
      <c r="O58" s="582" t="s">
        <v>293</v>
      </c>
    </row>
    <row r="59" spans="1:16" s="278" customFormat="1" ht="15.75" x14ac:dyDescent="0.25">
      <c r="A59" s="589" t="s">
        <v>21</v>
      </c>
      <c r="B59" s="582"/>
      <c r="C59" s="589" t="s">
        <v>149</v>
      </c>
      <c r="D59" s="589"/>
      <c r="E59" s="589" t="s">
        <v>22</v>
      </c>
      <c r="F59" s="582"/>
      <c r="G59" s="315">
        <v>2013</v>
      </c>
      <c r="H59" s="389"/>
      <c r="I59" s="315">
        <v>2014</v>
      </c>
      <c r="J59" s="389"/>
      <c r="K59" s="315">
        <v>2015</v>
      </c>
      <c r="L59" s="389"/>
      <c r="M59" s="315">
        <v>2016</v>
      </c>
      <c r="N59" s="324"/>
      <c r="O59" s="315">
        <v>2017</v>
      </c>
    </row>
    <row r="60" spans="1:16" s="278" customFormat="1" ht="15.75" x14ac:dyDescent="0.25">
      <c r="A60" s="240"/>
      <c r="B60" s="582"/>
      <c r="C60" s="240"/>
      <c r="D60" s="240"/>
      <c r="E60" s="240"/>
      <c r="F60" s="582"/>
      <c r="G60" s="320"/>
      <c r="H60" s="389"/>
      <c r="I60" s="320"/>
      <c r="J60" s="389"/>
      <c r="K60" s="320"/>
      <c r="L60" s="389"/>
      <c r="M60" s="320"/>
      <c r="N60" s="324"/>
      <c r="O60" s="320"/>
    </row>
    <row r="61" spans="1:16" s="278" customFormat="1" ht="15.75" x14ac:dyDescent="0.25">
      <c r="A61" s="317">
        <f>A51+1</f>
        <v>44</v>
      </c>
      <c r="B61" s="292"/>
      <c r="C61" s="251" t="s">
        <v>837</v>
      </c>
      <c r="D61" s="251"/>
      <c r="E61" s="292"/>
      <c r="F61" s="292"/>
      <c r="G61" s="76"/>
      <c r="H61" s="76"/>
      <c r="I61" s="76"/>
      <c r="J61" s="76"/>
      <c r="K61" s="76"/>
      <c r="L61" s="76"/>
      <c r="M61" s="76"/>
      <c r="N61" s="292"/>
      <c r="O61" s="280"/>
    </row>
    <row r="62" spans="1:16" s="278" customFormat="1" ht="15.75" x14ac:dyDescent="0.25">
      <c r="A62" s="317">
        <f>+A61+1</f>
        <v>45</v>
      </c>
      <c r="B62" s="292"/>
      <c r="C62" s="251"/>
      <c r="D62" s="251"/>
      <c r="E62" s="292"/>
      <c r="F62" s="292"/>
      <c r="G62" s="76"/>
      <c r="H62" s="76"/>
      <c r="I62" s="76"/>
      <c r="J62" s="76"/>
      <c r="K62" s="76"/>
      <c r="L62" s="76"/>
      <c r="M62" s="76"/>
      <c r="N62" s="292"/>
      <c r="O62" s="280"/>
    </row>
    <row r="63" spans="1:16" ht="15.75" customHeight="1" x14ac:dyDescent="0.2">
      <c r="A63" s="317">
        <f t="shared" ref="A63:A103" si="1">+A62+1</f>
        <v>46</v>
      </c>
      <c r="B63" s="292"/>
      <c r="C63" s="165" t="s">
        <v>73</v>
      </c>
      <c r="D63" s="165"/>
      <c r="E63" s="184" t="s">
        <v>911</v>
      </c>
      <c r="F63" s="292"/>
      <c r="G63" s="280">
        <f>+'S5.1 '!G30</f>
        <v>141.82162560714406</v>
      </c>
      <c r="H63" s="280"/>
      <c r="I63" s="280">
        <f>+'S5.1 '!J30</f>
        <v>162.02074691117232</v>
      </c>
      <c r="J63" s="280"/>
      <c r="K63" s="280">
        <f>+'S5.1 '!M30</f>
        <v>144.9291588178956</v>
      </c>
      <c r="L63" s="280"/>
      <c r="M63" s="280">
        <f>+'S5.1 '!P30</f>
        <v>161.70807413792113</v>
      </c>
      <c r="N63" s="280"/>
      <c r="O63" s="280">
        <f>+'S5.1 '!R30</f>
        <v>165.3125767827085</v>
      </c>
    </row>
    <row r="64" spans="1:16" ht="15.75" customHeight="1" x14ac:dyDescent="0.2">
      <c r="A64" s="317">
        <f t="shared" si="1"/>
        <v>47</v>
      </c>
      <c r="B64" s="292"/>
      <c r="C64" s="165"/>
      <c r="D64" s="165"/>
      <c r="E64" s="292"/>
      <c r="F64" s="292"/>
      <c r="G64" s="280"/>
      <c r="H64" s="280"/>
      <c r="I64" s="280"/>
      <c r="J64" s="280"/>
      <c r="K64" s="280"/>
      <c r="L64" s="280"/>
      <c r="M64" s="280"/>
      <c r="N64" s="280"/>
      <c r="O64" s="280"/>
    </row>
    <row r="65" spans="1:15" ht="15.75" customHeight="1" x14ac:dyDescent="0.2">
      <c r="A65" s="317">
        <f t="shared" si="1"/>
        <v>48</v>
      </c>
      <c r="B65" s="292"/>
      <c r="C65" s="189" t="s">
        <v>884</v>
      </c>
      <c r="D65" s="189"/>
      <c r="E65" s="292"/>
      <c r="F65" s="292"/>
      <c r="G65" s="280"/>
      <c r="H65" s="280"/>
      <c r="I65" s="280"/>
      <c r="J65" s="280"/>
      <c r="K65" s="280"/>
      <c r="L65" s="280"/>
      <c r="M65" s="280"/>
      <c r="N65" s="280"/>
      <c r="O65" s="280"/>
    </row>
    <row r="66" spans="1:15" ht="15.75" customHeight="1" x14ac:dyDescent="0.2">
      <c r="A66" s="317">
        <f t="shared" si="1"/>
        <v>49</v>
      </c>
      <c r="B66" s="292"/>
      <c r="C66" s="189" t="s">
        <v>885</v>
      </c>
      <c r="D66" s="189"/>
      <c r="E66" s="292"/>
      <c r="F66" s="292"/>
      <c r="G66" s="280"/>
      <c r="H66" s="280"/>
      <c r="I66" s="280"/>
      <c r="J66" s="280"/>
      <c r="K66" s="280"/>
      <c r="L66" s="280"/>
      <c r="M66" s="280"/>
      <c r="N66" s="280"/>
      <c r="O66" s="280"/>
    </row>
    <row r="67" spans="1:15" ht="15.75" customHeight="1" x14ac:dyDescent="0.2">
      <c r="A67" s="317">
        <f t="shared" si="1"/>
        <v>50</v>
      </c>
      <c r="B67" s="292"/>
    </row>
    <row r="68" spans="1:15" ht="15.75" customHeight="1" x14ac:dyDescent="0.2">
      <c r="A68" s="317">
        <f t="shared" si="1"/>
        <v>51</v>
      </c>
      <c r="B68" s="292"/>
    </row>
    <row r="69" spans="1:15" s="278" customFormat="1" ht="15.75" x14ac:dyDescent="0.25">
      <c r="A69" s="317">
        <f t="shared" si="1"/>
        <v>52</v>
      </c>
      <c r="B69" s="292"/>
      <c r="C69" s="174" t="s">
        <v>346</v>
      </c>
      <c r="D69" s="174"/>
      <c r="G69" s="280"/>
      <c r="H69" s="280"/>
      <c r="I69" s="280"/>
      <c r="J69" s="280"/>
      <c r="K69" s="280"/>
      <c r="L69" s="280"/>
      <c r="M69" s="280"/>
      <c r="N69" s="292"/>
      <c r="O69" s="280"/>
    </row>
    <row r="70" spans="1:15" s="278" customFormat="1" ht="15.75" x14ac:dyDescent="0.25">
      <c r="A70" s="317">
        <f t="shared" si="1"/>
        <v>53</v>
      </c>
      <c r="B70" s="292"/>
      <c r="C70" s="240"/>
      <c r="D70" s="240"/>
      <c r="E70" s="240"/>
      <c r="F70" s="582"/>
      <c r="G70" s="280"/>
      <c r="H70" s="280"/>
      <c r="I70" s="280"/>
      <c r="J70" s="280"/>
      <c r="K70" s="280"/>
      <c r="L70" s="280"/>
      <c r="M70" s="280"/>
      <c r="N70" s="292"/>
      <c r="O70" s="280"/>
    </row>
    <row r="71" spans="1:15" s="278" customFormat="1" ht="15.75" x14ac:dyDescent="0.25">
      <c r="A71" s="317">
        <f t="shared" si="1"/>
        <v>54</v>
      </c>
      <c r="B71" s="292"/>
      <c r="C71" s="165" t="s">
        <v>347</v>
      </c>
      <c r="D71" s="165"/>
      <c r="E71" s="184" t="s">
        <v>912</v>
      </c>
      <c r="F71" s="582"/>
      <c r="G71" s="280">
        <f>'S5.1 '!$G$34</f>
        <v>121.59562300216676</v>
      </c>
      <c r="H71" s="280"/>
      <c r="I71" s="280">
        <f>'S5.1 '!$J$34</f>
        <v>168.56253366215705</v>
      </c>
      <c r="J71" s="280"/>
      <c r="K71" s="280">
        <f>'S5.1 '!$M$34</f>
        <v>107.98071261510617</v>
      </c>
      <c r="L71" s="280"/>
      <c r="M71" s="280">
        <f>'S5.1 '!$P$34</f>
        <v>122.65749160249828</v>
      </c>
      <c r="N71" s="292"/>
      <c r="O71" s="280">
        <f>'S5.1 '!$R$34</f>
        <v>141.36224692998181</v>
      </c>
    </row>
    <row r="72" spans="1:15" s="278" customFormat="1" ht="15.75" x14ac:dyDescent="0.25">
      <c r="A72" s="317">
        <f t="shared" si="1"/>
        <v>55</v>
      </c>
      <c r="B72" s="292"/>
      <c r="C72" s="240"/>
      <c r="D72" s="240"/>
      <c r="E72" s="240"/>
      <c r="F72" s="582"/>
      <c r="G72" s="280"/>
      <c r="H72" s="280"/>
      <c r="I72" s="366"/>
      <c r="J72" s="367"/>
      <c r="K72" s="366"/>
      <c r="L72" s="367"/>
      <c r="M72" s="366"/>
      <c r="N72" s="367"/>
      <c r="O72" s="366"/>
    </row>
    <row r="73" spans="1:15" s="278" customFormat="1" ht="15.75" x14ac:dyDescent="0.25">
      <c r="A73" s="317">
        <f t="shared" si="1"/>
        <v>56</v>
      </c>
      <c r="B73" s="292"/>
      <c r="C73" s="189" t="s">
        <v>839</v>
      </c>
      <c r="D73" s="189"/>
      <c r="E73" s="240"/>
      <c r="F73" s="582"/>
      <c r="G73" s="280"/>
      <c r="H73" s="280"/>
      <c r="I73" s="368"/>
      <c r="J73" s="367"/>
      <c r="K73" s="368"/>
      <c r="L73" s="367"/>
      <c r="M73" s="368"/>
      <c r="N73" s="367"/>
      <c r="O73" s="368"/>
    </row>
    <row r="74" spans="1:15" s="278" customFormat="1" ht="18.75" x14ac:dyDescent="0.25">
      <c r="A74" s="317">
        <f t="shared" si="1"/>
        <v>57</v>
      </c>
      <c r="B74" s="292"/>
      <c r="C74" s="189" t="s">
        <v>863</v>
      </c>
      <c r="D74" s="189"/>
      <c r="E74" s="240"/>
      <c r="F74" s="582"/>
      <c r="G74" s="280"/>
      <c r="H74" s="280"/>
      <c r="I74" s="280"/>
      <c r="J74" s="280"/>
      <c r="K74" s="280"/>
      <c r="L74" s="280"/>
      <c r="M74" s="280"/>
      <c r="N74" s="292"/>
      <c r="O74" s="280"/>
    </row>
    <row r="75" spans="1:15" s="278" customFormat="1" ht="15.75" x14ac:dyDescent="0.25">
      <c r="A75" s="317">
        <f t="shared" si="1"/>
        <v>58</v>
      </c>
      <c r="B75" s="292"/>
      <c r="C75" s="189" t="s">
        <v>838</v>
      </c>
      <c r="D75" s="189"/>
      <c r="E75" s="240"/>
      <c r="F75" s="582"/>
      <c r="G75" s="280"/>
      <c r="H75" s="280"/>
      <c r="I75" s="280"/>
      <c r="J75" s="280"/>
      <c r="K75" s="280"/>
      <c r="L75" s="280"/>
      <c r="M75" s="280"/>
      <c r="N75" s="292"/>
      <c r="O75" s="280"/>
    </row>
    <row r="76" spans="1:15" ht="15.75" customHeight="1" x14ac:dyDescent="0.2">
      <c r="A76" s="317">
        <f t="shared" si="1"/>
        <v>59</v>
      </c>
      <c r="B76" s="292"/>
    </row>
    <row r="77" spans="1:15" ht="15.75" customHeight="1" x14ac:dyDescent="0.2">
      <c r="A77" s="317">
        <f t="shared" si="1"/>
        <v>60</v>
      </c>
      <c r="B77" s="292"/>
    </row>
    <row r="78" spans="1:15" ht="15.75" customHeight="1" x14ac:dyDescent="0.25">
      <c r="A78" s="317">
        <f t="shared" si="1"/>
        <v>61</v>
      </c>
      <c r="B78" s="292"/>
      <c r="C78" s="174" t="s">
        <v>459</v>
      </c>
      <c r="D78" s="174"/>
    </row>
    <row r="79" spans="1:15" ht="15.75" customHeight="1" x14ac:dyDescent="0.2">
      <c r="A79" s="317">
        <f t="shared" si="1"/>
        <v>62</v>
      </c>
      <c r="B79" s="292"/>
    </row>
    <row r="80" spans="1:15" s="278" customFormat="1" ht="15" x14ac:dyDescent="0.2">
      <c r="A80" s="317">
        <f t="shared" si="1"/>
        <v>63</v>
      </c>
      <c r="B80" s="292"/>
      <c r="C80" s="165" t="s">
        <v>0</v>
      </c>
      <c r="D80" s="165"/>
      <c r="E80" s="184" t="s">
        <v>913</v>
      </c>
      <c r="F80" s="292"/>
      <c r="G80" s="280">
        <f>'S5.1 '!$G$43</f>
        <v>75.45984</v>
      </c>
      <c r="H80" s="280"/>
      <c r="I80" s="280">
        <f>'S5.1 '!$J$43</f>
        <v>119.5192</v>
      </c>
      <c r="J80" s="280"/>
      <c r="K80" s="280">
        <f>'S5.1 '!$M$43</f>
        <v>64.898699999999991</v>
      </c>
      <c r="L80" s="280"/>
      <c r="M80" s="280">
        <f>'S5.1 '!$P$43</f>
        <v>86.625913333333344</v>
      </c>
      <c r="N80" s="280"/>
      <c r="O80" s="280">
        <f>'S5.1 '!$R$43</f>
        <v>88.531683426666689</v>
      </c>
    </row>
    <row r="81" spans="1:15" s="278" customFormat="1" ht="15.75" x14ac:dyDescent="0.25">
      <c r="A81" s="317">
        <f t="shared" si="1"/>
        <v>64</v>
      </c>
      <c r="B81" s="292"/>
      <c r="C81" s="166"/>
      <c r="D81" s="166"/>
      <c r="E81" s="292"/>
      <c r="F81" s="292"/>
      <c r="G81" s="280"/>
      <c r="H81" s="280"/>
      <c r="I81" s="366"/>
      <c r="J81" s="367"/>
      <c r="K81" s="366"/>
      <c r="L81" s="367"/>
      <c r="M81" s="366"/>
      <c r="N81" s="367"/>
      <c r="O81" s="366"/>
    </row>
    <row r="82" spans="1:15" s="278" customFormat="1" ht="15.75" x14ac:dyDescent="0.25">
      <c r="A82" s="317">
        <f t="shared" si="1"/>
        <v>65</v>
      </c>
      <c r="B82" s="292"/>
      <c r="C82" s="189" t="s">
        <v>841</v>
      </c>
      <c r="D82" s="189"/>
      <c r="E82" s="292"/>
      <c r="F82" s="292"/>
      <c r="G82" s="280"/>
      <c r="H82" s="280"/>
      <c r="I82" s="368"/>
      <c r="J82" s="367"/>
      <c r="K82" s="368"/>
      <c r="L82" s="367"/>
      <c r="M82" s="368"/>
      <c r="N82" s="367"/>
      <c r="O82" s="368"/>
    </row>
    <row r="83" spans="1:15" s="278" customFormat="1" ht="15" x14ac:dyDescent="0.2">
      <c r="A83" s="317">
        <f t="shared" si="1"/>
        <v>66</v>
      </c>
      <c r="B83" s="292"/>
      <c r="C83" s="189" t="s">
        <v>840</v>
      </c>
      <c r="D83" s="189"/>
    </row>
    <row r="84" spans="1:15" ht="15.75" customHeight="1" x14ac:dyDescent="0.2">
      <c r="A84" s="317">
        <f t="shared" si="1"/>
        <v>67</v>
      </c>
      <c r="B84" s="292"/>
    </row>
    <row r="85" spans="1:15" ht="15.75" customHeight="1" x14ac:dyDescent="0.2">
      <c r="A85" s="317">
        <f t="shared" si="1"/>
        <v>68</v>
      </c>
      <c r="B85" s="292"/>
      <c r="C85" s="189" t="s">
        <v>991</v>
      </c>
      <c r="D85" s="189"/>
    </row>
    <row r="86" spans="1:15" ht="15.75" customHeight="1" x14ac:dyDescent="0.2">
      <c r="A86" s="317">
        <f t="shared" si="1"/>
        <v>69</v>
      </c>
      <c r="B86" s="292"/>
      <c r="C86" s="189"/>
      <c r="D86" s="189"/>
    </row>
    <row r="87" spans="1:15" ht="15.75" customHeight="1" x14ac:dyDescent="0.2">
      <c r="A87" s="317">
        <f t="shared" si="1"/>
        <v>70</v>
      </c>
      <c r="B87" s="292"/>
    </row>
    <row r="88" spans="1:15" s="278" customFormat="1" ht="15.75" x14ac:dyDescent="0.25">
      <c r="A88" s="317">
        <f t="shared" si="1"/>
        <v>71</v>
      </c>
      <c r="B88" s="292"/>
      <c r="C88" s="251" t="s">
        <v>457</v>
      </c>
      <c r="D88" s="251"/>
    </row>
    <row r="89" spans="1:15" ht="15.75" customHeight="1" x14ac:dyDescent="0.2">
      <c r="A89" s="317">
        <f t="shared" si="1"/>
        <v>72</v>
      </c>
      <c r="B89" s="292"/>
    </row>
    <row r="90" spans="1:15" s="278" customFormat="1" ht="15" x14ac:dyDescent="0.2">
      <c r="A90" s="317">
        <f t="shared" si="1"/>
        <v>73</v>
      </c>
      <c r="B90" s="292"/>
      <c r="C90" s="165" t="s">
        <v>278</v>
      </c>
      <c r="D90" s="165"/>
      <c r="E90" s="184" t="s">
        <v>914</v>
      </c>
      <c r="F90" s="292"/>
      <c r="G90" s="280">
        <f>'S5.1 '!$G$46</f>
        <v>2262.5606304410157</v>
      </c>
      <c r="H90" s="280"/>
      <c r="I90" s="280">
        <f>'S5.1 '!$J$46</f>
        <v>2282.3778719884549</v>
      </c>
      <c r="J90" s="280"/>
      <c r="K90" s="280">
        <f>'S5.1 '!$M$46</f>
        <v>1962.5200717403802</v>
      </c>
      <c r="L90" s="280"/>
      <c r="M90" s="280">
        <f>'S5.1 '!$P$46</f>
        <v>2304.3903958611827</v>
      </c>
      <c r="N90" s="292"/>
      <c r="O90" s="280">
        <f>'S5.1 '!$R$46</f>
        <v>2352.160317577373</v>
      </c>
    </row>
    <row r="91" spans="1:15" s="278" customFormat="1" ht="15.75" x14ac:dyDescent="0.25">
      <c r="A91" s="317">
        <f t="shared" si="1"/>
        <v>74</v>
      </c>
      <c r="B91" s="292"/>
      <c r="C91" s="166" t="s">
        <v>13</v>
      </c>
      <c r="D91" s="166"/>
      <c r="E91" s="292"/>
      <c r="F91" s="292"/>
      <c r="G91" s="280" t="s">
        <v>13</v>
      </c>
      <c r="H91" s="280"/>
      <c r="I91" s="366"/>
      <c r="J91" s="367"/>
      <c r="K91" s="366"/>
      <c r="L91" s="367"/>
      <c r="M91" s="366"/>
      <c r="N91" s="367"/>
      <c r="O91" s="366"/>
    </row>
    <row r="92" spans="1:15" s="278" customFormat="1" ht="15" x14ac:dyDescent="0.2">
      <c r="A92" s="317">
        <f t="shared" si="1"/>
        <v>75</v>
      </c>
      <c r="B92" s="292"/>
      <c r="C92" s="189" t="s">
        <v>844</v>
      </c>
      <c r="D92" s="189"/>
      <c r="E92" s="292"/>
      <c r="F92" s="292"/>
      <c r="G92" s="280"/>
      <c r="H92" s="280"/>
      <c r="I92" s="280"/>
      <c r="J92" s="280"/>
      <c r="K92" s="280"/>
      <c r="L92" s="280"/>
      <c r="M92" s="280"/>
      <c r="N92" s="292"/>
      <c r="O92" s="280"/>
    </row>
    <row r="93" spans="1:15" s="278" customFormat="1" ht="15" x14ac:dyDescent="0.2">
      <c r="A93" s="317">
        <f t="shared" si="1"/>
        <v>76</v>
      </c>
      <c r="B93" s="292"/>
      <c r="C93" s="189" t="s">
        <v>845</v>
      </c>
      <c r="D93" s="189"/>
      <c r="E93" s="292"/>
      <c r="F93" s="292"/>
      <c r="G93" s="280"/>
      <c r="H93" s="280"/>
      <c r="I93" s="280"/>
      <c r="J93" s="280"/>
      <c r="K93" s="280"/>
      <c r="L93" s="280"/>
      <c r="M93" s="280"/>
      <c r="N93" s="292"/>
      <c r="O93" s="280"/>
    </row>
    <row r="94" spans="1:15" s="278" customFormat="1" ht="15" x14ac:dyDescent="0.2">
      <c r="A94" s="317">
        <f t="shared" si="1"/>
        <v>77</v>
      </c>
      <c r="B94" s="292"/>
      <c r="C94" s="189" t="s">
        <v>846</v>
      </c>
      <c r="D94" s="189"/>
      <c r="E94" s="292"/>
      <c r="F94" s="292"/>
      <c r="G94" s="280"/>
      <c r="H94" s="280"/>
      <c r="I94" s="280"/>
      <c r="J94" s="280"/>
      <c r="K94" s="280"/>
      <c r="L94" s="280"/>
      <c r="M94" s="280"/>
      <c r="N94" s="292"/>
      <c r="O94" s="280"/>
    </row>
    <row r="95" spans="1:15" ht="15.75" customHeight="1" x14ac:dyDescent="0.2">
      <c r="A95" s="317">
        <f t="shared" si="1"/>
        <v>78</v>
      </c>
      <c r="B95" s="292"/>
    </row>
    <row r="96" spans="1:15" ht="15.75" customHeight="1" x14ac:dyDescent="0.2">
      <c r="A96" s="317">
        <f t="shared" si="1"/>
        <v>79</v>
      </c>
      <c r="B96" s="292"/>
    </row>
    <row r="97" spans="1:16" s="278" customFormat="1" ht="15" x14ac:dyDescent="0.2">
      <c r="A97" s="317">
        <f t="shared" si="1"/>
        <v>80</v>
      </c>
      <c r="B97" s="292"/>
      <c r="C97" s="165" t="s">
        <v>82</v>
      </c>
      <c r="D97" s="165"/>
      <c r="E97" s="184" t="s">
        <v>915</v>
      </c>
      <c r="F97" s="237"/>
      <c r="G97" s="280">
        <f>'S5.1 '!$G$50</f>
        <v>273.37810400950639</v>
      </c>
      <c r="H97" s="280"/>
      <c r="I97" s="280">
        <f>'S5.1 '!$J$50</f>
        <v>363.70344265329857</v>
      </c>
      <c r="J97" s="280"/>
      <c r="K97" s="280">
        <f>'S5.1 '!$M$50</f>
        <v>299.05934453023184</v>
      </c>
      <c r="L97" s="280"/>
      <c r="M97" s="280">
        <f>'S5.1 '!$P$50</f>
        <v>337.00366642291954</v>
      </c>
      <c r="N97" s="292"/>
      <c r="O97" s="280">
        <f>'S5.1 '!$R$50</f>
        <v>342.3584687446513</v>
      </c>
    </row>
    <row r="98" spans="1:16" s="278" customFormat="1" ht="15.75" x14ac:dyDescent="0.25">
      <c r="A98" s="317">
        <f t="shared" si="1"/>
        <v>81</v>
      </c>
      <c r="B98" s="292"/>
      <c r="C98" s="165"/>
      <c r="D98" s="165"/>
      <c r="E98" s="237"/>
      <c r="F98" s="237"/>
      <c r="G98" s="280"/>
      <c r="H98" s="280"/>
      <c r="I98" s="366"/>
      <c r="J98" s="367"/>
      <c r="K98" s="366"/>
      <c r="L98" s="367"/>
      <c r="M98" s="366"/>
      <c r="N98" s="367"/>
      <c r="O98" s="366"/>
    </row>
    <row r="99" spans="1:16" s="278" customFormat="1" ht="15.75" x14ac:dyDescent="0.25">
      <c r="A99" s="317">
        <f t="shared" si="1"/>
        <v>82</v>
      </c>
      <c r="B99" s="292"/>
      <c r="C99" s="189" t="s">
        <v>992</v>
      </c>
      <c r="D99" s="189"/>
      <c r="E99" s="237"/>
      <c r="F99" s="237"/>
      <c r="G99" s="280"/>
      <c r="H99" s="280"/>
      <c r="I99" s="368"/>
      <c r="J99" s="367"/>
      <c r="K99" s="368"/>
      <c r="L99" s="367"/>
      <c r="M99" s="368"/>
      <c r="N99" s="367"/>
      <c r="O99" s="368"/>
    </row>
    <row r="100" spans="1:16" s="278" customFormat="1" ht="15" x14ac:dyDescent="0.2">
      <c r="A100" s="317">
        <f t="shared" si="1"/>
        <v>83</v>
      </c>
      <c r="B100" s="292"/>
      <c r="C100" s="189" t="s">
        <v>993</v>
      </c>
      <c r="D100" s="189"/>
      <c r="E100" s="237"/>
      <c r="F100" s="237"/>
      <c r="G100" s="280"/>
      <c r="H100" s="280"/>
      <c r="I100" s="280"/>
      <c r="J100" s="280"/>
      <c r="K100" s="280"/>
      <c r="L100" s="280"/>
      <c r="M100" s="280"/>
      <c r="N100" s="292"/>
      <c r="O100" s="280"/>
    </row>
    <row r="101" spans="1:16" s="278" customFormat="1" ht="15" x14ac:dyDescent="0.2">
      <c r="A101" s="317">
        <f t="shared" si="1"/>
        <v>84</v>
      </c>
      <c r="B101" s="292"/>
      <c r="C101" s="189"/>
      <c r="D101" s="189"/>
      <c r="E101" s="237"/>
      <c r="F101" s="237"/>
      <c r="G101" s="280"/>
      <c r="H101" s="280"/>
      <c r="I101" s="280"/>
      <c r="J101" s="280"/>
      <c r="K101" s="280"/>
      <c r="L101" s="280"/>
      <c r="M101" s="280"/>
      <c r="N101" s="292"/>
      <c r="O101" s="280"/>
    </row>
    <row r="102" spans="1:16" s="278" customFormat="1" ht="15" x14ac:dyDescent="0.2">
      <c r="A102" s="317">
        <f t="shared" si="1"/>
        <v>85</v>
      </c>
      <c r="B102" s="292"/>
      <c r="C102" s="189" t="s">
        <v>849</v>
      </c>
      <c r="D102" s="189"/>
      <c r="E102" s="237"/>
      <c r="F102" s="237"/>
      <c r="G102" s="280"/>
      <c r="H102" s="280"/>
      <c r="I102" s="280"/>
      <c r="J102" s="280"/>
      <c r="K102" s="280"/>
      <c r="L102" s="280"/>
      <c r="M102" s="280"/>
      <c r="N102" s="292"/>
      <c r="O102" s="280"/>
    </row>
    <row r="103" spans="1:16" s="278" customFormat="1" ht="15" x14ac:dyDescent="0.2">
      <c r="A103" s="317">
        <f t="shared" si="1"/>
        <v>86</v>
      </c>
      <c r="B103" s="292"/>
      <c r="C103" s="189" t="s">
        <v>848</v>
      </c>
      <c r="D103" s="189"/>
    </row>
    <row r="104" spans="1:16" ht="15.75" x14ac:dyDescent="0.25">
      <c r="A104" s="261" t="s">
        <v>1006</v>
      </c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58" t="s">
        <v>572</v>
      </c>
    </row>
    <row r="105" spans="1:16" ht="15.75" x14ac:dyDescent="0.25">
      <c r="A105" s="261" t="s">
        <v>555</v>
      </c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58" t="s">
        <v>590</v>
      </c>
    </row>
    <row r="106" spans="1:16" ht="15.75" x14ac:dyDescent="0.25">
      <c r="A106" s="261" t="s">
        <v>200</v>
      </c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</row>
    <row r="107" spans="1:16" ht="15.75" x14ac:dyDescent="0.25">
      <c r="A107" s="261" t="s">
        <v>18</v>
      </c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</row>
    <row r="108" spans="1:16" ht="15.75" x14ac:dyDescent="0.25">
      <c r="A108" s="582"/>
      <c r="B108" s="582"/>
      <c r="C108" s="582"/>
      <c r="D108" s="582"/>
      <c r="E108" s="582"/>
      <c r="F108" s="582"/>
      <c r="G108" s="582"/>
      <c r="H108" s="582"/>
      <c r="I108" s="582"/>
      <c r="J108" s="582"/>
      <c r="K108" s="582"/>
      <c r="L108" s="582"/>
      <c r="M108" s="582"/>
      <c r="N108" s="582"/>
      <c r="O108" s="582"/>
    </row>
    <row r="109" spans="1:16" s="278" customFormat="1" ht="15.75" x14ac:dyDescent="0.25">
      <c r="A109" s="582" t="s">
        <v>19</v>
      </c>
      <c r="B109" s="582"/>
      <c r="C109" s="582"/>
      <c r="D109" s="582"/>
      <c r="E109" s="582" t="s">
        <v>20</v>
      </c>
      <c r="F109" s="582"/>
      <c r="G109" s="582" t="s">
        <v>11</v>
      </c>
      <c r="H109" s="582"/>
      <c r="I109" s="582" t="s">
        <v>11</v>
      </c>
      <c r="J109" s="582"/>
      <c r="K109" s="582" t="s">
        <v>11</v>
      </c>
      <c r="L109" s="582"/>
      <c r="M109" s="582" t="s">
        <v>293</v>
      </c>
      <c r="N109" s="292"/>
      <c r="O109" s="582" t="s">
        <v>293</v>
      </c>
    </row>
    <row r="110" spans="1:16" s="278" customFormat="1" ht="15.75" x14ac:dyDescent="0.25">
      <c r="A110" s="589" t="s">
        <v>21</v>
      </c>
      <c r="B110" s="582"/>
      <c r="C110" s="589" t="s">
        <v>149</v>
      </c>
      <c r="D110" s="589"/>
      <c r="E110" s="589" t="s">
        <v>22</v>
      </c>
      <c r="F110" s="582"/>
      <c r="G110" s="315">
        <v>2013</v>
      </c>
      <c r="H110" s="389"/>
      <c r="I110" s="315">
        <v>2014</v>
      </c>
      <c r="J110" s="389"/>
      <c r="K110" s="315">
        <v>2015</v>
      </c>
      <c r="L110" s="389"/>
      <c r="M110" s="315">
        <v>2016</v>
      </c>
      <c r="N110" s="324"/>
      <c r="O110" s="315">
        <v>2017</v>
      </c>
    </row>
    <row r="111" spans="1:16" s="278" customFormat="1" ht="15.75" x14ac:dyDescent="0.25">
      <c r="A111" s="240"/>
      <c r="B111" s="582"/>
      <c r="C111" s="240"/>
      <c r="D111" s="240"/>
      <c r="E111" s="240"/>
      <c r="F111" s="582"/>
      <c r="G111" s="320"/>
      <c r="H111" s="389"/>
      <c r="I111" s="320"/>
      <c r="J111" s="389"/>
      <c r="K111" s="320"/>
      <c r="L111" s="389"/>
      <c r="M111" s="320"/>
      <c r="N111" s="324"/>
      <c r="O111" s="320"/>
    </row>
    <row r="112" spans="1:16" s="278" customFormat="1" ht="15.75" x14ac:dyDescent="0.25">
      <c r="A112" s="311">
        <f>A103+1</f>
        <v>87</v>
      </c>
      <c r="B112" s="292"/>
      <c r="C112" s="251" t="s">
        <v>847</v>
      </c>
      <c r="D112" s="251"/>
    </row>
    <row r="113" spans="1:15" s="278" customFormat="1" ht="15.75" x14ac:dyDescent="0.25">
      <c r="A113" s="311">
        <f>+A112+1</f>
        <v>88</v>
      </c>
      <c r="B113" s="292"/>
      <c r="C113" s="251"/>
      <c r="D113" s="251"/>
    </row>
    <row r="114" spans="1:15" s="278" customFormat="1" ht="15" x14ac:dyDescent="0.2">
      <c r="A114" s="311">
        <f>+A113+1</f>
        <v>89</v>
      </c>
      <c r="B114" s="292"/>
      <c r="C114" s="165" t="s">
        <v>277</v>
      </c>
      <c r="D114" s="165"/>
      <c r="E114" s="184" t="s">
        <v>916</v>
      </c>
      <c r="F114" s="237"/>
      <c r="G114" s="280">
        <f>'S5.1 '!$G$52</f>
        <v>240.78798619653156</v>
      </c>
      <c r="H114" s="280"/>
      <c r="I114" s="280">
        <f>'S5.1 '!$J$52</f>
        <v>169.14950273635233</v>
      </c>
      <c r="J114" s="280"/>
      <c r="K114" s="280">
        <f>'S5.1 '!$M$52</f>
        <v>433.59565340036403</v>
      </c>
      <c r="L114" s="280"/>
      <c r="M114" s="280">
        <f>'S5.1 '!$P$52</f>
        <v>366.18369861754195</v>
      </c>
      <c r="N114" s="292"/>
      <c r="O114" s="280">
        <f>'S5.1 '!$R$52</f>
        <v>366.59497095977707</v>
      </c>
    </row>
    <row r="115" spans="1:15" s="278" customFormat="1" ht="15.75" x14ac:dyDescent="0.25">
      <c r="A115" s="311">
        <f>+A114+1</f>
        <v>90</v>
      </c>
      <c r="B115" s="292"/>
      <c r="C115" s="166"/>
      <c r="D115" s="166"/>
      <c r="E115" s="237"/>
      <c r="F115" s="237"/>
      <c r="G115" s="280"/>
      <c r="H115" s="280"/>
      <c r="I115" s="366"/>
      <c r="J115" s="367"/>
      <c r="K115" s="366"/>
      <c r="L115" s="367"/>
      <c r="M115" s="366"/>
      <c r="N115" s="367"/>
      <c r="O115" s="366"/>
    </row>
    <row r="116" spans="1:15" s="278" customFormat="1" ht="15.75" x14ac:dyDescent="0.25">
      <c r="A116" s="311">
        <f>+A115+1</f>
        <v>91</v>
      </c>
      <c r="B116" s="292"/>
      <c r="C116" s="189" t="s">
        <v>850</v>
      </c>
      <c r="D116" s="189"/>
      <c r="E116" s="237"/>
      <c r="F116" s="237"/>
      <c r="G116" s="280"/>
      <c r="H116" s="280"/>
      <c r="I116" s="368"/>
      <c r="J116" s="367"/>
      <c r="K116" s="368"/>
      <c r="L116" s="367"/>
      <c r="M116" s="368"/>
      <c r="N116" s="367"/>
      <c r="O116" s="368"/>
    </row>
    <row r="117" spans="1:15" s="278" customFormat="1" ht="15" x14ac:dyDescent="0.2">
      <c r="A117" s="311">
        <f>+A116+1</f>
        <v>92</v>
      </c>
      <c r="B117" s="292"/>
      <c r="C117" s="189" t="s">
        <v>851</v>
      </c>
      <c r="D117" s="189"/>
      <c r="E117" s="237"/>
      <c r="F117" s="237"/>
      <c r="G117" s="280"/>
      <c r="H117" s="280"/>
      <c r="I117" s="280"/>
      <c r="J117" s="280"/>
      <c r="K117" s="280"/>
      <c r="L117" s="280"/>
      <c r="M117" s="280"/>
      <c r="N117" s="292"/>
      <c r="O117" s="280"/>
    </row>
  </sheetData>
  <mergeCells count="1">
    <mergeCell ref="M6:O6"/>
  </mergeCells>
  <printOptions horizontalCentered="1"/>
  <pageMargins left="0.5" right="0.5" top="0.75" bottom="0.5" header="0.27" footer="0.2"/>
  <pageSetup scale="62" fitToHeight="0" orientation="landscape" horizontalDpi="1200" verticalDpi="1200" r:id="rId1"/>
  <headerFooter alignWithMargins="0">
    <oddHeader xml:space="preserve">&amp;RUndertaking 17 - Page 527, Lines 15-17, Attachment </oddHeader>
  </headerFooter>
  <rowBreaks count="2" manualBreakCount="2">
    <brk id="52" max="14" man="1"/>
    <brk id="10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794E114BB874A9E232A980D60C2D0" ma:contentTypeVersion="0" ma:contentTypeDescription="Create a new document." ma:contentTypeScope="" ma:versionID="9082a7621c47e736374998ab7a8145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89CE07-9C3D-4A64-808D-7E0A52FCC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20A5C7-F26E-4D10-B448-77CDE93AD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567BE-92F0-4545-B345-206B1CA750BD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S1.1</vt:lpstr>
      <vt:lpstr>S2.1</vt:lpstr>
      <vt:lpstr>S2.2</vt:lpstr>
      <vt:lpstr>S3.1</vt:lpstr>
      <vt:lpstr>S3.2</vt:lpstr>
      <vt:lpstr>S4.1</vt:lpstr>
      <vt:lpstr>S4.2</vt:lpstr>
      <vt:lpstr>S5.1 </vt:lpstr>
      <vt:lpstr>S5.2</vt:lpstr>
      <vt:lpstr>S5.3</vt:lpstr>
      <vt:lpstr>S7.1</vt:lpstr>
      <vt:lpstr>S7.2</vt:lpstr>
      <vt:lpstr>S7.3</vt:lpstr>
      <vt:lpstr>S7.4</vt:lpstr>
      <vt:lpstr>S8.1</vt:lpstr>
      <vt:lpstr>S8.2 &amp; 8.3</vt:lpstr>
      <vt:lpstr>S8.4 </vt:lpstr>
      <vt:lpstr>S8.5</vt:lpstr>
      <vt:lpstr>S8.6 </vt:lpstr>
      <vt:lpstr>S8.7</vt:lpstr>
      <vt:lpstr>S8.8 </vt:lpstr>
      <vt:lpstr>S8.9</vt:lpstr>
      <vt:lpstr>S8.10</vt:lpstr>
      <vt:lpstr>S8.11</vt:lpstr>
      <vt:lpstr>S8.12</vt:lpstr>
      <vt:lpstr>S9.1</vt:lpstr>
      <vt:lpstr>S9.2</vt:lpstr>
      <vt:lpstr>S10.1</vt:lpstr>
      <vt:lpstr>S1.1!Print_Area</vt:lpstr>
      <vt:lpstr>S10.1!Print_Area</vt:lpstr>
      <vt:lpstr>S2.1!Print_Area</vt:lpstr>
      <vt:lpstr>S2.2!Print_Area</vt:lpstr>
      <vt:lpstr>S3.1!Print_Area</vt:lpstr>
      <vt:lpstr>S3.2!Print_Area</vt:lpstr>
      <vt:lpstr>S4.1!Print_Area</vt:lpstr>
      <vt:lpstr>S4.2!Print_Area</vt:lpstr>
      <vt:lpstr>'S5.1 '!Print_Area</vt:lpstr>
      <vt:lpstr>S5.2!Print_Area</vt:lpstr>
      <vt:lpstr>S5.3!Print_Area</vt:lpstr>
      <vt:lpstr>S7.1!Print_Area</vt:lpstr>
      <vt:lpstr>S7.2!Print_Area</vt:lpstr>
      <vt:lpstr>S7.3!Print_Area</vt:lpstr>
      <vt:lpstr>S7.4!Print_Area</vt:lpstr>
      <vt:lpstr>S8.1!Print_Area</vt:lpstr>
      <vt:lpstr>S8.10!Print_Area</vt:lpstr>
      <vt:lpstr>S8.11!Print_Area</vt:lpstr>
      <vt:lpstr>S8.12!Print_Area</vt:lpstr>
      <vt:lpstr>'S8.2 &amp; 8.3'!Print_Area</vt:lpstr>
      <vt:lpstr>'S8.4 '!Print_Area</vt:lpstr>
      <vt:lpstr>S8.5!Print_Area</vt:lpstr>
      <vt:lpstr>'S8.6 '!Print_Area</vt:lpstr>
      <vt:lpstr>S8.7!Print_Area</vt:lpstr>
      <vt:lpstr>'S8.8 '!Print_Area</vt:lpstr>
      <vt:lpstr>S8.9!Print_Area</vt:lpstr>
      <vt:lpstr>S9.1!Print_Area</vt:lpstr>
      <vt:lpstr>S9.2!Print_Area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GRA Regulatory Schedules</dc:title>
  <dc:creator>Rob Pitzel</dc:creator>
  <cp:lastModifiedBy>Yee, Bonnie</cp:lastModifiedBy>
  <cp:lastPrinted>2016-11-09T20:27:45Z</cp:lastPrinted>
  <dcterms:created xsi:type="dcterms:W3CDTF">2002-03-25T16:44:51Z</dcterms:created>
  <dcterms:modified xsi:type="dcterms:W3CDTF">2016-11-09T20:56:35Z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0x010100979794E114BB874A9E232A980D60C2D0</vt:lpwstr>
  </property>
  <property fmtid="{D5CDD505-2E9C-101B-9397-08002B2CF9AE}" pid="3" name="SV_QUERY_LIST_4F35BF76-6C0D-4D9B-82B2-816C12CF3733">
    <vt:lpwstr>empty_477D106A-C0D6-4607-AEBD-E2C9D60EA279</vt:lpwstr>
  </property>
</Properties>
</file>